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ooklyn" sheetId="1" r:id="rId1"/>
    <sheet name="Queens" sheetId="2" r:id="rId2"/>
    <sheet name="Manhattan" sheetId="3" r:id="rId3"/>
    <sheet name="Bronx" sheetId="4" r:id="rId4"/>
    <sheet name="Staten Island" sheetId="5" r:id="rId5"/>
    <sheet name="LSU" sheetId="6" r:id="rId6"/>
  </sheets>
  <calcPr calcId="124519" fullCalcOnLoad="1"/>
</workbook>
</file>

<file path=xl/sharedStrings.xml><?xml version="1.0" encoding="utf-8"?>
<sst xmlns="http://schemas.openxmlformats.org/spreadsheetml/2006/main" count="66748" uniqueCount="7147">
  <si>
    <t>Hyperlinked Case #</t>
  </si>
  <si>
    <t>Full Person/Group Name (Last First)</t>
  </si>
  <si>
    <t>Assigned Branch/CC</t>
  </si>
  <si>
    <t>County of Residence</t>
  </si>
  <si>
    <t>Primary Advocate</t>
  </si>
  <si>
    <t>PAI Case?</t>
  </si>
  <si>
    <t>Matter has current Pro Bono involvement</t>
  </si>
  <si>
    <t>Percentage of Poverty</t>
  </si>
  <si>
    <t>IOI HRA Consent Form? (IOI 2)</t>
  </si>
  <si>
    <t>IOI HRA WAIVER APPROVAL DATE if over 200% of FPL (IOI 2)</t>
  </si>
  <si>
    <t>Date Opened</t>
  </si>
  <si>
    <t>Date Closed</t>
  </si>
  <si>
    <t>IOI Substantial Activity (Choose One)</t>
  </si>
  <si>
    <t>Custom IOI Date substantial Activity Performed</t>
  </si>
  <si>
    <t>Intake - Did You Provide Legal Advice?</t>
  </si>
  <si>
    <t>Case Status</t>
  </si>
  <si>
    <t>Primary Funding Codes</t>
  </si>
  <si>
    <t>Secondary Funding Codes</t>
  </si>
  <si>
    <t>Legal Problem Code Category</t>
  </si>
  <si>
    <t>Gender</t>
  </si>
  <si>
    <t>Legal Problem Code</t>
  </si>
  <si>
    <t>Zip Code</t>
  </si>
  <si>
    <t>Special Legal Problem Code</t>
  </si>
  <si>
    <t>Language</t>
  </si>
  <si>
    <t>IOI Does Client Have A Criminal History? (IOI 2)</t>
  </si>
  <si>
    <t>Client First Name</t>
  </si>
  <si>
    <t>Client Last Name</t>
  </si>
  <si>
    <t>Citizenship Status</t>
  </si>
  <si>
    <t>Immigration Status</t>
  </si>
  <si>
    <t>Is Domestic Violence a factor in this case?</t>
  </si>
  <si>
    <t>Close Reason</t>
  </si>
  <si>
    <t>Level of Service</t>
  </si>
  <si>
    <t>Anticipated Level Of Service</t>
  </si>
  <si>
    <t>Spcode1</t>
  </si>
  <si>
    <t>Total Time For Case</t>
  </si>
  <si>
    <t>IOI Referral Source (IOI 2)</t>
  </si>
  <si>
    <t>IOI Country Of Origin (IOI 1 and 2)</t>
  </si>
  <si>
    <t>Has Declaration of Household Composition and Income (DHCI) Form?</t>
  </si>
  <si>
    <t>IOI Outcome 2 (IOI 2)</t>
  </si>
  <si>
    <t>IOI Outcome 2 Date (IOI 2)</t>
  </si>
  <si>
    <t>IOI Secondary Outcome 2 (IOI 2)</t>
  </si>
  <si>
    <t>IOI Secondary Outcome Date 2 (IOI 2)</t>
  </si>
  <si>
    <t>Outcome</t>
  </si>
  <si>
    <t>Result Achieved</t>
  </si>
  <si>
    <t>Offsite Location</t>
  </si>
  <si>
    <t>Number of People under 18</t>
  </si>
  <si>
    <t>Number of People 18 and Over</t>
  </si>
  <si>
    <t>IOI 1 Included in Grant Report to a Funder?</t>
  </si>
  <si>
    <t>IOI 1 Included in Grant Report to a Funder?  Date</t>
  </si>
  <si>
    <t>IOI 1 Included in Grant Report to a Funder?  Funding Code</t>
  </si>
  <si>
    <t>IOI 2 Included in Grant Report to a Funder?</t>
  </si>
  <si>
    <t>IOI 2 Included in Grant Report to a Funder? Date</t>
  </si>
  <si>
    <t>IOI 2 Included in Grant Report to a Funder?  Funding Code</t>
  </si>
  <si>
    <t>Custom Recovered Monthly (Monthly Benefit)</t>
  </si>
  <si>
    <t>Custom Retro Recovery (Retroactive Award/Settlement)</t>
  </si>
  <si>
    <t>Custom Avoid (Lump Sum Avoid)</t>
  </si>
  <si>
    <t>Custom Avoid Monthly (Monthly Payment Avoided)</t>
  </si>
  <si>
    <t>Case Disposition</t>
  </si>
  <si>
    <t>Date of Birth</t>
  </si>
  <si>
    <t>Age at Intake</t>
  </si>
  <si>
    <t xml:space="preserve">Total Annual Income </t>
  </si>
  <si>
    <t>IOI HRA Effective Date (optional) (IOI 2)</t>
  </si>
  <si>
    <t>Client</t>
  </si>
  <si>
    <t>IOI Was client apprehended at border? (IOI 2&amp;3)</t>
  </si>
  <si>
    <t>Jastrzebski, Piotr</t>
  </si>
  <si>
    <t>Bernal, Luisa</t>
  </si>
  <si>
    <t>Cardona-Urbina, Belkyn Mariana</t>
  </si>
  <si>
    <t>Aldana-Cardona, Rosa Lidia</t>
  </si>
  <si>
    <t>Murillo, Junior</t>
  </si>
  <si>
    <t>Murillo, Carlos</t>
  </si>
  <si>
    <t>Castellon Calderon, Monserath</t>
  </si>
  <si>
    <t>Omoruyi, Keith</t>
  </si>
  <si>
    <t>Quintanilla, Alejandro</t>
  </si>
  <si>
    <t>Pariste, Rosena</t>
  </si>
  <si>
    <t>Maguina, Milagros</t>
  </si>
  <si>
    <t>Martin, Derwain</t>
  </si>
  <si>
    <t>Perez Castro, Armando</t>
  </si>
  <si>
    <t>Murillo, Kenia</t>
  </si>
  <si>
    <t>Goodwin, Matthew</t>
  </si>
  <si>
    <t>Franke, Marioara</t>
  </si>
  <si>
    <t>Lopez Perez, Wilson</t>
  </si>
  <si>
    <t>Tracey, Melrose</t>
  </si>
  <si>
    <t>Tzep Quiema, Nancy Marisela</t>
  </si>
  <si>
    <t>Wright, Shellief</t>
  </si>
  <si>
    <t>Pastor, Gleisy</t>
  </si>
  <si>
    <t>Gordon, Claribel</t>
  </si>
  <si>
    <t>Cooper-Hurge, Rhonda</t>
  </si>
  <si>
    <t>Saha, Atish</t>
  </si>
  <si>
    <t>Saint Louis, Nogah</t>
  </si>
  <si>
    <t>Hernandez Lozano, Maria Argelia</t>
  </si>
  <si>
    <t>Grant, Jahveena</t>
  </si>
  <si>
    <t>Powis, Michael</t>
  </si>
  <si>
    <t>Samlal, Salena</t>
  </si>
  <si>
    <t>Guedez, Nikko</t>
  </si>
  <si>
    <t>Portillo Valdez, Yeimy</t>
  </si>
  <si>
    <t>Sosa Bernabez, Kilfor Y</t>
  </si>
  <si>
    <t>Husban Issa Husban, Mohammadnour</t>
  </si>
  <si>
    <t>Wraich, Sajid</t>
  </si>
  <si>
    <t>Caceres Ortiz, Angelica</t>
  </si>
  <si>
    <t>Callejas Escobar, Dereck Alexander</t>
  </si>
  <si>
    <t>Vela Chiche, Edvin Jose Davida</t>
  </si>
  <si>
    <t>Guerra Robles, Wilder Concepcion</t>
  </si>
  <si>
    <t>Gomez, Pedro</t>
  </si>
  <si>
    <t>Kormyletskaya, Anastasia</t>
  </si>
  <si>
    <t>Ixtos Ortiz, Alonzo A</t>
  </si>
  <si>
    <t>Bergman, Roman</t>
  </si>
  <si>
    <t>Arias Rodas, Sandra</t>
  </si>
  <si>
    <t>Arias Rodas, Jesus David</t>
  </si>
  <si>
    <t>Wisner, Cenatus</t>
  </si>
  <si>
    <t>Guzman, Bryan</t>
  </si>
  <si>
    <t>Heath, Jeve</t>
  </si>
  <si>
    <t>Domingo Sebastian, Ana Griselda</t>
  </si>
  <si>
    <t>Domingo Sebastian, Almi Maidi</t>
  </si>
  <si>
    <t>Diaz Espitia, Carlos Enrique</t>
  </si>
  <si>
    <t>Marte Tejeda, Gabina</t>
  </si>
  <si>
    <t>Osorio Andino, LLoid Samir</t>
  </si>
  <si>
    <t>Vela Chiche, Edvin Jose David</t>
  </si>
  <si>
    <t>Ramirez Candia, Vannessa</t>
  </si>
  <si>
    <t>Alcocer, Cruz Isaias</t>
  </si>
  <si>
    <t>Lin, Qian</t>
  </si>
  <si>
    <t>Herrera Rodas, Jose Luis</t>
  </si>
  <si>
    <t>Diaz, Carolina A</t>
  </si>
  <si>
    <t>Castilla, Jose Luis</t>
  </si>
  <si>
    <t>Cupil Istazuy, Ismael</t>
  </si>
  <si>
    <t>Calel Hernandez, Pedro</t>
  </si>
  <si>
    <t>Prokhorko, Igor</t>
  </si>
  <si>
    <t>Medor, Gabriel</t>
  </si>
  <si>
    <t>Francis, Isaiah</t>
  </si>
  <si>
    <t>Mohammed, Navino</t>
  </si>
  <si>
    <t>Sween, Tyrell</t>
  </si>
  <si>
    <t>Blanco Baptista, Douglas Kendrid</t>
  </si>
  <si>
    <t>Gibson, Yamira</t>
  </si>
  <si>
    <t>Kosenkov, Andrei</t>
  </si>
  <si>
    <t>Rosemberg, Kayly</t>
  </si>
  <si>
    <t>Otavalo, Erika Farah</t>
  </si>
  <si>
    <t>Mikhailova, Mariia</t>
  </si>
  <si>
    <t>Elazab, Mohamed Haytham Ebrahim Mohamed</t>
  </si>
  <si>
    <t>Cuello Avila, Ender Exgles</t>
  </si>
  <si>
    <t>Guevara, Ashley</t>
  </si>
  <si>
    <t>Mohamed, Benkada</t>
  </si>
  <si>
    <t>Murashov, Mikhail</t>
  </si>
  <si>
    <t>Bonnet, John R.</t>
  </si>
  <si>
    <t>Ambrocio Chic, Jose Abel</t>
  </si>
  <si>
    <t>Chic Hernandez, Lidia</t>
  </si>
  <si>
    <t>Ochoa Chic, Cristhofer Alejandro</t>
  </si>
  <si>
    <t>Mann, Jenielle</t>
  </si>
  <si>
    <t>Urushadze, Vakhtang</t>
  </si>
  <si>
    <t>Taveras, Ignacio</t>
  </si>
  <si>
    <t>Pineyro Rodriguez, Samantha</t>
  </si>
  <si>
    <t>Lindo Urbina, Yamilette</t>
  </si>
  <si>
    <t>Snyder, Jorey</t>
  </si>
  <si>
    <t>Opasina, Omolara</t>
  </si>
  <si>
    <t>Edmund, Shawn</t>
  </si>
  <si>
    <t>Gutierrez Fernandez, Digna Ondina</t>
  </si>
  <si>
    <t>Saidykhan, Fatoumata</t>
  </si>
  <si>
    <t>Martinez Casildo, Sairi Judith</t>
  </si>
  <si>
    <t>Quashie, Rudolph</t>
  </si>
  <si>
    <t>Sadni, Laila Z.</t>
  </si>
  <si>
    <t>Hernandez, Andreina</t>
  </si>
  <si>
    <t>Lopez Ramirez, Karla Valentina</t>
  </si>
  <si>
    <t>Bernardez Zapata, Cinthia</t>
  </si>
  <si>
    <t>Bernardez Zapata, Vilma</t>
  </si>
  <si>
    <t>Guachiac, Reyna</t>
  </si>
  <si>
    <t>Cortes Reyes, Kairos Evelyn</t>
  </si>
  <si>
    <t>Marin Gonzalez, Dinia T</t>
  </si>
  <si>
    <t>Robles Portillo, Suyapa</t>
  </si>
  <si>
    <t>Wasembeck, Joseph M</t>
  </si>
  <si>
    <t>Lopez Lecaros, Luis Alberto</t>
  </si>
  <si>
    <t>Perez, Jeison</t>
  </si>
  <si>
    <t>Narine, Boysie</t>
  </si>
  <si>
    <t>Guerrero, Walter</t>
  </si>
  <si>
    <t>Chagdurov, Aleksandr</t>
  </si>
  <si>
    <t>Ramirez, Jonas</t>
  </si>
  <si>
    <t>Sewsankar, Bagwattie</t>
  </si>
  <si>
    <t>Todd, Jorge</t>
  </si>
  <si>
    <t>Taher, Abu</t>
  </si>
  <si>
    <t>Guzman, Rosario</t>
  </si>
  <si>
    <t>Castro, Luis</t>
  </si>
  <si>
    <t>Eugene, Betty</t>
  </si>
  <si>
    <t>Valencia, Jorge</t>
  </si>
  <si>
    <t>Williams, Tino</t>
  </si>
  <si>
    <t>Bhuiyan, Mobassir</t>
  </si>
  <si>
    <t>Das, Soma</t>
  </si>
  <si>
    <t>Williams, Althea Rollock</t>
  </si>
  <si>
    <t>Bucup Calel, Vicente Fernando</t>
  </si>
  <si>
    <t>Bernard, Donald</t>
  </si>
  <si>
    <t>Colon, Johanna</t>
  </si>
  <si>
    <t>Tinuade, Tinuola</t>
  </si>
  <si>
    <t>Diallo, Tiguidanke</t>
  </si>
  <si>
    <t>Mejia, Danny B</t>
  </si>
  <si>
    <t>Payano Diaz, Marilyn</t>
  </si>
  <si>
    <t>Rivero, Pedro</t>
  </si>
  <si>
    <t>Peterson, Denise</t>
  </si>
  <si>
    <t>Da Silva, Darwin</t>
  </si>
  <si>
    <t>Alikulov, Rustam</t>
  </si>
  <si>
    <t>Pleshkanev, Alexander</t>
  </si>
  <si>
    <t>Zhalgas, Madina</t>
  </si>
  <si>
    <t>Zapata Ballesteros, Maria</t>
  </si>
  <si>
    <t>Mattis, Jabokie J</t>
  </si>
  <si>
    <t>Farez, Leslie</t>
  </si>
  <si>
    <t>Blanco Ortiz, Edinson</t>
  </si>
  <si>
    <t>Martinez Gutierrez, Gustavo</t>
  </si>
  <si>
    <t>Diamond, Curtis</t>
  </si>
  <si>
    <t>Simon (Jeremiah HAYNES), Rhonda</t>
  </si>
  <si>
    <t>Simon (Jada HAYNES), Rhonda</t>
  </si>
  <si>
    <t>Simon (Jameisha HAYNES), Rhonda</t>
  </si>
  <si>
    <t>Perez Vicente, Erick</t>
  </si>
  <si>
    <t>Perez Vicente, Luis Geovany</t>
  </si>
  <si>
    <t>Forbes, Margaret</t>
  </si>
  <si>
    <t>Charles, Piklin</t>
  </si>
  <si>
    <t>Levy, Dawn Elizabeth Marie</t>
  </si>
  <si>
    <t>Perechu Tzep, Yessica Marleny</t>
  </si>
  <si>
    <t>Baptiste, Rose</t>
  </si>
  <si>
    <t>Nieto Duque, Blanca</t>
  </si>
  <si>
    <t>Medina, Raquel</t>
  </si>
  <si>
    <t>Cameron, Noreen</t>
  </si>
  <si>
    <t>Dorlice, Marlene</t>
  </si>
  <si>
    <t>Ahmed, Tarek</t>
  </si>
  <si>
    <t>Charles, Kenneth</t>
  </si>
  <si>
    <t>Mullings, Dane</t>
  </si>
  <si>
    <t>Harris, Roshannee</t>
  </si>
  <si>
    <t>Nicholson, Andrew</t>
  </si>
  <si>
    <t>Johnson, Ranique</t>
  </si>
  <si>
    <t>Dominguez, Alejandra</t>
  </si>
  <si>
    <t>Torres, Emelia H</t>
  </si>
  <si>
    <t>Chery, Germaine</t>
  </si>
  <si>
    <t>Archer, Maureen</t>
  </si>
  <si>
    <t>Irias, Nilcen</t>
  </si>
  <si>
    <t>Lyuman, Sevil</t>
  </si>
  <si>
    <t>Rambarrack, Moneshwar</t>
  </si>
  <si>
    <t>Shefild, Dmitry</t>
  </si>
  <si>
    <t>Bowen-Ellis, Conrado Eduardo</t>
  </si>
  <si>
    <t>Velasquez, Herminia V</t>
  </si>
  <si>
    <t>Neya, Emmanuel</t>
  </si>
  <si>
    <t>Chiche, Maria</t>
  </si>
  <si>
    <t>Steele, Keinda</t>
  </si>
  <si>
    <t>Nimbabaje, Jacqueline</t>
  </si>
  <si>
    <t>Agajumayev, Guvanch</t>
  </si>
  <si>
    <t>Ualiyev, Daniyar</t>
  </si>
  <si>
    <t>Zhuravlev, Maksim</t>
  </si>
  <si>
    <t>Latyshev, Sergei</t>
  </si>
  <si>
    <t>Luzin, Kirill</t>
  </si>
  <si>
    <t>Escobar, Yury</t>
  </si>
  <si>
    <t>Esin, Vadim</t>
  </si>
  <si>
    <t>Lachugin, Ilya</t>
  </si>
  <si>
    <t>Malakhov, Roman</t>
  </si>
  <si>
    <t>Kiselev, Ilya</t>
  </si>
  <si>
    <t>Pleshkov, Andrey</t>
  </si>
  <si>
    <t>Estime, James</t>
  </si>
  <si>
    <t>Sanango Chabla, Maria Hilda</t>
  </si>
  <si>
    <t>Brooklyn Legal Services</t>
  </si>
  <si>
    <t>Suffolk</t>
  </si>
  <si>
    <t>Kings</t>
  </si>
  <si>
    <t>Queens</t>
  </si>
  <si>
    <t>Richmond</t>
  </si>
  <si>
    <t>New York</t>
  </si>
  <si>
    <t>Essex</t>
  </si>
  <si>
    <t>Bronx</t>
  </si>
  <si>
    <t>Yonkers</t>
  </si>
  <si>
    <t>Fairfield</t>
  </si>
  <si>
    <t>Jersey City</t>
  </si>
  <si>
    <t>Edwards, Zamara</t>
  </si>
  <si>
    <t>Telson, Sarah</t>
  </si>
  <si>
    <t>Deolarte, Stephanie</t>
  </si>
  <si>
    <t>Cardenas, Lizeth</t>
  </si>
  <si>
    <t>Taylor, Stephanie</t>
  </si>
  <si>
    <t>Zaman, Razeen</t>
  </si>
  <si>
    <t>Odoemene, Udoka</t>
  </si>
  <si>
    <t>Tan, Andrea</t>
  </si>
  <si>
    <t>Tavis, Anna</t>
  </si>
  <si>
    <t>Alba, Sarah</t>
  </si>
  <si>
    <t>Ortiz, Andrew</t>
  </si>
  <si>
    <t>Baltimore, Beth</t>
  </si>
  <si>
    <t xml:space="preserve"> </t>
  </si>
  <si>
    <t>Yes</t>
  </si>
  <si>
    <t>No</t>
  </si>
  <si>
    <t>2018-10-01</t>
  </si>
  <si>
    <t>2018-05-21</t>
  </si>
  <si>
    <t>11/04/2019</t>
  </si>
  <si>
    <t>10/30/2019</t>
  </si>
  <si>
    <t>10/16/2019</t>
  </si>
  <si>
    <t>10/14/2019</t>
  </si>
  <si>
    <t>10/10/2019</t>
  </si>
  <si>
    <t>10/04/2019</t>
  </si>
  <si>
    <t>09/25/2019</t>
  </si>
  <si>
    <t>09/20/2019</t>
  </si>
  <si>
    <t>09/19/2019</t>
  </si>
  <si>
    <t>09/10/2019</t>
  </si>
  <si>
    <t>09/09/2019</t>
  </si>
  <si>
    <t>09/06/2019</t>
  </si>
  <si>
    <t>09/05/2019</t>
  </si>
  <si>
    <t>08/22/2019</t>
  </si>
  <si>
    <t>08/21/2019</t>
  </si>
  <si>
    <t>08/20/2019</t>
  </si>
  <si>
    <t>08/19/2019</t>
  </si>
  <si>
    <t>08/15/2019</t>
  </si>
  <si>
    <t>08/12/2019</t>
  </si>
  <si>
    <t>08/09/2019</t>
  </si>
  <si>
    <t>08/06/2019</t>
  </si>
  <si>
    <t>07/31/2019</t>
  </si>
  <si>
    <t>07/11/2019</t>
  </si>
  <si>
    <t>07/10/2019</t>
  </si>
  <si>
    <t>07/08/2019</t>
  </si>
  <si>
    <t>07/05/2019</t>
  </si>
  <si>
    <t>06/28/2019</t>
  </si>
  <si>
    <t>06/27/2019</t>
  </si>
  <si>
    <t>06/21/2019</t>
  </si>
  <si>
    <t>06/20/2019</t>
  </si>
  <si>
    <t>06/19/2019</t>
  </si>
  <si>
    <t>06/12/2019</t>
  </si>
  <si>
    <t>06/10/2019</t>
  </si>
  <si>
    <t>05/31/2019</t>
  </si>
  <si>
    <t>05/17/2019</t>
  </si>
  <si>
    <t>05/13/2019</t>
  </si>
  <si>
    <t>05/12/2019</t>
  </si>
  <si>
    <t>05/09/2019</t>
  </si>
  <si>
    <t>05/06/2019</t>
  </si>
  <si>
    <t>05/03/2019</t>
  </si>
  <si>
    <t>04/30/2019</t>
  </si>
  <si>
    <t>04/26/2019</t>
  </si>
  <si>
    <t>04/25/2019</t>
  </si>
  <si>
    <t>04/22/2019</t>
  </si>
  <si>
    <t>04/09/2019</t>
  </si>
  <si>
    <t>04/08/2019</t>
  </si>
  <si>
    <t>04/02/2019</t>
  </si>
  <si>
    <t>03/27/2019</t>
  </si>
  <si>
    <t>03/26/2019</t>
  </si>
  <si>
    <t>03/25/2019</t>
  </si>
  <si>
    <t>03/22/2019</t>
  </si>
  <si>
    <t>03/21/2019</t>
  </si>
  <si>
    <t>03/19/2019</t>
  </si>
  <si>
    <t>03/18/2019</t>
  </si>
  <si>
    <t>03/15/2019</t>
  </si>
  <si>
    <t>03/11/2019</t>
  </si>
  <si>
    <t>03/06/2019</t>
  </si>
  <si>
    <t>03/05/2019</t>
  </si>
  <si>
    <t>03/04/2019</t>
  </si>
  <si>
    <t>02/27/2019</t>
  </si>
  <si>
    <t>02/26/2019</t>
  </si>
  <si>
    <t>02/25/2019</t>
  </si>
  <si>
    <t>02/22/2019</t>
  </si>
  <si>
    <t>02/19/2019</t>
  </si>
  <si>
    <t>02/07/2019</t>
  </si>
  <si>
    <t>02/06/2019</t>
  </si>
  <si>
    <t>02/05/2019</t>
  </si>
  <si>
    <t>02/04/2019</t>
  </si>
  <si>
    <t>02/02/2019</t>
  </si>
  <si>
    <t>02/01/2019</t>
  </si>
  <si>
    <t>01/30/2019</t>
  </si>
  <si>
    <t>01/29/2019</t>
  </si>
  <si>
    <t>01/28/2019</t>
  </si>
  <si>
    <t>01/24/2019</t>
  </si>
  <si>
    <t>01/18/2019</t>
  </si>
  <si>
    <t>01/17/2019</t>
  </si>
  <si>
    <t>01/14/2019</t>
  </si>
  <si>
    <t>01/08/2019</t>
  </si>
  <si>
    <t>01/03/2019</t>
  </si>
  <si>
    <t>12/21/2018</t>
  </si>
  <si>
    <t>12/14/2018</t>
  </si>
  <si>
    <t>12/11/2018</t>
  </si>
  <si>
    <t>11/27/2018</t>
  </si>
  <si>
    <t>11/20/2018</t>
  </si>
  <si>
    <t>11/19/2018</t>
  </si>
  <si>
    <t>11/15/2018</t>
  </si>
  <si>
    <t>10/31/2018</t>
  </si>
  <si>
    <t>10/29/2018</t>
  </si>
  <si>
    <t>10/22/2018</t>
  </si>
  <si>
    <t>10/17/2018</t>
  </si>
  <si>
    <t>10/15/2018</t>
  </si>
  <si>
    <t>10/12/2018</t>
  </si>
  <si>
    <t>10/04/2018</t>
  </si>
  <si>
    <t>10/03/2018</t>
  </si>
  <si>
    <t>10/02/2018</t>
  </si>
  <si>
    <t>09/28/2018</t>
  </si>
  <si>
    <t>09/26/2018</t>
  </si>
  <si>
    <t>09/19/2018</t>
  </si>
  <si>
    <t>09/14/2018</t>
  </si>
  <si>
    <t>09/13/2018</t>
  </si>
  <si>
    <t>09/12/2018</t>
  </si>
  <si>
    <t>08/28/2018</t>
  </si>
  <si>
    <t>08/20/2018</t>
  </si>
  <si>
    <t>08/15/2018</t>
  </si>
  <si>
    <t>08/14/2018</t>
  </si>
  <si>
    <t>08/13/2018</t>
  </si>
  <si>
    <t>08/09/2018</t>
  </si>
  <si>
    <t>08/08/2018</t>
  </si>
  <si>
    <t>08/01/2018</t>
  </si>
  <si>
    <t>07/30/2018</t>
  </si>
  <si>
    <t>07/27/2018</t>
  </si>
  <si>
    <t>07/23/2018</t>
  </si>
  <si>
    <t>07/20/2018</t>
  </si>
  <si>
    <t>07/18/2018</t>
  </si>
  <si>
    <t>07/17/2018</t>
  </si>
  <si>
    <t>07/10/2018</t>
  </si>
  <si>
    <t>07/05/2018</t>
  </si>
  <si>
    <t>06/15/2018</t>
  </si>
  <si>
    <t>06/07/2018</t>
  </si>
  <si>
    <t>06/05/2018</t>
  </si>
  <si>
    <t>05/30/2018</t>
  </si>
  <si>
    <t>05/16/2018</t>
  </si>
  <si>
    <t>04/27/2018</t>
  </si>
  <si>
    <t>04/18/2018</t>
  </si>
  <si>
    <t>04/16/2018</t>
  </si>
  <si>
    <t>04/05/2018</t>
  </si>
  <si>
    <t>03/28/2018</t>
  </si>
  <si>
    <t>03/15/2018</t>
  </si>
  <si>
    <t>03/14/2018</t>
  </si>
  <si>
    <t>03/13/2018</t>
  </si>
  <si>
    <t>03/08/2018</t>
  </si>
  <si>
    <t>02/27/2018</t>
  </si>
  <si>
    <t>02/20/2018</t>
  </si>
  <si>
    <t>01/31/2018</t>
  </si>
  <si>
    <t>01/30/2018</t>
  </si>
  <si>
    <t>01/22/2018</t>
  </si>
  <si>
    <t>01/18/2018</t>
  </si>
  <si>
    <t>01/05/2018</t>
  </si>
  <si>
    <t>01/02/2018</t>
  </si>
  <si>
    <t>12/19/2017</t>
  </si>
  <si>
    <t>10/18/2017</t>
  </si>
  <si>
    <t>10/12/2017</t>
  </si>
  <si>
    <t>09/15/2017</t>
  </si>
  <si>
    <t>09/12/2017</t>
  </si>
  <si>
    <t>09/11/2017</t>
  </si>
  <si>
    <t>09/01/2017</t>
  </si>
  <si>
    <t>08/25/2017</t>
  </si>
  <si>
    <t>08/10/2017</t>
  </si>
  <si>
    <t>08/04/2017</t>
  </si>
  <si>
    <t>08/01/2017</t>
  </si>
  <si>
    <t>06/08/2017</t>
  </si>
  <si>
    <t>06/07/2017</t>
  </si>
  <si>
    <t>05/17/2017</t>
  </si>
  <si>
    <t>05/15/2017</t>
  </si>
  <si>
    <t>05/04/2017</t>
  </si>
  <si>
    <t>04/19/2017</t>
  </si>
  <si>
    <t>01/23/2017</t>
  </si>
  <si>
    <t>01/17/2017</t>
  </si>
  <si>
    <t>12/06/2016</t>
  </si>
  <si>
    <t>11/09/2016</t>
  </si>
  <si>
    <t>08/25/2016</t>
  </si>
  <si>
    <t>03/30/2016</t>
  </si>
  <si>
    <t>07/09/2015</t>
  </si>
  <si>
    <t>05/14/2014</t>
  </si>
  <si>
    <t>11/22/2019</t>
  </si>
  <si>
    <t>11/14/2019</t>
  </si>
  <si>
    <t>08/01/2019</t>
  </si>
  <si>
    <t>09/23/2019</t>
  </si>
  <si>
    <t>10/23/2019</t>
  </si>
  <si>
    <t>08/16/2019</t>
  </si>
  <si>
    <t>07/23/2019</t>
  </si>
  <si>
    <t>10/08/2019</t>
  </si>
  <si>
    <t>09/03/2019</t>
  </si>
  <si>
    <t>09/30/2019</t>
  </si>
  <si>
    <t>10/09/2019</t>
  </si>
  <si>
    <t>08/07/2019</t>
  </si>
  <si>
    <t>07/29/2019</t>
  </si>
  <si>
    <t>08/28/2019</t>
  </si>
  <si>
    <t>11/08/2019</t>
  </si>
  <si>
    <t>10/01/2019</t>
  </si>
  <si>
    <t>09/11/2019</t>
  </si>
  <si>
    <t>11/19/2019</t>
  </si>
  <si>
    <t>10/07/2019</t>
  </si>
  <si>
    <t>07/26/2019</t>
  </si>
  <si>
    <t>08/14/2019</t>
  </si>
  <si>
    <t>10/02/2019</t>
  </si>
  <si>
    <t>07/22/2019</t>
  </si>
  <si>
    <t>07/24/2019</t>
  </si>
  <si>
    <t>09/16/2019</t>
  </si>
  <si>
    <t>07/30/2019</t>
  </si>
  <si>
    <t>07/25/2019</t>
  </si>
  <si>
    <t>09/04/2019</t>
  </si>
  <si>
    <t>10/05/2019</t>
  </si>
  <si>
    <t>Attended Hearing</t>
  </si>
  <si>
    <t>Engaged with Agency/Congress</t>
  </si>
  <si>
    <t>Motion/Brief Prep or Filing</t>
  </si>
  <si>
    <t>Prepared Client for Hearing</t>
  </si>
  <si>
    <t>RFE/NOID Filing</t>
  </si>
  <si>
    <t>10/18/2019</t>
  </si>
  <si>
    <t>03/20/2020</t>
  </si>
  <si>
    <t>10/22/2019</t>
  </si>
  <si>
    <t>10/29/2019</t>
  </si>
  <si>
    <t>10/21/2019</t>
  </si>
  <si>
    <t>11/21/2019</t>
  </si>
  <si>
    <t>07/03/2019</t>
  </si>
  <si>
    <t>07/19/2019</t>
  </si>
  <si>
    <t>10/11/2019</t>
  </si>
  <si>
    <t>07/09/2019</t>
  </si>
  <si>
    <t>08/05/2019</t>
  </si>
  <si>
    <t>10/28/2019</t>
  </si>
  <si>
    <t>10/25/2019</t>
  </si>
  <si>
    <t>01/15/2020</t>
  </si>
  <si>
    <t>09/18/2019</t>
  </si>
  <si>
    <t>10/15/2019</t>
  </si>
  <si>
    <t>Active</t>
  </si>
  <si>
    <t>Closed</t>
  </si>
  <si>
    <t>Holding Open</t>
  </si>
  <si>
    <t>Ready to Close</t>
  </si>
  <si>
    <t>Awaiting Decision</t>
  </si>
  <si>
    <t>Assigned Pro Bono</t>
  </si>
  <si>
    <t>Intake Scheduled</t>
  </si>
  <si>
    <t>Awaiting Assignment</t>
  </si>
  <si>
    <t>Working</t>
  </si>
  <si>
    <t>3459 Immigrant Opportunities Initiative (IOI) #2 ("IOI 2")</t>
  </si>
  <si>
    <t>3473 IOI 3-Immigrant Youth</t>
  </si>
  <si>
    <t>80-89 Individual Rights</t>
  </si>
  <si>
    <t>40-49 Juvenile</t>
  </si>
  <si>
    <t>20-29 Employment</t>
  </si>
  <si>
    <t>30-39 Family</t>
  </si>
  <si>
    <t>Male</t>
  </si>
  <si>
    <t>Female</t>
  </si>
  <si>
    <t>Something Else</t>
  </si>
  <si>
    <t>Prefer Not To Say</t>
  </si>
  <si>
    <t>81 Immigration/Naturalization</t>
  </si>
  <si>
    <t>44 Minor Guardianship / Conservatorship</t>
  </si>
  <si>
    <t>22 Wage Claims and Other FLSA Issues</t>
  </si>
  <si>
    <t>34 Name Change</t>
  </si>
  <si>
    <t>39 Other Family</t>
  </si>
  <si>
    <t>I-751</t>
  </si>
  <si>
    <t>N-400</t>
  </si>
  <si>
    <t>Removal Defense</t>
  </si>
  <si>
    <t>I-589 Defensive</t>
  </si>
  <si>
    <t>I-765</t>
  </si>
  <si>
    <t>I-589 Affirmative</t>
  </si>
  <si>
    <t>G-639</t>
  </si>
  <si>
    <t>I-130</t>
  </si>
  <si>
    <t>I-485 Affirmative</t>
  </si>
  <si>
    <t>I-90</t>
  </si>
  <si>
    <t>I-290B  Motion to Reopen/Reconsider</t>
  </si>
  <si>
    <t>N-648</t>
  </si>
  <si>
    <t>I-192</t>
  </si>
  <si>
    <t>I-360 SIJS</t>
  </si>
  <si>
    <t>220 Wage/Hour Claims</t>
  </si>
  <si>
    <t>I-485 Defensive</t>
  </si>
  <si>
    <t>I-918</t>
  </si>
  <si>
    <t>N-565</t>
  </si>
  <si>
    <t>I-131 Refugee Travel Document</t>
  </si>
  <si>
    <t>340 Name Change</t>
  </si>
  <si>
    <t>I-360 VAWA Self-Petition</t>
  </si>
  <si>
    <t>I-290B AAO appeal</t>
  </si>
  <si>
    <t>I-918A</t>
  </si>
  <si>
    <t>N-336</t>
  </si>
  <si>
    <t>AOS I-130</t>
  </si>
  <si>
    <t>I-730</t>
  </si>
  <si>
    <t>DS-160</t>
  </si>
  <si>
    <t>I-864</t>
  </si>
  <si>
    <t>I-912</t>
  </si>
  <si>
    <t>I-290B</t>
  </si>
  <si>
    <t>I-485</t>
  </si>
  <si>
    <t>Polish</t>
  </si>
  <si>
    <t>Spanish</t>
  </si>
  <si>
    <t>English</t>
  </si>
  <si>
    <t>Zapotec</t>
  </si>
  <si>
    <t>Rumanian</t>
  </si>
  <si>
    <t>French Creole</t>
  </si>
  <si>
    <t>Russian</t>
  </si>
  <si>
    <t>Creole</t>
  </si>
  <si>
    <t>Mandarin</t>
  </si>
  <si>
    <t>Bengali</t>
  </si>
  <si>
    <t>French</t>
  </si>
  <si>
    <t>Other</t>
  </si>
  <si>
    <t>Piotr</t>
  </si>
  <si>
    <t>Luisa</t>
  </si>
  <si>
    <t>Belkyn</t>
  </si>
  <si>
    <t>Rosa</t>
  </si>
  <si>
    <t>Junior</t>
  </si>
  <si>
    <t>Carlos</t>
  </si>
  <si>
    <t>Monserath</t>
  </si>
  <si>
    <t>Keith</t>
  </si>
  <si>
    <t>Alejandro</t>
  </si>
  <si>
    <t>Rosena</t>
  </si>
  <si>
    <t>Milagros</t>
  </si>
  <si>
    <t>Derwain</t>
  </si>
  <si>
    <t>Armando</t>
  </si>
  <si>
    <t>Kenia</t>
  </si>
  <si>
    <t>Matthew</t>
  </si>
  <si>
    <t>Marioara</t>
  </si>
  <si>
    <t>Wilson</t>
  </si>
  <si>
    <t>Melrose</t>
  </si>
  <si>
    <t>Nancy</t>
  </si>
  <si>
    <t>Shellief</t>
  </si>
  <si>
    <t>Gleisy</t>
  </si>
  <si>
    <t>Claribel</t>
  </si>
  <si>
    <t>Rhonda</t>
  </si>
  <si>
    <t>Atish</t>
  </si>
  <si>
    <t>Nogah</t>
  </si>
  <si>
    <t>Maria</t>
  </si>
  <si>
    <t>Jahveena</t>
  </si>
  <si>
    <t>Michael</t>
  </si>
  <si>
    <t>Salena</t>
  </si>
  <si>
    <t>Nikko</t>
  </si>
  <si>
    <t>Yeimy</t>
  </si>
  <si>
    <t>Kilfor</t>
  </si>
  <si>
    <t>Mohammadnour</t>
  </si>
  <si>
    <t>Sajid</t>
  </si>
  <si>
    <t>Angelica</t>
  </si>
  <si>
    <t>Dereck</t>
  </si>
  <si>
    <t>Edvin</t>
  </si>
  <si>
    <t>Wilder</t>
  </si>
  <si>
    <t>Pedro</t>
  </si>
  <si>
    <t>Anastasia</t>
  </si>
  <si>
    <t>Alonzo</t>
  </si>
  <si>
    <t>Roman</t>
  </si>
  <si>
    <t>Sandra</t>
  </si>
  <si>
    <t>Jesus</t>
  </si>
  <si>
    <t>Cenatus</t>
  </si>
  <si>
    <t>Bryan</t>
  </si>
  <si>
    <t>Jeve</t>
  </si>
  <si>
    <t>Ana</t>
  </si>
  <si>
    <t>Almi</t>
  </si>
  <si>
    <t>Gabina</t>
  </si>
  <si>
    <t>LLoid</t>
  </si>
  <si>
    <t>Vannessa</t>
  </si>
  <si>
    <t>Cruz</t>
  </si>
  <si>
    <t>Qian</t>
  </si>
  <si>
    <t>Jose</t>
  </si>
  <si>
    <t>Carolina</t>
  </si>
  <si>
    <t>Ismael</t>
  </si>
  <si>
    <t>Igor</t>
  </si>
  <si>
    <t>Gabriel</t>
  </si>
  <si>
    <t>Isaiah</t>
  </si>
  <si>
    <t>Navino</t>
  </si>
  <si>
    <t>Tyrell</t>
  </si>
  <si>
    <t>Douglas</t>
  </si>
  <si>
    <t>Yamira</t>
  </si>
  <si>
    <t>Andrei</t>
  </si>
  <si>
    <t>Kayly</t>
  </si>
  <si>
    <t>Erika</t>
  </si>
  <si>
    <t>Mariia</t>
  </si>
  <si>
    <t>Mohamed</t>
  </si>
  <si>
    <t>Ender</t>
  </si>
  <si>
    <t>Ashley</t>
  </si>
  <si>
    <t>Benkada</t>
  </si>
  <si>
    <t>Mikhail</t>
  </si>
  <si>
    <t>John</t>
  </si>
  <si>
    <t>Lidia</t>
  </si>
  <si>
    <t>Cristhofer</t>
  </si>
  <si>
    <t>Jenielle</t>
  </si>
  <si>
    <t>Vakhtang</t>
  </si>
  <si>
    <t>Ignacio</t>
  </si>
  <si>
    <t>Samantha</t>
  </si>
  <si>
    <t>Yamilette</t>
  </si>
  <si>
    <t>Jorey</t>
  </si>
  <si>
    <t>Omolara</t>
  </si>
  <si>
    <t>Shawn</t>
  </si>
  <si>
    <t>Digna</t>
  </si>
  <si>
    <t>Fatoumata</t>
  </si>
  <si>
    <t>Sairi</t>
  </si>
  <si>
    <t>Rudolph</t>
  </si>
  <si>
    <t>Laila</t>
  </si>
  <si>
    <t>Andreina</t>
  </si>
  <si>
    <t>Karla</t>
  </si>
  <si>
    <t>Cinthia</t>
  </si>
  <si>
    <t>Vilma</t>
  </si>
  <si>
    <t>Reyna</t>
  </si>
  <si>
    <t>Kairos</t>
  </si>
  <si>
    <t>Dinia</t>
  </si>
  <si>
    <t>Suyapa</t>
  </si>
  <si>
    <t>Joseph</t>
  </si>
  <si>
    <t>Luis</t>
  </si>
  <si>
    <t>Jeison</t>
  </si>
  <si>
    <t>Boysie</t>
  </si>
  <si>
    <t>Walter</t>
  </si>
  <si>
    <t>Aleksandr</t>
  </si>
  <si>
    <t>Jonas</t>
  </si>
  <si>
    <t>Bagwattie</t>
  </si>
  <si>
    <t>Jorge</t>
  </si>
  <si>
    <t>Abu</t>
  </si>
  <si>
    <t>Rosario</t>
  </si>
  <si>
    <t>Betty</t>
  </si>
  <si>
    <t>Tino</t>
  </si>
  <si>
    <t>Mobassir</t>
  </si>
  <si>
    <t>Soma</t>
  </si>
  <si>
    <t>Althea Rollock</t>
  </si>
  <si>
    <t>Vicente</t>
  </si>
  <si>
    <t>Donald</t>
  </si>
  <si>
    <t>Johanna</t>
  </si>
  <si>
    <t>Tinuola</t>
  </si>
  <si>
    <t>Tiguidanke</t>
  </si>
  <si>
    <t>Danny</t>
  </si>
  <si>
    <t>Marilyn</t>
  </si>
  <si>
    <t>Denise</t>
  </si>
  <si>
    <t>Darwin</t>
  </si>
  <si>
    <t>Rustam</t>
  </si>
  <si>
    <t>Alexander</t>
  </si>
  <si>
    <t>Madina</t>
  </si>
  <si>
    <t>Jabokie</t>
  </si>
  <si>
    <t>Leslie</t>
  </si>
  <si>
    <t>Edinson</t>
  </si>
  <si>
    <t>Gustavo</t>
  </si>
  <si>
    <t>Curtis</t>
  </si>
  <si>
    <t>Erick</t>
  </si>
  <si>
    <t>Margaret</t>
  </si>
  <si>
    <t>Piklin</t>
  </si>
  <si>
    <t>Dawn</t>
  </si>
  <si>
    <t>Yessica</t>
  </si>
  <si>
    <t>Rose</t>
  </si>
  <si>
    <t>Blanca</t>
  </si>
  <si>
    <t>Raquel</t>
  </si>
  <si>
    <t>Noreen</t>
  </si>
  <si>
    <t>Marlene</t>
  </si>
  <si>
    <t>Tarek</t>
  </si>
  <si>
    <t>Kenneth</t>
  </si>
  <si>
    <t>Dane</t>
  </si>
  <si>
    <t>Roshannee</t>
  </si>
  <si>
    <t>Andrew</t>
  </si>
  <si>
    <t>Ranique</t>
  </si>
  <si>
    <t>Alejandra</t>
  </si>
  <si>
    <t>Emelia</t>
  </si>
  <si>
    <t>Germaine</t>
  </si>
  <si>
    <t>Maureen</t>
  </si>
  <si>
    <t>Nilcen</t>
  </si>
  <si>
    <t>Sevil</t>
  </si>
  <si>
    <t>Moneshwar</t>
  </si>
  <si>
    <t>Dmitry</t>
  </si>
  <si>
    <t>Conrado</t>
  </si>
  <si>
    <t>Herminia</t>
  </si>
  <si>
    <t>Emmanuel</t>
  </si>
  <si>
    <t>Keinda</t>
  </si>
  <si>
    <t>Jacqueline</t>
  </si>
  <si>
    <t>Guvanch</t>
  </si>
  <si>
    <t>Daniyar</t>
  </si>
  <si>
    <t>Maksim</t>
  </si>
  <si>
    <t>Sergei</t>
  </si>
  <si>
    <t>Kirill</t>
  </si>
  <si>
    <t>Yury</t>
  </si>
  <si>
    <t>Vadim</t>
  </si>
  <si>
    <t>Ilya</t>
  </si>
  <si>
    <t>Andrey</t>
  </si>
  <si>
    <t>James</t>
  </si>
  <si>
    <t>Jastrzebski</t>
  </si>
  <si>
    <t>Bernal</t>
  </si>
  <si>
    <t>Cardona-Urbina</t>
  </si>
  <si>
    <t>Aldana-Cardona</t>
  </si>
  <si>
    <t>Murillo</t>
  </si>
  <si>
    <t>Castellon Calderon</t>
  </si>
  <si>
    <t>Omoruyi</t>
  </si>
  <si>
    <t>Quintanilla</t>
  </si>
  <si>
    <t>Pariste</t>
  </si>
  <si>
    <t>Maguina</t>
  </si>
  <si>
    <t>Martin</t>
  </si>
  <si>
    <t>Perez Castro</t>
  </si>
  <si>
    <t>Goodwin</t>
  </si>
  <si>
    <t>Franke</t>
  </si>
  <si>
    <t>Lopez Perez</t>
  </si>
  <si>
    <t>Tracey</t>
  </si>
  <si>
    <t>Tzep Quiema</t>
  </si>
  <si>
    <t>Wright</t>
  </si>
  <si>
    <t>Pastor</t>
  </si>
  <si>
    <t>Gordon</t>
  </si>
  <si>
    <t>Cooper-Hurge</t>
  </si>
  <si>
    <t>Saha</t>
  </si>
  <si>
    <t>Saint Louis</t>
  </si>
  <si>
    <t>Hernandez Lozano</t>
  </si>
  <si>
    <t>Grant</t>
  </si>
  <si>
    <t>Powis</t>
  </si>
  <si>
    <t>Samlal</t>
  </si>
  <si>
    <t>Guedez</t>
  </si>
  <si>
    <t>Portillo Valdez</t>
  </si>
  <si>
    <t>Sosa Bernabez</t>
  </si>
  <si>
    <t>Husban Issa Husban</t>
  </si>
  <si>
    <t>Wraich</t>
  </si>
  <si>
    <t>Caceres Ortiz</t>
  </si>
  <si>
    <t>Callejas Escobar</t>
  </si>
  <si>
    <t>Vela Chiche</t>
  </si>
  <si>
    <t>Guerra Robles</t>
  </si>
  <si>
    <t>Gomez</t>
  </si>
  <si>
    <t>Kormyletskaya</t>
  </si>
  <si>
    <t>Ixtos Ortiz</t>
  </si>
  <si>
    <t>Bergman</t>
  </si>
  <si>
    <t>Arias Rodas</t>
  </si>
  <si>
    <t>Wisner</t>
  </si>
  <si>
    <t>Guzman</t>
  </si>
  <si>
    <t>Heath</t>
  </si>
  <si>
    <t>Domingo Sebastian</t>
  </si>
  <si>
    <t>Diaz</t>
  </si>
  <si>
    <t>Marte Tejeda</t>
  </si>
  <si>
    <t>Osorio Andino</t>
  </si>
  <si>
    <t>Ramirez Candia</t>
  </si>
  <si>
    <t>Alcocer</t>
  </si>
  <si>
    <t>Lin</t>
  </si>
  <si>
    <t>Herrera Rodas</t>
  </si>
  <si>
    <t>Castilla</t>
  </si>
  <si>
    <t>Cupil Istazuy</t>
  </si>
  <si>
    <t>Calel Hernandez</t>
  </si>
  <si>
    <t>Prokhorko</t>
  </si>
  <si>
    <t>Medor</t>
  </si>
  <si>
    <t>Francis</t>
  </si>
  <si>
    <t>Mohammed</t>
  </si>
  <si>
    <t>Sween</t>
  </si>
  <si>
    <t>Blanco Baptista</t>
  </si>
  <si>
    <t>Gibson</t>
  </si>
  <si>
    <t>Kosenkov</t>
  </si>
  <si>
    <t>Rosemberg</t>
  </si>
  <si>
    <t>Otavalo</t>
  </si>
  <si>
    <t>Mikhailova</t>
  </si>
  <si>
    <t>Elazab</t>
  </si>
  <si>
    <t>Cuello Avila</t>
  </si>
  <si>
    <t>Guevara</t>
  </si>
  <si>
    <t>Murashov</t>
  </si>
  <si>
    <t>Bonnet</t>
  </si>
  <si>
    <t>Ambrocio Chic</t>
  </si>
  <si>
    <t>Chic Hernandez</t>
  </si>
  <si>
    <t>Ochoa Chic</t>
  </si>
  <si>
    <t>Mann</t>
  </si>
  <si>
    <t>Urushadze</t>
  </si>
  <si>
    <t>Taveras</t>
  </si>
  <si>
    <t>Pineyro Rodriguez</t>
  </si>
  <si>
    <t>Lindo</t>
  </si>
  <si>
    <t>Snyder</t>
  </si>
  <si>
    <t>Opasina</t>
  </si>
  <si>
    <t>Edmund</t>
  </si>
  <si>
    <t>Gutierrez Fernandez</t>
  </si>
  <si>
    <t>Saidykhan</t>
  </si>
  <si>
    <t>Martinez Casildo</t>
  </si>
  <si>
    <t>Quashie</t>
  </si>
  <si>
    <t>Sadni</t>
  </si>
  <si>
    <t>Hernandez</t>
  </si>
  <si>
    <t>Lopez Ramirez</t>
  </si>
  <si>
    <t>Bernardez Zapata</t>
  </si>
  <si>
    <t>Guachiac</t>
  </si>
  <si>
    <t>Cortes Reyes</t>
  </si>
  <si>
    <t>Marin Gonzalez</t>
  </si>
  <si>
    <t>Robles Portillo</t>
  </si>
  <si>
    <t>Wasembeck</t>
  </si>
  <si>
    <t>Lopez Lecaros</t>
  </si>
  <si>
    <t>Perez</t>
  </si>
  <si>
    <t>Narine</t>
  </si>
  <si>
    <t>Guerrero</t>
  </si>
  <si>
    <t>Chagdurov</t>
  </si>
  <si>
    <t>Ramirez</t>
  </si>
  <si>
    <t>Sewsankar</t>
  </si>
  <si>
    <t>Todd</t>
  </si>
  <si>
    <t>Taher</t>
  </si>
  <si>
    <t>Castro</t>
  </si>
  <si>
    <t>Eugene</t>
  </si>
  <si>
    <t>Valencia</t>
  </si>
  <si>
    <t>Williams</t>
  </si>
  <si>
    <t>Bhuiyan</t>
  </si>
  <si>
    <t>Das</t>
  </si>
  <si>
    <t>Bucup Calel</t>
  </si>
  <si>
    <t>Bernard</t>
  </si>
  <si>
    <t>Colon</t>
  </si>
  <si>
    <t>Tinuade</t>
  </si>
  <si>
    <t>Diallo</t>
  </si>
  <si>
    <t>Mejia</t>
  </si>
  <si>
    <t>Payano Diaz</t>
  </si>
  <si>
    <t>Rivero</t>
  </si>
  <si>
    <t>Peterson</t>
  </si>
  <si>
    <t>Da Silva</t>
  </si>
  <si>
    <t>Alikulov</t>
  </si>
  <si>
    <t>Pleshkanev</t>
  </si>
  <si>
    <t>Zhalgas</t>
  </si>
  <si>
    <t>Zapata Ballesteros</t>
  </si>
  <si>
    <t>Mattis</t>
  </si>
  <si>
    <t>Farez</t>
  </si>
  <si>
    <t>Blanco Ortiz</t>
  </si>
  <si>
    <t>Martinez Gutierrez</t>
  </si>
  <si>
    <t>Diamond</t>
  </si>
  <si>
    <t>Simon (Jeremiah HAYNES)</t>
  </si>
  <si>
    <t>Simon (Jada HAYNES)</t>
  </si>
  <si>
    <t>Simon (Jameisha HAYNES)</t>
  </si>
  <si>
    <t>Perez Vicente</t>
  </si>
  <si>
    <t>Forbes</t>
  </si>
  <si>
    <t>Charles</t>
  </si>
  <si>
    <t>Levy</t>
  </si>
  <si>
    <t>Perechu Tzep</t>
  </si>
  <si>
    <t>Baptiste</t>
  </si>
  <si>
    <t>Nieto Duque</t>
  </si>
  <si>
    <t>Medina</t>
  </si>
  <si>
    <t>Cameron</t>
  </si>
  <si>
    <t>Dorlice</t>
  </si>
  <si>
    <t>Ahmed</t>
  </si>
  <si>
    <t>Mullings</t>
  </si>
  <si>
    <t>Harris</t>
  </si>
  <si>
    <t>Nicholson</t>
  </si>
  <si>
    <t>Johnson</t>
  </si>
  <si>
    <t>Dominguez</t>
  </si>
  <si>
    <t>Torres</t>
  </si>
  <si>
    <t>Chery</t>
  </si>
  <si>
    <t>Archer</t>
  </si>
  <si>
    <t>Irias</t>
  </si>
  <si>
    <t>Lyuman</t>
  </si>
  <si>
    <t>Rambarrack</t>
  </si>
  <si>
    <t>Shefild</t>
  </si>
  <si>
    <t>Bowen-Ellis</t>
  </si>
  <si>
    <t>Velasquez</t>
  </si>
  <si>
    <t>Neya</t>
  </si>
  <si>
    <t>Chiche</t>
  </si>
  <si>
    <t>Steele</t>
  </si>
  <si>
    <t>Nimbabaje</t>
  </si>
  <si>
    <t>Agajumayev</t>
  </si>
  <si>
    <t>Ualiyev</t>
  </si>
  <si>
    <t>Zhuravlev</t>
  </si>
  <si>
    <t>Latyshev</t>
  </si>
  <si>
    <t>Luzin</t>
  </si>
  <si>
    <t>Escobar</t>
  </si>
  <si>
    <t>Esin</t>
  </si>
  <si>
    <t>Lachugin</t>
  </si>
  <si>
    <t>Malakhov</t>
  </si>
  <si>
    <t>Kiselev</t>
  </si>
  <si>
    <t>Pleshkov</t>
  </si>
  <si>
    <t>Estime</t>
  </si>
  <si>
    <t>Sanango Chabla</t>
  </si>
  <si>
    <t>Non-Citizen</t>
  </si>
  <si>
    <t>Citizen</t>
  </si>
  <si>
    <t>Lawful Permanent Resident (LPR)</t>
  </si>
  <si>
    <t>Victim/Survivor of battery,extreme cruelty,or sexual assault (including domestic / family / intimate partner violence)</t>
  </si>
  <si>
    <t>Victim of Criminal Activity (eligible for U Visa)</t>
  </si>
  <si>
    <t>Parent of victim of criminal activity (eligible for U Visa)- (victim must be under 21)</t>
  </si>
  <si>
    <t>Spouse or children of victim of criminal activity/U Visa eligible applicant</t>
  </si>
  <si>
    <t>Married to US Citizen-with pending or approved adjustment of status (greencard) application</t>
  </si>
  <si>
    <t>Asylee</t>
  </si>
  <si>
    <t>Parent of minor victim / survivor of battery, extreme cruelty, or sexual assault (incluing domestic / intimate partner violence)</t>
  </si>
  <si>
    <t>Refugee</t>
  </si>
  <si>
    <t>Parent of US Citizen with a pending or approved adjustment of status (greencard) application</t>
  </si>
  <si>
    <t>Victim of Trafficking  (18 and over)</t>
  </si>
  <si>
    <t>Domestic Violence (with Related Case)</t>
  </si>
  <si>
    <t>Unable to determine</t>
  </si>
  <si>
    <t>IA - Uncontested Court Decision</t>
  </si>
  <si>
    <t>B - Limited Action (Brief Service)</t>
  </si>
  <si>
    <t>H - Administrative Agency Decision</t>
  </si>
  <si>
    <t>A - Counsel and Advice</t>
  </si>
  <si>
    <t>IB - Contested Court Decision</t>
  </si>
  <si>
    <t>L - Extensive Service (not resulting in Settlement of Court or Administrative Action)</t>
  </si>
  <si>
    <t>Representation - Admin. Agency</t>
  </si>
  <si>
    <t>Representation - State Court</t>
  </si>
  <si>
    <t>Hold For Review</t>
  </si>
  <si>
    <t>Representation—EOIR</t>
  </si>
  <si>
    <t>Brief Service</t>
  </si>
  <si>
    <t>Advice</t>
  </si>
  <si>
    <t>Out-of-Court Advocacy</t>
  </si>
  <si>
    <t>Representation - Federal Court</t>
  </si>
  <si>
    <t>Action NY</t>
  </si>
  <si>
    <t>Poland</t>
  </si>
  <si>
    <t>Mexico</t>
  </si>
  <si>
    <t>Honduras</t>
  </si>
  <si>
    <t>Canada</t>
  </si>
  <si>
    <t>El Salvador</t>
  </si>
  <si>
    <t>Haiti</t>
  </si>
  <si>
    <t>Peru</t>
  </si>
  <si>
    <t>Jamaica</t>
  </si>
  <si>
    <t>Romania</t>
  </si>
  <si>
    <t>Guatemala</t>
  </si>
  <si>
    <t>Grenada</t>
  </si>
  <si>
    <t>Bangladesh</t>
  </si>
  <si>
    <t>Trinidad &amp; Tobago</t>
  </si>
  <si>
    <t>Venezuela</t>
  </si>
  <si>
    <t>Jordan</t>
  </si>
  <si>
    <t>Colombia</t>
  </si>
  <si>
    <t>Russia</t>
  </si>
  <si>
    <t>Ecuador</t>
  </si>
  <si>
    <t>Dominican Republic</t>
  </si>
  <si>
    <t>China</t>
  </si>
  <si>
    <t>Trinidad and Tobago</t>
  </si>
  <si>
    <t>Panama</t>
  </si>
  <si>
    <t>Egypt</t>
  </si>
  <si>
    <t>Algeria</t>
  </si>
  <si>
    <t>USSR (former)</t>
  </si>
  <si>
    <t>Barbados</t>
  </si>
  <si>
    <t>Georgia</t>
  </si>
  <si>
    <t>Nicaragua</t>
  </si>
  <si>
    <t>United States of America</t>
  </si>
  <si>
    <t>Nigeria</t>
  </si>
  <si>
    <t>Gambia</t>
  </si>
  <si>
    <t>Netherlands Antilles</t>
  </si>
  <si>
    <t>Morocco</t>
  </si>
  <si>
    <t>Guyana</t>
  </si>
  <si>
    <t>Cuba</t>
  </si>
  <si>
    <t>Guinea</t>
  </si>
  <si>
    <t>Kazakhstan</t>
  </si>
  <si>
    <t>Belize</t>
  </si>
  <si>
    <t>Burkina Faso</t>
  </si>
  <si>
    <t>Burundi</t>
  </si>
  <si>
    <t>Turkmenistan</t>
  </si>
  <si>
    <t>Application Submitted</t>
  </si>
  <si>
    <t>Inquiry Submitted</t>
  </si>
  <si>
    <t>Advice Given</t>
  </si>
  <si>
    <t>Application Granted</t>
  </si>
  <si>
    <t>Complaint Submitted</t>
  </si>
  <si>
    <t>Decided by Presiding Court/Tribunal-APPROVED</t>
  </si>
  <si>
    <t>Client withdrew/did not return</t>
  </si>
  <si>
    <t>Application Rejected</t>
  </si>
  <si>
    <t>11/18/2019</t>
  </si>
  <si>
    <t>11/26/2019</t>
  </si>
  <si>
    <t>06/14/2019</t>
  </si>
  <si>
    <t>05/29/2019</t>
  </si>
  <si>
    <t>05/24/2019</t>
  </si>
  <si>
    <t>03/28/2019</t>
  </si>
  <si>
    <t>05/14/2019</t>
  </si>
  <si>
    <t>04/01/2019</t>
  </si>
  <si>
    <t>03/29/2019</t>
  </si>
  <si>
    <t>03/12/2019</t>
  </si>
  <si>
    <t>03/07/2019</t>
  </si>
  <si>
    <t>07/15/2019</t>
  </si>
  <si>
    <t>10/17/2019</t>
  </si>
  <si>
    <t>02/12/2019</t>
  </si>
  <si>
    <t>05/16/2019</t>
  </si>
  <si>
    <t>11/05/2018</t>
  </si>
  <si>
    <t>04/10/2019</t>
  </si>
  <si>
    <t>05/01/2019</t>
  </si>
  <si>
    <t>11/13/2018</t>
  </si>
  <si>
    <t>04/16/2019</t>
  </si>
  <si>
    <t>08/08/2019</t>
  </si>
  <si>
    <t>05/21/2019</t>
  </si>
  <si>
    <t>07/17/2019</t>
  </si>
  <si>
    <t>09/13/2019</t>
  </si>
  <si>
    <t>05/20/2019</t>
  </si>
  <si>
    <t>09/05/2018</t>
  </si>
  <si>
    <t>04/03/2019</t>
  </si>
  <si>
    <t>08/27/2019</t>
  </si>
  <si>
    <t>05/07/2018</t>
  </si>
  <si>
    <t>05/24/2018</t>
  </si>
  <si>
    <t>04/17/2018</t>
  </si>
  <si>
    <t>11/08/2018</t>
  </si>
  <si>
    <t>03/14/2019</t>
  </si>
  <si>
    <t>03/20/2018</t>
  </si>
  <si>
    <t>03/26/2018</t>
  </si>
  <si>
    <t>06/29/2018</t>
  </si>
  <si>
    <t>03/07/2018</t>
  </si>
  <si>
    <t>09/10/2018</t>
  </si>
  <si>
    <t>01/23/2018</t>
  </si>
  <si>
    <t>04/29/2019</t>
  </si>
  <si>
    <t>03/01/2019</t>
  </si>
  <si>
    <t>10/23/2017</t>
  </si>
  <si>
    <t>12/15/2018</t>
  </si>
  <si>
    <t>08/07/2017</t>
  </si>
  <si>
    <t>09/06/2017</t>
  </si>
  <si>
    <t>01/12/2017</t>
  </si>
  <si>
    <t>02/02/2017</t>
  </si>
  <si>
    <t>03/10/2017</t>
  </si>
  <si>
    <t>07/03/2018</t>
  </si>
  <si>
    <t>05/23/2019</t>
  </si>
  <si>
    <t>09/24/2019</t>
  </si>
  <si>
    <t>11019-Obtained Family Court declaration that undocumented minor is abused, neglected or abandoned (initial step for adjustment of legal status based on Special Immigrant Juvenile)</t>
  </si>
  <si>
    <t>11020-Obtained advice &amp; counsel on an immigration matter</t>
  </si>
  <si>
    <t>ZZ-Client Withdrew—For ZZ Adm Closed Reason Closed Cases Only</t>
  </si>
  <si>
    <t>11008-Obtained adjustment of legal status: VAWA based relief (e.g., U Visa, T Visa, VAWA self petition, VAWA Cancellation)</t>
  </si>
  <si>
    <t>11012-Obtained employment authorization (without obtaining other legal relief. Including non-immigrant status, at the same time)</t>
  </si>
  <si>
    <t>11021-Obtained non-litigation advocacy services on an Immigration Matter</t>
  </si>
  <si>
    <t>11013-Otained other immigration benefit (e.g. replaced or renewed green card, renewed or extended non-immigrant status)</t>
  </si>
  <si>
    <t>11005-Immigrant obtained persecution based relief (asylum, withholding, CAT)</t>
  </si>
  <si>
    <t>3024-Obtained guardianship or conservatorship</t>
  </si>
  <si>
    <t>11009-Obtained adjustment of legal status: Special Immigrant Juvenile</t>
  </si>
  <si>
    <t>11004-Immigrant obtained citizenship</t>
  </si>
  <si>
    <t>11007-Obtained adjustment of legal status: asylee or refugee based relief</t>
  </si>
  <si>
    <t>11006-Obtained adjustment of legal status: family Based relief</t>
  </si>
  <si>
    <t>9003-Obtained name change</t>
  </si>
  <si>
    <t>11018-Obtained non-immigrant status: Other</t>
  </si>
  <si>
    <t>3020-Obtained non-litigation advocacy services on a Family matter</t>
  </si>
  <si>
    <t>11024-Provided full representation in an Immigration matter, but no legal benefit achieved for the client</t>
  </si>
  <si>
    <t>11001-Teminated or administratively closed EOIR proceeding, regardless of whether immigrant had been detained (regardless of whether obtaining other legal relief at the same time)</t>
  </si>
  <si>
    <t>11016-Obtained non-immigrant status: U Visa and T Visa</t>
  </si>
  <si>
    <t>Success</t>
  </si>
  <si>
    <t>Client Withdrew</t>
  </si>
  <si>
    <t>Mixed Result</t>
  </si>
  <si>
    <t>Loss</t>
  </si>
  <si>
    <t>Fifth Avenue Committee</t>
  </si>
  <si>
    <t>Good Shepherd Services-Park Slope</t>
  </si>
  <si>
    <t>Restoration-Single Stop</t>
  </si>
  <si>
    <t>Court - Brooklyn</t>
  </si>
  <si>
    <t>Good Shepherd Services-Groundworks</t>
  </si>
  <si>
    <t>Outreach Event</t>
  </si>
  <si>
    <t>FJC - Queens</t>
  </si>
  <si>
    <t>Callen-Lorde</t>
  </si>
  <si>
    <t>Open</t>
  </si>
  <si>
    <t>09/30/1981</t>
  </si>
  <si>
    <t>08/19/1961</t>
  </si>
  <si>
    <t>01/09/1990</t>
  </si>
  <si>
    <t>06/14/2012</t>
  </si>
  <si>
    <t>08/02/2000</t>
  </si>
  <si>
    <t>05/24/2003</t>
  </si>
  <si>
    <t>10/26/1998</t>
  </si>
  <si>
    <t>10/14/1991</t>
  </si>
  <si>
    <t>01/22/2002</t>
  </si>
  <si>
    <t>08/23/1980</t>
  </si>
  <si>
    <t>11/05/1986</t>
  </si>
  <si>
    <t>02/27/1980</t>
  </si>
  <si>
    <t>01/11/1994</t>
  </si>
  <si>
    <t>01/24/1975</t>
  </si>
  <si>
    <t>10/26/1999</t>
  </si>
  <si>
    <t>08/10/1956</t>
  </si>
  <si>
    <t>05/28/1999</t>
  </si>
  <si>
    <t>02/13/1965</t>
  </si>
  <si>
    <t>06/24/1996</t>
  </si>
  <si>
    <t>03/28/1980</t>
  </si>
  <si>
    <t>04/26/1986</t>
  </si>
  <si>
    <t>07/17/1978</t>
  </si>
  <si>
    <t>10/11/1975</t>
  </si>
  <si>
    <t>03/12/1990</t>
  </si>
  <si>
    <t>10/31/1967</t>
  </si>
  <si>
    <t>07/19/1996</t>
  </si>
  <si>
    <t>10/20/2002</t>
  </si>
  <si>
    <t>06/29/1955</t>
  </si>
  <si>
    <t>05/20/1976</t>
  </si>
  <si>
    <t>05/05/1989</t>
  </si>
  <si>
    <t>09/16/1992</t>
  </si>
  <si>
    <t>11/27/2001</t>
  </si>
  <si>
    <t>08/28/1992</t>
  </si>
  <si>
    <t>01/10/1964</t>
  </si>
  <si>
    <t>08/27/1995</t>
  </si>
  <si>
    <t>02/12/2015</t>
  </si>
  <si>
    <t>04/19/2010</t>
  </si>
  <si>
    <t>01/11/2004</t>
  </si>
  <si>
    <t>11/26/1982</t>
  </si>
  <si>
    <t>05/03/1994</t>
  </si>
  <si>
    <t>06/15/1998</t>
  </si>
  <si>
    <t>12/04/1978</t>
  </si>
  <si>
    <t>10/07/1993</t>
  </si>
  <si>
    <t>02/22/2014</t>
  </si>
  <si>
    <t>12/26/1985</t>
  </si>
  <si>
    <t>06/15/2000</t>
  </si>
  <si>
    <t>10/28/1993</t>
  </si>
  <si>
    <t>03/15/1987</t>
  </si>
  <si>
    <t>01/08/2016</t>
  </si>
  <si>
    <t>04/12/1979</t>
  </si>
  <si>
    <t>02/18/1988</t>
  </si>
  <si>
    <t>02/05/2012</t>
  </si>
  <si>
    <t>01/27/1985</t>
  </si>
  <si>
    <t>05/03/1975</t>
  </si>
  <si>
    <t>10/20/1996</t>
  </si>
  <si>
    <t>02/08/1997</t>
  </si>
  <si>
    <t>02/07/1990</t>
  </si>
  <si>
    <t>06/07/1969</t>
  </si>
  <si>
    <t>10/15/1996</t>
  </si>
  <si>
    <t>05/23/2001</t>
  </si>
  <si>
    <t>04/29/1994</t>
  </si>
  <si>
    <t>12/10/1980</t>
  </si>
  <si>
    <t>12/01/1975</t>
  </si>
  <si>
    <t>03/13/1977</t>
  </si>
  <si>
    <t>05/07/1982</t>
  </si>
  <si>
    <t>09/24/1987</t>
  </si>
  <si>
    <t>10/27/1965</t>
  </si>
  <si>
    <t>05/19/1988</t>
  </si>
  <si>
    <t>12/03/1980</t>
  </si>
  <si>
    <t>01/25/1988</t>
  </si>
  <si>
    <t>02/22/1988</t>
  </si>
  <si>
    <t>08/18/1997</t>
  </si>
  <si>
    <t>01/27/1983</t>
  </si>
  <si>
    <t>07/17/1983</t>
  </si>
  <si>
    <t>02/27/1981</t>
  </si>
  <si>
    <t>11/24/1989</t>
  </si>
  <si>
    <t>03/07/1961</t>
  </si>
  <si>
    <t>08/09/2014</t>
  </si>
  <si>
    <t>02/24/1992</t>
  </si>
  <si>
    <t>07/21/2010</t>
  </si>
  <si>
    <t>03/12/1981</t>
  </si>
  <si>
    <t>03/08/1983</t>
  </si>
  <si>
    <t>07/07/1960</t>
  </si>
  <si>
    <t>06/02/1993</t>
  </si>
  <si>
    <t>02/12/1971</t>
  </si>
  <si>
    <t>06/24/1991</t>
  </si>
  <si>
    <t>11/09/1977</t>
  </si>
  <si>
    <t>08/20/1981</t>
  </si>
  <si>
    <t>07/21/1992</t>
  </si>
  <si>
    <t>11/15/1988</t>
  </si>
  <si>
    <t>09/09/1995</t>
  </si>
  <si>
    <t>03/15/1949</t>
  </si>
  <si>
    <t>09/27/1963</t>
  </si>
  <si>
    <t>05/08/1985</t>
  </si>
  <si>
    <t>04/06/2005</t>
  </si>
  <si>
    <t>12/07/2002</t>
  </si>
  <si>
    <t>03/08/2004</t>
  </si>
  <si>
    <t>11/05/1991</t>
  </si>
  <si>
    <t>07/31/1997</t>
  </si>
  <si>
    <t>12/17/1994</t>
  </si>
  <si>
    <t>11/02/1983</t>
  </si>
  <si>
    <t>11/29/1943</t>
  </si>
  <si>
    <t>11/19/1965</t>
  </si>
  <si>
    <t>10/10/1991</t>
  </si>
  <si>
    <t>10/11/1955</t>
  </si>
  <si>
    <t>10/17/1953</t>
  </si>
  <si>
    <t>05/10/1987</t>
  </si>
  <si>
    <t>04/22/1983</t>
  </si>
  <si>
    <t>01/19/1982</t>
  </si>
  <si>
    <t>04/23/1954</t>
  </si>
  <si>
    <t>08/02/1975</t>
  </si>
  <si>
    <t>10/06/1984</t>
  </si>
  <si>
    <t>08/25/1947</t>
  </si>
  <si>
    <t>02/28/1973</t>
  </si>
  <si>
    <t>07/22/1968</t>
  </si>
  <si>
    <t>09/30/1998</t>
  </si>
  <si>
    <t>06/22/1994</t>
  </si>
  <si>
    <t>05/10/1983</t>
  </si>
  <si>
    <t>04/24/1972</t>
  </si>
  <si>
    <t>09/23/2000</t>
  </si>
  <si>
    <t>11/20/1974</t>
  </si>
  <si>
    <t>04/27/1988</t>
  </si>
  <si>
    <t>03/13/1981</t>
  </si>
  <si>
    <t>12/17/1992</t>
  </si>
  <si>
    <t>12/29/1982</t>
  </si>
  <si>
    <t>10/28/1965</t>
  </si>
  <si>
    <t>02/28/1986</t>
  </si>
  <si>
    <t>03/28/1962</t>
  </si>
  <si>
    <t>11/18/1990</t>
  </si>
  <si>
    <t>11/16/1986</t>
  </si>
  <si>
    <t>02/02/1992</t>
  </si>
  <si>
    <t>03/19/1994</t>
  </si>
  <si>
    <t>06/29/1980</t>
  </si>
  <si>
    <t>09/23/1982</t>
  </si>
  <si>
    <t>02/11/2004</t>
  </si>
  <si>
    <t>02/09/1979</t>
  </si>
  <si>
    <t>05/29/1983</t>
  </si>
  <si>
    <t>07/09/1967</t>
  </si>
  <si>
    <t>10/06/1982</t>
  </si>
  <si>
    <t>12/06/2000</t>
  </si>
  <si>
    <t>10/22/2002</t>
  </si>
  <si>
    <t>01/22/1968</t>
  </si>
  <si>
    <t>11/05/1977</t>
  </si>
  <si>
    <t>10/05/1955</t>
  </si>
  <si>
    <t>01/09/2012</t>
  </si>
  <si>
    <t>04/25/1983</t>
  </si>
  <si>
    <t>07/24/1956</t>
  </si>
  <si>
    <t>05/21/1964</t>
  </si>
  <si>
    <t>08/26/1970</t>
  </si>
  <si>
    <t>09/19/1985</t>
  </si>
  <si>
    <t>03/12/1986</t>
  </si>
  <si>
    <t>06/13/1957</t>
  </si>
  <si>
    <t>12/12/1976</t>
  </si>
  <si>
    <t>11/18/1987</t>
  </si>
  <si>
    <t>08/11/1990</t>
  </si>
  <si>
    <t>11/16/1999</t>
  </si>
  <si>
    <t>01/23/1984</t>
  </si>
  <si>
    <t>11/14/1951</t>
  </si>
  <si>
    <t>07/08/1948</t>
  </si>
  <si>
    <t>10/16/1945</t>
  </si>
  <si>
    <t>03/15/1990</t>
  </si>
  <si>
    <t>06/20/1986</t>
  </si>
  <si>
    <t>02/01/1994</t>
  </si>
  <si>
    <t>04/14/1991</t>
  </si>
  <si>
    <t>04/20/1961</t>
  </si>
  <si>
    <t>06/30/1952</t>
  </si>
  <si>
    <t>04/10/1970</t>
  </si>
  <si>
    <t>09/11/1992</t>
  </si>
  <si>
    <t>08/01/1989</t>
  </si>
  <si>
    <t>12/05/1956</t>
  </si>
  <si>
    <t>05/20/1995</t>
  </si>
  <si>
    <t>05/27/1986</t>
  </si>
  <si>
    <t>04/10/1989</t>
  </si>
  <si>
    <t>09/27/1984</t>
  </si>
  <si>
    <t>05/06/1990</t>
  </si>
  <si>
    <t>06/12/1991</t>
  </si>
  <si>
    <t>08/03/1994</t>
  </si>
  <si>
    <t>06/10/1987</t>
  </si>
  <si>
    <t>04/21/1997</t>
  </si>
  <si>
    <t>02/05/1987</t>
  </si>
  <si>
    <t>02/16/1979</t>
  </si>
  <si>
    <t>08/19/1982</t>
  </si>
  <si>
    <t>$60,000.00</t>
  </si>
  <si>
    <t>$0.00</t>
  </si>
  <si>
    <t>$23,400.00</t>
  </si>
  <si>
    <t>$9,252.00</t>
  </si>
  <si>
    <t>$45,240.00</t>
  </si>
  <si>
    <t>$20,000.00</t>
  </si>
  <si>
    <t>$20,200.00</t>
  </si>
  <si>
    <t>$14,400.00</t>
  </si>
  <si>
    <t>$31,200.00</t>
  </si>
  <si>
    <t>$45,652.00</t>
  </si>
  <si>
    <t>$200.00</t>
  </si>
  <si>
    <t>$4,512.00</t>
  </si>
  <si>
    <t>$5,200.00</t>
  </si>
  <si>
    <t>$24,000.00</t>
  </si>
  <si>
    <t>$18,200.00</t>
  </si>
  <si>
    <t>$20,800.00</t>
  </si>
  <si>
    <t>$17,888.00</t>
  </si>
  <si>
    <t>$2,000.00</t>
  </si>
  <si>
    <t>$13,000.00</t>
  </si>
  <si>
    <t>$32,800.00</t>
  </si>
  <si>
    <t>$6,000.00</t>
  </si>
  <si>
    <t>$12,000.00</t>
  </si>
  <si>
    <t>$10,000.00</t>
  </si>
  <si>
    <t>$4,000.00</t>
  </si>
  <si>
    <t>$15,600.00</t>
  </si>
  <si>
    <t>$65,000.00</t>
  </si>
  <si>
    <t>$30,000.00</t>
  </si>
  <si>
    <t>$39,000.00</t>
  </si>
  <si>
    <t>$25,000.00</t>
  </si>
  <si>
    <t>$16,320.00</t>
  </si>
  <si>
    <t>$24,700.00</t>
  </si>
  <si>
    <t>$33,000.00</t>
  </si>
  <si>
    <t>$5,400.00</t>
  </si>
  <si>
    <t>$26,000.00</t>
  </si>
  <si>
    <t>$9,600.00</t>
  </si>
  <si>
    <t>$49,800.00</t>
  </si>
  <si>
    <t>$1,100.00</t>
  </si>
  <si>
    <t>$27,000.00</t>
  </si>
  <si>
    <t>$31,320.00</t>
  </si>
  <si>
    <t>$17,520.00</t>
  </si>
  <si>
    <t>$540.00</t>
  </si>
  <si>
    <t>$21,294.00</t>
  </si>
  <si>
    <t>$4,992.00</t>
  </si>
  <si>
    <t>$18,000.00</t>
  </si>
  <si>
    <t>$3,120.00</t>
  </si>
  <si>
    <t>$2,400.00</t>
  </si>
  <si>
    <t>$4,888.00</t>
  </si>
  <si>
    <t>$10,300.00</t>
  </si>
  <si>
    <t>$47,954.00</t>
  </si>
  <si>
    <t>$1,200.00</t>
  </si>
  <si>
    <t>$14,924.00</t>
  </si>
  <si>
    <t>$18,694.00</t>
  </si>
  <si>
    <t>$13,200.00</t>
  </si>
  <si>
    <t>$4,628.00</t>
  </si>
  <si>
    <t>$20,540.00</t>
  </si>
  <si>
    <t>$10,400.00</t>
  </si>
  <si>
    <t>$19,292.00</t>
  </si>
  <si>
    <t>$41,000.00</t>
  </si>
  <si>
    <t>$16,596.00</t>
  </si>
  <si>
    <t>$6,240.00</t>
  </si>
  <si>
    <t>$2,760.00</t>
  </si>
  <si>
    <t>$6,396.00</t>
  </si>
  <si>
    <t>$2,880.00</t>
  </si>
  <si>
    <t>$6,760.00</t>
  </si>
  <si>
    <t>$23,000.00</t>
  </si>
  <si>
    <t>$14,304.00</t>
  </si>
  <si>
    <t>$9,100.00</t>
  </si>
  <si>
    <t>$16,800.00</t>
  </si>
  <si>
    <t>$17,000.00</t>
  </si>
  <si>
    <t>$75,000.00</t>
  </si>
  <si>
    <t>$31,852.00</t>
  </si>
  <si>
    <t>$36,400.00</t>
  </si>
  <si>
    <t>$18,720.00</t>
  </si>
  <si>
    <t>$22,308.00</t>
  </si>
  <si>
    <t>$16,640.00</t>
  </si>
  <si>
    <t>Ladi, Marcial</t>
  </si>
  <si>
    <t>Imrose, Wasi</t>
  </si>
  <si>
    <t>Alas Vega, Gabriela Ivania</t>
  </si>
  <si>
    <t>Gallego Abad, Felipe</t>
  </si>
  <si>
    <t>Burton, Lijhaun Deondre</t>
  </si>
  <si>
    <t>Lache, Milena</t>
  </si>
  <si>
    <t>Escalante, Melissa Gertrudis</t>
  </si>
  <si>
    <t>Magloire, Ghislaine</t>
  </si>
  <si>
    <t>Bernardez Flores, Kandy Jahira</t>
  </si>
  <si>
    <t>Francis Garth, Jaden</t>
  </si>
  <si>
    <t>Harvey, Yasmin</t>
  </si>
  <si>
    <t>Ahmed, Shoaib</t>
  </si>
  <si>
    <t>Martinez, Sandra</t>
  </si>
  <si>
    <t>Hernandez Rivera, Jose Angel</t>
  </si>
  <si>
    <t>Rendon Monroy, Fernando</t>
  </si>
  <si>
    <t>Lewis Thomas, Rochell Ieisha</t>
  </si>
  <si>
    <t>Ramirez, Natalia</t>
  </si>
  <si>
    <t>Rivera Cruz, Mauricio</t>
  </si>
  <si>
    <t>Juarez Herrera, Mariana</t>
  </si>
  <si>
    <t>Flores Rojas, Celia</t>
  </si>
  <si>
    <t>Marcos Zacarias, Maximo</t>
  </si>
  <si>
    <t>Marcos Zacarias, Marisol</t>
  </si>
  <si>
    <t>Gonzalez, Cristian Olber</t>
  </si>
  <si>
    <t>Rodriguez Segovia, Katherine Rosario</t>
  </si>
  <si>
    <t>De la Rosa, Carina</t>
  </si>
  <si>
    <t>Sotil Fernandez, Geraldine</t>
  </si>
  <si>
    <t>Moreira Mindiola, Rosario de la Merced</t>
  </si>
  <si>
    <t>Kim, Chang Bum</t>
  </si>
  <si>
    <t>Setal, Yvonne</t>
  </si>
  <si>
    <t>Cuellar Henriquez, Diana Veronica</t>
  </si>
  <si>
    <t>Amaya Moya, Denisse Samaris</t>
  </si>
  <si>
    <t>Amaya Moya, Ariana Gisel</t>
  </si>
  <si>
    <t>Hernandez Cabrera, Yudi Elizabeth</t>
  </si>
  <si>
    <t>Cedillo Dominguez, Orlando Daniel</t>
  </si>
  <si>
    <t>Batiz Martinez, Mirta Carolina</t>
  </si>
  <si>
    <t>Salcedo Carillo, Abel Orlando</t>
  </si>
  <si>
    <t>Cedillo Dominguez, Orlando</t>
  </si>
  <si>
    <t>Mejia, Francy</t>
  </si>
  <si>
    <t>Salim, Shahnaz</t>
  </si>
  <si>
    <t>Bryan, Allison Alvina</t>
  </si>
  <si>
    <t>Alvarado, Ruth</t>
  </si>
  <si>
    <t>Esquivel Tuchez, Olbia Jemima</t>
  </si>
  <si>
    <t>Laines-Juracan, Miguel</t>
  </si>
  <si>
    <t>Paz-Ramirez, Maryolin</t>
  </si>
  <si>
    <t>Chavez, Ivonne</t>
  </si>
  <si>
    <t>Ixmata Tambriz, Maria Angela</t>
  </si>
  <si>
    <t>Bautista Carranza, Marcelino</t>
  </si>
  <si>
    <t>Bones, Veronica</t>
  </si>
  <si>
    <t>Beharie, Venna M</t>
  </si>
  <si>
    <t>Murillo Garcia, Jose Antonio</t>
  </si>
  <si>
    <t>Rios Lara, Oscar Isaac</t>
  </si>
  <si>
    <t>Soung, Hyundong</t>
  </si>
  <si>
    <t>Vallecillo-Ramirez, Angel David</t>
  </si>
  <si>
    <t>Hernandez Campos, Angelica Maria</t>
  </si>
  <si>
    <t>Gordon, Dawn</t>
  </si>
  <si>
    <t>Toro Porras, Yenny</t>
  </si>
  <si>
    <t>Banegas Garcia, Herber Fabricio</t>
  </si>
  <si>
    <t>Sewell, Sashagaye</t>
  </si>
  <si>
    <t>Saunders, Zyeair Undel</t>
  </si>
  <si>
    <t>Martinez Crisostomo, Jorge Emilio</t>
  </si>
  <si>
    <t>Mendez Cruz, Ambar Nicolle</t>
  </si>
  <si>
    <t>Lynch, Maria Corleta</t>
  </si>
  <si>
    <t>Arevalo, Aura Maria</t>
  </si>
  <si>
    <t>Pastor Sierra, Elva</t>
  </si>
  <si>
    <t>Cruz, Felipe</t>
  </si>
  <si>
    <t>Bandeira, Joao Paulo</t>
  </si>
  <si>
    <t>Alvarez-Gutierrez, Nilson Jacob</t>
  </si>
  <si>
    <t>Gutierrez-Velasquez, Alexa Jesenia</t>
  </si>
  <si>
    <t>Soria, Mariana Mora</t>
  </si>
  <si>
    <t>De Leon, Miguelina</t>
  </si>
  <si>
    <t>Amaya, Rosalina</t>
  </si>
  <si>
    <t>Martinez Amaya, Melvin Alexander</t>
  </si>
  <si>
    <t>Osorio, Delmi</t>
  </si>
  <si>
    <t>Lopez Padilla, Axel J</t>
  </si>
  <si>
    <t>Osorio Padilla, Jasiel O</t>
  </si>
  <si>
    <t>Chuquin Bello, Angie</t>
  </si>
  <si>
    <t>Chuqin Bello, Catherin Eliza</t>
  </si>
  <si>
    <t>Stewart, Talisa Rushelle</t>
  </si>
  <si>
    <t>Alvarado Ulloa, Maria Noemy</t>
  </si>
  <si>
    <t>Murillo Alvarado, Maria Jose</t>
  </si>
  <si>
    <t>Murillo Alvarado, Jose Antonio</t>
  </si>
  <si>
    <t>Flores, Lisbet</t>
  </si>
  <si>
    <t>Garzon, Diana</t>
  </si>
  <si>
    <t>Karpiuk, Beata</t>
  </si>
  <si>
    <t>Rahman, Md</t>
  </si>
  <si>
    <t>Crisostomo Enamorado, Brenda Raquel</t>
  </si>
  <si>
    <t>Rodriguez Reyes, Feisel Javier</t>
  </si>
  <si>
    <t>Barrera, Ana Teresa</t>
  </si>
  <si>
    <t>Amador Rios, Necty Carolina</t>
  </si>
  <si>
    <t>Medrano, Lourdes</t>
  </si>
  <si>
    <t>Naji, Soufiane</t>
  </si>
  <si>
    <t>Serech Vargas, Juana Araceli</t>
  </si>
  <si>
    <t>Delcid Andino, Briany Janelssy</t>
  </si>
  <si>
    <t>Brito Ventura, Lorena</t>
  </si>
  <si>
    <t>Montoya, Josue G</t>
  </si>
  <si>
    <t>Juarez, Claudia</t>
  </si>
  <si>
    <t>Castro Prada, Jose</t>
  </si>
  <si>
    <t>Sanchez Arias, Luis A</t>
  </si>
  <si>
    <t>Alvares Guallpa, Moises Fernando</t>
  </si>
  <si>
    <t>Lluilema Garcia, Jose Antonio</t>
  </si>
  <si>
    <t>Mendez, Odilia</t>
  </si>
  <si>
    <t>Bernal Bernal, Tamara Estafania</t>
  </si>
  <si>
    <t>Martinez Bonilla, Alma</t>
  </si>
  <si>
    <t>Santana, Indira</t>
  </si>
  <si>
    <t>Peralta, Leo</t>
  </si>
  <si>
    <t>Koumtog, Madeline I</t>
  </si>
  <si>
    <t>Rabbani, Shammi</t>
  </si>
  <si>
    <t>Alba Hernandez, Andres Alonso</t>
  </si>
  <si>
    <t>Regalado, Claudia M</t>
  </si>
  <si>
    <t>Affoon, Kevin</t>
  </si>
  <si>
    <t>Mejia, Mildren</t>
  </si>
  <si>
    <t>Angamarca, Ana</t>
  </si>
  <si>
    <t>Hernandez Lazaro, Olga Lidia</t>
  </si>
  <si>
    <t>Garcia, Adriana</t>
  </si>
  <si>
    <t>Zamudio, Carlos Eduardo</t>
  </si>
  <si>
    <t>Vasquez Andrade, Yadira Gabriela</t>
  </si>
  <si>
    <t>Vasquez Portillo, Danna Monserrath</t>
  </si>
  <si>
    <t>Garcia Garcia, Erick Jose Miguel</t>
  </si>
  <si>
    <t>Ramirez, Paula L</t>
  </si>
  <si>
    <t>Campos, Guadalupe</t>
  </si>
  <si>
    <t>Monroy Mercado, Geraldine</t>
  </si>
  <si>
    <t>Ram, Seloge Andrea</t>
  </si>
  <si>
    <t>Palacios Argueta, Roney</t>
  </si>
  <si>
    <t>Ramjattan, Pushpawattee</t>
  </si>
  <si>
    <t>Wilson, Martine</t>
  </si>
  <si>
    <t>Andino Castro, Angelica</t>
  </si>
  <si>
    <t>Salazar, Rinor</t>
  </si>
  <si>
    <t>Kaur, Harwinder</t>
  </si>
  <si>
    <t>Gonzalez Irias, Dennis A</t>
  </si>
  <si>
    <t>Peart, Amoy Tiffany Keydene</t>
  </si>
  <si>
    <t>Sarmiento Martinez, Denia</t>
  </si>
  <si>
    <t>Mendoza Mejia, Angel Josue</t>
  </si>
  <si>
    <t>Castillo Valencia, Santos Engelberto</t>
  </si>
  <si>
    <t>Mendoza, Sandra Lorena</t>
  </si>
  <si>
    <t>Mendoza, Ingris Emeli</t>
  </si>
  <si>
    <t>Pulgar Fuenmayor, Dervis Jose</t>
  </si>
  <si>
    <t>Abuziyad, Rami</t>
  </si>
  <si>
    <t>Torales, Dulce M.</t>
  </si>
  <si>
    <t>Andrade Loor, Lisseth Viviana</t>
  </si>
  <si>
    <t>Calderon, Miguel Angel</t>
  </si>
  <si>
    <t>Narsingh, Astrando Gregory</t>
  </si>
  <si>
    <t>Bourdeau, Myrtha</t>
  </si>
  <si>
    <t>Tineo, Marleny</t>
  </si>
  <si>
    <t>Ramjattan, Deonarine</t>
  </si>
  <si>
    <t>Alvarez Zelaya, Dariela</t>
  </si>
  <si>
    <t>Martinez-Ramirez, Stephannie Natalia</t>
  </si>
  <si>
    <t>Fernandez Soto, Juan Pablo</t>
  </si>
  <si>
    <t>Lewis Thomas, Rochell</t>
  </si>
  <si>
    <t>Bello, Tatiana</t>
  </si>
  <si>
    <t>Delgado Cardozo, Randy</t>
  </si>
  <si>
    <t>Munoz, Ana Sofia</t>
  </si>
  <si>
    <t>Fernandes, Erica</t>
  </si>
  <si>
    <t>Javier, Maria D</t>
  </si>
  <si>
    <t>Godoy Minchala, Thalia</t>
  </si>
  <si>
    <t>Alegre, Juana Isabel</t>
  </si>
  <si>
    <t>Roopnarine, Yushwant</t>
  </si>
  <si>
    <t>Salazar de Marroquin, Silvia Yanira</t>
  </si>
  <si>
    <t>Basdeo, Mahadeo</t>
  </si>
  <si>
    <t>Basdeo, Basmattie</t>
  </si>
  <si>
    <t>Mangal, Kristener</t>
  </si>
  <si>
    <t>Mendoza Ramos, Jostin Alexander</t>
  </si>
  <si>
    <t>Villalba, Fidel</t>
  </si>
  <si>
    <t>Narvaez Padilla, Mirian</t>
  </si>
  <si>
    <t>Benitez Sarmiento, Thaily</t>
  </si>
  <si>
    <t>Nachande, Judith</t>
  </si>
  <si>
    <t>Seeram, Mohanee</t>
  </si>
  <si>
    <t>Maya Gonzalez, Leticia</t>
  </si>
  <si>
    <t>Zacaria Martin, Maria</t>
  </si>
  <si>
    <t>Correa Valencia, Luz Jannet</t>
  </si>
  <si>
    <t>Moran Silva, Kevin Jose</t>
  </si>
  <si>
    <t>Moran Silva, Yendi Gabriela</t>
  </si>
  <si>
    <t>Kaur, Satinder</t>
  </si>
  <si>
    <t>Beharry, Angela</t>
  </si>
  <si>
    <t>Batiz Martinez, Kirad Y</t>
  </si>
  <si>
    <t>Lora, Angel Guillermo</t>
  </si>
  <si>
    <t>Lopez de Souza, Adalberto</t>
  </si>
  <si>
    <t>Jimenez Pelico, Henry Juvencio</t>
  </si>
  <si>
    <t>Serech Vargas, William Eduardo</t>
  </si>
  <si>
    <t>Silva Queche, Blanca Amarilis</t>
  </si>
  <si>
    <t>Roberts, Shanique</t>
  </si>
  <si>
    <t>Ramirez, Francisco</t>
  </si>
  <si>
    <t>Navas, Anyi</t>
  </si>
  <si>
    <t>Riaz, Rooha</t>
  </si>
  <si>
    <t>Garcia, Ivonne</t>
  </si>
  <si>
    <t>Zelaya, Wendy</t>
  </si>
  <si>
    <t>Arias Arevalo, Maritza</t>
  </si>
  <si>
    <t>Rowana, Gangaya</t>
  </si>
  <si>
    <t>Rowana, Premwatie</t>
  </si>
  <si>
    <t>Velazquez, Rafaela</t>
  </si>
  <si>
    <t>Vargas, Celia</t>
  </si>
  <si>
    <t>Navas Contreras, Anyi Alicia</t>
  </si>
  <si>
    <t>Diallo, Saifoulaye</t>
  </si>
  <si>
    <t>Alvarez, Ana</t>
  </si>
  <si>
    <t>Rodriguez, Maria</t>
  </si>
  <si>
    <t>Acosta Cuervo, Leidy</t>
  </si>
  <si>
    <t>Antunez, Yesenia</t>
  </si>
  <si>
    <t>Hernandez-Gomez, Jordan Loyan</t>
  </si>
  <si>
    <t>Vazquez Olivos, Honoria</t>
  </si>
  <si>
    <t>Rivas, Jaime</t>
  </si>
  <si>
    <t>Hernandez Lazaro, Olga</t>
  </si>
  <si>
    <t>Robinson, Shantall</t>
  </si>
  <si>
    <t>Batiz Martinez, Ana Vilma</t>
  </si>
  <si>
    <t>Tenorio, Edgar</t>
  </si>
  <si>
    <t>Narvaez, Nancy</t>
  </si>
  <si>
    <t>Zea, Wilson</t>
  </si>
  <si>
    <t>Echeverria, Marlin</t>
  </si>
  <si>
    <t>Alvarado Murillo, Delcy</t>
  </si>
  <si>
    <t>Benitez Reyes, Jose Florentino</t>
  </si>
  <si>
    <t>Pellicone, Marissa</t>
  </si>
  <si>
    <t>Xavier, Martha</t>
  </si>
  <si>
    <t>Figueroa, Jose</t>
  </si>
  <si>
    <t>Bibi, Rukhasana</t>
  </si>
  <si>
    <t>Gomez Miranda, Xiomara</t>
  </si>
  <si>
    <t>Djonovic, Aise</t>
  </si>
  <si>
    <t>Escobar Avilez, Micaelina</t>
  </si>
  <si>
    <t>Sanic Tax, Sindi Mishel</t>
  </si>
  <si>
    <t>Caicedo, Gloria</t>
  </si>
  <si>
    <t>Daniels, Carol</t>
  </si>
  <si>
    <t>Peña, Ronaldo DeJuan</t>
  </si>
  <si>
    <t>Rodriguez, Sandra Cecilia</t>
  </si>
  <si>
    <t>Nwe, Waine</t>
  </si>
  <si>
    <t>Robinson, Christopher</t>
  </si>
  <si>
    <t>Fariño, Douglas</t>
  </si>
  <si>
    <t>Delgado Cantarero, Eliseo Sergio</t>
  </si>
  <si>
    <t>Zapata Florez, Mario</t>
  </si>
  <si>
    <t>Peralta Perez, Maria Blanca</t>
  </si>
  <si>
    <t>Santos, Perla Cristal</t>
  </si>
  <si>
    <t>Cuc-Garcia, Jose</t>
  </si>
  <si>
    <t>Medina Fuentes, Stephanie Nicoll</t>
  </si>
  <si>
    <t>Alatorre, Marcela E</t>
  </si>
  <si>
    <t>Louis, Jean</t>
  </si>
  <si>
    <t>Singh, Nikita</t>
  </si>
  <si>
    <t>Mahabir, Sadia</t>
  </si>
  <si>
    <t>Hanley, Robert</t>
  </si>
  <si>
    <t>Vargas, Veronica</t>
  </si>
  <si>
    <t>Gonzalez-Colon, Airina</t>
  </si>
  <si>
    <t>Portilla, Maria</t>
  </si>
  <si>
    <t>Tavarez, Reinaldo</t>
  </si>
  <si>
    <t>Mercedes Moreno, Berkis Rafelina Alexandra</t>
  </si>
  <si>
    <t>Reid, Barbara</t>
  </si>
  <si>
    <t>Kadir, Fadia</t>
  </si>
  <si>
    <t>Manzano, Erasmo</t>
  </si>
  <si>
    <t>Chavez, Maria</t>
  </si>
  <si>
    <t>Amaya Perez, Belladira</t>
  </si>
  <si>
    <t>Mansour, Wesam</t>
  </si>
  <si>
    <t>Sweeny, Barbara</t>
  </si>
  <si>
    <t>Gomez, Lino</t>
  </si>
  <si>
    <t>Gomez, Elizabeth</t>
  </si>
  <si>
    <t>Pitcairn, Shermayne Lance</t>
  </si>
  <si>
    <t>Clarke, Michael D</t>
  </si>
  <si>
    <t>Bahja, Rajmonda</t>
  </si>
  <si>
    <t>Chavez Chicas, Yesli</t>
  </si>
  <si>
    <t>Barcia, Jose</t>
  </si>
  <si>
    <t>Dixon, Kerema</t>
  </si>
  <si>
    <t>Setal, Raymond</t>
  </si>
  <si>
    <t>Persaud, Jasodra</t>
  </si>
  <si>
    <t>Vera, Jose</t>
  </si>
  <si>
    <t>Marquez, Maria Petronila</t>
  </si>
  <si>
    <t>Cardenas Gallego, Thomas</t>
  </si>
  <si>
    <t>Ramirez, Orlando</t>
  </si>
  <si>
    <t>Menza, Doly Yaneth</t>
  </si>
  <si>
    <t>Ugursu, Belgin</t>
  </si>
  <si>
    <t>Clarke Balin, Dianne</t>
  </si>
  <si>
    <t>Williams, Audriana</t>
  </si>
  <si>
    <t>Harbajan, Keisha</t>
  </si>
  <si>
    <t>Betancur, Maria Salome</t>
  </si>
  <si>
    <t>Enriquez, Ricardo</t>
  </si>
  <si>
    <t>Martinez, Silvia</t>
  </si>
  <si>
    <t>Naraine, Christopher H</t>
  </si>
  <si>
    <t>Hernandez, Edras</t>
  </si>
  <si>
    <t>Jairam, Gaffiloom</t>
  </si>
  <si>
    <t>Bratu, Georgeta</t>
  </si>
  <si>
    <t>Castillo, Angela</t>
  </si>
  <si>
    <t>Pina De La Cruz, Carlos Daniel</t>
  </si>
  <si>
    <t>De La Cruz, Jeremy</t>
  </si>
  <si>
    <t>Jorge, Maria</t>
  </si>
  <si>
    <t>Mahabir, NO GIVEN NAME</t>
  </si>
  <si>
    <t>Castillo, Joselyn Dennise</t>
  </si>
  <si>
    <t>Dolor, Gervin</t>
  </si>
  <si>
    <t>Erazo Sarmiento, Alexandra</t>
  </si>
  <si>
    <t>Enamorado-Hernandez, Heidi</t>
  </si>
  <si>
    <t>Canales Enamorado, Oscar</t>
  </si>
  <si>
    <t>Ally, Subhan</t>
  </si>
  <si>
    <t>Gabriel Quezada, Henrry A</t>
  </si>
  <si>
    <t>Sokhna, Aminata</t>
  </si>
  <si>
    <t>Beckford-Duffault, Dennekia</t>
  </si>
  <si>
    <t>Singh, Bibi H</t>
  </si>
  <si>
    <t>Harbajan, Curtis</t>
  </si>
  <si>
    <t>Harbajan, Kyle Kristoff</t>
  </si>
  <si>
    <t>Shiamsundar, Marvin</t>
  </si>
  <si>
    <t>Sarmiento, Gloria</t>
  </si>
  <si>
    <t>Paulino, Georgina D</t>
  </si>
  <si>
    <t>Guzman, Yanira</t>
  </si>
  <si>
    <t>Ortiz-Cruzel, Eriberto</t>
  </si>
  <si>
    <t>Han-Kufner, Jungwon</t>
  </si>
  <si>
    <t>Chicas Rodriguez, Leslie</t>
  </si>
  <si>
    <t>Nunez, Francisco</t>
  </si>
  <si>
    <t>Reneau, Cherry M</t>
  </si>
  <si>
    <t>Jacob, Catherine</t>
  </si>
  <si>
    <t>Jacob, Beena</t>
  </si>
  <si>
    <t>Eleshin, Adiza</t>
  </si>
  <si>
    <t>Rivera, Nancy R</t>
  </si>
  <si>
    <t>Navid, Sadia</t>
  </si>
  <si>
    <t>Gonzalez, karina</t>
  </si>
  <si>
    <t>Straughter, Adela</t>
  </si>
  <si>
    <t>Gbapaywhea, Samuel</t>
  </si>
  <si>
    <t>Del Rosario, Victor</t>
  </si>
  <si>
    <t>Ramos, Elsa</t>
  </si>
  <si>
    <t>Tapia, Annette</t>
  </si>
  <si>
    <t>Rojas, Lucia</t>
  </si>
  <si>
    <t>Mohabir, Deolall</t>
  </si>
  <si>
    <t>Lopez, Telma</t>
  </si>
  <si>
    <t>Fernandez, Francisca</t>
  </si>
  <si>
    <t>Perez, Sonia</t>
  </si>
  <si>
    <t>Kim, Hyunhee</t>
  </si>
  <si>
    <t>Husbands, Shelly</t>
  </si>
  <si>
    <t>Rivera- Duran, Salomon</t>
  </si>
  <si>
    <t>Padilla, Maria</t>
  </si>
  <si>
    <t>Zou, Jin Ying</t>
  </si>
  <si>
    <t>Queens Legal Services</t>
  </si>
  <si>
    <t>Nassau</t>
  </si>
  <si>
    <t>Queens, Queens</t>
  </si>
  <si>
    <t>Kim, Jennie</t>
  </si>
  <si>
    <t>Mattessich, Sandra</t>
  </si>
  <si>
    <t>Urizar, Ana</t>
  </si>
  <si>
    <t>Velez, Cristina</t>
  </si>
  <si>
    <t>Madrid, Andrea</t>
  </si>
  <si>
    <t>Vitale, Soo Kyung</t>
  </si>
  <si>
    <t>Barrow, Jennifer</t>
  </si>
  <si>
    <t>Chalas, Mayra</t>
  </si>
  <si>
    <t>Carrillo, Sami</t>
  </si>
  <si>
    <t>Camargo, Tatiana</t>
  </si>
  <si>
    <t>Diaz, Christhian</t>
  </si>
  <si>
    <t>Sambataro, Debra</t>
  </si>
  <si>
    <t>2018-11-21</t>
  </si>
  <si>
    <t>11/27/2019</t>
  </si>
  <si>
    <t>11/25/2019</t>
  </si>
  <si>
    <t>11/20/2019</t>
  </si>
  <si>
    <t>11/15/2019</t>
  </si>
  <si>
    <t>11/12/2019</t>
  </si>
  <si>
    <t>11/07/2019</t>
  </si>
  <si>
    <t>11/06/2019</t>
  </si>
  <si>
    <t>11/01/2019</t>
  </si>
  <si>
    <t>10/31/2019</t>
  </si>
  <si>
    <t>10/20/2019</t>
  </si>
  <si>
    <t>09/27/2019</t>
  </si>
  <si>
    <t>09/26/2019</t>
  </si>
  <si>
    <t>09/17/2019</t>
  </si>
  <si>
    <t>09/12/2019</t>
  </si>
  <si>
    <t>08/30/2019</t>
  </si>
  <si>
    <t>08/29/2019</t>
  </si>
  <si>
    <t>08/26/2019</t>
  </si>
  <si>
    <t>08/23/2019</t>
  </si>
  <si>
    <t>08/13/2019</t>
  </si>
  <si>
    <t>08/02/2019</t>
  </si>
  <si>
    <t>07/18/2019</t>
  </si>
  <si>
    <t>07/16/2019</t>
  </si>
  <si>
    <t>07/12/2019</t>
  </si>
  <si>
    <t>07/02/2019</t>
  </si>
  <si>
    <t>07/01/2019</t>
  </si>
  <si>
    <t>06/26/2019</t>
  </si>
  <si>
    <t>06/18/2019</t>
  </si>
  <si>
    <t>06/17/2019</t>
  </si>
  <si>
    <t>06/07/2019</t>
  </si>
  <si>
    <t>06/06/2019</t>
  </si>
  <si>
    <t>06/03/2019</t>
  </si>
  <si>
    <t>05/30/2019</t>
  </si>
  <si>
    <t>05/22/2019</t>
  </si>
  <si>
    <t>05/15/2019</t>
  </si>
  <si>
    <t>04/24/2019</t>
  </si>
  <si>
    <t>04/17/2019</t>
  </si>
  <si>
    <t>04/15/2019</t>
  </si>
  <si>
    <t>04/12/2019</t>
  </si>
  <si>
    <t>04/11/2019</t>
  </si>
  <si>
    <t>04/05/2019</t>
  </si>
  <si>
    <t>04/04/2019</t>
  </si>
  <si>
    <t>02/28/2019</t>
  </si>
  <si>
    <t>02/21/2019</t>
  </si>
  <si>
    <t>02/20/2019</t>
  </si>
  <si>
    <t>02/15/2019</t>
  </si>
  <si>
    <t>02/14/2019</t>
  </si>
  <si>
    <t>02/13/2019</t>
  </si>
  <si>
    <t>02/08/2019</t>
  </si>
  <si>
    <t>01/31/2019</t>
  </si>
  <si>
    <t>01/25/2019</t>
  </si>
  <si>
    <t>01/23/2019</t>
  </si>
  <si>
    <t>01/22/2019</t>
  </si>
  <si>
    <t>01/15/2019</t>
  </si>
  <si>
    <t>01/11/2019</t>
  </si>
  <si>
    <t>01/10/2019</t>
  </si>
  <si>
    <t>01/09/2019</t>
  </si>
  <si>
    <t>01/07/2019</t>
  </si>
  <si>
    <t>12/28/2018</t>
  </si>
  <si>
    <t>12/17/2018</t>
  </si>
  <si>
    <t>12/13/2018</t>
  </si>
  <si>
    <t>12/10/2018</t>
  </si>
  <si>
    <t>12/07/2018</t>
  </si>
  <si>
    <t>12/06/2018</t>
  </si>
  <si>
    <t>12/05/2018</t>
  </si>
  <si>
    <t>12/04/2018</t>
  </si>
  <si>
    <t>11/30/2018</t>
  </si>
  <si>
    <t>11/29/2018</t>
  </si>
  <si>
    <t>11/28/2018</t>
  </si>
  <si>
    <t>11/26/2018</t>
  </si>
  <si>
    <t>11/21/2018</t>
  </si>
  <si>
    <t>11/14/2018</t>
  </si>
  <si>
    <t>10/23/2018</t>
  </si>
  <si>
    <t>10/11/2018</t>
  </si>
  <si>
    <t>10/10/2018</t>
  </si>
  <si>
    <t>10/09/2018</t>
  </si>
  <si>
    <t>10/05/2018</t>
  </si>
  <si>
    <t>09/27/2018</t>
  </si>
  <si>
    <t>09/24/2018</t>
  </si>
  <si>
    <t>09/20/2018</t>
  </si>
  <si>
    <t>09/17/2018</t>
  </si>
  <si>
    <t>08/06/2018</t>
  </si>
  <si>
    <t>07/24/2018</t>
  </si>
  <si>
    <t>06/25/2018</t>
  </si>
  <si>
    <t>06/19/2018</t>
  </si>
  <si>
    <t>06/08/2018</t>
  </si>
  <si>
    <t>06/01/2018</t>
  </si>
  <si>
    <t>05/31/2018</t>
  </si>
  <si>
    <t>05/23/2018</t>
  </si>
  <si>
    <t>05/22/2018</t>
  </si>
  <si>
    <t>05/15/2018</t>
  </si>
  <si>
    <t>05/11/2018</t>
  </si>
  <si>
    <t>05/10/2018</t>
  </si>
  <si>
    <t>05/09/2018</t>
  </si>
  <si>
    <t>05/08/2018</t>
  </si>
  <si>
    <t>05/04/2018</t>
  </si>
  <si>
    <t>04/26/2018</t>
  </si>
  <si>
    <t>04/24/2018</t>
  </si>
  <si>
    <t>04/20/2018</t>
  </si>
  <si>
    <t>04/02/2018</t>
  </si>
  <si>
    <t>03/22/2018</t>
  </si>
  <si>
    <t>03/12/2018</t>
  </si>
  <si>
    <t>03/05/2018</t>
  </si>
  <si>
    <t>02/28/2018</t>
  </si>
  <si>
    <t>02/22/2018</t>
  </si>
  <si>
    <t>02/14/2018</t>
  </si>
  <si>
    <t>02/07/2018</t>
  </si>
  <si>
    <t>02/06/2018</t>
  </si>
  <si>
    <t>02/01/2018</t>
  </si>
  <si>
    <t>01/29/2018</t>
  </si>
  <si>
    <t>01/17/2018</t>
  </si>
  <si>
    <t>01/11/2018</t>
  </si>
  <si>
    <t>12/11/2017</t>
  </si>
  <si>
    <t>12/08/2017</t>
  </si>
  <si>
    <t>12/01/2017</t>
  </si>
  <si>
    <t>11/28/2017</t>
  </si>
  <si>
    <t>11/27/2017</t>
  </si>
  <si>
    <t>11/20/2017</t>
  </si>
  <si>
    <t>11/17/2017</t>
  </si>
  <si>
    <t>11/15/2017</t>
  </si>
  <si>
    <t>11/13/2017</t>
  </si>
  <si>
    <t>11/03/2017</t>
  </si>
  <si>
    <t>10/30/2017</t>
  </si>
  <si>
    <t>10/25/2017</t>
  </si>
  <si>
    <t>10/19/2017</t>
  </si>
  <si>
    <t>10/13/2017</t>
  </si>
  <si>
    <t>10/11/2017</t>
  </si>
  <si>
    <t>10/10/2017</t>
  </si>
  <si>
    <t>10/02/2017</t>
  </si>
  <si>
    <t>09/29/2017</t>
  </si>
  <si>
    <t>09/26/2017</t>
  </si>
  <si>
    <t>09/25/2017</t>
  </si>
  <si>
    <t>09/18/2017</t>
  </si>
  <si>
    <t>09/07/2017</t>
  </si>
  <si>
    <t>09/05/2017</t>
  </si>
  <si>
    <t>07/20/2017</t>
  </si>
  <si>
    <t>07/17/2017</t>
  </si>
  <si>
    <t>07/13/2017</t>
  </si>
  <si>
    <t>06/30/2017</t>
  </si>
  <si>
    <t>06/28/2017</t>
  </si>
  <si>
    <t>06/27/2017</t>
  </si>
  <si>
    <t>06/21/2017</t>
  </si>
  <si>
    <t>06/12/2017</t>
  </si>
  <si>
    <t>05/26/2017</t>
  </si>
  <si>
    <t>05/05/2017</t>
  </si>
  <si>
    <t>04/21/2017</t>
  </si>
  <si>
    <t>04/03/2017</t>
  </si>
  <si>
    <t>02/21/2017</t>
  </si>
  <si>
    <t>11/21/2016</t>
  </si>
  <si>
    <t>10/13/2016</t>
  </si>
  <si>
    <t>07/08/2016</t>
  </si>
  <si>
    <t>06/07/2016</t>
  </si>
  <si>
    <t>02/08/2016</t>
  </si>
  <si>
    <t>12/03/2019</t>
  </si>
  <si>
    <t>07/04/2019</t>
  </si>
  <si>
    <t>11/13/2019</t>
  </si>
  <si>
    <t>10/24/2019</t>
  </si>
  <si>
    <t>10/03/2019</t>
  </si>
  <si>
    <t>01/20/2019</t>
  </si>
  <si>
    <t>12/31/2018</t>
  </si>
  <si>
    <t>3458 Immigrant Opportunities Initiative (IOI)</t>
  </si>
  <si>
    <t>3003 NYC MOCJ - FJC Immigration Services</t>
  </si>
  <si>
    <t>5221 SSUSA-Single Stop USA</t>
  </si>
  <si>
    <t>3459 Immigrant Opportunities Initiative (IOI) #2 ("IOI 2"), 5221 SSUSA-Single Stop USA</t>
  </si>
  <si>
    <t>5008 IJC Justice Fellowship</t>
  </si>
  <si>
    <t>33 Adult Guardianship / Conservatorship</t>
  </si>
  <si>
    <t>31 Custody/Visitation</t>
  </si>
  <si>
    <t>I-914A</t>
  </si>
  <si>
    <t>SIJS Guardianship Proceeding</t>
  </si>
  <si>
    <t>I-824</t>
  </si>
  <si>
    <t>I-130 (spouse)</t>
  </si>
  <si>
    <t>339 Guardianship</t>
  </si>
  <si>
    <t>I-131 Advanced Parole</t>
  </si>
  <si>
    <t>311 Custody</t>
  </si>
  <si>
    <t>I-914</t>
  </si>
  <si>
    <t>AOS (Not I-130)</t>
  </si>
  <si>
    <t>N-600</t>
  </si>
  <si>
    <t>EOIR-42B</t>
  </si>
  <si>
    <t>I-601</t>
  </si>
  <si>
    <t>I-864W</t>
  </si>
  <si>
    <t>Tagalog</t>
  </si>
  <si>
    <t>Konjobal</t>
  </si>
  <si>
    <t>Korean</t>
  </si>
  <si>
    <t>Portuguese</t>
  </si>
  <si>
    <t>Arabic</t>
  </si>
  <si>
    <t>Panjabi</t>
  </si>
  <si>
    <t>Hindi</t>
  </si>
  <si>
    <t>Urdu</t>
  </si>
  <si>
    <t>Albanian</t>
  </si>
  <si>
    <t>Turkish</t>
  </si>
  <si>
    <t>Marcial</t>
  </si>
  <si>
    <t>Wasi</t>
  </si>
  <si>
    <t>Gabriela</t>
  </si>
  <si>
    <t>Felipe</t>
  </si>
  <si>
    <t>Lijhaun</t>
  </si>
  <si>
    <t>Milena</t>
  </si>
  <si>
    <t>Melissa</t>
  </si>
  <si>
    <t>Ghislaine</t>
  </si>
  <si>
    <t>Kandy</t>
  </si>
  <si>
    <t>Jaden</t>
  </si>
  <si>
    <t>Yasmin</t>
  </si>
  <si>
    <t>Shoaib</t>
  </si>
  <si>
    <t>Fernando</t>
  </si>
  <si>
    <t>Rochell</t>
  </si>
  <si>
    <t>Natalia</t>
  </si>
  <si>
    <t>Mauricio</t>
  </si>
  <si>
    <t>Mariana</t>
  </si>
  <si>
    <t>Celia</t>
  </si>
  <si>
    <t>Maximo</t>
  </si>
  <si>
    <t>Marisol</t>
  </si>
  <si>
    <t>Cristian</t>
  </si>
  <si>
    <t>Katherine</t>
  </si>
  <si>
    <t>Carina</t>
  </si>
  <si>
    <t>Geraldine</t>
  </si>
  <si>
    <t>Chang Bum</t>
  </si>
  <si>
    <t>Yvonne</t>
  </si>
  <si>
    <t>Diana Veronica</t>
  </si>
  <si>
    <t>Denisse</t>
  </si>
  <si>
    <t>Ariana</t>
  </si>
  <si>
    <t>Yudi</t>
  </si>
  <si>
    <t>Orlando</t>
  </si>
  <si>
    <t>Mirta</t>
  </si>
  <si>
    <t>Abel</t>
  </si>
  <si>
    <t>Francy</t>
  </si>
  <si>
    <t>Shahnaz</t>
  </si>
  <si>
    <t>Allison</t>
  </si>
  <si>
    <t>Ruth</t>
  </si>
  <si>
    <t>Olbia Jemima</t>
  </si>
  <si>
    <t>Miguel</t>
  </si>
  <si>
    <t>Maryolin</t>
  </si>
  <si>
    <t>Ivonne</t>
  </si>
  <si>
    <t>Marcelino</t>
  </si>
  <si>
    <t>Veronica</t>
  </si>
  <si>
    <t>Venna</t>
  </si>
  <si>
    <t>Oscar</t>
  </si>
  <si>
    <t>Hyundong</t>
  </si>
  <si>
    <t>Angel David</t>
  </si>
  <si>
    <t>Yenny</t>
  </si>
  <si>
    <t>Herber</t>
  </si>
  <si>
    <t>Sashagaye</t>
  </si>
  <si>
    <t>Zyeair</t>
  </si>
  <si>
    <t>Ambar</t>
  </si>
  <si>
    <t>Aura</t>
  </si>
  <si>
    <t>Elva</t>
  </si>
  <si>
    <t>Joao</t>
  </si>
  <si>
    <t>Nilson Jacob</t>
  </si>
  <si>
    <t>Alexa Jesenia</t>
  </si>
  <si>
    <t>Miguelina</t>
  </si>
  <si>
    <t>Rosalina</t>
  </si>
  <si>
    <t>Melvin</t>
  </si>
  <si>
    <t>Delmi</t>
  </si>
  <si>
    <t>Axel</t>
  </si>
  <si>
    <t>Jasiel</t>
  </si>
  <si>
    <t>Angie</t>
  </si>
  <si>
    <t>Catherin</t>
  </si>
  <si>
    <t>Talisa</t>
  </si>
  <si>
    <t>Lisbet</t>
  </si>
  <si>
    <t>Diana</t>
  </si>
  <si>
    <t>Beata</t>
  </si>
  <si>
    <t>Md</t>
  </si>
  <si>
    <t>Brenda</t>
  </si>
  <si>
    <t>Feisel Javier</t>
  </si>
  <si>
    <t>Necty</t>
  </si>
  <si>
    <t>Lourdes</t>
  </si>
  <si>
    <t>Soufiane</t>
  </si>
  <si>
    <t>Juana</t>
  </si>
  <si>
    <t>Briany</t>
  </si>
  <si>
    <t>Lorena</t>
  </si>
  <si>
    <t>Josue</t>
  </si>
  <si>
    <t>Claudia</t>
  </si>
  <si>
    <t>Moises</t>
  </si>
  <si>
    <t>Odilia</t>
  </si>
  <si>
    <t>Tamara</t>
  </si>
  <si>
    <t>Alma</t>
  </si>
  <si>
    <t>Indira</t>
  </si>
  <si>
    <t>Leo</t>
  </si>
  <si>
    <t>Madeline</t>
  </si>
  <si>
    <t>Shammi</t>
  </si>
  <si>
    <t>Andres</t>
  </si>
  <si>
    <t>Kevin</t>
  </si>
  <si>
    <t>Mildren</t>
  </si>
  <si>
    <t>Olga</t>
  </si>
  <si>
    <t>Adriana</t>
  </si>
  <si>
    <t>Yadira</t>
  </si>
  <si>
    <t>Danna</t>
  </si>
  <si>
    <t>Erick Jose Miguel</t>
  </si>
  <si>
    <t>Paula</t>
  </si>
  <si>
    <t>Guadalupe</t>
  </si>
  <si>
    <t>Seloge</t>
  </si>
  <si>
    <t>Roney</t>
  </si>
  <si>
    <t>Pushpawattee</t>
  </si>
  <si>
    <t>Martine</t>
  </si>
  <si>
    <t>Rinor</t>
  </si>
  <si>
    <t>Harwinder</t>
  </si>
  <si>
    <t>Dennis</t>
  </si>
  <si>
    <t>Amoy</t>
  </si>
  <si>
    <t>Denia</t>
  </si>
  <si>
    <t>Angel</t>
  </si>
  <si>
    <t>Santos</t>
  </si>
  <si>
    <t>Ingris</t>
  </si>
  <si>
    <t>Dervis</t>
  </si>
  <si>
    <t>Rami</t>
  </si>
  <si>
    <t>Dulce</t>
  </si>
  <si>
    <t>Lisseth</t>
  </si>
  <si>
    <t>Astrando</t>
  </si>
  <si>
    <t>Myrtha</t>
  </si>
  <si>
    <t>Marleny</t>
  </si>
  <si>
    <t>Deonarine</t>
  </si>
  <si>
    <t>Dariela</t>
  </si>
  <si>
    <t>Stephannie Natalia</t>
  </si>
  <si>
    <t>Juan Pablo</t>
  </si>
  <si>
    <t>Tatiana</t>
  </si>
  <si>
    <t>Randy</t>
  </si>
  <si>
    <t>Erica</t>
  </si>
  <si>
    <t>Thalia</t>
  </si>
  <si>
    <t>Yushwant</t>
  </si>
  <si>
    <t>Silvia</t>
  </si>
  <si>
    <t>Mahadeo</t>
  </si>
  <si>
    <t>Basmattie</t>
  </si>
  <si>
    <t>Kristener</t>
  </si>
  <si>
    <t>Jostin</t>
  </si>
  <si>
    <t>Fidel</t>
  </si>
  <si>
    <t>Mirian</t>
  </si>
  <si>
    <t>Thaily</t>
  </si>
  <si>
    <t>Judith</t>
  </si>
  <si>
    <t>Mohanee</t>
  </si>
  <si>
    <t>Leticia</t>
  </si>
  <si>
    <t>Luz</t>
  </si>
  <si>
    <t>Yendi</t>
  </si>
  <si>
    <t>Satinder</t>
  </si>
  <si>
    <t>Angela</t>
  </si>
  <si>
    <t>Kirad</t>
  </si>
  <si>
    <t>Adalberto</t>
  </si>
  <si>
    <t>Henry</t>
  </si>
  <si>
    <t>William</t>
  </si>
  <si>
    <t>Shanique</t>
  </si>
  <si>
    <t>Francisco</t>
  </si>
  <si>
    <t>Anyi</t>
  </si>
  <si>
    <t>Rooha</t>
  </si>
  <si>
    <t>Wendy</t>
  </si>
  <si>
    <t>Maritza</t>
  </si>
  <si>
    <t>Gangaya</t>
  </si>
  <si>
    <t>Premwatie</t>
  </si>
  <si>
    <t>Rafaela</t>
  </si>
  <si>
    <t>Saifoulaye</t>
  </si>
  <si>
    <t>Leidy</t>
  </si>
  <si>
    <t>Yesenia</t>
  </si>
  <si>
    <t>Honoria</t>
  </si>
  <si>
    <t>Jaime</t>
  </si>
  <si>
    <t>Shantall</t>
  </si>
  <si>
    <t>Edgar</t>
  </si>
  <si>
    <t>Marlin</t>
  </si>
  <si>
    <t>Delcy</t>
  </si>
  <si>
    <t>Marissa</t>
  </si>
  <si>
    <t>Martha</t>
  </si>
  <si>
    <t>Rukhasana</t>
  </si>
  <si>
    <t>Xiomara</t>
  </si>
  <si>
    <t>Aise</t>
  </si>
  <si>
    <t>Micaelina</t>
  </si>
  <si>
    <t>Sindi</t>
  </si>
  <si>
    <t>Gloria</t>
  </si>
  <si>
    <t>Carol</t>
  </si>
  <si>
    <t>Ronaldo</t>
  </si>
  <si>
    <t>Waine</t>
  </si>
  <si>
    <t>Christopher</t>
  </si>
  <si>
    <t>Eliseo</t>
  </si>
  <si>
    <t>Mario</t>
  </si>
  <si>
    <t>Perla</t>
  </si>
  <si>
    <t>Stephanie</t>
  </si>
  <si>
    <t>Marcela</t>
  </si>
  <si>
    <t>Jean</t>
  </si>
  <si>
    <t>Nikita</t>
  </si>
  <si>
    <t>Sadia</t>
  </si>
  <si>
    <t>Robert</t>
  </si>
  <si>
    <t>Airina</t>
  </si>
  <si>
    <t>Reinaldo</t>
  </si>
  <si>
    <t>Berkis</t>
  </si>
  <si>
    <t>Barbara</t>
  </si>
  <si>
    <t>Fadia</t>
  </si>
  <si>
    <t>Erasmo</t>
  </si>
  <si>
    <t>Belladira</t>
  </si>
  <si>
    <t>Wesam</t>
  </si>
  <si>
    <t>Lino</t>
  </si>
  <si>
    <t>Elizabeth</t>
  </si>
  <si>
    <t>Shermayne</t>
  </si>
  <si>
    <t>Rajmonda</t>
  </si>
  <si>
    <t>Yesli</t>
  </si>
  <si>
    <t>Kerema</t>
  </si>
  <si>
    <t>Raymond</t>
  </si>
  <si>
    <t>Jasodra</t>
  </si>
  <si>
    <t>Thomas</t>
  </si>
  <si>
    <t>Doly</t>
  </si>
  <si>
    <t>Belgin</t>
  </si>
  <si>
    <t>Dianne</t>
  </si>
  <si>
    <t>Audriana</t>
  </si>
  <si>
    <t>Keisha</t>
  </si>
  <si>
    <t>Ricardo</t>
  </si>
  <si>
    <t>Edras</t>
  </si>
  <si>
    <t>Gaffiloom</t>
  </si>
  <si>
    <t>Georgeta</t>
  </si>
  <si>
    <t>Jeremy</t>
  </si>
  <si>
    <t>NO GIVEN NAME</t>
  </si>
  <si>
    <t>Joselyn</t>
  </si>
  <si>
    <t>Gervin</t>
  </si>
  <si>
    <t>Alexandra</t>
  </si>
  <si>
    <t>Heidi</t>
  </si>
  <si>
    <t>Subhan</t>
  </si>
  <si>
    <t>Henrry</t>
  </si>
  <si>
    <t>Aminata</t>
  </si>
  <si>
    <t>Dennekia</t>
  </si>
  <si>
    <t>Bibi</t>
  </si>
  <si>
    <t>Kyle</t>
  </si>
  <si>
    <t>Marvin</t>
  </si>
  <si>
    <t>Georgina</t>
  </si>
  <si>
    <t>Yanira</t>
  </si>
  <si>
    <t>Eriberto</t>
  </si>
  <si>
    <t>Jungwon</t>
  </si>
  <si>
    <t>Cherry</t>
  </si>
  <si>
    <t>Catherine</t>
  </si>
  <si>
    <t>Beena</t>
  </si>
  <si>
    <t>Adiza</t>
  </si>
  <si>
    <t>karina</t>
  </si>
  <si>
    <t>Adela</t>
  </si>
  <si>
    <t>Samuel</t>
  </si>
  <si>
    <t>Victor</t>
  </si>
  <si>
    <t>Elsa</t>
  </si>
  <si>
    <t>Annette</t>
  </si>
  <si>
    <t>Lucia</t>
  </si>
  <si>
    <t>Deolall</t>
  </si>
  <si>
    <t>Telma</t>
  </si>
  <si>
    <t>Francisca</t>
  </si>
  <si>
    <t>Sonia</t>
  </si>
  <si>
    <t>Hyunhee</t>
  </si>
  <si>
    <t>Shelly</t>
  </si>
  <si>
    <t>Salomon</t>
  </si>
  <si>
    <t>Jin</t>
  </si>
  <si>
    <t>Ladi</t>
  </si>
  <si>
    <t>Imrose</t>
  </si>
  <si>
    <t>Alas Vega</t>
  </si>
  <si>
    <t>Gallego Abad</t>
  </si>
  <si>
    <t>Burton</t>
  </si>
  <si>
    <t>Lache</t>
  </si>
  <si>
    <t>Escalante</t>
  </si>
  <si>
    <t>Magloire</t>
  </si>
  <si>
    <t>Bernardez Flores</t>
  </si>
  <si>
    <t>Francis Garth</t>
  </si>
  <si>
    <t>Harvey</t>
  </si>
  <si>
    <t>Martinez</t>
  </si>
  <si>
    <t>Hernandez Rivera</t>
  </si>
  <si>
    <t>Rendon Monroy</t>
  </si>
  <si>
    <t>Lewis Thomas</t>
  </si>
  <si>
    <t>Rivera Cruz</t>
  </si>
  <si>
    <t>Juarez Herrera</t>
  </si>
  <si>
    <t>Flores Rojas</t>
  </si>
  <si>
    <t>Marcos Zacarias</t>
  </si>
  <si>
    <t>Gonzalez</t>
  </si>
  <si>
    <t>Rodriguez</t>
  </si>
  <si>
    <t>De la Rosa</t>
  </si>
  <si>
    <t>Sotil Fernandez</t>
  </si>
  <si>
    <t>Moreira Mindiola</t>
  </si>
  <si>
    <t>Kim</t>
  </si>
  <si>
    <t>Setal</t>
  </si>
  <si>
    <t>Cuellar Henriquez</t>
  </si>
  <si>
    <t>Amaya Moya</t>
  </si>
  <si>
    <t>Hernandez Cabrera</t>
  </si>
  <si>
    <t>Cedillo Dominguez</t>
  </si>
  <si>
    <t>Batiz Martinez</t>
  </si>
  <si>
    <t>Salcedo Carillo</t>
  </si>
  <si>
    <t>Salim</t>
  </si>
  <si>
    <t>Alvarado</t>
  </si>
  <si>
    <t>Esquivel Tuchez</t>
  </si>
  <si>
    <t>Laines-Juracan</t>
  </si>
  <si>
    <t>Paz-Ramirez</t>
  </si>
  <si>
    <t>Chavez</t>
  </si>
  <si>
    <t>Ixmata</t>
  </si>
  <si>
    <t>Bautista Carranza</t>
  </si>
  <si>
    <t>Bones</t>
  </si>
  <si>
    <t>Beharie</t>
  </si>
  <si>
    <t>Murillo Garcia</t>
  </si>
  <si>
    <t>Rios Lara</t>
  </si>
  <si>
    <t>Soung</t>
  </si>
  <si>
    <t>Vallecillo-Ramirez</t>
  </si>
  <si>
    <t>Hernandez Campos</t>
  </si>
  <si>
    <t>Toro Porras</t>
  </si>
  <si>
    <t>Banegas Garcia</t>
  </si>
  <si>
    <t>Sewell</t>
  </si>
  <si>
    <t>Saunders</t>
  </si>
  <si>
    <t>Martinez Crisostomo</t>
  </si>
  <si>
    <t>Mendez</t>
  </si>
  <si>
    <t>Lynch</t>
  </si>
  <si>
    <t>Arevalo</t>
  </si>
  <si>
    <t>Pastor Sierra</t>
  </si>
  <si>
    <t>Bandeira</t>
  </si>
  <si>
    <t>Alvarez-Gutierrez</t>
  </si>
  <si>
    <t>Gutierrez-Velasquez</t>
  </si>
  <si>
    <t>Soria</t>
  </si>
  <si>
    <t>De Leon</t>
  </si>
  <si>
    <t>Amaya</t>
  </si>
  <si>
    <t>Martinez Amaya</t>
  </si>
  <si>
    <t>Osorio</t>
  </si>
  <si>
    <t>Lopez Padilla</t>
  </si>
  <si>
    <t>Osorio Padilla</t>
  </si>
  <si>
    <t>Chuquin Bello</t>
  </si>
  <si>
    <t>Chuqin Bello</t>
  </si>
  <si>
    <t>Stewart</t>
  </si>
  <si>
    <t>Alvarado Ulloa</t>
  </si>
  <si>
    <t>Murillo Alvarado</t>
  </si>
  <si>
    <t>Flores</t>
  </si>
  <si>
    <t>Garzon</t>
  </si>
  <si>
    <t>Karpiuk</t>
  </si>
  <si>
    <t>Rahman</t>
  </si>
  <si>
    <t>Crisostomo Enamorado</t>
  </si>
  <si>
    <t>Rodriguez Reyes</t>
  </si>
  <si>
    <t>Barrera</t>
  </si>
  <si>
    <t>Amador Rios</t>
  </si>
  <si>
    <t>Medrano</t>
  </si>
  <si>
    <t>Naji</t>
  </si>
  <si>
    <t>Serech Vargas</t>
  </si>
  <si>
    <t>Delcid</t>
  </si>
  <si>
    <t>Brito Ventura</t>
  </si>
  <si>
    <t>Montoya</t>
  </si>
  <si>
    <t>Juarez</t>
  </si>
  <si>
    <t>Castro Prada</t>
  </si>
  <si>
    <t>Sanchez Arias</t>
  </si>
  <si>
    <t>Alvares Guallpa</t>
  </si>
  <si>
    <t>Lluilema Garcia</t>
  </si>
  <si>
    <t>Martinez Bonilla</t>
  </si>
  <si>
    <t>Santana</t>
  </si>
  <si>
    <t>Peralta</t>
  </si>
  <si>
    <t>Koumtog</t>
  </si>
  <si>
    <t>Rabbani</t>
  </si>
  <si>
    <t>Alba Hernandez</t>
  </si>
  <si>
    <t>Regalado</t>
  </si>
  <si>
    <t>Affoon</t>
  </si>
  <si>
    <t>Angamarca</t>
  </si>
  <si>
    <t>Hernandez Lazaro</t>
  </si>
  <si>
    <t>Garcia</t>
  </si>
  <si>
    <t>Zamudio</t>
  </si>
  <si>
    <t>Vasquez Andrade</t>
  </si>
  <si>
    <t>Vasquez Portillo</t>
  </si>
  <si>
    <t>Garcia Garcia</t>
  </si>
  <si>
    <t>Campos</t>
  </si>
  <si>
    <t>Monroy Mercado</t>
  </si>
  <si>
    <t>Ram</t>
  </si>
  <si>
    <t>Palacios Argueta</t>
  </si>
  <si>
    <t>Ramjattan</t>
  </si>
  <si>
    <t>Andino Castro</t>
  </si>
  <si>
    <t>Salazar</t>
  </si>
  <si>
    <t>Kaur</t>
  </si>
  <si>
    <t>Gonzalez Irias</t>
  </si>
  <si>
    <t>Peart</t>
  </si>
  <si>
    <t>Sarmiento Martinez</t>
  </si>
  <si>
    <t>Mendoza Mejia</t>
  </si>
  <si>
    <t>Castillo Valencia</t>
  </si>
  <si>
    <t>Mendoza</t>
  </si>
  <si>
    <t>Pulgar Fuenmayor</t>
  </si>
  <si>
    <t>Abuziyad</t>
  </si>
  <si>
    <t>Torales</t>
  </si>
  <si>
    <t>Andrade Loor</t>
  </si>
  <si>
    <t>Calderon</t>
  </si>
  <si>
    <t>Narsingh</t>
  </si>
  <si>
    <t>Bourdeau</t>
  </si>
  <si>
    <t>Tineo</t>
  </si>
  <si>
    <t>Alvarez Zelaya</t>
  </si>
  <si>
    <t>Martinez-Ramirez</t>
  </si>
  <si>
    <t>Fernandez Soto</t>
  </si>
  <si>
    <t>Bello</t>
  </si>
  <si>
    <t>Delgado Cardozo</t>
  </si>
  <si>
    <t>Munoz</t>
  </si>
  <si>
    <t>Fernandes</t>
  </si>
  <si>
    <t>Javier</t>
  </si>
  <si>
    <t>Godoy Minchala</t>
  </si>
  <si>
    <t>Alegre</t>
  </si>
  <si>
    <t>Roopnarine</t>
  </si>
  <si>
    <t>Salazar de Marroquin</t>
  </si>
  <si>
    <t>Basdeo</t>
  </si>
  <si>
    <t>Mangal</t>
  </si>
  <si>
    <t>Mendoza Ramos</t>
  </si>
  <si>
    <t>Villalba</t>
  </si>
  <si>
    <t>Narvaez Padilla</t>
  </si>
  <si>
    <t>Benitez Sarmiento</t>
  </si>
  <si>
    <t>Nachande</t>
  </si>
  <si>
    <t>Seeram</t>
  </si>
  <si>
    <t>Maya Gonzalez</t>
  </si>
  <si>
    <t>Zacaria Martin</t>
  </si>
  <si>
    <t>Correa Valencia</t>
  </si>
  <si>
    <t>Moran</t>
  </si>
  <si>
    <t>Beharry</t>
  </si>
  <si>
    <t>Lora</t>
  </si>
  <si>
    <t>Lopez de Souza</t>
  </si>
  <si>
    <t>Jimenez Pelico</t>
  </si>
  <si>
    <t>Silva Queche</t>
  </si>
  <si>
    <t>Roberts</t>
  </si>
  <si>
    <t>Navas</t>
  </si>
  <si>
    <t>Riaz</t>
  </si>
  <si>
    <t>Zelaya</t>
  </si>
  <si>
    <t>Arias Arevalo</t>
  </si>
  <si>
    <t>Rowana</t>
  </si>
  <si>
    <t>Velazquez</t>
  </si>
  <si>
    <t>Vargas</t>
  </si>
  <si>
    <t>Navas Contreras</t>
  </si>
  <si>
    <t>Alvarez</t>
  </si>
  <si>
    <t>Acosta Cuervo</t>
  </si>
  <si>
    <t>Antunez</t>
  </si>
  <si>
    <t>Hernandez-Gomez</t>
  </si>
  <si>
    <t>Vazquez Olivos</t>
  </si>
  <si>
    <t>Rivas</t>
  </si>
  <si>
    <t>Robinson</t>
  </si>
  <si>
    <t>Tenorio</t>
  </si>
  <si>
    <t>Narvaez</t>
  </si>
  <si>
    <t>Zea</t>
  </si>
  <si>
    <t>Echeverria</t>
  </si>
  <si>
    <t>Alvarado Murillo</t>
  </si>
  <si>
    <t>Benitez Reyes</t>
  </si>
  <si>
    <t>Pellicone</t>
  </si>
  <si>
    <t>Xavier</t>
  </si>
  <si>
    <t>Figueroa</t>
  </si>
  <si>
    <t>Gomez Miranda</t>
  </si>
  <si>
    <t>Djonovic</t>
  </si>
  <si>
    <t>Escobar Avilez</t>
  </si>
  <si>
    <t>Sanic Tax</t>
  </si>
  <si>
    <t>Caicedo</t>
  </si>
  <si>
    <t>Daniels</t>
  </si>
  <si>
    <t>Peña</t>
  </si>
  <si>
    <t>Nwe</t>
  </si>
  <si>
    <t>Fariño</t>
  </si>
  <si>
    <t>Delgado Cantarero</t>
  </si>
  <si>
    <t>Zapata Florez</t>
  </si>
  <si>
    <t>Peralta Perez</t>
  </si>
  <si>
    <t>Cuc-Garcia</t>
  </si>
  <si>
    <t>Medina Fuentes</t>
  </si>
  <si>
    <t>Alatorre</t>
  </si>
  <si>
    <t>Louis</t>
  </si>
  <si>
    <t>Singh</t>
  </si>
  <si>
    <t>Mahabir</t>
  </si>
  <si>
    <t>Hanley</t>
  </si>
  <si>
    <t>Gonzalez-Colon</t>
  </si>
  <si>
    <t>Portilla</t>
  </si>
  <si>
    <t>Tavarez</t>
  </si>
  <si>
    <t>Mercedes Moreno</t>
  </si>
  <si>
    <t>Reid</t>
  </si>
  <si>
    <t>Kadir</t>
  </si>
  <si>
    <t>Manzano</t>
  </si>
  <si>
    <t>Amaya Perez</t>
  </si>
  <si>
    <t>Mansour</t>
  </si>
  <si>
    <t>Sweeny</t>
  </si>
  <si>
    <t>Pitcairn</t>
  </si>
  <si>
    <t>Clarke</t>
  </si>
  <si>
    <t>Bahja</t>
  </si>
  <si>
    <t>Chavez Chicas</t>
  </si>
  <si>
    <t>Barcia</t>
  </si>
  <si>
    <t>Dixon</t>
  </si>
  <si>
    <t>Persaud</t>
  </si>
  <si>
    <t>Vera</t>
  </si>
  <si>
    <t>Marquez</t>
  </si>
  <si>
    <t>Cardenas Gallego</t>
  </si>
  <si>
    <t>Menza</t>
  </si>
  <si>
    <t>Ugursu</t>
  </si>
  <si>
    <t>Clarke Balin</t>
  </si>
  <si>
    <t>Harbajan</t>
  </si>
  <si>
    <t>Betancur</t>
  </si>
  <si>
    <t>Enriquez</t>
  </si>
  <si>
    <t>Naraine</t>
  </si>
  <si>
    <t>Jairam</t>
  </si>
  <si>
    <t>Bratu</t>
  </si>
  <si>
    <t>Castillo</t>
  </si>
  <si>
    <t>Pina De La Cruz</t>
  </si>
  <si>
    <t>De La Cruz</t>
  </si>
  <si>
    <t>Dolor</t>
  </si>
  <si>
    <t>Erazo Sarmiento</t>
  </si>
  <si>
    <t>Enamorado-Hernandez</t>
  </si>
  <si>
    <t>Canales Enamorado</t>
  </si>
  <si>
    <t>Ally</t>
  </si>
  <si>
    <t>Gabriel Quezada</t>
  </si>
  <si>
    <t>Sokhna</t>
  </si>
  <si>
    <t>Beckford-Duffault</t>
  </si>
  <si>
    <t>Shiamsundar</t>
  </si>
  <si>
    <t>Sarmiento</t>
  </si>
  <si>
    <t>Paulino</t>
  </si>
  <si>
    <t>Ortiz-Cruzel</t>
  </si>
  <si>
    <t>Han-Kufner</t>
  </si>
  <si>
    <t>Chicas Rodriguez</t>
  </si>
  <si>
    <t>Nunez</t>
  </si>
  <si>
    <t>Reneau</t>
  </si>
  <si>
    <t>Jacob</t>
  </si>
  <si>
    <t>Eleshin</t>
  </si>
  <si>
    <t>Rivera</t>
  </si>
  <si>
    <t>Navid</t>
  </si>
  <si>
    <t>Straughter</t>
  </si>
  <si>
    <t>Gbapaywhea</t>
  </si>
  <si>
    <t>Del Rosario</t>
  </si>
  <si>
    <t>Ramos</t>
  </si>
  <si>
    <t>Tapia</t>
  </si>
  <si>
    <t>Rojas</t>
  </si>
  <si>
    <t>Mohabir</t>
  </si>
  <si>
    <t>Lopez</t>
  </si>
  <si>
    <t>Fernandez</t>
  </si>
  <si>
    <t>Husbands</t>
  </si>
  <si>
    <t>Rivera- Duran</t>
  </si>
  <si>
    <t>Padilla</t>
  </si>
  <si>
    <t>Zou</t>
  </si>
  <si>
    <t>Spouse or children of victim of trafficking</t>
  </si>
  <si>
    <t>Not Eligible</t>
  </si>
  <si>
    <t>Unmarried siblings under 18 of victim of criminal activity (eligible for U Visa) (victim must be under 21)</t>
  </si>
  <si>
    <t>Unmarried child under 21 of a US Citizen with a pending or approved adjustment of status (greencard) application</t>
  </si>
  <si>
    <t>Granted Suspension of  Deportation/Witholding of Removal</t>
  </si>
  <si>
    <t>HRA</t>
  </si>
  <si>
    <t>United Kingdom</t>
  </si>
  <si>
    <t>Korea (South)</t>
  </si>
  <si>
    <t>South Korea</t>
  </si>
  <si>
    <t>Antigua and Barbuda</t>
  </si>
  <si>
    <t>Brazil</t>
  </si>
  <si>
    <t>Chad</t>
  </si>
  <si>
    <t>Philippines</t>
  </si>
  <si>
    <t>India</t>
  </si>
  <si>
    <t>Palestine</t>
  </si>
  <si>
    <t>Suriname</t>
  </si>
  <si>
    <t>Cape Verde</t>
  </si>
  <si>
    <t>Argentina</t>
  </si>
  <si>
    <t>Zambia</t>
  </si>
  <si>
    <t>Pakistan</t>
  </si>
  <si>
    <t>Dominica</t>
  </si>
  <si>
    <t>Montenegro</t>
  </si>
  <si>
    <t>Myanmar (Burma)</t>
  </si>
  <si>
    <t>St Lucia</t>
  </si>
  <si>
    <t>Albania</t>
  </si>
  <si>
    <t>Turkey</t>
  </si>
  <si>
    <t>Saint Lucia</t>
  </si>
  <si>
    <t>Senegal</t>
  </si>
  <si>
    <t>Liberia</t>
  </si>
  <si>
    <t>Spain</t>
  </si>
  <si>
    <t>06/24/2019</t>
  </si>
  <si>
    <t>03/08/2019</t>
  </si>
  <si>
    <t>06/05/2019</t>
  </si>
  <si>
    <t>01/02/2019</t>
  </si>
  <si>
    <t>01/16/2019</t>
  </si>
  <si>
    <t>12/26/2018</t>
  </si>
  <si>
    <t>04/23/2019</t>
  </si>
  <si>
    <t>08/22/2018</t>
  </si>
  <si>
    <t>08/07/2018</t>
  </si>
  <si>
    <t>04/04/2018</t>
  </si>
  <si>
    <t>07/16/2018</t>
  </si>
  <si>
    <t>02/21/2018</t>
  </si>
  <si>
    <t>06/04/2018</t>
  </si>
  <si>
    <t>12/20/2017</t>
  </si>
  <si>
    <t>06/06/2018</t>
  </si>
  <si>
    <t>01/12/2018</t>
  </si>
  <si>
    <t>02/16/2018</t>
  </si>
  <si>
    <t>Decided by Presiding Court/Tribunal—DENIED</t>
  </si>
  <si>
    <t>3001-Obtained  or maintained custody of children</t>
  </si>
  <si>
    <t>LaGuardia College</t>
  </si>
  <si>
    <t>Fortune Society</t>
  </si>
  <si>
    <t>Child Center of New York</t>
  </si>
  <si>
    <t>01/30/1973</t>
  </si>
  <si>
    <t>12/07/1999</t>
  </si>
  <si>
    <t>05/02/1992</t>
  </si>
  <si>
    <t>07/12/1999</t>
  </si>
  <si>
    <t>05/08/2012</t>
  </si>
  <si>
    <t>02/09/1983</t>
  </si>
  <si>
    <t>04/22/1991</t>
  </si>
  <si>
    <t>03/21/1953</t>
  </si>
  <si>
    <t>12/08/1987</t>
  </si>
  <si>
    <t>10/29/2008</t>
  </si>
  <si>
    <t>06/20/1993</t>
  </si>
  <si>
    <t>05/01/1988</t>
  </si>
  <si>
    <t>08/11/1965</t>
  </si>
  <si>
    <t>05/11/1982</t>
  </si>
  <si>
    <t>11/12/1961</t>
  </si>
  <si>
    <t>07/02/1996</t>
  </si>
  <si>
    <t>12/13/1998</t>
  </si>
  <si>
    <t>12/19/1980</t>
  </si>
  <si>
    <t>03/30/1978</t>
  </si>
  <si>
    <t>09/28/1986</t>
  </si>
  <si>
    <t>12/14/2001</t>
  </si>
  <si>
    <t>11/14/2002</t>
  </si>
  <si>
    <t>05/27/2009</t>
  </si>
  <si>
    <t>09/11/2009</t>
  </si>
  <si>
    <t>01/27/1977</t>
  </si>
  <si>
    <t>12/28/1980</t>
  </si>
  <si>
    <t>12/26/1970</t>
  </si>
  <si>
    <t>07/05/1970</t>
  </si>
  <si>
    <t>09/08/1968</t>
  </si>
  <si>
    <t>09/04/1999</t>
  </si>
  <si>
    <t>10/27/1979</t>
  </si>
  <si>
    <t>11/15/2007</t>
  </si>
  <si>
    <t>08/20/1999</t>
  </si>
  <si>
    <t>08/30/2000</t>
  </si>
  <si>
    <t>07/09/1984</t>
  </si>
  <si>
    <t>02/24/1958</t>
  </si>
  <si>
    <t>09/25/1995</t>
  </si>
  <si>
    <t>08/14/1969</t>
  </si>
  <si>
    <t>02/10/1971</t>
  </si>
  <si>
    <t>07/13/1973</t>
  </si>
  <si>
    <t>10/03/1977</t>
  </si>
  <si>
    <t>03/21/2002</t>
  </si>
  <si>
    <t>10/12/1988</t>
  </si>
  <si>
    <t>03/28/1974</t>
  </si>
  <si>
    <t>01/27/2001</t>
  </si>
  <si>
    <t>09/16/1982</t>
  </si>
  <si>
    <t>12/05/1984</t>
  </si>
  <si>
    <t>06/10/1977</t>
  </si>
  <si>
    <t>01/31/1979</t>
  </si>
  <si>
    <t>04/20/2001</t>
  </si>
  <si>
    <t>07/02/1984</t>
  </si>
  <si>
    <t>02/02/2011</t>
  </si>
  <si>
    <t>09/26/1969</t>
  </si>
  <si>
    <t>11/08/1958</t>
  </si>
  <si>
    <t>07/07/1975</t>
  </si>
  <si>
    <t>12/20/1997</t>
  </si>
  <si>
    <t>07/07/1987</t>
  </si>
  <si>
    <t>02/05/2006</t>
  </si>
  <si>
    <t>04/11/2008</t>
  </si>
  <si>
    <t>12/10/1960</t>
  </si>
  <si>
    <t>09/12/1985</t>
  </si>
  <si>
    <t>06/13/1974</t>
  </si>
  <si>
    <t>11/12/1972</t>
  </si>
  <si>
    <t>07/07/1986</t>
  </si>
  <si>
    <t>04/14/2004</t>
  </si>
  <si>
    <t>01/10/1980</t>
  </si>
  <si>
    <t>01/29/1970</t>
  </si>
  <si>
    <t>04/23/1976</t>
  </si>
  <si>
    <t>01/22/1998</t>
  </si>
  <si>
    <t>06/18/2014</t>
  </si>
  <si>
    <t>10/07/1977</t>
  </si>
  <si>
    <t>02/14/2002</t>
  </si>
  <si>
    <t>03/05/2004</t>
  </si>
  <si>
    <t>10/20/2000</t>
  </si>
  <si>
    <t>07/03/1999</t>
  </si>
  <si>
    <t>02/18/1991</t>
  </si>
  <si>
    <t>05/23/1976</t>
  </si>
  <si>
    <t>11/16/2011</t>
  </si>
  <si>
    <t>02/11/2015</t>
  </si>
  <si>
    <t>03/02/1990</t>
  </si>
  <si>
    <t>08/11/1986</t>
  </si>
  <si>
    <t>08/19/1987</t>
  </si>
  <si>
    <t>09/01/1977</t>
  </si>
  <si>
    <t>10/18/1980</t>
  </si>
  <si>
    <t>01/14/2003</t>
  </si>
  <si>
    <t>07/12/1972</t>
  </si>
  <si>
    <t>02/08/2012</t>
  </si>
  <si>
    <t>06/08/1981</t>
  </si>
  <si>
    <t>04/05/1995</t>
  </si>
  <si>
    <t>06/24/2004</t>
  </si>
  <si>
    <t>10/28/2002</t>
  </si>
  <si>
    <t>09/05/1979</t>
  </si>
  <si>
    <t>11/15/2002</t>
  </si>
  <si>
    <t>08/30/1983</t>
  </si>
  <si>
    <t>07/13/1988</t>
  </si>
  <si>
    <t>06/30/2011</t>
  </si>
  <si>
    <t>07/13/1979</t>
  </si>
  <si>
    <t>02/26/1975</t>
  </si>
  <si>
    <t>07/24/2002</t>
  </si>
  <si>
    <t>01/01/1996</t>
  </si>
  <si>
    <t>08/08/1994</t>
  </si>
  <si>
    <t>05/28/1981</t>
  </si>
  <si>
    <t>06/15/1985</t>
  </si>
  <si>
    <t>01/01/1965</t>
  </si>
  <si>
    <t>01/01/1972</t>
  </si>
  <si>
    <t>03/13/2015</t>
  </si>
  <si>
    <t>03/20/1986</t>
  </si>
  <si>
    <t>01/12/1979</t>
  </si>
  <si>
    <t>07/05/2013</t>
  </si>
  <si>
    <t>07/26/1986</t>
  </si>
  <si>
    <t>02/24/1984</t>
  </si>
  <si>
    <t>04/14/1995</t>
  </si>
  <si>
    <t>10/19/1985</t>
  </si>
  <si>
    <t>07/27/1997</t>
  </si>
  <si>
    <t>11/28/2013</t>
  </si>
  <si>
    <t>12/28/2001</t>
  </si>
  <si>
    <t>01/01/2012</t>
  </si>
  <si>
    <t>10/17/1979</t>
  </si>
  <si>
    <t>11/09/1995</t>
  </si>
  <si>
    <t>12/04/1975</t>
  </si>
  <si>
    <t>04/27/1995</t>
  </si>
  <si>
    <t>05/18/1999</t>
  </si>
  <si>
    <t>05/19/1959</t>
  </si>
  <si>
    <t>11/26/1962</t>
  </si>
  <si>
    <t>07/15/1983</t>
  </si>
  <si>
    <t>04/27/1984</t>
  </si>
  <si>
    <t>07/07/1982</t>
  </si>
  <si>
    <t>07/08/1995</t>
  </si>
  <si>
    <t>09/24/1974</t>
  </si>
  <si>
    <t>10/07/1987</t>
  </si>
  <si>
    <t>09/27/2001</t>
  </si>
  <si>
    <t>04/04/1982</t>
  </si>
  <si>
    <t>09/24/2003</t>
  </si>
  <si>
    <t>04/16/1981</t>
  </si>
  <si>
    <t>01/11/1987</t>
  </si>
  <si>
    <t>08/22/1989</t>
  </si>
  <si>
    <t>11/11/1998</t>
  </si>
  <si>
    <t>06/18/1984</t>
  </si>
  <si>
    <t>12/15/1980</t>
  </si>
  <si>
    <t>07/01/1992</t>
  </si>
  <si>
    <t>10/23/1955</t>
  </si>
  <si>
    <t>03/22/2012</t>
  </si>
  <si>
    <t>11/06/1998</t>
  </si>
  <si>
    <t>07/31/1991</t>
  </si>
  <si>
    <t>12/04/1971</t>
  </si>
  <si>
    <t>02/26/1981</t>
  </si>
  <si>
    <t>05/29/1977</t>
  </si>
  <si>
    <t>02/04/1982</t>
  </si>
  <si>
    <t>12/23/1966</t>
  </si>
  <si>
    <t>07/23/1996</t>
  </si>
  <si>
    <t>10/20/1950</t>
  </si>
  <si>
    <t>11/13/1969</t>
  </si>
  <si>
    <t>07/12/1980</t>
  </si>
  <si>
    <t>08/30/1962</t>
  </si>
  <si>
    <t>11/11/1966</t>
  </si>
  <si>
    <t>07/17/1998</t>
  </si>
  <si>
    <t>08/11/2001</t>
  </si>
  <si>
    <t>08/21/1986</t>
  </si>
  <si>
    <t>08/04/1997</t>
  </si>
  <si>
    <t>08/02/2002</t>
  </si>
  <si>
    <t>12/01/1964</t>
  </si>
  <si>
    <t>06/03/1968</t>
  </si>
  <si>
    <t>05/10/1976</t>
  </si>
  <si>
    <t>02/25/1981</t>
  </si>
  <si>
    <t>04/28/2008</t>
  </si>
  <si>
    <t>09/06/2004</t>
  </si>
  <si>
    <t>07/18/1978</t>
  </si>
  <si>
    <t>12/28/1972</t>
  </si>
  <si>
    <t>06/04/2001</t>
  </si>
  <si>
    <t>02/07/1993</t>
  </si>
  <si>
    <t>06/29/1969</t>
  </si>
  <si>
    <t>01/26/2001</t>
  </si>
  <si>
    <t>09/22/1990</t>
  </si>
  <si>
    <t>10/31/1999</t>
  </si>
  <si>
    <t>10/04/1972</t>
  </si>
  <si>
    <t>02/04/1990</t>
  </si>
  <si>
    <t>04/14/1990</t>
  </si>
  <si>
    <t>04/25/1976</t>
  </si>
  <si>
    <t>01/28/1996</t>
  </si>
  <si>
    <t>06/03/1994</t>
  </si>
  <si>
    <t>08/07/1954</t>
  </si>
  <si>
    <t>04/14/1959</t>
  </si>
  <si>
    <t>07/04/1984</t>
  </si>
  <si>
    <t>08/08/1981</t>
  </si>
  <si>
    <t>07/02/1975</t>
  </si>
  <si>
    <t>11/19/1988</t>
  </si>
  <si>
    <t>08/30/1951</t>
  </si>
  <si>
    <t>10/30/1990</t>
  </si>
  <si>
    <t>10/07/1996</t>
  </si>
  <si>
    <t>07/13/2015</t>
  </si>
  <si>
    <t>10/17/1970</t>
  </si>
  <si>
    <t>04/26/1973</t>
  </si>
  <si>
    <t>01/03/1995</t>
  </si>
  <si>
    <t>04/12/1975</t>
  </si>
  <si>
    <t>06/05/1964</t>
  </si>
  <si>
    <t>08/22/1987</t>
  </si>
  <si>
    <t>05/20/1972</t>
  </si>
  <si>
    <t>04/20/1992</t>
  </si>
  <si>
    <t>12/29/2001</t>
  </si>
  <si>
    <t>02/10/1996</t>
  </si>
  <si>
    <t>05/03/1964</t>
  </si>
  <si>
    <t>12/24/1965</t>
  </si>
  <si>
    <t>09/12/1960</t>
  </si>
  <si>
    <t>03/20/1969</t>
  </si>
  <si>
    <t>01/17/1993</t>
  </si>
  <si>
    <t>05/17/1949</t>
  </si>
  <si>
    <t>06/20/1968</t>
  </si>
  <si>
    <t>10/11/2000</t>
  </si>
  <si>
    <t>05/22/1969</t>
  </si>
  <si>
    <t>01/27/1957</t>
  </si>
  <si>
    <t>02/23/1989</t>
  </si>
  <si>
    <t>11/22/1960</t>
  </si>
  <si>
    <t>01/08/1992</t>
  </si>
  <si>
    <t>12/21/1995</t>
  </si>
  <si>
    <t>10/20/1980</t>
  </si>
  <si>
    <t>11/23/1966</t>
  </si>
  <si>
    <t>12/06/1998</t>
  </si>
  <si>
    <t>10/24/1975</t>
  </si>
  <si>
    <t>10/19/1998</t>
  </si>
  <si>
    <t>04/02/1949</t>
  </si>
  <si>
    <t>08/30/2003</t>
  </si>
  <si>
    <t>08/14/1976</t>
  </si>
  <si>
    <t>10/22/1996</t>
  </si>
  <si>
    <t>04/04/1991</t>
  </si>
  <si>
    <t>04/20/1991</t>
  </si>
  <si>
    <t>12/09/1958</t>
  </si>
  <si>
    <t>11/16/1978</t>
  </si>
  <si>
    <t>03/14/1996</t>
  </si>
  <si>
    <t>06/29/1957</t>
  </si>
  <si>
    <t>07/14/1958</t>
  </si>
  <si>
    <t>09/27/1991</t>
  </si>
  <si>
    <t>05/12/1962</t>
  </si>
  <si>
    <t>07/28/1970</t>
  </si>
  <si>
    <t>11/16/1947</t>
  </si>
  <si>
    <t>03/14/1976</t>
  </si>
  <si>
    <t>01/20/1954</t>
  </si>
  <si>
    <t>08/01/1983</t>
  </si>
  <si>
    <t>03/04/1965</t>
  </si>
  <si>
    <t>06/05/1975</t>
  </si>
  <si>
    <t>04/19/1975</t>
  </si>
  <si>
    <t>11/07/1984</t>
  </si>
  <si>
    <t>08/12/1996</t>
  </si>
  <si>
    <t>04/12/1982</t>
  </si>
  <si>
    <t>09/29/2013</t>
  </si>
  <si>
    <t>06/07/1959</t>
  </si>
  <si>
    <t>03/16/1985</t>
  </si>
  <si>
    <t>02/09/1961</t>
  </si>
  <si>
    <t>03/29/1989</t>
  </si>
  <si>
    <t>09/15/1968</t>
  </si>
  <si>
    <t>01/06/1981</t>
  </si>
  <si>
    <t>06/24/2007</t>
  </si>
  <si>
    <t>08/13/1966</t>
  </si>
  <si>
    <t>05/31/1980</t>
  </si>
  <si>
    <t>07/24/1983</t>
  </si>
  <si>
    <t>10/14/1964</t>
  </si>
  <si>
    <t>12/07/1994</t>
  </si>
  <si>
    <t>11/08/1978</t>
  </si>
  <si>
    <t>07/06/1993</t>
  </si>
  <si>
    <t>01/05/1972</t>
  </si>
  <si>
    <t>06/20/1970</t>
  </si>
  <si>
    <t>12/11/1967</t>
  </si>
  <si>
    <t>02/20/1999</t>
  </si>
  <si>
    <t>03/19/1965</t>
  </si>
  <si>
    <t>01/11/1956</t>
  </si>
  <si>
    <t>01/04/1968</t>
  </si>
  <si>
    <t>02/25/1998</t>
  </si>
  <si>
    <t>11/18/2002</t>
  </si>
  <si>
    <t>05/29/1966</t>
  </si>
  <si>
    <t>08/16/1939</t>
  </si>
  <si>
    <t>01/11/1991</t>
  </si>
  <si>
    <t>09/08/1978</t>
  </si>
  <si>
    <t>04/12/2015</t>
  </si>
  <si>
    <t>02/28/1987</t>
  </si>
  <si>
    <t>02/19/2013</t>
  </si>
  <si>
    <t>05/11/1954</t>
  </si>
  <si>
    <t>01/11/1996</t>
  </si>
  <si>
    <t>08/07/1977</t>
  </si>
  <si>
    <t>11/05/1989</t>
  </si>
  <si>
    <t>10/14/1969</t>
  </si>
  <si>
    <t>11/02/1995</t>
  </si>
  <si>
    <t>08/24/1997</t>
  </si>
  <si>
    <t>04/18/2009</t>
  </si>
  <si>
    <t>12/23/1984</t>
  </si>
  <si>
    <t>03/10/1965</t>
  </si>
  <si>
    <t>01/15/1973</t>
  </si>
  <si>
    <t>10/03/1976</t>
  </si>
  <si>
    <t>02/25/1982</t>
  </si>
  <si>
    <t>10/16/1997</t>
  </si>
  <si>
    <t>05/11/1959</t>
  </si>
  <si>
    <t>10/07/1944</t>
  </si>
  <si>
    <t>04/28/1997</t>
  </si>
  <si>
    <t>04/14/1966</t>
  </si>
  <si>
    <t>03/23/2001</t>
  </si>
  <si>
    <t>11/11/1967</t>
  </si>
  <si>
    <t>08/25/1983</t>
  </si>
  <si>
    <t>08/11/1987</t>
  </si>
  <si>
    <t>06/03/1946</t>
  </si>
  <si>
    <t>05/04/1983</t>
  </si>
  <si>
    <t>10/04/1986</t>
  </si>
  <si>
    <t>04/05/1962</t>
  </si>
  <si>
    <t>05/18/1939</t>
  </si>
  <si>
    <t>06/03/1973</t>
  </si>
  <si>
    <t>03/03/1956</t>
  </si>
  <si>
    <t>12/25/1949</t>
  </si>
  <si>
    <t>09/11/1956</t>
  </si>
  <si>
    <t>10/04/1968</t>
  </si>
  <si>
    <t>01/06/1953</t>
  </si>
  <si>
    <t>08/26/1986</t>
  </si>
  <si>
    <t>10/22/1964</t>
  </si>
  <si>
    <t>11/26/1953</t>
  </si>
  <si>
    <t>07/21/1991</t>
  </si>
  <si>
    <t>$14,560.00</t>
  </si>
  <si>
    <t>$19,200.00</t>
  </si>
  <si>
    <t>$41,600.00</t>
  </si>
  <si>
    <t>$17,868.00</t>
  </si>
  <si>
    <t>$3,480.00</t>
  </si>
  <si>
    <t>$9,000.00</t>
  </si>
  <si>
    <t>$40,000.00</t>
  </si>
  <si>
    <t>$4,800.00</t>
  </si>
  <si>
    <t>$8,320.00</t>
  </si>
  <si>
    <t>$26,624.00</t>
  </si>
  <si>
    <t>$29,328.00</t>
  </si>
  <si>
    <t>$10,800.00</t>
  </si>
  <si>
    <t>$3,600.00</t>
  </si>
  <si>
    <t>$30,800.00</t>
  </si>
  <si>
    <t>$86,580.00</t>
  </si>
  <si>
    <t>$21,168.00</t>
  </si>
  <si>
    <t>$53,000.00</t>
  </si>
  <si>
    <t>$35,000.00</t>
  </si>
  <si>
    <t>$16,000.00</t>
  </si>
  <si>
    <t>$22,000.00</t>
  </si>
  <si>
    <t>$4,200.00</t>
  </si>
  <si>
    <t>$25,600.00</t>
  </si>
  <si>
    <t>$1,000.00</t>
  </si>
  <si>
    <t>$1,250.00</t>
  </si>
  <si>
    <t>$100.00</t>
  </si>
  <si>
    <t>$28,800.00</t>
  </si>
  <si>
    <t>$24,024.00</t>
  </si>
  <si>
    <t>$29,692.00</t>
  </si>
  <si>
    <t>$42,000.00</t>
  </si>
  <si>
    <t>$36,000.00</t>
  </si>
  <si>
    <t>$3,000.00</t>
  </si>
  <si>
    <t>$53,040.00</t>
  </si>
  <si>
    <t>$27,340.00</t>
  </si>
  <si>
    <t>$20,852.00</t>
  </si>
  <si>
    <t>$38,400.00</t>
  </si>
  <si>
    <t>$32,188.00</t>
  </si>
  <si>
    <t>$39,100.00</t>
  </si>
  <si>
    <t>$27,616.00</t>
  </si>
  <si>
    <t>$33,600.00</t>
  </si>
  <si>
    <t>$8,000.00</t>
  </si>
  <si>
    <t>$41,200.00</t>
  </si>
  <si>
    <t>$21,000.00</t>
  </si>
  <si>
    <t>$30,448.00</t>
  </si>
  <si>
    <t>$9,480.00</t>
  </si>
  <si>
    <t>$34,844.33</t>
  </si>
  <si>
    <t>$41,912.04</t>
  </si>
  <si>
    <t>$37,674.00</t>
  </si>
  <si>
    <t>$62,400.00</t>
  </si>
  <si>
    <t>$32,520.00</t>
  </si>
  <si>
    <t>$52,400.00</t>
  </si>
  <si>
    <t>$25,847.00</t>
  </si>
  <si>
    <t>$50,000.00</t>
  </si>
  <si>
    <t>$7,800.00</t>
  </si>
  <si>
    <t>$11,440.00</t>
  </si>
  <si>
    <t>$29,900.00</t>
  </si>
  <si>
    <t>$32,136.00</t>
  </si>
  <si>
    <t>$32,400.00</t>
  </si>
  <si>
    <t>$600.00</t>
  </si>
  <si>
    <t>$21,432.00</t>
  </si>
  <si>
    <t>$57,792.00</t>
  </si>
  <si>
    <t>$56,368.00</t>
  </si>
  <si>
    <t>$19,500.00</t>
  </si>
  <si>
    <t>$37,100.00</t>
  </si>
  <si>
    <t>$18,264.00</t>
  </si>
  <si>
    <t>$10,044.00</t>
  </si>
  <si>
    <t>$13,920.00</t>
  </si>
  <si>
    <t>$18,408.00</t>
  </si>
  <si>
    <t>$11,592.00</t>
  </si>
  <si>
    <t>$44,824.00</t>
  </si>
  <si>
    <t>$31,000.00</t>
  </si>
  <si>
    <t>$57,600.00</t>
  </si>
  <si>
    <t>$1,260.00</t>
  </si>
  <si>
    <t>$52,000.00</t>
  </si>
  <si>
    <t>$3,432.00</t>
  </si>
  <si>
    <t>$61,704.00</t>
  </si>
  <si>
    <t>$37,440.00</t>
  </si>
  <si>
    <t>$25,584.00</t>
  </si>
  <si>
    <t>$3,360.00</t>
  </si>
  <si>
    <t>$2,196.00</t>
  </si>
  <si>
    <t>$25,800.00</t>
  </si>
  <si>
    <t>$24,800.00</t>
  </si>
  <si>
    <t>$8,400.00</t>
  </si>
  <si>
    <t>$15,000.00</t>
  </si>
  <si>
    <t>$27,800.00</t>
  </si>
  <si>
    <t>$27,200.00</t>
  </si>
  <si>
    <t>$49,000.00</t>
  </si>
  <si>
    <t>$8,832.00</t>
  </si>
  <si>
    <t>$43,200.00</t>
  </si>
  <si>
    <t>$21,736.00</t>
  </si>
  <si>
    <t>$27,300.00</t>
  </si>
  <si>
    <t>$45,000.00</t>
  </si>
  <si>
    <t>$7,200.00</t>
  </si>
  <si>
    <t>$10,440.00</t>
  </si>
  <si>
    <t>$20,072.00</t>
  </si>
  <si>
    <t>$5,868.00</t>
  </si>
  <si>
    <t>$21,762.00</t>
  </si>
  <si>
    <t>$6,336.00</t>
  </si>
  <si>
    <t>Georges, Agnes</t>
  </si>
  <si>
    <t>De Jesus, Jeanette</t>
  </si>
  <si>
    <t>Zamora, Carlos</t>
  </si>
  <si>
    <t>Castillo, Guadalupe</t>
  </si>
  <si>
    <t>Wang, Quan</t>
  </si>
  <si>
    <t>Gamboa Estrada, Cherry A.</t>
  </si>
  <si>
    <t>Velasquez Martinez, Terma M.</t>
  </si>
  <si>
    <t>Gamboa Velasquez, Keilyn A.</t>
  </si>
  <si>
    <t>Gamboa Velasquez, Keiry C.</t>
  </si>
  <si>
    <t>Flores, Martin</t>
  </si>
  <si>
    <t>Torres Hernandez, Airton A.</t>
  </si>
  <si>
    <t>Gutierrez Suazo, Mirna M</t>
  </si>
  <si>
    <t>Martinez, Pablo F.</t>
  </si>
  <si>
    <t>Quiamboa, Romeo</t>
  </si>
  <si>
    <t>Alzaidy, Lawza</t>
  </si>
  <si>
    <t>Ganieva, Eliza</t>
  </si>
  <si>
    <t>Morgan, Delfant</t>
  </si>
  <si>
    <t>Basdeo, Paul N</t>
  </si>
  <si>
    <t>Madrid Quezada, Edgardo Josue</t>
  </si>
  <si>
    <t>Madrid Milla, Jonathan Josue</t>
  </si>
  <si>
    <t>Gonzalez, Esmeidi</t>
  </si>
  <si>
    <t>Brown, Carolina</t>
  </si>
  <si>
    <t>Bozkurt, Sertac</t>
  </si>
  <si>
    <t>Songg, Priscilla</t>
  </si>
  <si>
    <t>Harris, Humberto</t>
  </si>
  <si>
    <t>Adames, Edita</t>
  </si>
  <si>
    <t>Hernandez, Jacqueline T.</t>
  </si>
  <si>
    <t>Idrovo Shindler, Svetlana</t>
  </si>
  <si>
    <t>Hernandez, Emma G.</t>
  </si>
  <si>
    <t>Sayago, Luis</t>
  </si>
  <si>
    <t>Gray, Delano</t>
  </si>
  <si>
    <t>Alvarez, Jacklyn</t>
  </si>
  <si>
    <t>Njuguna, Bilha M</t>
  </si>
  <si>
    <t>Pineda, Isauro Eduardo</t>
  </si>
  <si>
    <t>Almubarak, Iyman</t>
  </si>
  <si>
    <t>Pyter, Malgorzata</t>
  </si>
  <si>
    <t>Martinez, Katherin S</t>
  </si>
  <si>
    <t>Paulino, Ismael</t>
  </si>
  <si>
    <t>Rodriguez, Eulogia</t>
  </si>
  <si>
    <t>Gray, Shanielle Ciara</t>
  </si>
  <si>
    <t>Gray, Tajmar Tyrell</t>
  </si>
  <si>
    <t>Kaur, Gurkamaljit</t>
  </si>
  <si>
    <t>Santana, Katty</t>
  </si>
  <si>
    <t>Ostanova, Feruza</t>
  </si>
  <si>
    <t>Vargas, Juana</t>
  </si>
  <si>
    <t>Mourissa Sam, Shanna</t>
  </si>
  <si>
    <t>Dego, Zemeto</t>
  </si>
  <si>
    <t>Hinestroza Guilaspe, Domingo</t>
  </si>
  <si>
    <t>Orellana, Nolvin</t>
  </si>
  <si>
    <t>Barry, Alpha B.</t>
  </si>
  <si>
    <t>Crisanto Ordonez, Keylin S.</t>
  </si>
  <si>
    <t>Soliz Crisanto, Joan</t>
  </si>
  <si>
    <t>Crespo, Margarita</t>
  </si>
  <si>
    <t>Castro, Darlin</t>
  </si>
  <si>
    <t>Segovia Castro, Kimberly</t>
  </si>
  <si>
    <t>Nikonov, Denys</t>
  </si>
  <si>
    <t>Velasquez, Jesus A</t>
  </si>
  <si>
    <t>Khun, Retrey</t>
  </si>
  <si>
    <t>Suazo Guity, Maura Alberta</t>
  </si>
  <si>
    <t>Reyes-Ariola, Naomi E</t>
  </si>
  <si>
    <t>Flores-Reyes, Jerome A</t>
  </si>
  <si>
    <t>Reyes-Ariola, Juan Pablo</t>
  </si>
  <si>
    <t>Zelaya, Shairon P.</t>
  </si>
  <si>
    <t>Zelaya Bernardez, Reymond A.</t>
  </si>
  <si>
    <t>Madrid Milla, Edgardo Josue</t>
  </si>
  <si>
    <t>Soliz Crisanto, Deybi E.</t>
  </si>
  <si>
    <t>Villanueva, Edin</t>
  </si>
  <si>
    <t>Villanueva Inestroza, Italo</t>
  </si>
  <si>
    <t>Rivas, Luis</t>
  </si>
  <si>
    <t>Martinez, Khaleb</t>
  </si>
  <si>
    <t>Martinez, Jessica M</t>
  </si>
  <si>
    <t>Norales, Sheilan</t>
  </si>
  <si>
    <t>Norales, Sherry</t>
  </si>
  <si>
    <t>Castillo Marin, Maura</t>
  </si>
  <si>
    <t>Suazo Castillo, Glenda D.</t>
  </si>
  <si>
    <t>Suazo Castillo, Melvis S.</t>
  </si>
  <si>
    <t>Suazo Castillo, Nady C.</t>
  </si>
  <si>
    <t>Castillo, Sherler</t>
  </si>
  <si>
    <t>Bermudez Marin, Laureen Yarleth</t>
  </si>
  <si>
    <t>Martinez Marin, Angel Francisco</t>
  </si>
  <si>
    <t>Velasquez, Yachuan P.</t>
  </si>
  <si>
    <t>Lopez Suazo, Hailyn Yulissa</t>
  </si>
  <si>
    <t>Tiul-Tec, Manuel</t>
  </si>
  <si>
    <t>Tiul-Xol, Aura G</t>
  </si>
  <si>
    <t>Perez, William</t>
  </si>
  <si>
    <t>Villanueva, Dayany M.</t>
  </si>
  <si>
    <t>Guzman Feliciano, Junior R</t>
  </si>
  <si>
    <t>Mai (for Yanzhen He), Jianfang</t>
  </si>
  <si>
    <t>Muhaidat, Sami A</t>
  </si>
  <si>
    <t>Natt, Dillman</t>
  </si>
  <si>
    <t>Chen, Baoming</t>
  </si>
  <si>
    <t>Guzman, Johanna</t>
  </si>
  <si>
    <t>Feliz, Edwin</t>
  </si>
  <si>
    <t>Baizan, Graciana E.</t>
  </si>
  <si>
    <t>Rodriguez, Gloria</t>
  </si>
  <si>
    <t>Granda, Freddy</t>
  </si>
  <si>
    <t>Alvarado, Erick</t>
  </si>
  <si>
    <t>Nunez, Edgar</t>
  </si>
  <si>
    <t>Traore-Miller, Abibatou</t>
  </si>
  <si>
    <t>Ambrose, George</t>
  </si>
  <si>
    <t>Mai (for Jiayu Mai), Jianfang</t>
  </si>
  <si>
    <t>Lee, Donovan</t>
  </si>
  <si>
    <t>Martinez, Jackelin</t>
  </si>
  <si>
    <t>Abreu de Fuentes, Roxanna</t>
  </si>
  <si>
    <t>Pereaux, Adalgisa</t>
  </si>
  <si>
    <t>Aucapina de Quito, Mirian</t>
  </si>
  <si>
    <t>Restrepo Soto, Maria D</t>
  </si>
  <si>
    <t>Lopez Murillo, Jennyfer</t>
  </si>
  <si>
    <t>Paiva, Maria De F</t>
  </si>
  <si>
    <t>Sochtohom de Bulux, Juana P.</t>
  </si>
  <si>
    <t>Bulux Soch, Yoselin E.</t>
  </si>
  <si>
    <t>Flores, Jeferson D.</t>
  </si>
  <si>
    <t>Alvarez, Isabel</t>
  </si>
  <si>
    <t>Barry, Alpha Boubacar</t>
  </si>
  <si>
    <t>Lovos Monterroza, Daniela Abigail</t>
  </si>
  <si>
    <t>Barrera Lovos, Liseth Del C.</t>
  </si>
  <si>
    <t>Celestin, Guy</t>
  </si>
  <si>
    <t>Morris, Orville O</t>
  </si>
  <si>
    <t>Quezada Lopez, Willianny</t>
  </si>
  <si>
    <t>Quezada Lopez, Wiridiam</t>
  </si>
  <si>
    <t>Ilin, Pavel</t>
  </si>
  <si>
    <t>Izadi, Mohammad</t>
  </si>
  <si>
    <t>Lovos, Santos F.</t>
  </si>
  <si>
    <t>Hassin, Ali</t>
  </si>
  <si>
    <t>Zhong, Saiyin</t>
  </si>
  <si>
    <t>Rogers, Owen</t>
  </si>
  <si>
    <t>Poma, Edwin P.</t>
  </si>
  <si>
    <t>Lopez Benitez, Israel</t>
  </si>
  <si>
    <t>Ilomudio, Jolaade S</t>
  </si>
  <si>
    <t>Martinez, Mattues Eliazar</t>
  </si>
  <si>
    <t>Martinez, Michael A</t>
  </si>
  <si>
    <t>Tiozang, Vincent (Helen)</t>
  </si>
  <si>
    <t>Tiozang, Vincent (Solomon)</t>
  </si>
  <si>
    <t>Tiozang, Vincent (Jones)</t>
  </si>
  <si>
    <t>Miller, Jogo</t>
  </si>
  <si>
    <t>Flores Maria, Jorge</t>
  </si>
  <si>
    <t>Papalotzi-Garcia, Judith</t>
  </si>
  <si>
    <t>Tineo Nunez, Ramon</t>
  </si>
  <si>
    <t>Aragon, Michelle</t>
  </si>
  <si>
    <t>Loots, Talia</t>
  </si>
  <si>
    <t>Kunene, Sikhumbuzo</t>
  </si>
  <si>
    <t>Yacono, Gabriel N</t>
  </si>
  <si>
    <t>Kabore, Evrou</t>
  </si>
  <si>
    <t>Hernandez, Emma G</t>
  </si>
  <si>
    <t>Lopez, Tania</t>
  </si>
  <si>
    <t>Doukoure, Aissatou</t>
  </si>
  <si>
    <t>Doukoure, Kadidia</t>
  </si>
  <si>
    <t>St Sume, Marie</t>
  </si>
  <si>
    <t>Gutierrez, Brayan</t>
  </si>
  <si>
    <t>Flores, Ismael</t>
  </si>
  <si>
    <t>Gomez, Yanet</t>
  </si>
  <si>
    <t>Bastardo, Genesis</t>
  </si>
  <si>
    <t>Flores, Raymundo</t>
  </si>
  <si>
    <t>Cornielle, Donna</t>
  </si>
  <si>
    <t>Nkwocha, Michael</t>
  </si>
  <si>
    <t>Kataballi, Daywatti</t>
  </si>
  <si>
    <t>Bravo Bolanos, Heladio</t>
  </si>
  <si>
    <t>Gueye, Sabrina</t>
  </si>
  <si>
    <t>Lopez, Elida</t>
  </si>
  <si>
    <t>Manhattan Legal Services</t>
  </si>
  <si>
    <t>New York, New York</t>
  </si>
  <si>
    <t>Singh, Ermela</t>
  </si>
  <si>
    <t>Ventura, Lynn</t>
  </si>
  <si>
    <t>Guerra, Yolanda</t>
  </si>
  <si>
    <t>Martinez-Gunter, Maribel</t>
  </si>
  <si>
    <t>Patel, Roopal</t>
  </si>
  <si>
    <t>Trinidad, Lenina</t>
  </si>
  <si>
    <t>Carlier, Milton</t>
  </si>
  <si>
    <t>2019-04-15</t>
  </si>
  <si>
    <t>05/07/2019</t>
  </si>
  <si>
    <t>05/02/2019</t>
  </si>
  <si>
    <t>04/19/2019</t>
  </si>
  <si>
    <t>01/04/2019</t>
  </si>
  <si>
    <t>12/24/2018</t>
  </si>
  <si>
    <t>12/12/2018</t>
  </si>
  <si>
    <t>11/09/2018</t>
  </si>
  <si>
    <t>11/01/2018</t>
  </si>
  <si>
    <t>09/07/2018</t>
  </si>
  <si>
    <t>09/04/2018</t>
  </si>
  <si>
    <t>08/30/2018</t>
  </si>
  <si>
    <t>08/10/2018</t>
  </si>
  <si>
    <t>07/25/2018</t>
  </si>
  <si>
    <t>07/19/2018</t>
  </si>
  <si>
    <t>06/27/2018</t>
  </si>
  <si>
    <t>06/20/2018</t>
  </si>
  <si>
    <t>06/18/2018</t>
  </si>
  <si>
    <t>06/11/2018</t>
  </si>
  <si>
    <t>05/18/2018</t>
  </si>
  <si>
    <t>03/27/2018</t>
  </si>
  <si>
    <t>03/23/2018</t>
  </si>
  <si>
    <t>03/02/2018</t>
  </si>
  <si>
    <t>03/01/2018</t>
  </si>
  <si>
    <t>12/15/2017</t>
  </si>
  <si>
    <t>12/14/2017</t>
  </si>
  <si>
    <t>11/30/2017</t>
  </si>
  <si>
    <t>10/17/2017</t>
  </si>
  <si>
    <t>09/23/2015</t>
  </si>
  <si>
    <t>06/19/2015</t>
  </si>
  <si>
    <t>01/01/2015</t>
  </si>
  <si>
    <t>12/18/2014</t>
  </si>
  <si>
    <t>32 Divorce/Sep./Annul.</t>
  </si>
  <si>
    <t>DS-260</t>
  </si>
  <si>
    <t>I-821</t>
  </si>
  <si>
    <t>AR-11</t>
  </si>
  <si>
    <t>I-821D</t>
  </si>
  <si>
    <t>3201 Petitioner (Abuse with Custody No Property</t>
  </si>
  <si>
    <t>327 Uncontested Divorce</t>
  </si>
  <si>
    <t>314 Relative Custody</t>
  </si>
  <si>
    <t>I-212</t>
  </si>
  <si>
    <t>Chinese/Mandarin</t>
  </si>
  <si>
    <t>Cantonese</t>
  </si>
  <si>
    <t>Finnish</t>
  </si>
  <si>
    <t>Agnes</t>
  </si>
  <si>
    <t>Jeanette</t>
  </si>
  <si>
    <t>Quan</t>
  </si>
  <si>
    <t>Terma</t>
  </si>
  <si>
    <t>Keilyn</t>
  </si>
  <si>
    <t>Keiry</t>
  </si>
  <si>
    <t>Airton</t>
  </si>
  <si>
    <t>Mirna</t>
  </si>
  <si>
    <t>Pablo</t>
  </si>
  <si>
    <t>Romeo</t>
  </si>
  <si>
    <t>Lawza</t>
  </si>
  <si>
    <t>Eliza</t>
  </si>
  <si>
    <t>Delfant</t>
  </si>
  <si>
    <t>Paul</t>
  </si>
  <si>
    <t>Edgardo</t>
  </si>
  <si>
    <t>Jonathan</t>
  </si>
  <si>
    <t>Esmeidi</t>
  </si>
  <si>
    <t>Sertac</t>
  </si>
  <si>
    <t>Priscilla</t>
  </si>
  <si>
    <t>Humberto</t>
  </si>
  <si>
    <t>Edita</t>
  </si>
  <si>
    <t>Svetlana</t>
  </si>
  <si>
    <t>Emma</t>
  </si>
  <si>
    <t>Delano</t>
  </si>
  <si>
    <t>Jacklyn</t>
  </si>
  <si>
    <t>Bilha</t>
  </si>
  <si>
    <t>Isauro</t>
  </si>
  <si>
    <t>Iyman</t>
  </si>
  <si>
    <t>Malgorzata</t>
  </si>
  <si>
    <t>Katherin</t>
  </si>
  <si>
    <t>Eulogia</t>
  </si>
  <si>
    <t>Shanielle</t>
  </si>
  <si>
    <t>Tajmar</t>
  </si>
  <si>
    <t>Gurkamaljit</t>
  </si>
  <si>
    <t>Katty</t>
  </si>
  <si>
    <t>Feruza</t>
  </si>
  <si>
    <t>Shanna</t>
  </si>
  <si>
    <t>Zemeto</t>
  </si>
  <si>
    <t>Domingo</t>
  </si>
  <si>
    <t>Nolvin</t>
  </si>
  <si>
    <t>Alpha</t>
  </si>
  <si>
    <t>Keylin</t>
  </si>
  <si>
    <t>Joan</t>
  </si>
  <si>
    <t>Margarita</t>
  </si>
  <si>
    <t>Darlin</t>
  </si>
  <si>
    <t>Kimberly</t>
  </si>
  <si>
    <t>Denys</t>
  </si>
  <si>
    <t>Retrey</t>
  </si>
  <si>
    <t>Maura</t>
  </si>
  <si>
    <t>Naomi</t>
  </si>
  <si>
    <t>Jerome</t>
  </si>
  <si>
    <t>Shairon</t>
  </si>
  <si>
    <t>Reymond</t>
  </si>
  <si>
    <t>Deybi</t>
  </si>
  <si>
    <t>Edin</t>
  </si>
  <si>
    <t>Italo</t>
  </si>
  <si>
    <t>Khaleb</t>
  </si>
  <si>
    <t>Jessica</t>
  </si>
  <si>
    <t>Sheilan</t>
  </si>
  <si>
    <t>Sherry</t>
  </si>
  <si>
    <t>Glenda</t>
  </si>
  <si>
    <t>Melvis</t>
  </si>
  <si>
    <t>Nady</t>
  </si>
  <si>
    <t>Sherler</t>
  </si>
  <si>
    <t>Laureen</t>
  </si>
  <si>
    <t>Yachuan</t>
  </si>
  <si>
    <t>Hailyn</t>
  </si>
  <si>
    <t>Manuel</t>
  </si>
  <si>
    <t>Dayany</t>
  </si>
  <si>
    <t>Jianfang</t>
  </si>
  <si>
    <t>Sami</t>
  </si>
  <si>
    <t>Dillman</t>
  </si>
  <si>
    <t>Baoming</t>
  </si>
  <si>
    <t>Edwin</t>
  </si>
  <si>
    <t>Graciana</t>
  </si>
  <si>
    <t>Freddy</t>
  </si>
  <si>
    <t>Abibatou</t>
  </si>
  <si>
    <t>George</t>
  </si>
  <si>
    <t>Donovan</t>
  </si>
  <si>
    <t>Jackelin</t>
  </si>
  <si>
    <t>Roxanna</t>
  </si>
  <si>
    <t>Adalgisa</t>
  </si>
  <si>
    <t>Jennyfer</t>
  </si>
  <si>
    <t>Yoselin</t>
  </si>
  <si>
    <t>Jeferson</t>
  </si>
  <si>
    <t>Isabel</t>
  </si>
  <si>
    <t>Daniela</t>
  </si>
  <si>
    <t>Liseth</t>
  </si>
  <si>
    <t>Guy</t>
  </si>
  <si>
    <t>Orville</t>
  </si>
  <si>
    <t>Willianny</t>
  </si>
  <si>
    <t>Wiridiam</t>
  </si>
  <si>
    <t>Pavel</t>
  </si>
  <si>
    <t>Mohammad</t>
  </si>
  <si>
    <t>Ali</t>
  </si>
  <si>
    <t>Saiyin</t>
  </si>
  <si>
    <t>Owen</t>
  </si>
  <si>
    <t>Israel</t>
  </si>
  <si>
    <t>Jolaade</t>
  </si>
  <si>
    <t>Mattues</t>
  </si>
  <si>
    <t>Vincent</t>
  </si>
  <si>
    <t>Jogo</t>
  </si>
  <si>
    <t>Ramon</t>
  </si>
  <si>
    <t>Michelle</t>
  </si>
  <si>
    <t>Talia</t>
  </si>
  <si>
    <t>Sikhumbuzo</t>
  </si>
  <si>
    <t>Evrou</t>
  </si>
  <si>
    <t>Tania</t>
  </si>
  <si>
    <t>Aissatou</t>
  </si>
  <si>
    <t>Kadidia</t>
  </si>
  <si>
    <t>Marie</t>
  </si>
  <si>
    <t>Brayan</t>
  </si>
  <si>
    <t>Yanet</t>
  </si>
  <si>
    <t>Genesis</t>
  </si>
  <si>
    <t>Raymundo</t>
  </si>
  <si>
    <t>Donna</t>
  </si>
  <si>
    <t>Daywatti</t>
  </si>
  <si>
    <t>Heladio</t>
  </si>
  <si>
    <t>Sabrina</t>
  </si>
  <si>
    <t>Elida</t>
  </si>
  <si>
    <t>Georges</t>
  </si>
  <si>
    <t>De Jesus</t>
  </si>
  <si>
    <t>Zamora</t>
  </si>
  <si>
    <t>Wang</t>
  </si>
  <si>
    <t>Gamboa Estrada</t>
  </si>
  <si>
    <t>Velasquez Martinez</t>
  </si>
  <si>
    <t>Gamboa Velasquez</t>
  </si>
  <si>
    <t>Torres Hernandez</t>
  </si>
  <si>
    <t>Gutierrez Suazo</t>
  </si>
  <si>
    <t>Quiamboa</t>
  </si>
  <si>
    <t>Alzaidy</t>
  </si>
  <si>
    <t>Ganieva</t>
  </si>
  <si>
    <t>Morgan</t>
  </si>
  <si>
    <t>Madrid Quezada</t>
  </si>
  <si>
    <t>Madrid Milla</t>
  </si>
  <si>
    <t>Brown</t>
  </si>
  <si>
    <t>Bozkurt</t>
  </si>
  <si>
    <t>Songg</t>
  </si>
  <si>
    <t>Adames</t>
  </si>
  <si>
    <t>Idrovo Shindler</t>
  </si>
  <si>
    <t>Sayago</t>
  </si>
  <si>
    <t>Gray</t>
  </si>
  <si>
    <t>Njuguna</t>
  </si>
  <si>
    <t>Pineda</t>
  </si>
  <si>
    <t>Almubarak</t>
  </si>
  <si>
    <t>Pyter</t>
  </si>
  <si>
    <t>Ostanova</t>
  </si>
  <si>
    <t>Mourissa</t>
  </si>
  <si>
    <t>Dego</t>
  </si>
  <si>
    <t>Hinestroza Guilaspe</t>
  </si>
  <si>
    <t>Orellana</t>
  </si>
  <si>
    <t>Barry</t>
  </si>
  <si>
    <t>Crisanto Ordonez</t>
  </si>
  <si>
    <t>Soliz Crisanto</t>
  </si>
  <si>
    <t>Crespo</t>
  </si>
  <si>
    <t>Segovia Castro</t>
  </si>
  <si>
    <t>Nikonov</t>
  </si>
  <si>
    <t>Khun</t>
  </si>
  <si>
    <t>Suazo Guity</t>
  </si>
  <si>
    <t>Reyes-Ariola</t>
  </si>
  <si>
    <t>Flores-Reyes</t>
  </si>
  <si>
    <t>Zelaya Bernardez</t>
  </si>
  <si>
    <t>Villanueva</t>
  </si>
  <si>
    <t>Villanueva Inestroza</t>
  </si>
  <si>
    <t>Norales</t>
  </si>
  <si>
    <t>Castillo Marin</t>
  </si>
  <si>
    <t>Suazo Castillo</t>
  </si>
  <si>
    <t>Bermudez Marin</t>
  </si>
  <si>
    <t>Martinez Marin</t>
  </si>
  <si>
    <t>Lopez Suazo</t>
  </si>
  <si>
    <t>Tiul-Tec</t>
  </si>
  <si>
    <t>Tiul-Xol</t>
  </si>
  <si>
    <t>Guzman Feliciano</t>
  </si>
  <si>
    <t>Mai (for Yanzhen He)</t>
  </si>
  <si>
    <t>Muhaidat</t>
  </si>
  <si>
    <t>Natt</t>
  </si>
  <si>
    <t>Chen</t>
  </si>
  <si>
    <t>Feliz</t>
  </si>
  <si>
    <t>Baizan</t>
  </si>
  <si>
    <t>Granda</t>
  </si>
  <si>
    <t>Traore-Miller</t>
  </si>
  <si>
    <t>Ambrose</t>
  </si>
  <si>
    <t>Mai (for Jiayu Mai)</t>
  </si>
  <si>
    <t>Lee</t>
  </si>
  <si>
    <t>Abreu de Fuentes</t>
  </si>
  <si>
    <t>Pereaux</t>
  </si>
  <si>
    <t>Aucapina de Quito</t>
  </si>
  <si>
    <t>Restrepo Soto</t>
  </si>
  <si>
    <t>Lopez Murillo</t>
  </si>
  <si>
    <t>Paiva</t>
  </si>
  <si>
    <t>Sochtohom de Bulux</t>
  </si>
  <si>
    <t>Bulux Soch</t>
  </si>
  <si>
    <t>Lovos Monterroza</t>
  </si>
  <si>
    <t>Barrera Lovos</t>
  </si>
  <si>
    <t>Celestin</t>
  </si>
  <si>
    <t>Morris</t>
  </si>
  <si>
    <t>Quezada Lopez</t>
  </si>
  <si>
    <t>Ilin</t>
  </si>
  <si>
    <t>Izadi</t>
  </si>
  <si>
    <t>Lovos</t>
  </si>
  <si>
    <t>Hassin</t>
  </si>
  <si>
    <t>Zhong</t>
  </si>
  <si>
    <t>Rogers</t>
  </si>
  <si>
    <t>Poma</t>
  </si>
  <si>
    <t>Lopez Benitez</t>
  </si>
  <si>
    <t>Ilomudio</t>
  </si>
  <si>
    <t>Tiozang</t>
  </si>
  <si>
    <t>Miller</t>
  </si>
  <si>
    <t>Flores Maria</t>
  </si>
  <si>
    <t>Papalotzi-Garcia</t>
  </si>
  <si>
    <t>Tineo Nunez</t>
  </si>
  <si>
    <t>Aragon</t>
  </si>
  <si>
    <t>Loots</t>
  </si>
  <si>
    <t>Kunene</t>
  </si>
  <si>
    <t>Yacono</t>
  </si>
  <si>
    <t>Kabore</t>
  </si>
  <si>
    <t>Doukoure</t>
  </si>
  <si>
    <t>St Sume</t>
  </si>
  <si>
    <t>Gutierrez</t>
  </si>
  <si>
    <t>Bastardo</t>
  </si>
  <si>
    <t>Cornielle</t>
  </si>
  <si>
    <t>Nkwocha</t>
  </si>
  <si>
    <t>Kataballi</t>
  </si>
  <si>
    <t>Bravo Bolanos</t>
  </si>
  <si>
    <t>Gueye</t>
  </si>
  <si>
    <t>Yemen</t>
  </si>
  <si>
    <t>Costa Rica</t>
  </si>
  <si>
    <t>Kenya</t>
  </si>
  <si>
    <t>Saudi Arabia</t>
  </si>
  <si>
    <t>Uzbekistan</t>
  </si>
  <si>
    <t>Saint Vincent and the Grenadines</t>
  </si>
  <si>
    <t>Ethiopia</t>
  </si>
  <si>
    <t>Ukraine</t>
  </si>
  <si>
    <t>Indonesia</t>
  </si>
  <si>
    <t>Cote d'Ivoire (Ivory Coast)</t>
  </si>
  <si>
    <t>Iran</t>
  </si>
  <si>
    <t>Bolivia</t>
  </si>
  <si>
    <t>Cameroon</t>
  </si>
  <si>
    <t>South Africa</t>
  </si>
  <si>
    <t>Swaziland</t>
  </si>
  <si>
    <t>Ghana</t>
  </si>
  <si>
    <t>France</t>
  </si>
  <si>
    <t>10/13/2019</t>
  </si>
  <si>
    <t>06/04/2019</t>
  </si>
  <si>
    <t>02/25/2018</t>
  </si>
  <si>
    <t>06/11/2019</t>
  </si>
  <si>
    <t>05/28/2019</t>
  </si>
  <si>
    <t>12/31/2019</t>
  </si>
  <si>
    <t>08/24/2018</t>
  </si>
  <si>
    <t>12/27/2018</t>
  </si>
  <si>
    <t>09/18/2018</t>
  </si>
  <si>
    <t>08/21/2018</t>
  </si>
  <si>
    <t>07/28/2018</t>
  </si>
  <si>
    <t>05/10/2019</t>
  </si>
  <si>
    <t>11023-Provided full immigration screening and identified no available immigration relief</t>
  </si>
  <si>
    <t>Grand Street Settlement</t>
  </si>
  <si>
    <t>Henry Street Settlement</t>
  </si>
  <si>
    <t>FJC - Manhattan</t>
  </si>
  <si>
    <t>Manhattan Family Justice Center</t>
  </si>
  <si>
    <t>01/28/1959</t>
  </si>
  <si>
    <t>08/03/1965</t>
  </si>
  <si>
    <t>05/14/1960</t>
  </si>
  <si>
    <t>08/11/1944</t>
  </si>
  <si>
    <t>11/20/1979</t>
  </si>
  <si>
    <t>09/05/1985</t>
  </si>
  <si>
    <t>06/25/1986</t>
  </si>
  <si>
    <t>02/29/2008</t>
  </si>
  <si>
    <t>12/22/2004</t>
  </si>
  <si>
    <t>02/01/1963</t>
  </si>
  <si>
    <t>06/02/1994</t>
  </si>
  <si>
    <t>11/17/2001</t>
  </si>
  <si>
    <t>04/02/1972</t>
  </si>
  <si>
    <t>07/29/1971</t>
  </si>
  <si>
    <t>04/10/1988</t>
  </si>
  <si>
    <t>06/08/1992</t>
  </si>
  <si>
    <t>07/09/1953</t>
  </si>
  <si>
    <t>05/21/1989</t>
  </si>
  <si>
    <t>06/29/1977</t>
  </si>
  <si>
    <t>10/03/2008</t>
  </si>
  <si>
    <t>04/12/1987</t>
  </si>
  <si>
    <t>03/25/1979</t>
  </si>
  <si>
    <t>07/27/1989</t>
  </si>
  <si>
    <t>10/11/1981</t>
  </si>
  <si>
    <t>12/06/1970</t>
  </si>
  <si>
    <t>06/23/1966</t>
  </si>
  <si>
    <t>09/13/2013</t>
  </si>
  <si>
    <t>02/09/1987</t>
  </si>
  <si>
    <t>03/30/1986</t>
  </si>
  <si>
    <t>05/04/1989</t>
  </si>
  <si>
    <t>09/20/1980</t>
  </si>
  <si>
    <t>11/13/1978</t>
  </si>
  <si>
    <t>12/18/1966</t>
  </si>
  <si>
    <t>09/02/1985</t>
  </si>
  <si>
    <t>07/06/1979</t>
  </si>
  <si>
    <t>06/14/2001</t>
  </si>
  <si>
    <t>04/03/2003</t>
  </si>
  <si>
    <t>09/07/1951</t>
  </si>
  <si>
    <t>05/05/2006</t>
  </si>
  <si>
    <t>06/20/2004</t>
  </si>
  <si>
    <t>02/11/1987</t>
  </si>
  <si>
    <t>05/15/1997</t>
  </si>
  <si>
    <t>04/18/1973</t>
  </si>
  <si>
    <t>03/25/1966</t>
  </si>
  <si>
    <t>06/26/1980</t>
  </si>
  <si>
    <t>04/01/1985</t>
  </si>
  <si>
    <t>07/24/1966</t>
  </si>
  <si>
    <t>08/22/2002</t>
  </si>
  <si>
    <t>12/31/1999</t>
  </si>
  <si>
    <t>03/21/2001</t>
  </si>
  <si>
    <t>11/15/2003</t>
  </si>
  <si>
    <t>06/10/1962</t>
  </si>
  <si>
    <t>01/23/1990</t>
  </si>
  <si>
    <t>07/02/2013</t>
  </si>
  <si>
    <t>03/09/1981</t>
  </si>
  <si>
    <t>07/18/1984</t>
  </si>
  <si>
    <t>09/07/1981</t>
  </si>
  <si>
    <t>02/12/1989</t>
  </si>
  <si>
    <t>10/23/1995</t>
  </si>
  <si>
    <t>06/01/2016</t>
  </si>
  <si>
    <t>11/25/1985</t>
  </si>
  <si>
    <t>07/10/2007</t>
  </si>
  <si>
    <t>02/19/2006</t>
  </si>
  <si>
    <t>09/14/1998</t>
  </si>
  <si>
    <t>07/23/1991</t>
  </si>
  <si>
    <t>10/31/2002</t>
  </si>
  <si>
    <t>03/25/2008</t>
  </si>
  <si>
    <t>03/28/2012</t>
  </si>
  <si>
    <t>01/30/1990</t>
  </si>
  <si>
    <t>05/02/2014</t>
  </si>
  <si>
    <t>08/05/1988</t>
  </si>
  <si>
    <t>02/06/1975</t>
  </si>
  <si>
    <t>09/24/2013</t>
  </si>
  <si>
    <t>01/06/2002</t>
  </si>
  <si>
    <t>08/15/2004</t>
  </si>
  <si>
    <t>11/20/2010</t>
  </si>
  <si>
    <t>08/19/2012</t>
  </si>
  <si>
    <t>01/15/2004</t>
  </si>
  <si>
    <t>01/12/2000</t>
  </si>
  <si>
    <t>08/18/2010</t>
  </si>
  <si>
    <t>12/28/1977</t>
  </si>
  <si>
    <t>08/11/2005</t>
  </si>
  <si>
    <t>12/22/1989</t>
  </si>
  <si>
    <t>09/09/2010</t>
  </si>
  <si>
    <t>08/19/1990</t>
  </si>
  <si>
    <t>10/26/1953</t>
  </si>
  <si>
    <t>07/13/1990</t>
  </si>
  <si>
    <t>02/13/1967</t>
  </si>
  <si>
    <t>01/05/1985</t>
  </si>
  <si>
    <t>05/25/1983</t>
  </si>
  <si>
    <t>11/20/1960</t>
  </si>
  <si>
    <t>07/24/1961</t>
  </si>
  <si>
    <t>09/23/1974</t>
  </si>
  <si>
    <t>10/07/1989</t>
  </si>
  <si>
    <t>10/03/1967</t>
  </si>
  <si>
    <t>07/03/1983</t>
  </si>
  <si>
    <t>10/01/1961</t>
  </si>
  <si>
    <t>10/20/1963</t>
  </si>
  <si>
    <t>03/08/1988</t>
  </si>
  <si>
    <t>03/11/1990</t>
  </si>
  <si>
    <t>11/15/1964</t>
  </si>
  <si>
    <t>11/27/1970</t>
  </si>
  <si>
    <t>07/22/1999</t>
  </si>
  <si>
    <t>07/10/1990</t>
  </si>
  <si>
    <t>05/23/1953</t>
  </si>
  <si>
    <t>07/11/1979</t>
  </si>
  <si>
    <t>09/15/2002</t>
  </si>
  <si>
    <t>12/30/2006</t>
  </si>
  <si>
    <t>05/02/1963</t>
  </si>
  <si>
    <t>05/30/2007</t>
  </si>
  <si>
    <t>04/16/1989</t>
  </si>
  <si>
    <t>08/27/1956</t>
  </si>
  <si>
    <t>10/01/1962</t>
  </si>
  <si>
    <t>11/16/2006</t>
  </si>
  <si>
    <t>12/25/2009</t>
  </si>
  <si>
    <t>11/19/1986</t>
  </si>
  <si>
    <t>07/16/1984</t>
  </si>
  <si>
    <t>02/08/1969</t>
  </si>
  <si>
    <t>01/03/1956</t>
  </si>
  <si>
    <t>12/14/1977</t>
  </si>
  <si>
    <t>10/31/1954</t>
  </si>
  <si>
    <t>03/02/1974</t>
  </si>
  <si>
    <t>04/29/1982</t>
  </si>
  <si>
    <t>05/21/1982</t>
  </si>
  <si>
    <t>06/18/2007</t>
  </si>
  <si>
    <t>07/05/2003</t>
  </si>
  <si>
    <t>03/27/1968</t>
  </si>
  <si>
    <t>10/18/1928</t>
  </si>
  <si>
    <t>01/22/1964</t>
  </si>
  <si>
    <t>11/26/1972</t>
  </si>
  <si>
    <t>02/13/1941</t>
  </si>
  <si>
    <t>02/17/1993</t>
  </si>
  <si>
    <t>10/12/1992</t>
  </si>
  <si>
    <t>03/25/1973</t>
  </si>
  <si>
    <t>04/19/1997</t>
  </si>
  <si>
    <t>05/28/1977</t>
  </si>
  <si>
    <t>01/28/1992</t>
  </si>
  <si>
    <t>03/20/2006</t>
  </si>
  <si>
    <t>05/14/2009</t>
  </si>
  <si>
    <t>09/09/1983</t>
  </si>
  <si>
    <t>02/20/1994</t>
  </si>
  <si>
    <t>07/23/1976</t>
  </si>
  <si>
    <t>06/28/1979</t>
  </si>
  <si>
    <t>07/09/1996</t>
  </si>
  <si>
    <t>04/15/1953</t>
  </si>
  <si>
    <t>03/04/1977</t>
  </si>
  <si>
    <t>04/25/1989</t>
  </si>
  <si>
    <t>08/25/1966</t>
  </si>
  <si>
    <t>05/28/1990</t>
  </si>
  <si>
    <t>09/16/1980</t>
  </si>
  <si>
    <t>09/10/1986</t>
  </si>
  <si>
    <t>$9,240.00</t>
  </si>
  <si>
    <t>$15,156.00</t>
  </si>
  <si>
    <t>$77,600.00</t>
  </si>
  <si>
    <t>$8,016.00</t>
  </si>
  <si>
    <t>$42,512.00</t>
  </si>
  <si>
    <t>$7,140.00</t>
  </si>
  <si>
    <t>$8,616.00</t>
  </si>
  <si>
    <t>$3,900.00</t>
  </si>
  <si>
    <t>$26,400.00</t>
  </si>
  <si>
    <t>$6,672.00</t>
  </si>
  <si>
    <t>$17,576.00</t>
  </si>
  <si>
    <t>$10,512.00</t>
  </si>
  <si>
    <t>$30,512.00</t>
  </si>
  <si>
    <t>$28,400.00</t>
  </si>
  <si>
    <t>$1,080.00</t>
  </si>
  <si>
    <t>$1,632.00</t>
  </si>
  <si>
    <t>$12,480.00</t>
  </si>
  <si>
    <t>$31,030.00</t>
  </si>
  <si>
    <t>$88,400.00</t>
  </si>
  <si>
    <t>$9,132.00</t>
  </si>
  <si>
    <t>$22,880.00</t>
  </si>
  <si>
    <t>$51,000.00</t>
  </si>
  <si>
    <t>$22,464.00</t>
  </si>
  <si>
    <t>$35,172.00</t>
  </si>
  <si>
    <t>$23,340.00</t>
  </si>
  <si>
    <t>$26,580.00</t>
  </si>
  <si>
    <t>$2,568.00</t>
  </si>
  <si>
    <t>$32,000.00</t>
  </si>
  <si>
    <t>$33,748.00</t>
  </si>
  <si>
    <t>$2,208.00</t>
  </si>
  <si>
    <t>$20,020.00</t>
  </si>
  <si>
    <t>$22,052.16</t>
  </si>
  <si>
    <t>$26,364.00</t>
  </si>
  <si>
    <t>$6,468.00</t>
  </si>
  <si>
    <t>$7,068.00</t>
  </si>
  <si>
    <t>$43,400.00</t>
  </si>
  <si>
    <t>$264.00</t>
  </si>
  <si>
    <t>$2,376.00</t>
  </si>
  <si>
    <t>$6,500.00</t>
  </si>
  <si>
    <t>$21,880.00</t>
  </si>
  <si>
    <t>$40,400.00</t>
  </si>
  <si>
    <t>$8,664.00</t>
  </si>
  <si>
    <t>$11,180.00</t>
  </si>
  <si>
    <t>$19,052.00</t>
  </si>
  <si>
    <t>Vasquez Maisela, Ana Celina</t>
  </si>
  <si>
    <t>Guzman, Ronnie</t>
  </si>
  <si>
    <t>Arzu Madrid, Isieny</t>
  </si>
  <si>
    <t>Garcia, Amparo Milady</t>
  </si>
  <si>
    <t>Donadello, Giordano</t>
  </si>
  <si>
    <t>Lucero Campos, Belkis Elena</t>
  </si>
  <si>
    <t>Colon-Miguel, Cintia</t>
  </si>
  <si>
    <t>Zelaya Bernardez, Loammy Yadira</t>
  </si>
  <si>
    <t>Chiji, Chinonso Kingsley</t>
  </si>
  <si>
    <t>Ballesteros Bernardez, Genesis</t>
  </si>
  <si>
    <t>Ballesteros Bernardez, Jordan</t>
  </si>
  <si>
    <t>Nunez, Nikesha</t>
  </si>
  <si>
    <t>Igoudala, Amenzee</t>
  </si>
  <si>
    <t>Bautista Aleman, Meylin</t>
  </si>
  <si>
    <t>Castillo Garcia, Reynaldo</t>
  </si>
  <si>
    <t>Suling, Elsa A</t>
  </si>
  <si>
    <t>Remonvil, Ilsia</t>
  </si>
  <si>
    <t>Bermudez Figueroa, Ronald Joel</t>
  </si>
  <si>
    <t>Costly Benneth, Arnold</t>
  </si>
  <si>
    <t>Barrios Flores, Sharlian Berenice</t>
  </si>
  <si>
    <t>Suazo Martinez, Maria S</t>
  </si>
  <si>
    <t>Garcia, Lorna</t>
  </si>
  <si>
    <t>Lino Garcia, Nahomy</t>
  </si>
  <si>
    <t>Garcia Marin, Destyni Z</t>
  </si>
  <si>
    <t>Garcia Marin, Emilson A</t>
  </si>
  <si>
    <t>Miranda Cordova, Estephany E</t>
  </si>
  <si>
    <t>Gutierrez, Ana Lidia</t>
  </si>
  <si>
    <t>Rochez Guzman, Brendel Y</t>
  </si>
  <si>
    <t>Chavarria Garcia, Elda M</t>
  </si>
  <si>
    <t>Chavarria Garcia, Ashlee Nicole</t>
  </si>
  <si>
    <t>Morquecho, Luis</t>
  </si>
  <si>
    <t>Lewis, Kammiel</t>
  </si>
  <si>
    <t>Abdulla, Lee-Shanique</t>
  </si>
  <si>
    <t>Rivaz Guzman, Sharbie C.</t>
  </si>
  <si>
    <t>Thiombiano, Abdoulaziz</t>
  </si>
  <si>
    <t>Coreas Portillo, Henry</t>
  </si>
  <si>
    <t>Lopez Zapata, Aneiry</t>
  </si>
  <si>
    <t>Ballesteros Bernardez, Jahir</t>
  </si>
  <si>
    <t>Nunez, Helen</t>
  </si>
  <si>
    <t>Coreas Portillo, Owen</t>
  </si>
  <si>
    <t>Ventura, Sthewal</t>
  </si>
  <si>
    <t>Miranda Alvarez, Carlos Geovany</t>
  </si>
  <si>
    <t>Saravia Mejia, Igundani Daneiri</t>
  </si>
  <si>
    <t>Arriola Guity, Leslie</t>
  </si>
  <si>
    <t>Melendez Saravia, Brandi Odalis</t>
  </si>
  <si>
    <t>Mejia Saravia, Jilaryn D</t>
  </si>
  <si>
    <t>Fernandez David, Helen E</t>
  </si>
  <si>
    <t>Guillen Suazo, Yeniss E</t>
  </si>
  <si>
    <t>Diallo, Mohamadou</t>
  </si>
  <si>
    <t>Gaffoor, Ameer</t>
  </si>
  <si>
    <t>Portillo Reyes, Jennifer</t>
  </si>
  <si>
    <t>Williams, Shakeem</t>
  </si>
  <si>
    <t>Garcia Canales, Shelly</t>
  </si>
  <si>
    <t>Reyes Castillo, Erlyn</t>
  </si>
  <si>
    <t>Flores Juarez, Sendy F</t>
  </si>
  <si>
    <t>Bernardez Ortiz, Daisy</t>
  </si>
  <si>
    <t>Marin Bernandez, Bacilia</t>
  </si>
  <si>
    <t>Avaloy Thomas, Neira Yenina</t>
  </si>
  <si>
    <t>Najarro Dominguez, Yojana</t>
  </si>
  <si>
    <t>Alvarez Ramirez, Yainia Arali</t>
  </si>
  <si>
    <t>Kebbeh, Yamundaw</t>
  </si>
  <si>
    <t>Martinez Palacios, Yolany</t>
  </si>
  <si>
    <t>Baquiax Sapon, Jose Arnoldo</t>
  </si>
  <si>
    <t>Fernandez-Medina, Keyvan A</t>
  </si>
  <si>
    <t>Bernardez Martinez, Danixy Chaneth</t>
  </si>
  <si>
    <t>Zelaya, Raquel</t>
  </si>
  <si>
    <t>Medina-Gamboa, Darwin</t>
  </si>
  <si>
    <t>Portto, Claudia</t>
  </si>
  <si>
    <t>Garcia Loreto, Isidora</t>
  </si>
  <si>
    <t>Kaba, Djene</t>
  </si>
  <si>
    <t>Palacios-Marin, Lidice M</t>
  </si>
  <si>
    <t>Arzu Garcia, Jemilson A</t>
  </si>
  <si>
    <t>Ojeda De Nunez, Marisol</t>
  </si>
  <si>
    <t>Egboh, Favour C</t>
  </si>
  <si>
    <t>Chica Rosales, Jency Pamela</t>
  </si>
  <si>
    <t>Contreras Rosales, Eddie</t>
  </si>
  <si>
    <t>Mercuri Santos, Atilio</t>
  </si>
  <si>
    <t>Veloz Cabral, Robinson R</t>
  </si>
  <si>
    <t>La Cruz Lucero, Jhoismar Karina</t>
  </si>
  <si>
    <t>Shiwmangal, Ariel</t>
  </si>
  <si>
    <t>Medina, Jerlin Lino</t>
  </si>
  <si>
    <t>Orellana, Anisthon Meza</t>
  </si>
  <si>
    <t>Lino Flores, Lisi Yaneira</t>
  </si>
  <si>
    <t>Orellana, Keylin</t>
  </si>
  <si>
    <t>Palacios Castillo, Martha Olivia</t>
  </si>
  <si>
    <t>Miranda Montero, Olga Mileny</t>
  </si>
  <si>
    <t>Miranda Moreno, Denovan Javier</t>
  </si>
  <si>
    <t>Neil, Tracy Ann</t>
  </si>
  <si>
    <t>Marin Ramirez, Tifany Yoely</t>
  </si>
  <si>
    <t>Marin Ramirez, Yehinor Lenin</t>
  </si>
  <si>
    <t>Ramirez Velazco, Alondra E</t>
  </si>
  <si>
    <t>Ollarvez Pinto, Yecenia</t>
  </si>
  <si>
    <t>Conde Ollarvez, Jorgelys Valentina</t>
  </si>
  <si>
    <t>Conde Ollarvez, Mariangel Ariadna</t>
  </si>
  <si>
    <t>Torres Romero, Bessy Patricia</t>
  </si>
  <si>
    <t>Sani, Ali</t>
  </si>
  <si>
    <t>Aleman Montoya, Cintya</t>
  </si>
  <si>
    <t>McLaughlin, Jon-Michael</t>
  </si>
  <si>
    <t>McLaughlin, Jon-Michela</t>
  </si>
  <si>
    <t>Morales Najarro, Wilder</t>
  </si>
  <si>
    <t>Escamilla Ortega, Rafael</t>
  </si>
  <si>
    <t>Briceño, Jose Conde</t>
  </si>
  <si>
    <t>Garcia Martinez, Nilda</t>
  </si>
  <si>
    <t>Oliva, Marcela Alejandra</t>
  </si>
  <si>
    <t>Oliva, Daniel Alejandro</t>
  </si>
  <si>
    <t>Mendez Escalante, Angelica</t>
  </si>
  <si>
    <t>Velasquez Cal, Cristina M</t>
  </si>
  <si>
    <t>Dominguez Cruz, Blanca</t>
  </si>
  <si>
    <t>De Jesus Gonzalez, Juan Jacinto</t>
  </si>
  <si>
    <t>Ingram, Luis</t>
  </si>
  <si>
    <t>Delgado Mendez, Juan</t>
  </si>
  <si>
    <t>Kamara, Fatmata</t>
  </si>
  <si>
    <t>Benedit Martinez, Esmy</t>
  </si>
  <si>
    <t>Medina Andrade, Gelyn N</t>
  </si>
  <si>
    <t>Cisneros, Trifosa</t>
  </si>
  <si>
    <t>Sanchez Melendez, Kevin Asaac</t>
  </si>
  <si>
    <t>Veitch, Damion A</t>
  </si>
  <si>
    <t>Torres Garcia, Keyden</t>
  </si>
  <si>
    <t>Yamundaw, Kebbeh</t>
  </si>
  <si>
    <t>Joof, Babou</t>
  </si>
  <si>
    <t>Martinez Fernandez, Ibelinn Vanessa</t>
  </si>
  <si>
    <t>Mejia Martinez, Ryan Janil</t>
  </si>
  <si>
    <t>Castillo Reyes, Julio</t>
  </si>
  <si>
    <t>Medina-Ramos, Belkis</t>
  </si>
  <si>
    <t>Flores, Meynardo</t>
  </si>
  <si>
    <t>Souare, Mamadou</t>
  </si>
  <si>
    <t>Andrade Vigil, Evelin Joselin</t>
  </si>
  <si>
    <t>Arzu Colon, Jairo</t>
  </si>
  <si>
    <t>Cabral Pichardo, Mayker Jose</t>
  </si>
  <si>
    <t>Cabral Pichardo, Yaneysi Yamilet</t>
  </si>
  <si>
    <t>Namina Sislema, Cristobal</t>
  </si>
  <si>
    <t>Manuel, Osvaldo</t>
  </si>
  <si>
    <t>Nugra Saeteros, Maria</t>
  </si>
  <si>
    <t>Zebulon, Andrea</t>
  </si>
  <si>
    <t>Dominguez, Martina</t>
  </si>
  <si>
    <t>Lopez, Carmen C</t>
  </si>
  <si>
    <t>Casco Lopez, Laura Isabel</t>
  </si>
  <si>
    <t>Gutierrez-Martinez, Elda Maritza</t>
  </si>
  <si>
    <t>Satchell, Peta Gay</t>
  </si>
  <si>
    <t>Fernandez, Kendra Y</t>
  </si>
  <si>
    <t>Quezada, Teresa</t>
  </si>
  <si>
    <t>Rosales, Adriana</t>
  </si>
  <si>
    <t>Pogbene, Alidou</t>
  </si>
  <si>
    <t>Scott, Deidra</t>
  </si>
  <si>
    <t>Alvarez, Arnold Juvencio</t>
  </si>
  <si>
    <t>Ferrera Dominguez, Masciel</t>
  </si>
  <si>
    <t>Benneth, Sarahlee</t>
  </si>
  <si>
    <t>Satchell, Flowers A</t>
  </si>
  <si>
    <t>Owusu, Lydia</t>
  </si>
  <si>
    <t>Rosendo, Yudith Lucia</t>
  </si>
  <si>
    <t>Mendez, Luis</t>
  </si>
  <si>
    <t>Sanchez, Olga</t>
  </si>
  <si>
    <t>Richards, Jahlani</t>
  </si>
  <si>
    <t>Cruz Dominguez, Fransheska</t>
  </si>
  <si>
    <t>Romero, Rosalinda</t>
  </si>
  <si>
    <t>De Jesus, Carlos</t>
  </si>
  <si>
    <t>Morocho Tenemaza, Tanya Maribel</t>
  </si>
  <si>
    <t>Mantuano, Ana</t>
  </si>
  <si>
    <t>Pichardo, Manuel Antonio</t>
  </si>
  <si>
    <t>Melendez Velasquez, Bertha Isela</t>
  </si>
  <si>
    <t>VARGAS, ELIZABETH</t>
  </si>
  <si>
    <t>Madrid Gutierrez, Fernanda</t>
  </si>
  <si>
    <t>Talla, Celestin</t>
  </si>
  <si>
    <t>De La Cruz Rodriguez, Xiomara</t>
  </si>
  <si>
    <t>Abubakar, Saeed</t>
  </si>
  <si>
    <t>Ramos Norales, Angel</t>
  </si>
  <si>
    <t>Segovia, Edson</t>
  </si>
  <si>
    <t>Moran Malpica Malpica, Yamilet</t>
  </si>
  <si>
    <t>Gomez Moran, Jesus Yosmar</t>
  </si>
  <si>
    <t>Norales Aranda, Josias</t>
  </si>
  <si>
    <t>Garcia-Loreto, Isidora</t>
  </si>
  <si>
    <t>Guevara Castro, Osman Gerardo</t>
  </si>
  <si>
    <t>Williams, Claudette</t>
  </si>
  <si>
    <t>Salazar-Moronta, Luis</t>
  </si>
  <si>
    <t>Arias Falcon, Ramon A</t>
  </si>
  <si>
    <t>Padilla, Marina</t>
  </si>
  <si>
    <t>Bautista De Los Santos, Yesica</t>
  </si>
  <si>
    <t>Bautista De Los Santos, Joel</t>
  </si>
  <si>
    <t>Rodriguez, Sara De Los Angeles</t>
  </si>
  <si>
    <t>Andrade Vijil, Evelin J</t>
  </si>
  <si>
    <t>De Los Santos, Zenaida</t>
  </si>
  <si>
    <t>Ramirez, Cesar Samuel</t>
  </si>
  <si>
    <t>Martinez, Esdras</t>
  </si>
  <si>
    <t>Castro, Delia</t>
  </si>
  <si>
    <t>Arriola, Eric Steven</t>
  </si>
  <si>
    <t>Kabore, Azatta</t>
  </si>
  <si>
    <t>Lozano, Dionicia</t>
  </si>
  <si>
    <t>Saavedra, Carmelo</t>
  </si>
  <si>
    <t>Torrez Romero, Johnny D.</t>
  </si>
  <si>
    <t>Bilic, Sandra</t>
  </si>
  <si>
    <t>Contreras Cortorreal, Joandry</t>
  </si>
  <si>
    <t>Galindo, Guillermo</t>
  </si>
  <si>
    <t>Navarro Murillo, Luis Alonso</t>
  </si>
  <si>
    <t>Andrade Vijil, Karla</t>
  </si>
  <si>
    <t>Enriquez Vivar, Claudia</t>
  </si>
  <si>
    <t>Zenteno, Celia</t>
  </si>
  <si>
    <t>Soankopo Ghislane, Nikiema</t>
  </si>
  <si>
    <t>Bronx Legal Services</t>
  </si>
  <si>
    <t>Bronx, Bronx</t>
  </si>
  <si>
    <t>westchester</t>
  </si>
  <si>
    <t>erie</t>
  </si>
  <si>
    <t>Guiral Cuervo, Carolina</t>
  </si>
  <si>
    <t>Heine, Isabel</t>
  </si>
  <si>
    <t>Rosario Rodriguez, Luis</t>
  </si>
  <si>
    <t>Kim, Jae Young</t>
  </si>
  <si>
    <t>Rivera, Brunilda</t>
  </si>
  <si>
    <t>Ramos, Axel</t>
  </si>
  <si>
    <t>Cruz Pearson, Elsa</t>
  </si>
  <si>
    <t>Newton, Jack</t>
  </si>
  <si>
    <t>Crafton, Jessica</t>
  </si>
  <si>
    <t>Lawson, Terry</t>
  </si>
  <si>
    <t>Hernandez-Guzman, Sandra</t>
  </si>
  <si>
    <t>Sahai, Chelsea</t>
  </si>
  <si>
    <t>Khan, Sofia</t>
  </si>
  <si>
    <t>2018-06-04</t>
  </si>
  <si>
    <t>04/18/2019</t>
  </si>
  <si>
    <t>12/20/2018</t>
  </si>
  <si>
    <t>12/19/2018</t>
  </si>
  <si>
    <t>12/18/2018</t>
  </si>
  <si>
    <t>12/03/2018</t>
  </si>
  <si>
    <t>11/16/2018</t>
  </si>
  <si>
    <t>11/07/2018</t>
  </si>
  <si>
    <t>11/02/2018</t>
  </si>
  <si>
    <t>10/25/2018</t>
  </si>
  <si>
    <t>10/19/2018</t>
  </si>
  <si>
    <t>10/16/2018</t>
  </si>
  <si>
    <t>09/25/2018</t>
  </si>
  <si>
    <t>09/21/2018</t>
  </si>
  <si>
    <t>07/31/2018</t>
  </si>
  <si>
    <t>07/02/2018</t>
  </si>
  <si>
    <t>05/17/2018</t>
  </si>
  <si>
    <t>05/14/2018</t>
  </si>
  <si>
    <t>04/25/2018</t>
  </si>
  <si>
    <t>04/13/2018</t>
  </si>
  <si>
    <t>03/06/2018</t>
  </si>
  <si>
    <t>02/23/2018</t>
  </si>
  <si>
    <t>02/15/2018</t>
  </si>
  <si>
    <t>02/08/2018</t>
  </si>
  <si>
    <t>01/16/2018</t>
  </si>
  <si>
    <t>01/10/2018</t>
  </si>
  <si>
    <t>01/03/2018</t>
  </si>
  <si>
    <t>12/29/2017</t>
  </si>
  <si>
    <t>12/13/2017</t>
  </si>
  <si>
    <t>12/12/2017</t>
  </si>
  <si>
    <t>12/04/2017</t>
  </si>
  <si>
    <t>11/22/2017</t>
  </si>
  <si>
    <t>10/24/2017</t>
  </si>
  <si>
    <t>10/03/2017</t>
  </si>
  <si>
    <t>09/20/2017</t>
  </si>
  <si>
    <t>08/15/2017</t>
  </si>
  <si>
    <t>07/06/2017</t>
  </si>
  <si>
    <t>06/09/2017</t>
  </si>
  <si>
    <t>06/01/2017</t>
  </si>
  <si>
    <t>03/23/2017</t>
  </si>
  <si>
    <t>03/20/2017</t>
  </si>
  <si>
    <t>02/22/2017</t>
  </si>
  <si>
    <t>01/11/2017</t>
  </si>
  <si>
    <t>12/09/2016</t>
  </si>
  <si>
    <t>11/03/2016</t>
  </si>
  <si>
    <t>09/16/2016</t>
  </si>
  <si>
    <t>09/08/2016</t>
  </si>
  <si>
    <t>08/29/2016</t>
  </si>
  <si>
    <t>07/01/2016</t>
  </si>
  <si>
    <t>04/01/2015</t>
  </si>
  <si>
    <t>01/29/2015</t>
  </si>
  <si>
    <t>01/28/2015</t>
  </si>
  <si>
    <t>02/26/2014</t>
  </si>
  <si>
    <t>10/30/2018</t>
  </si>
  <si>
    <t>11/06/2018</t>
  </si>
  <si>
    <t>3020 CLS-Civil Legal Services</t>
  </si>
  <si>
    <t>I-929</t>
  </si>
  <si>
    <t>330 Guardianship Children</t>
  </si>
  <si>
    <t>Emergency Planning</t>
  </si>
  <si>
    <t>I-601A</t>
  </si>
  <si>
    <t>I-589</t>
  </si>
  <si>
    <t>Italian</t>
  </si>
  <si>
    <t>Croatian</t>
  </si>
  <si>
    <t>Ronnie</t>
  </si>
  <si>
    <t>Isieny</t>
  </si>
  <si>
    <t>Amparo</t>
  </si>
  <si>
    <t>Giordano</t>
  </si>
  <si>
    <t>Belkis</t>
  </si>
  <si>
    <t>Cintia</t>
  </si>
  <si>
    <t>Loammy</t>
  </si>
  <si>
    <t>Chinonso</t>
  </si>
  <si>
    <t>Nikesha</t>
  </si>
  <si>
    <t>Amenzee</t>
  </si>
  <si>
    <t>Meylin</t>
  </si>
  <si>
    <t>Reynaldo</t>
  </si>
  <si>
    <t>Ilsia</t>
  </si>
  <si>
    <t>Ronald</t>
  </si>
  <si>
    <t>Arnold</t>
  </si>
  <si>
    <t>Sharlian</t>
  </si>
  <si>
    <t>Lorna</t>
  </si>
  <si>
    <t>Nahomy</t>
  </si>
  <si>
    <t>Destyni</t>
  </si>
  <si>
    <t>Emilson</t>
  </si>
  <si>
    <t>Estephany</t>
  </si>
  <si>
    <t>Brendel</t>
  </si>
  <si>
    <t>Elda</t>
  </si>
  <si>
    <t>Ashlee</t>
  </si>
  <si>
    <t>Kammiel</t>
  </si>
  <si>
    <t>Lee-Shanique</t>
  </si>
  <si>
    <t>Sharbie</t>
  </si>
  <si>
    <t>Abdoulaziz</t>
  </si>
  <si>
    <t>Aneiry</t>
  </si>
  <si>
    <t>Jahir</t>
  </si>
  <si>
    <t>Helen</t>
  </si>
  <si>
    <t>Sthewal</t>
  </si>
  <si>
    <t>Igundani</t>
  </si>
  <si>
    <t>Brandi</t>
  </si>
  <si>
    <t>Jilaryn</t>
  </si>
  <si>
    <t>Yeniss</t>
  </si>
  <si>
    <t>Mohamadou</t>
  </si>
  <si>
    <t>Ameer</t>
  </si>
  <si>
    <t>Jennifer</t>
  </si>
  <si>
    <t>Shakeem</t>
  </si>
  <si>
    <t>Erlyn</t>
  </si>
  <si>
    <t>Sendy</t>
  </si>
  <si>
    <t>Daisy</t>
  </si>
  <si>
    <t>Bacilia</t>
  </si>
  <si>
    <t>Neira</t>
  </si>
  <si>
    <t>Yojana</t>
  </si>
  <si>
    <t>Yainia</t>
  </si>
  <si>
    <t>Yamundaw</t>
  </si>
  <si>
    <t>Yolany</t>
  </si>
  <si>
    <t>Keyvan</t>
  </si>
  <si>
    <t>Danixy</t>
  </si>
  <si>
    <t>Isidora</t>
  </si>
  <si>
    <t>Djene</t>
  </si>
  <si>
    <t>Lidice</t>
  </si>
  <si>
    <t>Jemilson</t>
  </si>
  <si>
    <t>Favour</t>
  </si>
  <si>
    <t>Jency Pamela</t>
  </si>
  <si>
    <t>Eddie</t>
  </si>
  <si>
    <t>Atilio</t>
  </si>
  <si>
    <t>Jhoismar</t>
  </si>
  <si>
    <t>Ariel</t>
  </si>
  <si>
    <t>Jerlin</t>
  </si>
  <si>
    <t>Anisthon</t>
  </si>
  <si>
    <t>Lisi</t>
  </si>
  <si>
    <t>Denovan Javier</t>
  </si>
  <si>
    <t>Tracy</t>
  </si>
  <si>
    <t>Tifany</t>
  </si>
  <si>
    <t>Yehinor</t>
  </si>
  <si>
    <t>Alondra</t>
  </si>
  <si>
    <t>Yecenia</t>
  </si>
  <si>
    <t>Jorgelys</t>
  </si>
  <si>
    <t>Mariangel</t>
  </si>
  <si>
    <t>Bessy</t>
  </si>
  <si>
    <t>Cintya</t>
  </si>
  <si>
    <t>Jon-Michael</t>
  </si>
  <si>
    <t>Jon-Michela</t>
  </si>
  <si>
    <t>Rafael</t>
  </si>
  <si>
    <t>Nilda</t>
  </si>
  <si>
    <t>Daniel</t>
  </si>
  <si>
    <t>Cristina</t>
  </si>
  <si>
    <t>Juan</t>
  </si>
  <si>
    <t>Fatmata</t>
  </si>
  <si>
    <t>Esmy</t>
  </si>
  <si>
    <t>Gelyn</t>
  </si>
  <si>
    <t>Trifosa</t>
  </si>
  <si>
    <t>Damion</t>
  </si>
  <si>
    <t>Keyden</t>
  </si>
  <si>
    <t>Kebbeh</t>
  </si>
  <si>
    <t>Babou</t>
  </si>
  <si>
    <t>Ibelinn</t>
  </si>
  <si>
    <t>Ryan</t>
  </si>
  <si>
    <t>Julio</t>
  </si>
  <si>
    <t>Meynardo</t>
  </si>
  <si>
    <t>Mamadou</t>
  </si>
  <si>
    <t>Evelin</t>
  </si>
  <si>
    <t>Jairo</t>
  </si>
  <si>
    <t>Mayker</t>
  </si>
  <si>
    <t>Yaneysi</t>
  </si>
  <si>
    <t>Cristobal</t>
  </si>
  <si>
    <t>Osvaldo</t>
  </si>
  <si>
    <t>Andrea</t>
  </si>
  <si>
    <t>Martina</t>
  </si>
  <si>
    <t>Carmen</t>
  </si>
  <si>
    <t>Laura</t>
  </si>
  <si>
    <t>Peta Gay</t>
  </si>
  <si>
    <t>Kendra</t>
  </si>
  <si>
    <t>Teresa</t>
  </si>
  <si>
    <t>Alidou</t>
  </si>
  <si>
    <t>Deidra</t>
  </si>
  <si>
    <t>Masciel</t>
  </si>
  <si>
    <t>Sarahlee</t>
  </si>
  <si>
    <t>Flowers</t>
  </si>
  <si>
    <t>Lydia</t>
  </si>
  <si>
    <t>Yudith</t>
  </si>
  <si>
    <t>Jahlani</t>
  </si>
  <si>
    <t>Fransheska</t>
  </si>
  <si>
    <t>Rosalinda</t>
  </si>
  <si>
    <t>Tanya</t>
  </si>
  <si>
    <t>Bertha</t>
  </si>
  <si>
    <t>ELIZABETH</t>
  </si>
  <si>
    <t>Fernanda</t>
  </si>
  <si>
    <t>Saeed</t>
  </si>
  <si>
    <t>Edson</t>
  </si>
  <si>
    <t>Yamilet</t>
  </si>
  <si>
    <t>Josias</t>
  </si>
  <si>
    <t>Osman</t>
  </si>
  <si>
    <t>Claudette</t>
  </si>
  <si>
    <t>Marina</t>
  </si>
  <si>
    <t>Yesica</t>
  </si>
  <si>
    <t>Joel</t>
  </si>
  <si>
    <t>Sara</t>
  </si>
  <si>
    <t>Zenaida</t>
  </si>
  <si>
    <t>Cesar</t>
  </si>
  <si>
    <t>Esdras</t>
  </si>
  <si>
    <t>Delia</t>
  </si>
  <si>
    <t>Eric</t>
  </si>
  <si>
    <t>Azatta</t>
  </si>
  <si>
    <t>Dionicia</t>
  </si>
  <si>
    <t>Carmelo</t>
  </si>
  <si>
    <t>Johnny</t>
  </si>
  <si>
    <t>Joandry</t>
  </si>
  <si>
    <t>Guillermo</t>
  </si>
  <si>
    <t>Nikiema</t>
  </si>
  <si>
    <t>Vasquez Maisela</t>
  </si>
  <si>
    <t>Arzu Madrid</t>
  </si>
  <si>
    <t>Donadello</t>
  </si>
  <si>
    <t>Lucero Campos</t>
  </si>
  <si>
    <t>Colon-Miguel</t>
  </si>
  <si>
    <t>Chiji</t>
  </si>
  <si>
    <t>Ballesteros Bernardez</t>
  </si>
  <si>
    <t>Igoudala</t>
  </si>
  <si>
    <t>Bautista Aleman</t>
  </si>
  <si>
    <t>Castillo Garcia</t>
  </si>
  <si>
    <t>Suling</t>
  </si>
  <si>
    <t>Remonvil</t>
  </si>
  <si>
    <t>Bermudez Figueroa</t>
  </si>
  <si>
    <t>Costly Benneth</t>
  </si>
  <si>
    <t>Barrios Flores</t>
  </si>
  <si>
    <t>Suazo Martinez</t>
  </si>
  <si>
    <t>Lino Garcia</t>
  </si>
  <si>
    <t>Garcia Marin</t>
  </si>
  <si>
    <t>Miranda Cordova</t>
  </si>
  <si>
    <t>Rochez Guzman</t>
  </si>
  <si>
    <t>Chavarria Garcia</t>
  </si>
  <si>
    <t>Morquecho</t>
  </si>
  <si>
    <t>Lewis</t>
  </si>
  <si>
    <t>Abdulla</t>
  </si>
  <si>
    <t>Rivaz Guzman</t>
  </si>
  <si>
    <t>Thiombiano</t>
  </si>
  <si>
    <t>Coreas Portillo</t>
  </si>
  <si>
    <t>Lopez Zapata</t>
  </si>
  <si>
    <t>Ventura</t>
  </si>
  <si>
    <t>Miranda Alvarez</t>
  </si>
  <si>
    <t>Saravia Mejia</t>
  </si>
  <si>
    <t>Arriola Guity</t>
  </si>
  <si>
    <t>Melendez Saravia</t>
  </si>
  <si>
    <t>Mejia Saravia</t>
  </si>
  <si>
    <t>Fernandez David</t>
  </si>
  <si>
    <t>Guillen Suazo</t>
  </si>
  <si>
    <t>Gaffoor</t>
  </si>
  <si>
    <t>Portillo Reyes</t>
  </si>
  <si>
    <t>Garcia Canales</t>
  </si>
  <si>
    <t>Reyes Castillo</t>
  </si>
  <si>
    <t>Flores Juarez</t>
  </si>
  <si>
    <t>Bernardez Ortiz</t>
  </si>
  <si>
    <t>Marin Bernandez</t>
  </si>
  <si>
    <t>Avaloy Thomas</t>
  </si>
  <si>
    <t>Najarro Dominguez</t>
  </si>
  <si>
    <t>Alvarez Ramirez</t>
  </si>
  <si>
    <t>Martinez Palacios</t>
  </si>
  <si>
    <t>Baquiax Sapon</t>
  </si>
  <si>
    <t>Fernandez-Medina</t>
  </si>
  <si>
    <t>Bernardez Martinez</t>
  </si>
  <si>
    <t>Medina-Gamboa</t>
  </si>
  <si>
    <t>Portto</t>
  </si>
  <si>
    <t>Garcia Loreto</t>
  </si>
  <si>
    <t>Kaba</t>
  </si>
  <si>
    <t>Palacios-Marin</t>
  </si>
  <si>
    <t>Arzu Garcia</t>
  </si>
  <si>
    <t>Ojeda De Nunez</t>
  </si>
  <si>
    <t>Egboh</t>
  </si>
  <si>
    <t>Chica Rosales</t>
  </si>
  <si>
    <t>Contreras Rosales</t>
  </si>
  <si>
    <t>Mercuri Santos</t>
  </si>
  <si>
    <t>Veloz Cabral</t>
  </si>
  <si>
    <t>La Cruz Lucero</t>
  </si>
  <si>
    <t>Shiwmangal</t>
  </si>
  <si>
    <t>Lino Flores</t>
  </si>
  <si>
    <t>Palacios Castillo</t>
  </si>
  <si>
    <t>Miranda Montero</t>
  </si>
  <si>
    <t>Miranda Moreno</t>
  </si>
  <si>
    <t>Neil</t>
  </si>
  <si>
    <t>Marin Ramirez</t>
  </si>
  <si>
    <t>Ramirez Velazco</t>
  </si>
  <si>
    <t>Ollarvez Pinto</t>
  </si>
  <si>
    <t>Conde Ollarvez</t>
  </si>
  <si>
    <t>Torres Romero</t>
  </si>
  <si>
    <t>Sani</t>
  </si>
  <si>
    <t>Aleman Montoya</t>
  </si>
  <si>
    <t>McLaughlin</t>
  </si>
  <si>
    <t>Morales Najarro</t>
  </si>
  <si>
    <t>Escamilla Ortega</t>
  </si>
  <si>
    <t>Briceño</t>
  </si>
  <si>
    <t>Garcia Martinez</t>
  </si>
  <si>
    <t>Oliva</t>
  </si>
  <si>
    <t>Mendez Escalante</t>
  </si>
  <si>
    <t>Velasquez Cal</t>
  </si>
  <si>
    <t>Dominguez Cruz</t>
  </si>
  <si>
    <t>De Jesus Gonzalez</t>
  </si>
  <si>
    <t>Ingram</t>
  </si>
  <si>
    <t>Delgado Mendez</t>
  </si>
  <si>
    <t>Kamara</t>
  </si>
  <si>
    <t>Benedit Martinez</t>
  </si>
  <si>
    <t>Medina Andrade</t>
  </si>
  <si>
    <t>Cisneros</t>
  </si>
  <si>
    <t>Sanchez Melendez</t>
  </si>
  <si>
    <t>Veitch</t>
  </si>
  <si>
    <t>Torres Garcia</t>
  </si>
  <si>
    <t>Joof</t>
  </si>
  <si>
    <t>Martinez Fernandez</t>
  </si>
  <si>
    <t>Mejia Martinez</t>
  </si>
  <si>
    <t>Castillo Reyes</t>
  </si>
  <si>
    <t>Medina-Ramos</t>
  </si>
  <si>
    <t>Souare</t>
  </si>
  <si>
    <t>Andrade Vigil</t>
  </si>
  <si>
    <t>Arzu Colon</t>
  </si>
  <si>
    <t>Cabral Pichardo</t>
  </si>
  <si>
    <t>Namina Sislema</t>
  </si>
  <si>
    <t>Nugra Saeteros</t>
  </si>
  <si>
    <t>Zebulon</t>
  </si>
  <si>
    <t>Casco Lopez</t>
  </si>
  <si>
    <t>Gutierrez-Martinez</t>
  </si>
  <si>
    <t>Satchell</t>
  </si>
  <si>
    <t>Quezada</t>
  </si>
  <si>
    <t>Rosales</t>
  </si>
  <si>
    <t>Pogbene</t>
  </si>
  <si>
    <t>Scott</t>
  </si>
  <si>
    <t>Ferrera Dominguez</t>
  </si>
  <si>
    <t>Benneth</t>
  </si>
  <si>
    <t>Owusu</t>
  </si>
  <si>
    <t>Rosendo</t>
  </si>
  <si>
    <t>Sanchez</t>
  </si>
  <si>
    <t>Richards</t>
  </si>
  <si>
    <t>Cruz Dominguez</t>
  </si>
  <si>
    <t>Romero</t>
  </si>
  <si>
    <t>Morocho Tenemaza</t>
  </si>
  <si>
    <t>Mantuano</t>
  </si>
  <si>
    <t>Pichardo</t>
  </si>
  <si>
    <t>Melendez Velasquez</t>
  </si>
  <si>
    <t>VARGAS</t>
  </si>
  <si>
    <t>Madrid Gutierrez</t>
  </si>
  <si>
    <t>Talla</t>
  </si>
  <si>
    <t>De La Cruz Rodriguez</t>
  </si>
  <si>
    <t>Abubakar</t>
  </si>
  <si>
    <t>Ramos Norales</t>
  </si>
  <si>
    <t>Segovia</t>
  </si>
  <si>
    <t>Moran Malpica</t>
  </si>
  <si>
    <t>Gomez Moran</t>
  </si>
  <si>
    <t>Norales Aranda</t>
  </si>
  <si>
    <t>Garcia-Loreto</t>
  </si>
  <si>
    <t>Guevara Castro</t>
  </si>
  <si>
    <t>Salazar-Moronta</t>
  </si>
  <si>
    <t>Arias Falcon</t>
  </si>
  <si>
    <t>Bautista De Los Santos</t>
  </si>
  <si>
    <t>Andrade Vijil</t>
  </si>
  <si>
    <t>De Los Santos</t>
  </si>
  <si>
    <t>Arriola</t>
  </si>
  <si>
    <t>Lozano</t>
  </si>
  <si>
    <t>Saavedra</t>
  </si>
  <si>
    <t>Torrez Romero</t>
  </si>
  <si>
    <t>Bilic</t>
  </si>
  <si>
    <t>Contreras Cortorreal</t>
  </si>
  <si>
    <t>Galindo</t>
  </si>
  <si>
    <t>Navarro Murillo</t>
  </si>
  <si>
    <t>Enriquez Vivar</t>
  </si>
  <si>
    <t>Zenteno</t>
  </si>
  <si>
    <t>Soankopo Ghislane</t>
  </si>
  <si>
    <t>Victim of Trafficking (under 18)</t>
  </si>
  <si>
    <t>Italy</t>
  </si>
  <si>
    <t>Mauritania</t>
  </si>
  <si>
    <t>Angola</t>
  </si>
  <si>
    <t>Croatia (Hrvatska)</t>
  </si>
  <si>
    <t>07/13/2018</t>
  </si>
  <si>
    <t>07/11/2018</t>
  </si>
  <si>
    <t>06/28/2018</t>
  </si>
  <si>
    <t>06/14/2018</t>
  </si>
  <si>
    <t>04/10/2018</t>
  </si>
  <si>
    <t>03/16/2018</t>
  </si>
  <si>
    <t>03/21/2018</t>
  </si>
  <si>
    <t>10/28/2017</t>
  </si>
  <si>
    <t>10/05/2016</t>
  </si>
  <si>
    <t>12/28/2016</t>
  </si>
  <si>
    <t>09/15/2016</t>
  </si>
  <si>
    <t>05/14/2015</t>
  </si>
  <si>
    <t>10/24/2018</t>
  </si>
  <si>
    <t>8013-Obtained referral on an Individual Rights matter</t>
  </si>
  <si>
    <t>FJC - Bronx</t>
  </si>
  <si>
    <t>03/02/1963</t>
  </si>
  <si>
    <t>07/24/1985</t>
  </si>
  <si>
    <t>12/22/2016</t>
  </si>
  <si>
    <t>10/30/1959</t>
  </si>
  <si>
    <t>04/28/1998</t>
  </si>
  <si>
    <t>12/01/1961</t>
  </si>
  <si>
    <t>06/05/1986</t>
  </si>
  <si>
    <t>03/11/2007</t>
  </si>
  <si>
    <t>12/12/1989</t>
  </si>
  <si>
    <t>09/05/2009</t>
  </si>
  <si>
    <t>10/18/1999</t>
  </si>
  <si>
    <t>11/25/1980</t>
  </si>
  <si>
    <t>05/30/1979</t>
  </si>
  <si>
    <t>01/03/2007</t>
  </si>
  <si>
    <t>04/26/2006</t>
  </si>
  <si>
    <t>05/05/1987</t>
  </si>
  <si>
    <t>11/24/1985</t>
  </si>
  <si>
    <t>10/03/2001</t>
  </si>
  <si>
    <t>05/03/2008</t>
  </si>
  <si>
    <t>07/02/1999</t>
  </si>
  <si>
    <t>12/09/1968</t>
  </si>
  <si>
    <t>04/19/1980</t>
  </si>
  <si>
    <t>03/19/1999</t>
  </si>
  <si>
    <t>02/17/2008</t>
  </si>
  <si>
    <t>04/23/2003</t>
  </si>
  <si>
    <t>10/18/1992</t>
  </si>
  <si>
    <t>10/11/1969</t>
  </si>
  <si>
    <t>03/22/2010</t>
  </si>
  <si>
    <t>10/14/2003</t>
  </si>
  <si>
    <t>08/22/2005</t>
  </si>
  <si>
    <t>12/10/1998</t>
  </si>
  <si>
    <t>08/05/1990</t>
  </si>
  <si>
    <t>07/07/2001</t>
  </si>
  <si>
    <t>09/29/1984</t>
  </si>
  <si>
    <t>10/10/2013</t>
  </si>
  <si>
    <t>07/31/1995</t>
  </si>
  <si>
    <t>02/14/2004</t>
  </si>
  <si>
    <t>05/19/1980</t>
  </si>
  <si>
    <t>07/13/2010</t>
  </si>
  <si>
    <t>12/20/1986</t>
  </si>
  <si>
    <t>08/23/1993</t>
  </si>
  <si>
    <t>08/21/2013</t>
  </si>
  <si>
    <t>07/26/1992</t>
  </si>
  <si>
    <t>05/26/2003</t>
  </si>
  <si>
    <t>10/22/2000</t>
  </si>
  <si>
    <t>02/20/1993</t>
  </si>
  <si>
    <t>09/24/1990</t>
  </si>
  <si>
    <t>02/26/1986</t>
  </si>
  <si>
    <t>05/26/1995</t>
  </si>
  <si>
    <t>04/22/1993</t>
  </si>
  <si>
    <t>05/01/1996</t>
  </si>
  <si>
    <t>08/20/1982</t>
  </si>
  <si>
    <t>05/02/1987</t>
  </si>
  <si>
    <t>09/14/2005</t>
  </si>
  <si>
    <t>03/08/1980</t>
  </si>
  <si>
    <t>06/13/1981</t>
  </si>
  <si>
    <t>11/21/1999</t>
  </si>
  <si>
    <t>10/25/1976</t>
  </si>
  <si>
    <t>08/24/1986</t>
  </si>
  <si>
    <t>08/08/2002</t>
  </si>
  <si>
    <t>03/02/2012</t>
  </si>
  <si>
    <t>11/19/2000</t>
  </si>
  <si>
    <t>03/10/1993</t>
  </si>
  <si>
    <t>02/20/2007</t>
  </si>
  <si>
    <t>06/26/1995</t>
  </si>
  <si>
    <t>05/30/1982</t>
  </si>
  <si>
    <t>08/23/1978</t>
  </si>
  <si>
    <t>11/05/2014</t>
  </si>
  <si>
    <t>01/01/2011</t>
  </si>
  <si>
    <t>10/11/1963</t>
  </si>
  <si>
    <t>05/12/2001</t>
  </si>
  <si>
    <t>03/06/2005</t>
  </si>
  <si>
    <t>04/29/2010</t>
  </si>
  <si>
    <t>03/14/1963</t>
  </si>
  <si>
    <t>12/07/1971</t>
  </si>
  <si>
    <t>11/27/1992</t>
  </si>
  <si>
    <t>02/17/1971</t>
  </si>
  <si>
    <t>06/10/1992</t>
  </si>
  <si>
    <t>09/22/2014</t>
  </si>
  <si>
    <t>11/26/1995</t>
  </si>
  <si>
    <t>12/11/1981</t>
  </si>
  <si>
    <t>06/16/1972</t>
  </si>
  <si>
    <t>11/01/2009</t>
  </si>
  <si>
    <t>07/01/1978</t>
  </si>
  <si>
    <t>09/02/2003</t>
  </si>
  <si>
    <t>09/16/2005</t>
  </si>
  <si>
    <t>02/25/2005</t>
  </si>
  <si>
    <t>01/21/1978</t>
  </si>
  <si>
    <t>01/14/2000</t>
  </si>
  <si>
    <t>04/26/2005</t>
  </si>
  <si>
    <t>05/16/1979</t>
  </si>
  <si>
    <t>12/11/1984</t>
  </si>
  <si>
    <t>11/28/2008</t>
  </si>
  <si>
    <t>07/22/2011</t>
  </si>
  <si>
    <t>06/22/2007</t>
  </si>
  <si>
    <t>01/31/1981</t>
  </si>
  <si>
    <t>07/01/1973</t>
  </si>
  <si>
    <t>05/07/1988</t>
  </si>
  <si>
    <t>04/12/2003</t>
  </si>
  <si>
    <t>11/13/2005</t>
  </si>
  <si>
    <t>05/09/2000</t>
  </si>
  <si>
    <t>01/13/2001</t>
  </si>
  <si>
    <t>06/05/1987</t>
  </si>
  <si>
    <t>09/11/1968</t>
  </si>
  <si>
    <t>06/11/1980</t>
  </si>
  <si>
    <t>06/24/1980</t>
  </si>
  <si>
    <t>10/08/2007</t>
  </si>
  <si>
    <t>08/29/2011</t>
  </si>
  <si>
    <t>12/07/1981</t>
  </si>
  <si>
    <t>01/21/2004</t>
  </si>
  <si>
    <t>02/15/1991</t>
  </si>
  <si>
    <t>12/03/2015</t>
  </si>
  <si>
    <t>01/01/1970</t>
  </si>
  <si>
    <t>02/15/1985</t>
  </si>
  <si>
    <t>08/08/2011</t>
  </si>
  <si>
    <t>11/06/2015</t>
  </si>
  <si>
    <t>07/15/1989</t>
  </si>
  <si>
    <t>01/21/1967</t>
  </si>
  <si>
    <t>10/10/1972</t>
  </si>
  <si>
    <t>05/17/2002</t>
  </si>
  <si>
    <t>08/10/1990</t>
  </si>
  <si>
    <t>09/19/2001</t>
  </si>
  <si>
    <t>06/07/2003</t>
  </si>
  <si>
    <t>10/08/1978</t>
  </si>
  <si>
    <t>03/31/1996</t>
  </si>
  <si>
    <t>06/10/1983</t>
  </si>
  <si>
    <t>01/03/1970</t>
  </si>
  <si>
    <t>11/15/1991</t>
  </si>
  <si>
    <t>07/20/1983</t>
  </si>
  <si>
    <t>09/03/1993</t>
  </si>
  <si>
    <t>09/10/1960</t>
  </si>
  <si>
    <t>05/10/1977</t>
  </si>
  <si>
    <t>04/10/1996</t>
  </si>
  <si>
    <t>03/20/2002</t>
  </si>
  <si>
    <t>07/22/1966</t>
  </si>
  <si>
    <t>07/17/1975</t>
  </si>
  <si>
    <t>03/24/1974</t>
  </si>
  <si>
    <t>05/23/1966</t>
  </si>
  <si>
    <t>06/20/1952</t>
  </si>
  <si>
    <t>08/13/1938</t>
  </si>
  <si>
    <t>09/09/1991</t>
  </si>
  <si>
    <t>03/01/2005</t>
  </si>
  <si>
    <t>03/13/1960</t>
  </si>
  <si>
    <t>06/12/1994</t>
  </si>
  <si>
    <t>03/10/1973</t>
  </si>
  <si>
    <t>06/28/1984</t>
  </si>
  <si>
    <t>06/01/1984</t>
  </si>
  <si>
    <t>01/02/1985</t>
  </si>
  <si>
    <t>12/24/2010</t>
  </si>
  <si>
    <t>05/20/1983</t>
  </si>
  <si>
    <t>05/19/1973</t>
  </si>
  <si>
    <t>08/21/1998</t>
  </si>
  <si>
    <t>02/15/2010</t>
  </si>
  <si>
    <t>01/03/1993</t>
  </si>
  <si>
    <t>10/27/1998</t>
  </si>
  <si>
    <t>10/27/1994</t>
  </si>
  <si>
    <t>08/19/2015</t>
  </si>
  <si>
    <t>01/21/1999</t>
  </si>
  <si>
    <t>12/16/1959</t>
  </si>
  <si>
    <t>04/22/1975</t>
  </si>
  <si>
    <t>04/28/1956</t>
  </si>
  <si>
    <t>10/08/1969</t>
  </si>
  <si>
    <t>01/19/1998</t>
  </si>
  <si>
    <t>09/26/1995</t>
  </si>
  <si>
    <t>08/01/1955</t>
  </si>
  <si>
    <t>07/18/1970</t>
  </si>
  <si>
    <t>05/05/1980</t>
  </si>
  <si>
    <t>07/08/1994</t>
  </si>
  <si>
    <t>10/03/1993</t>
  </si>
  <si>
    <t>03/17/1979</t>
  </si>
  <si>
    <t>12/06/1977</t>
  </si>
  <si>
    <t>07/16/1975</t>
  </si>
  <si>
    <t>10/24/1985</t>
  </si>
  <si>
    <t>02/14/1980</t>
  </si>
  <si>
    <t>04/04/1984</t>
  </si>
  <si>
    <t>06/12/1978</t>
  </si>
  <si>
    <t>09/03/1999</t>
  </si>
  <si>
    <t>04/23/1989</t>
  </si>
  <si>
    <t>12/24/1985</t>
  </si>
  <si>
    <t>10/21/1974</t>
  </si>
  <si>
    <t>11/14/1982</t>
  </si>
  <si>
    <t>$47,736.00</t>
  </si>
  <si>
    <t>$46,800.00</t>
  </si>
  <si>
    <t>$22,672.00</t>
  </si>
  <si>
    <t>$33,800.00</t>
  </si>
  <si>
    <t>$9,324.00</t>
  </si>
  <si>
    <t>$1,800.00</t>
  </si>
  <si>
    <t>$5,820.00</t>
  </si>
  <si>
    <t>$33,360.00</t>
  </si>
  <si>
    <t>$28,600.00</t>
  </si>
  <si>
    <t>$23,790.00</t>
  </si>
  <si>
    <t>$29,400.00</t>
  </si>
  <si>
    <t>$24,720.00</t>
  </si>
  <si>
    <t>$2,448.00</t>
  </si>
  <si>
    <t>$19,760.00</t>
  </si>
  <si>
    <t>$21,840.00</t>
  </si>
  <si>
    <t>$74,400.00</t>
  </si>
  <si>
    <t>$20,763.96</t>
  </si>
  <si>
    <t>$2,160.00</t>
  </si>
  <si>
    <t>$10,200.00</t>
  </si>
  <si>
    <t>$50,400.00</t>
  </si>
  <si>
    <t>$4,140.00</t>
  </si>
  <si>
    <t>$13,800.00</t>
  </si>
  <si>
    <t>$3,770.00</t>
  </si>
  <si>
    <t>$1,740.00</t>
  </si>
  <si>
    <t>$8,772.00</t>
  </si>
  <si>
    <t>$19,080.00</t>
  </si>
  <si>
    <t>$24,032.00</t>
  </si>
  <si>
    <t>$35,712.00</t>
  </si>
  <si>
    <t>$9,276.00</t>
  </si>
  <si>
    <t>$11,960.00</t>
  </si>
  <si>
    <t>$10,836.00</t>
  </si>
  <si>
    <t>$34,464.00</t>
  </si>
  <si>
    <t>$17,232.00</t>
  </si>
  <si>
    <t>$20,080.00</t>
  </si>
  <si>
    <t>$3,822.00</t>
  </si>
  <si>
    <t>Orellana, Victor</t>
  </si>
  <si>
    <t>Mejia Moran, Liam</t>
  </si>
  <si>
    <t>Blanco Landaverde, Miguel Fernando</t>
  </si>
  <si>
    <t>Abdallah, Mihad</t>
  </si>
  <si>
    <t>Antonio Martinez, Perla</t>
  </si>
  <si>
    <t>Baniro, Sarah</t>
  </si>
  <si>
    <t>Orozco Martinez, Karen Maryori</t>
  </si>
  <si>
    <t>Ewuola, Adebukola</t>
  </si>
  <si>
    <t>Castillo Garcia, Keisy Yoliveth</t>
  </si>
  <si>
    <t>Orazbayev, Darkhan</t>
  </si>
  <si>
    <t>Dzamesi, Peter Kwadwo</t>
  </si>
  <si>
    <t>Garcia, Marce</t>
  </si>
  <si>
    <t>Gomez Chavarria, Elmer Bismark</t>
  </si>
  <si>
    <t>Cadena Beltran, Yenis</t>
  </si>
  <si>
    <t>Maksimenko, Tatiana</t>
  </si>
  <si>
    <t>Maksimenko, Oleg</t>
  </si>
  <si>
    <t>Maksimenko, Margarita</t>
  </si>
  <si>
    <t>Maksimenko, Egor</t>
  </si>
  <si>
    <t>Aulov, Aleksei</t>
  </si>
  <si>
    <t>Cedillo Sian, Luis Miguel Andres</t>
  </si>
  <si>
    <t>Calderon Rodriguez, Ruth Abigail</t>
  </si>
  <si>
    <t>Eghan, David Claude</t>
  </si>
  <si>
    <t>Martinez, Brenda</t>
  </si>
  <si>
    <t>Johnson, Edmond</t>
  </si>
  <si>
    <t>Mendoza Sanchez, Nancy</t>
  </si>
  <si>
    <t>Amilo, Emmanuel</t>
  </si>
  <si>
    <t>Dapun, Ramsey</t>
  </si>
  <si>
    <t>Aluwihare, Sashin</t>
  </si>
  <si>
    <t>Sookdeo, Denanauth</t>
  </si>
  <si>
    <t>Getten, Davon</t>
  </si>
  <si>
    <t>Endraws, Viola</t>
  </si>
  <si>
    <t>Vidal, Isidra</t>
  </si>
  <si>
    <t>Gallardo Vidal, Cinthia Itzel</t>
  </si>
  <si>
    <t>Gallardo Vidal, Juan Jose</t>
  </si>
  <si>
    <t>Cruz Gomez, Mizrahi Iram</t>
  </si>
  <si>
    <t>Cruz Gomez, Linney Sorayssi</t>
  </si>
  <si>
    <t>Aguilar Gonzalez, Jessica</t>
  </si>
  <si>
    <t>Urbina Licona, Maria Jose</t>
  </si>
  <si>
    <t>Gilbert, Bethany</t>
  </si>
  <si>
    <t>Martinez Cruz, Ivis Andonis</t>
  </si>
  <si>
    <t>Bolvito Lopez, Ruben</t>
  </si>
  <si>
    <t>Hernadez Diaz, Cinthia</t>
  </si>
  <si>
    <t>Castillo Garcia, Deinor</t>
  </si>
  <si>
    <t>Bolvito Rodriguez, Adali L</t>
  </si>
  <si>
    <t>Viruel, Javier</t>
  </si>
  <si>
    <t>Ayala, Jesus</t>
  </si>
  <si>
    <t>Rivera Pavon, Adalberto</t>
  </si>
  <si>
    <t>Cruz, Xiomara</t>
  </si>
  <si>
    <t>Moran, Alejandra</t>
  </si>
  <si>
    <t>Arizmendi Garcia, Alexa</t>
  </si>
  <si>
    <t>Benitez, Billay</t>
  </si>
  <si>
    <t>Romero Cabello, Fanny</t>
  </si>
  <si>
    <t>Aquino, Jessica</t>
  </si>
  <si>
    <t>Miranda, Miranda</t>
  </si>
  <si>
    <t>Omoshehin, Victor</t>
  </si>
  <si>
    <t>Bolvito Canahui, Baudilio</t>
  </si>
  <si>
    <t>Kuzmin, Elizaveta</t>
  </si>
  <si>
    <t>Pratt, Wale</t>
  </si>
  <si>
    <t>Escamilla, Hermenegilda</t>
  </si>
  <si>
    <t>Gomez Velasquez, Carolina</t>
  </si>
  <si>
    <t>Tkachuk, Maksym</t>
  </si>
  <si>
    <t>Rozhdestvenskiy, Alexey</t>
  </si>
  <si>
    <t>Calderon Rodriguez, Angel Esau</t>
  </si>
  <si>
    <t>Mendoza, Isabella</t>
  </si>
  <si>
    <t>Raymundo Cedillo, Jacinto Gerardo</t>
  </si>
  <si>
    <t>Rodriguez Reyes, Susan</t>
  </si>
  <si>
    <t>Salgado Rodriguez, Ashley Guadalupe</t>
  </si>
  <si>
    <t>Herrera, Concepcion</t>
  </si>
  <si>
    <t>Areola, Treasure Oluwatoniloba</t>
  </si>
  <si>
    <t>Abel, Godwill</t>
  </si>
  <si>
    <t>Coy, Reina</t>
  </si>
  <si>
    <t>Garcia Blanco, Edgar Eli</t>
  </si>
  <si>
    <t>Garcia Blanco, Leslie Alejandra</t>
  </si>
  <si>
    <t>Tisol Arias, Meison Ivan</t>
  </si>
  <si>
    <t>Martinez, Sara</t>
  </si>
  <si>
    <t>Calderon, Jose</t>
  </si>
  <si>
    <t>Borja, Alonso</t>
  </si>
  <si>
    <t>Tello, Alvaro</t>
  </si>
  <si>
    <t>Garanin, Aleksei</t>
  </si>
  <si>
    <t>Lyu, Lin</t>
  </si>
  <si>
    <t>Shenouda, Samy</t>
  </si>
  <si>
    <t>Ramirez, Cassandra</t>
  </si>
  <si>
    <t>Nwokoro, Mark</t>
  </si>
  <si>
    <t>Mejia Mena, Franklin Edenilson</t>
  </si>
  <si>
    <t>Alvarez Rosales, Carlos Daniel</t>
  </si>
  <si>
    <t>Alvarez Lobo, Carlos Roberto</t>
  </si>
  <si>
    <t>Mejia Mena, Cristian Josue</t>
  </si>
  <si>
    <t>Mejia Mena, Itzel Jareth</t>
  </si>
  <si>
    <t>Ibrahim, Mervot</t>
  </si>
  <si>
    <t>Cutz, Jose Daniel</t>
  </si>
  <si>
    <t>Tzul Tiu, Fernando Isaac</t>
  </si>
  <si>
    <t>Tzul Tiu, Guidman Aaron</t>
  </si>
  <si>
    <t>Tzul-Tiu, Guidman Aaron</t>
  </si>
  <si>
    <t>Guerrero Cabanas, Erika</t>
  </si>
  <si>
    <t>Martinez, Francisca</t>
  </si>
  <si>
    <t>Morgan, Fayez</t>
  </si>
  <si>
    <t>Bejja, Kamal</t>
  </si>
  <si>
    <t>Hernandez, Viviana</t>
  </si>
  <si>
    <t>Farciert, Araceli</t>
  </si>
  <si>
    <t>Reyes Garcia, Jonathan</t>
  </si>
  <si>
    <t>Rasulov, Odiljon</t>
  </si>
  <si>
    <t>Barahona Ruiz, Jean Jafeth</t>
  </si>
  <si>
    <t>Verde Mendoza, Maynor Jareth</t>
  </si>
  <si>
    <t>Verde Mendoza, Maynor Janeth</t>
  </si>
  <si>
    <t>Cruz Gomez, Mizrahi Iram Hosseffet</t>
  </si>
  <si>
    <t>Ibeneme, David</t>
  </si>
  <si>
    <t>Ochoa, Lubys</t>
  </si>
  <si>
    <t>Tiu-Ordonez, Emiliana Cecilia</t>
  </si>
  <si>
    <t>Mejia, Hector</t>
  </si>
  <si>
    <t>Mejia, Maria</t>
  </si>
  <si>
    <t>Santos Salazar, Esdras Omar</t>
  </si>
  <si>
    <t>Ozah, Oluwasegun</t>
  </si>
  <si>
    <t>Maradiaga, Dilan</t>
  </si>
  <si>
    <t>Marquez Mejia, Yorleni Sarahi</t>
  </si>
  <si>
    <t>Montoya, Greisy</t>
  </si>
  <si>
    <t>Esteban Perez, Esmeralda</t>
  </si>
  <si>
    <t>Perez, Amalia</t>
  </si>
  <si>
    <t>Navarro Perez, Nadia</t>
  </si>
  <si>
    <t>Mckenzie, Nuchette</t>
  </si>
  <si>
    <t>Mijangos Sanchez, Melida Irma Ariseth</t>
  </si>
  <si>
    <t>Lopez, Amy</t>
  </si>
  <si>
    <t>Kuzmin, Valeriya</t>
  </si>
  <si>
    <t>Flores Mira, Glenda Esmeralda</t>
  </si>
  <si>
    <t>Molina, Saidy</t>
  </si>
  <si>
    <t>Gomez Cortez, Damaris Carina</t>
  </si>
  <si>
    <t>Kuzmin, Aleksei</t>
  </si>
  <si>
    <t>Garcia Ramirez, Tomasa</t>
  </si>
  <si>
    <t>Talibakhunova, Shirin Adilovna</t>
  </si>
  <si>
    <t>Mendoza Varela, Kenia Dalila</t>
  </si>
  <si>
    <t>Fam, Marven</t>
  </si>
  <si>
    <t>Mena de Mejia, Rosa Maria</t>
  </si>
  <si>
    <t>Abdul Rahman, Issaka</t>
  </si>
  <si>
    <t>Moran, Maribel</t>
  </si>
  <si>
    <t>Glasgow, Sherryann</t>
  </si>
  <si>
    <t>Moran Juarez, Jesus</t>
  </si>
  <si>
    <t>Garcia Chavez, Riccy Mabel</t>
  </si>
  <si>
    <t>Vasilev, Rustam</t>
  </si>
  <si>
    <t>Cruz Pacheco, Sahory</t>
  </si>
  <si>
    <t>Cruz Pacheco, Jennifer</t>
  </si>
  <si>
    <t>Cruz Pacheco, Joseph</t>
  </si>
  <si>
    <t>Clemente Ramirez, Anderson Neptaly</t>
  </si>
  <si>
    <t>Valle, Alenna</t>
  </si>
  <si>
    <t>Linares Diaz, Arnold Isaac</t>
  </si>
  <si>
    <t>Rosales Cardona, Luis David</t>
  </si>
  <si>
    <t>Melara Sanchez, Alva Maria</t>
  </si>
  <si>
    <t>Licona, Flor</t>
  </si>
  <si>
    <t>Cardona Alvarenga, Keishla Rocio</t>
  </si>
  <si>
    <t>Portillo Moran, Andis Manrique</t>
  </si>
  <si>
    <t>Canales Maradiaga, Brithany Josely</t>
  </si>
  <si>
    <t>Canales Maradiaga, Edwin Yadiel</t>
  </si>
  <si>
    <t>Canales Maradiaga, Kenner Jared</t>
  </si>
  <si>
    <t>Romero, Fabiola</t>
  </si>
  <si>
    <t>Estrada, Ruth</t>
  </si>
  <si>
    <t>Pantoja Benavides, Noe</t>
  </si>
  <si>
    <t>Flores, Andrea</t>
  </si>
  <si>
    <t>Morastitla, Teodora</t>
  </si>
  <si>
    <t>Hernandez, Catalina</t>
  </si>
  <si>
    <t>Youssef, Mario</t>
  </si>
  <si>
    <t>Youssef, Martina</t>
  </si>
  <si>
    <t>Calderon, Erika</t>
  </si>
  <si>
    <t>Vasquez, Emma</t>
  </si>
  <si>
    <t>Diaz, Delmi</t>
  </si>
  <si>
    <t>Cardona Alvarenga, Keyla</t>
  </si>
  <si>
    <t>Rodriguez Blanco, Meralyn Yohami</t>
  </si>
  <si>
    <t>Rodriguez Blanco, Angel Emanuel</t>
  </si>
  <si>
    <t>Perez Cartagena, Loany</t>
  </si>
  <si>
    <t>Alvarado Perez, Rosangela Giccel</t>
  </si>
  <si>
    <t>Sanchez Gomez, Maria Soledad</t>
  </si>
  <si>
    <t>Cruz, Victoriano</t>
  </si>
  <si>
    <t>Javed, Suleman</t>
  </si>
  <si>
    <t>Navarette, Audencia</t>
  </si>
  <si>
    <t>Blanco De Garcia, Ingrid Albertina</t>
  </si>
  <si>
    <t>Mehdi, Syed</t>
  </si>
  <si>
    <t>Raskin, Viktoriya</t>
  </si>
  <si>
    <t>Corado Cortez, Andres Alfonso</t>
  </si>
  <si>
    <t>Fam, Mamdouh</t>
  </si>
  <si>
    <t>Ekweanya, Victor Somtochukwu</t>
  </si>
  <si>
    <t>Pacheco, Nilcer</t>
  </si>
  <si>
    <t>Yilmaz, Ezgi</t>
  </si>
  <si>
    <t>Mendez, Alma</t>
  </si>
  <si>
    <t>Borges, Miguel</t>
  </si>
  <si>
    <t>Sic Xitumul, Gladys Yanira</t>
  </si>
  <si>
    <t>Hernandez, Gabriel</t>
  </si>
  <si>
    <t>Perez Cartagena, Emerson Jafeth</t>
  </si>
  <si>
    <t>Ortega, Armando</t>
  </si>
  <si>
    <t>Ramirez, Ingrid</t>
  </si>
  <si>
    <t>Golovin, Ilya</t>
  </si>
  <si>
    <t>Perez, Yulis</t>
  </si>
  <si>
    <t>Chavez, Miriam</t>
  </si>
  <si>
    <t>Murillo Cartagena, Reina</t>
  </si>
  <si>
    <t>Vinnik, Andrey</t>
  </si>
  <si>
    <t>Kalashnikov, Boris</t>
  </si>
  <si>
    <t>Baten Rojas, Lionel</t>
  </si>
  <si>
    <t>Orihuela, Roxana</t>
  </si>
  <si>
    <t>Savin, Igor</t>
  </si>
  <si>
    <t>Maradiaga Alvarado, Jeimy</t>
  </si>
  <si>
    <t>Tulay, Sarah</t>
  </si>
  <si>
    <t>Viruel, Alvaro</t>
  </si>
  <si>
    <t>Sosa, Leonides</t>
  </si>
  <si>
    <t>Herrera, Alejandro</t>
  </si>
  <si>
    <t>Perez, Maria</t>
  </si>
  <si>
    <t>Navarro Moran, Darcedalia</t>
  </si>
  <si>
    <t>Orea, Arely</t>
  </si>
  <si>
    <t>Arzumanyants, Janna</t>
  </si>
  <si>
    <t>Staten Island Legal Services</t>
  </si>
  <si>
    <t>Middlesex</t>
  </si>
  <si>
    <t>Patel, Kinjal</t>
  </si>
  <si>
    <t>Ramos, Kathryn</t>
  </si>
  <si>
    <t>Solis-Silva, Perla</t>
  </si>
  <si>
    <t>Eugenio, Rosanna</t>
  </si>
  <si>
    <t>Wilkins, Dave</t>
  </si>
  <si>
    <t>Williams, Lorilei</t>
  </si>
  <si>
    <t>2019-07-09</t>
  </si>
  <si>
    <t>2018-07-17</t>
  </si>
  <si>
    <t>2017-11-15</t>
  </si>
  <si>
    <t>03/13/2019</t>
  </si>
  <si>
    <t>09/11/2018</t>
  </si>
  <si>
    <t>08/27/2018</t>
  </si>
  <si>
    <t>08/23/2018</t>
  </si>
  <si>
    <t>06/26/2018</t>
  </si>
  <si>
    <t>06/21/2018</t>
  </si>
  <si>
    <t>04/11/2018</t>
  </si>
  <si>
    <t>04/03/2018</t>
  </si>
  <si>
    <t>03/29/2018</t>
  </si>
  <si>
    <t>03/19/2018</t>
  </si>
  <si>
    <t>03/09/2018</t>
  </si>
  <si>
    <t>02/26/2018</t>
  </si>
  <si>
    <t>01/26/2018</t>
  </si>
  <si>
    <t>01/25/2018</t>
  </si>
  <si>
    <t>01/24/2018</t>
  </si>
  <si>
    <t>01/08/2018</t>
  </si>
  <si>
    <t>12/21/2017</t>
  </si>
  <si>
    <t>12/07/2017</t>
  </si>
  <si>
    <t>11/29/2017</t>
  </si>
  <si>
    <t>11/06/2017</t>
  </si>
  <si>
    <t>11/02/2017</t>
  </si>
  <si>
    <t>11/01/2017</t>
  </si>
  <si>
    <t>10/26/2017</t>
  </si>
  <si>
    <t>10/06/2017</t>
  </si>
  <si>
    <t>08/31/2017</t>
  </si>
  <si>
    <t>07/11/2017</t>
  </si>
  <si>
    <t>05/24/2017</t>
  </si>
  <si>
    <t>05/22/2017</t>
  </si>
  <si>
    <t>04/10/2017</t>
  </si>
  <si>
    <t>03/29/2017</t>
  </si>
  <si>
    <t>03/27/2017</t>
  </si>
  <si>
    <t>03/21/2017</t>
  </si>
  <si>
    <t>03/06/2017</t>
  </si>
  <si>
    <t>01/09/2017</t>
  </si>
  <si>
    <t>12/12/2016</t>
  </si>
  <si>
    <t>11/30/2016</t>
  </si>
  <si>
    <t>11/10/2016</t>
  </si>
  <si>
    <t>09/29/2016</t>
  </si>
  <si>
    <t>08/18/2016</t>
  </si>
  <si>
    <t>08/12/2016</t>
  </si>
  <si>
    <t>07/15/2016</t>
  </si>
  <si>
    <t>10/20/2015</t>
  </si>
  <si>
    <t>06/01/2015</t>
  </si>
  <si>
    <t>05/04/2015</t>
  </si>
  <si>
    <t>04/10/2015</t>
  </si>
  <si>
    <t>02/18/2015</t>
  </si>
  <si>
    <t>01/13/2015</t>
  </si>
  <si>
    <t>03/28/2013</t>
  </si>
  <si>
    <t>09/08/2019</t>
  </si>
  <si>
    <t>Transfer Requested</t>
  </si>
  <si>
    <t>5239 Staten Island Foundation  - Immigration Advocacy Project</t>
  </si>
  <si>
    <t>5269 H. Van Ameringen Foundation</t>
  </si>
  <si>
    <t>5217 Project Hospitality</t>
  </si>
  <si>
    <t>29 Other Employment</t>
  </si>
  <si>
    <t>Ukrainian</t>
  </si>
  <si>
    <t>Liam</t>
  </si>
  <si>
    <t>Mihad</t>
  </si>
  <si>
    <t>Sarah</t>
  </si>
  <si>
    <t>Karen Maryori</t>
  </si>
  <si>
    <t>Adebukola</t>
  </si>
  <si>
    <t>Keisy Yoliveth</t>
  </si>
  <si>
    <t>Darkhan</t>
  </si>
  <si>
    <t>Peter</t>
  </si>
  <si>
    <t>Marce</t>
  </si>
  <si>
    <t>Elmer Bismark</t>
  </si>
  <si>
    <t>Yenis</t>
  </si>
  <si>
    <t>Oleg</t>
  </si>
  <si>
    <t>Egor</t>
  </si>
  <si>
    <t>Aleksei</t>
  </si>
  <si>
    <t>Luis Miguel</t>
  </si>
  <si>
    <t>Ruth Abigail</t>
  </si>
  <si>
    <t>David</t>
  </si>
  <si>
    <t>Edmond</t>
  </si>
  <si>
    <t>Ramsey</t>
  </si>
  <si>
    <t>Sashin</t>
  </si>
  <si>
    <t>Denanauth</t>
  </si>
  <si>
    <t>Davon</t>
  </si>
  <si>
    <t>Viola</t>
  </si>
  <si>
    <t>Isidra</t>
  </si>
  <si>
    <t>Mizrahi</t>
  </si>
  <si>
    <t>Linney</t>
  </si>
  <si>
    <t>Bethany</t>
  </si>
  <si>
    <t>Ivis</t>
  </si>
  <si>
    <t>Ruben</t>
  </si>
  <si>
    <t>Deinor</t>
  </si>
  <si>
    <t>Adali</t>
  </si>
  <si>
    <t>Alexa</t>
  </si>
  <si>
    <t>Billay</t>
  </si>
  <si>
    <t>Fanny</t>
  </si>
  <si>
    <t>Miranda</t>
  </si>
  <si>
    <t>Baudilio</t>
  </si>
  <si>
    <t>Elizaveta</t>
  </si>
  <si>
    <t>Wale</t>
  </si>
  <si>
    <t>Hermenegilda</t>
  </si>
  <si>
    <t>Maksym</t>
  </si>
  <si>
    <t>Alexey</t>
  </si>
  <si>
    <t>Angel Esau</t>
  </si>
  <si>
    <t>Isabella</t>
  </si>
  <si>
    <t>Jacinto Gerardo</t>
  </si>
  <si>
    <t>Susan</t>
  </si>
  <si>
    <t>Concepcion</t>
  </si>
  <si>
    <t>Treasure</t>
  </si>
  <si>
    <t>Godwill</t>
  </si>
  <si>
    <t>Reina</t>
  </si>
  <si>
    <t>Meison</t>
  </si>
  <si>
    <t>Alonso</t>
  </si>
  <si>
    <t>Alvaro</t>
  </si>
  <si>
    <t>Samy</t>
  </si>
  <si>
    <t>Cassandra</t>
  </si>
  <si>
    <t>Mark</t>
  </si>
  <si>
    <t>Franklin Edenilson</t>
  </si>
  <si>
    <t>Cristian Josue</t>
  </si>
  <si>
    <t>Itzel</t>
  </si>
  <si>
    <t>Mervot</t>
  </si>
  <si>
    <t>Jose Daniel</t>
  </si>
  <si>
    <t>Fernando Isaac</t>
  </si>
  <si>
    <t>Guidman Aaron</t>
  </si>
  <si>
    <t>Fayez</t>
  </si>
  <si>
    <t>Kamal</t>
  </si>
  <si>
    <t>Viviana</t>
  </si>
  <si>
    <t>Araceli</t>
  </si>
  <si>
    <t>Odiljon</t>
  </si>
  <si>
    <t>Maynor</t>
  </si>
  <si>
    <t>Lubys</t>
  </si>
  <si>
    <t>Emiliana Cecilia</t>
  </si>
  <si>
    <t>Hector</t>
  </si>
  <si>
    <t>Oluwasegun</t>
  </si>
  <si>
    <t>Dilan</t>
  </si>
  <si>
    <t>Yorleni</t>
  </si>
  <si>
    <t>Greisy</t>
  </si>
  <si>
    <t>Esmeralda</t>
  </si>
  <si>
    <t>Amalia</t>
  </si>
  <si>
    <t>Nadia</t>
  </si>
  <si>
    <t>Nuchette</t>
  </si>
  <si>
    <t>Melida</t>
  </si>
  <si>
    <t>Amy</t>
  </si>
  <si>
    <t>Valeriya</t>
  </si>
  <si>
    <t>Saidy</t>
  </si>
  <si>
    <t>Damaris</t>
  </si>
  <si>
    <t>Tomasa</t>
  </si>
  <si>
    <t>Shirin</t>
  </si>
  <si>
    <t>Marven</t>
  </si>
  <si>
    <t>Rosa Maria</t>
  </si>
  <si>
    <t>Issaka</t>
  </si>
  <si>
    <t>Maribel</t>
  </si>
  <si>
    <t>Sherryann</t>
  </si>
  <si>
    <t>Riccy Mabel</t>
  </si>
  <si>
    <t>Sahory</t>
  </si>
  <si>
    <t>Anderson</t>
  </si>
  <si>
    <t>Alenna</t>
  </si>
  <si>
    <t>Alva</t>
  </si>
  <si>
    <t>Flor</t>
  </si>
  <si>
    <t>Keishla</t>
  </si>
  <si>
    <t>Andis</t>
  </si>
  <si>
    <t>Brithany</t>
  </si>
  <si>
    <t>Kenner</t>
  </si>
  <si>
    <t>Fabiola</t>
  </si>
  <si>
    <t>Noe</t>
  </si>
  <si>
    <t>Teodora</t>
  </si>
  <si>
    <t>Catalina</t>
  </si>
  <si>
    <t>Keyla</t>
  </si>
  <si>
    <t>Meralyn</t>
  </si>
  <si>
    <t>Loany</t>
  </si>
  <si>
    <t>Rosangela</t>
  </si>
  <si>
    <t>Victoriano</t>
  </si>
  <si>
    <t>Suleman</t>
  </si>
  <si>
    <t>Audencia</t>
  </si>
  <si>
    <t>Ingrid</t>
  </si>
  <si>
    <t>Syed</t>
  </si>
  <si>
    <t>Viktoriya</t>
  </si>
  <si>
    <t>Mamdouh</t>
  </si>
  <si>
    <t>Nilcer</t>
  </si>
  <si>
    <t>Ezgi</t>
  </si>
  <si>
    <t>Gladys</t>
  </si>
  <si>
    <t>Emerson</t>
  </si>
  <si>
    <t>Yulis</t>
  </si>
  <si>
    <t>Miriam</t>
  </si>
  <si>
    <t>Boris</t>
  </si>
  <si>
    <t>Lionel</t>
  </si>
  <si>
    <t>Roxana</t>
  </si>
  <si>
    <t>Jeimy</t>
  </si>
  <si>
    <t>Leonides</t>
  </si>
  <si>
    <t>Darcedalia</t>
  </si>
  <si>
    <t>Arely</t>
  </si>
  <si>
    <t>Janna</t>
  </si>
  <si>
    <t>Mejia Moran</t>
  </si>
  <si>
    <t>Blanco Landaverde</t>
  </si>
  <si>
    <t>Abdallah</t>
  </si>
  <si>
    <t>Antonio Martinez</t>
  </si>
  <si>
    <t>Baniro</t>
  </si>
  <si>
    <t>Orozco Martinez</t>
  </si>
  <si>
    <t>Ewuola</t>
  </si>
  <si>
    <t>Orazbayev</t>
  </si>
  <si>
    <t>Dzamesi</t>
  </si>
  <si>
    <t>Gomez Chavarria</t>
  </si>
  <si>
    <t>Cadena Beltran</t>
  </si>
  <si>
    <t>Maksimenko</t>
  </si>
  <si>
    <t>Aulov</t>
  </si>
  <si>
    <t>Cedillo Sian</t>
  </si>
  <si>
    <t>Calderon Rodriguez</t>
  </si>
  <si>
    <t>Eghan</t>
  </si>
  <si>
    <t>Mendoza Sanchez</t>
  </si>
  <si>
    <t>Amilo</t>
  </si>
  <si>
    <t>Dapun</t>
  </si>
  <si>
    <t>Aluwihare</t>
  </si>
  <si>
    <t>Sookdeo</t>
  </si>
  <si>
    <t>Getten</t>
  </si>
  <si>
    <t>Endraws</t>
  </si>
  <si>
    <t>Vidal</t>
  </si>
  <si>
    <t>Gallardo Vidal</t>
  </si>
  <si>
    <t>Cruz Gomez</t>
  </si>
  <si>
    <t>Aguilar Gonzalez</t>
  </si>
  <si>
    <t>Urbina Licona</t>
  </si>
  <si>
    <t>Gilbert</t>
  </si>
  <si>
    <t>Martinez Cruz</t>
  </si>
  <si>
    <t>Bolvito Lopez</t>
  </si>
  <si>
    <t>Hernadez Diaz</t>
  </si>
  <si>
    <t>Bolvito Rodriguez</t>
  </si>
  <si>
    <t>Viruel</t>
  </si>
  <si>
    <t>Ayala</t>
  </si>
  <si>
    <t>Rivera Pavon</t>
  </si>
  <si>
    <t>Arizmendi Garcia</t>
  </si>
  <si>
    <t>Benitez</t>
  </si>
  <si>
    <t>Romero Cabello</t>
  </si>
  <si>
    <t>Aquino</t>
  </si>
  <si>
    <t>Omoshehin</t>
  </si>
  <si>
    <t>Bolvito Canahui</t>
  </si>
  <si>
    <t>Kuzmin</t>
  </si>
  <si>
    <t>Pratt</t>
  </si>
  <si>
    <t>Escamilla</t>
  </si>
  <si>
    <t>Gomez Velasquez</t>
  </si>
  <si>
    <t>Tkachuk</t>
  </si>
  <si>
    <t>Rozhdestvenskiy</t>
  </si>
  <si>
    <t>Raymundo Cedillo</t>
  </si>
  <si>
    <t>Salgado Rodriguez</t>
  </si>
  <si>
    <t>Herrera</t>
  </si>
  <si>
    <t>Areola</t>
  </si>
  <si>
    <t>Coy</t>
  </si>
  <si>
    <t>Garcia Blanco</t>
  </si>
  <si>
    <t>Tisol Arias</t>
  </si>
  <si>
    <t>Borja</t>
  </si>
  <si>
    <t>Tello</t>
  </si>
  <si>
    <t>Garanin</t>
  </si>
  <si>
    <t>Lyu</t>
  </si>
  <si>
    <t>Shenouda</t>
  </si>
  <si>
    <t>Nwokoro</t>
  </si>
  <si>
    <t>Mejia Mena</t>
  </si>
  <si>
    <t>Alvarez Rosales</t>
  </si>
  <si>
    <t>Alvarez Lobo</t>
  </si>
  <si>
    <t>Ibrahim</t>
  </si>
  <si>
    <t>Cutz</t>
  </si>
  <si>
    <t>Tzul Tiu</t>
  </si>
  <si>
    <t>Tzul-Tiu</t>
  </si>
  <si>
    <t>Guerrero Cabanas</t>
  </si>
  <si>
    <t>Bejja</t>
  </si>
  <si>
    <t>Farciert</t>
  </si>
  <si>
    <t>Reyes Garcia</t>
  </si>
  <si>
    <t>Rasulov</t>
  </si>
  <si>
    <t>Barahona Ruiz</t>
  </si>
  <si>
    <t>Verde Mendoza</t>
  </si>
  <si>
    <t>Ibeneme</t>
  </si>
  <si>
    <t>Ochoa</t>
  </si>
  <si>
    <t>Tiu-Ordonez</t>
  </si>
  <si>
    <t>Santos Salazar</t>
  </si>
  <si>
    <t>Ozah</t>
  </si>
  <si>
    <t>Maradiaga</t>
  </si>
  <si>
    <t>Marquez Mejia</t>
  </si>
  <si>
    <t>Esteban Perez</t>
  </si>
  <si>
    <t>Navarro Perez</t>
  </si>
  <si>
    <t>Mckenzie</t>
  </si>
  <si>
    <t>Mijangos Sanchez</t>
  </si>
  <si>
    <t>Flores Mira</t>
  </si>
  <si>
    <t>Molina</t>
  </si>
  <si>
    <t>Gomez Cortez</t>
  </si>
  <si>
    <t>Garcia Ramirez</t>
  </si>
  <si>
    <t>Talibakhunova</t>
  </si>
  <si>
    <t>Mendoza Varela</t>
  </si>
  <si>
    <t>Fam</t>
  </si>
  <si>
    <t>Mena de Mejia</t>
  </si>
  <si>
    <t>Abdul Rahman</t>
  </si>
  <si>
    <t>Glasgow</t>
  </si>
  <si>
    <t>Moran Juarez</t>
  </si>
  <si>
    <t>Garcia Chavez</t>
  </si>
  <si>
    <t>Vasilev</t>
  </si>
  <si>
    <t>Cruz Pacheco</t>
  </si>
  <si>
    <t>Clemente Ramirez</t>
  </si>
  <si>
    <t>Valle</t>
  </si>
  <si>
    <t>Linares Diaz</t>
  </si>
  <si>
    <t>Rosales Cardona</t>
  </si>
  <si>
    <t>Melara Sanchez</t>
  </si>
  <si>
    <t>Licona</t>
  </si>
  <si>
    <t>Cardona Alvarenga</t>
  </si>
  <si>
    <t>Portillo Moran</t>
  </si>
  <si>
    <t>Canales Maradiaga</t>
  </si>
  <si>
    <t>Estrada</t>
  </si>
  <si>
    <t>Pantoja Benavides</t>
  </si>
  <si>
    <t>Morastitla</t>
  </si>
  <si>
    <t>Youssef</t>
  </si>
  <si>
    <t>Vasquez</t>
  </si>
  <si>
    <t>Rodriguez Blanco</t>
  </si>
  <si>
    <t>Perez Cartagena</t>
  </si>
  <si>
    <t>Alvarado Perez</t>
  </si>
  <si>
    <t>Sanchez Gomez</t>
  </si>
  <si>
    <t>Javed</t>
  </si>
  <si>
    <t>Navarette</t>
  </si>
  <si>
    <t>Blanco De Garcia</t>
  </si>
  <si>
    <t>Mehdi</t>
  </si>
  <si>
    <t>Raskin</t>
  </si>
  <si>
    <t>Corado Cortez</t>
  </si>
  <si>
    <t>Ekweanya</t>
  </si>
  <si>
    <t>Pacheco</t>
  </si>
  <si>
    <t>Yilmaz</t>
  </si>
  <si>
    <t>Borges</t>
  </si>
  <si>
    <t>Sic Xitumul</t>
  </si>
  <si>
    <t>Ortega</t>
  </si>
  <si>
    <t>Golovin</t>
  </si>
  <si>
    <t>Murillo Cartagena</t>
  </si>
  <si>
    <t>Vinnik</t>
  </si>
  <si>
    <t>Kalashnikov</t>
  </si>
  <si>
    <t>Baten Rojas</t>
  </si>
  <si>
    <t>Orihuela</t>
  </si>
  <si>
    <t>Savin</t>
  </si>
  <si>
    <t>Maradiaga Alvarado</t>
  </si>
  <si>
    <t>Tulay</t>
  </si>
  <si>
    <t>Sosa</t>
  </si>
  <si>
    <t>Navarro Moran</t>
  </si>
  <si>
    <t>Orea</t>
  </si>
  <si>
    <t>Arzumanyants</t>
  </si>
  <si>
    <t>Sudan</t>
  </si>
  <si>
    <t>Sri Lanka</t>
  </si>
  <si>
    <t>06/25/2019</t>
  </si>
  <si>
    <t>10/26/2018</t>
  </si>
  <si>
    <t>05/21/2018</t>
  </si>
  <si>
    <t>05/01/2018</t>
  </si>
  <si>
    <t>11/14/2017</t>
  </si>
  <si>
    <t>01/19/2018</t>
  </si>
  <si>
    <t>02/13/2018</t>
  </si>
  <si>
    <t>04/07/2017</t>
  </si>
  <si>
    <t>06/26/2017</t>
  </si>
  <si>
    <t>01/26/2017</t>
  </si>
  <si>
    <t>04/27/2017</t>
  </si>
  <si>
    <t>12/16/2016</t>
  </si>
  <si>
    <t>11/12/2015</t>
  </si>
  <si>
    <t>12/07/2015</t>
  </si>
  <si>
    <t>01/19/2016</t>
  </si>
  <si>
    <t>12/19/2016</t>
  </si>
  <si>
    <t>04/28/2015</t>
  </si>
  <si>
    <t>06/09/2015</t>
  </si>
  <si>
    <t>04/11/2013</t>
  </si>
  <si>
    <t>11015-Obtained non-immigrant status: DACA and DAPA</t>
  </si>
  <si>
    <t>Project Hospitality Cinic</t>
  </si>
  <si>
    <t>08/03/2018</t>
  </si>
  <si>
    <t>07/06/2018</t>
  </si>
  <si>
    <t>05/14/2108</t>
  </si>
  <si>
    <t>IOI3</t>
  </si>
  <si>
    <t>09/19/1984</t>
  </si>
  <si>
    <t>07/04/1989</t>
  </si>
  <si>
    <t>05/24/2001</t>
  </si>
  <si>
    <t>01/26/1977</t>
  </si>
  <si>
    <t>01/27/1992</t>
  </si>
  <si>
    <t>10/23/1971</t>
  </si>
  <si>
    <t>02/28/1988</t>
  </si>
  <si>
    <t>11/16/1979</t>
  </si>
  <si>
    <t>11/22/1993</t>
  </si>
  <si>
    <t>01/24/1990</t>
  </si>
  <si>
    <t>09/03/1979</t>
  </si>
  <si>
    <t>10/17/1986</t>
  </si>
  <si>
    <t>07/03/1989</t>
  </si>
  <si>
    <t>09/21/1985</t>
  </si>
  <si>
    <t>03/12/1977</t>
  </si>
  <si>
    <t>02/14/2006</t>
  </si>
  <si>
    <t>03/22/2008</t>
  </si>
  <si>
    <t>12/28/2002</t>
  </si>
  <si>
    <t>04/26/2000</t>
  </si>
  <si>
    <t>10/11/1994</t>
  </si>
  <si>
    <t>05/22/1990</t>
  </si>
  <si>
    <t>10/09/1977</t>
  </si>
  <si>
    <t>01/18/1990</t>
  </si>
  <si>
    <t>07/23/1963</t>
  </si>
  <si>
    <t>09/30/1992</t>
  </si>
  <si>
    <t>06/10/1991</t>
  </si>
  <si>
    <t>09/08/1988</t>
  </si>
  <si>
    <t>09/05/1994</t>
  </si>
  <si>
    <t>12/02/1968</t>
  </si>
  <si>
    <t>05/15/1970</t>
  </si>
  <si>
    <t>08/25/1998</t>
  </si>
  <si>
    <t>03/19/2004</t>
  </si>
  <si>
    <t>12/16/2014</t>
  </si>
  <si>
    <t>04/03/2008</t>
  </si>
  <si>
    <t>04/05/1977</t>
  </si>
  <si>
    <t>06/24/2002</t>
  </si>
  <si>
    <t>07/08/1984</t>
  </si>
  <si>
    <t>04/19/2000</t>
  </si>
  <si>
    <t>07/29/2003</t>
  </si>
  <si>
    <t>07/10/2015</t>
  </si>
  <si>
    <t>03/04/2012</t>
  </si>
  <si>
    <t>07/29/1995</t>
  </si>
  <si>
    <t>03/04/1981</t>
  </si>
  <si>
    <t>11/02/1966</t>
  </si>
  <si>
    <t>02/06/1981</t>
  </si>
  <si>
    <t>02/27/1973</t>
  </si>
  <si>
    <t>02/19/1978</t>
  </si>
  <si>
    <t>04/02/1971</t>
  </si>
  <si>
    <t>10/11/1983</t>
  </si>
  <si>
    <t>12/28/1987</t>
  </si>
  <si>
    <t>10/06/1989</t>
  </si>
  <si>
    <t>07/10/1979</t>
  </si>
  <si>
    <t>01/31/1993</t>
  </si>
  <si>
    <t>11/23/2004</t>
  </si>
  <si>
    <t>08/18/1985</t>
  </si>
  <si>
    <t>04/13/1983</t>
  </si>
  <si>
    <t>11/04/1973</t>
  </si>
  <si>
    <t>11/05/1965</t>
  </si>
  <si>
    <t>11/28/2005</t>
  </si>
  <si>
    <t>05/31/1988</t>
  </si>
  <si>
    <t>12/21/2000</t>
  </si>
  <si>
    <t>12/14/1999</t>
  </si>
  <si>
    <t>12/12/2014</t>
  </si>
  <si>
    <t>12/08/1989</t>
  </si>
  <si>
    <t>06/14/2004</t>
  </si>
  <si>
    <t>09/19/1991</t>
  </si>
  <si>
    <t>12/28/1993</t>
  </si>
  <si>
    <t>05/15/2014</t>
  </si>
  <si>
    <t>05/28/2010</t>
  </si>
  <si>
    <t>09/03/2005</t>
  </si>
  <si>
    <t>07/12/1964</t>
  </si>
  <si>
    <t>02/27/1993</t>
  </si>
  <si>
    <t>12/31/1980</t>
  </si>
  <si>
    <t>04/09/1977</t>
  </si>
  <si>
    <t>05/24/1996</t>
  </si>
  <si>
    <t>07/23/1994</t>
  </si>
  <si>
    <t>12/21/1981</t>
  </si>
  <si>
    <t>07/04/1995</t>
  </si>
  <si>
    <t>02/15/1973</t>
  </si>
  <si>
    <t>10/30/2003</t>
  </si>
  <si>
    <t>07/27/2005</t>
  </si>
  <si>
    <t>07/26/2005</t>
  </si>
  <si>
    <t>12/26/1984</t>
  </si>
  <si>
    <t>01/01/2009</t>
  </si>
  <si>
    <t>02/15/2016</t>
  </si>
  <si>
    <t>02/01/1987</t>
  </si>
  <si>
    <t>08/22/2000</t>
  </si>
  <si>
    <t>11/20/2000</t>
  </si>
  <si>
    <t>07/19/2004</t>
  </si>
  <si>
    <t>04/20/1966</t>
  </si>
  <si>
    <t>10/04/1981</t>
  </si>
  <si>
    <t>06/20/1960</t>
  </si>
  <si>
    <t>06/10/1988</t>
  </si>
  <si>
    <t>06/09/1970</t>
  </si>
  <si>
    <t>01/10/1977</t>
  </si>
  <si>
    <t>10/10/2014</t>
  </si>
  <si>
    <t>12/09/2004</t>
  </si>
  <si>
    <t>11/09/2013</t>
  </si>
  <si>
    <t>01/14/2010</t>
  </si>
  <si>
    <t>08/30/1997</t>
  </si>
  <si>
    <t>06/11/1967</t>
  </si>
  <si>
    <t>01/05/1979</t>
  </si>
  <si>
    <t>12/01/1987</t>
  </si>
  <si>
    <t>08/17/1964</t>
  </si>
  <si>
    <t>11/20/2009</t>
  </si>
  <si>
    <t>03/31/2002</t>
  </si>
  <si>
    <t>02/11/2007</t>
  </si>
  <si>
    <t>08/07/1997</t>
  </si>
  <si>
    <t>10/12/1995</t>
  </si>
  <si>
    <t>11/03/1996</t>
  </si>
  <si>
    <t>07/10/1978</t>
  </si>
  <si>
    <t>06/11/2000</t>
  </si>
  <si>
    <t>08/19/1960</t>
  </si>
  <si>
    <t>01/02/2002</t>
  </si>
  <si>
    <t>01/06/1978</t>
  </si>
  <si>
    <t>01/19/1977</t>
  </si>
  <si>
    <t>01/06/1993</t>
  </si>
  <si>
    <t>06/07/1990</t>
  </si>
  <si>
    <t>07/13/1974</t>
  </si>
  <si>
    <t>02/28/1983</t>
  </si>
  <si>
    <t>07/09/1961</t>
  </si>
  <si>
    <t>02/07/1989</t>
  </si>
  <si>
    <t>08/14/2000</t>
  </si>
  <si>
    <t>10/22/1979</t>
  </si>
  <si>
    <t>10/24/1980</t>
  </si>
  <si>
    <t>07/31/1978</t>
  </si>
  <si>
    <t>02/02/1980</t>
  </si>
  <si>
    <t>12/07/1992</t>
  </si>
  <si>
    <t>07/28/1973</t>
  </si>
  <si>
    <t>08/16/2005</t>
  </si>
  <si>
    <t>02/25/2014</t>
  </si>
  <si>
    <t>11/13/2014</t>
  </si>
  <si>
    <t>03/16/1991</t>
  </si>
  <si>
    <t>03/31/2012</t>
  </si>
  <si>
    <t>09/01/2014</t>
  </si>
  <si>
    <t>11/05/2009</t>
  </si>
  <si>
    <t>03/31/1983</t>
  </si>
  <si>
    <t>03/20/2010</t>
  </si>
  <si>
    <t>06/16/1989</t>
  </si>
  <si>
    <t>07/28/2009</t>
  </si>
  <si>
    <t>05/10/2011</t>
  </si>
  <si>
    <t>11/01/2006</t>
  </si>
  <si>
    <t>12/15/1976</t>
  </si>
  <si>
    <t>07/19/1984</t>
  </si>
  <si>
    <t>02/01/1982</t>
  </si>
  <si>
    <t>06/26/1991</t>
  </si>
  <si>
    <t>09/02/1963</t>
  </si>
  <si>
    <t>09/13/1997</t>
  </si>
  <si>
    <t>06/28/2000</t>
  </si>
  <si>
    <t>04/27/1991</t>
  </si>
  <si>
    <t>01/01/1989</t>
  </si>
  <si>
    <t>08/04/2003</t>
  </si>
  <si>
    <t>11/14/2005</t>
  </si>
  <si>
    <t>07/18/2011</t>
  </si>
  <si>
    <t>01/12/2014</t>
  </si>
  <si>
    <t>03/21/1981</t>
  </si>
  <si>
    <t>02/27/1992</t>
  </si>
  <si>
    <t>01/22/1987</t>
  </si>
  <si>
    <t>11/05/1990</t>
  </si>
  <si>
    <t>03/21/1995</t>
  </si>
  <si>
    <t>06/26/1945</t>
  </si>
  <si>
    <t>02/24/1960</t>
  </si>
  <si>
    <t>02/17/1997</t>
  </si>
  <si>
    <t>08/18/1988</t>
  </si>
  <si>
    <t>08/17/1994</t>
  </si>
  <si>
    <t>01/26/1978</t>
  </si>
  <si>
    <t>10/30/1966</t>
  </si>
  <si>
    <t>06/20/1995</t>
  </si>
  <si>
    <t>02/19/1984</t>
  </si>
  <si>
    <t>09/15/2008</t>
  </si>
  <si>
    <t>10/27/1975</t>
  </si>
  <si>
    <t>05/16/1997</t>
  </si>
  <si>
    <t>09/22/1987</t>
  </si>
  <si>
    <t>03/19/1995</t>
  </si>
  <si>
    <t>03/20/1983</t>
  </si>
  <si>
    <t>01/29/1989</t>
  </si>
  <si>
    <t>05/24/1987</t>
  </si>
  <si>
    <t>05/31/1985</t>
  </si>
  <si>
    <t>08/14/1995</t>
  </si>
  <si>
    <t>10/21/1995</t>
  </si>
  <si>
    <t>12/24/1979</t>
  </si>
  <si>
    <t>02/26/1988</t>
  </si>
  <si>
    <t>04/24/1962</t>
  </si>
  <si>
    <t>06/03/1976</t>
  </si>
  <si>
    <t>06/15/1980</t>
  </si>
  <si>
    <t>04/22/1964</t>
  </si>
  <si>
    <t>07/03/1958</t>
  </si>
  <si>
    <t>01/08/1982</t>
  </si>
  <si>
    <t>12/22/1950</t>
  </si>
  <si>
    <t>$30,160.00</t>
  </si>
  <si>
    <t>$20,400.00</t>
  </si>
  <si>
    <t>$8,008.00</t>
  </si>
  <si>
    <t>$12,192.00</t>
  </si>
  <si>
    <t>$30,400.00</t>
  </si>
  <si>
    <t>$59,280.00</t>
  </si>
  <si>
    <t>$130.00</t>
  </si>
  <si>
    <t>$20,799.96</t>
  </si>
  <si>
    <t>$41,592.00</t>
  </si>
  <si>
    <t>$12,201.00</t>
  </si>
  <si>
    <t>$23,700.00</t>
  </si>
  <si>
    <t>$10,812.00</t>
  </si>
  <si>
    <t>$17,712.00</t>
  </si>
  <si>
    <t>$1,500.00</t>
  </si>
  <si>
    <t>$738.00</t>
  </si>
  <si>
    <t>$19,440.00</t>
  </si>
  <si>
    <t>$41,599.92</t>
  </si>
  <si>
    <t>$29,940.00</t>
  </si>
  <si>
    <t>$15,080.00</t>
  </si>
  <si>
    <t>$13,312.00</t>
  </si>
  <si>
    <t>$8,388.00</t>
  </si>
  <si>
    <t>$20,160.00</t>
  </si>
  <si>
    <t>$3,960.00</t>
  </si>
  <si>
    <t>$26,572.00</t>
  </si>
  <si>
    <t>$21,320.00</t>
  </si>
  <si>
    <t>Medina Jorge, Verania</t>
  </si>
  <si>
    <t>Skuratov, Dmitrii A</t>
  </si>
  <si>
    <t>Benito, Blanca J</t>
  </si>
  <si>
    <t>Nunez, Marcia Patricia</t>
  </si>
  <si>
    <t>Gonzalez del Jesus, Maria Altagracia</t>
  </si>
  <si>
    <t>Omosowon, Taiwo</t>
  </si>
  <si>
    <t>Udeani, Bridget</t>
  </si>
  <si>
    <t>Soumere, Asha K</t>
  </si>
  <si>
    <t>Garcia Casildo, Nelda</t>
  </si>
  <si>
    <t>Dickson, Oril D</t>
  </si>
  <si>
    <t>Ramirez, Anahi</t>
  </si>
  <si>
    <t>Noel, Winston Allan</t>
  </si>
  <si>
    <t>Zuleta Chavez, Cristian</t>
  </si>
  <si>
    <t>Chatzopoulos, Loannis</t>
  </si>
  <si>
    <t>Inirio, Leisy</t>
  </si>
  <si>
    <t>Smith, Winston R</t>
  </si>
  <si>
    <t>Martinez Flores, Keisy Mercedes</t>
  </si>
  <si>
    <t>Ortiz, Cinthia</t>
  </si>
  <si>
    <t>Lhamo, Dolma</t>
  </si>
  <si>
    <t>Leon Rosas, Florencia C</t>
  </si>
  <si>
    <t>Arslanbas, Ipek</t>
  </si>
  <si>
    <t>Martinez, Claudia M</t>
  </si>
  <si>
    <t>Ziama, Elfreada</t>
  </si>
  <si>
    <t>Moonsammy, Keeras</t>
  </si>
  <si>
    <t>Khozhev, Dimitry</t>
  </si>
  <si>
    <t>Plasencia, Litzy</t>
  </si>
  <si>
    <t>Maria, Alenny</t>
  </si>
  <si>
    <t>King, Sherwin</t>
  </si>
  <si>
    <t>Baca, Hector</t>
  </si>
  <si>
    <t>Corrales Uribe, Delia P</t>
  </si>
  <si>
    <t>Lopez Medina, Maria</t>
  </si>
  <si>
    <t>Zapata Figueroa, Pamela</t>
  </si>
  <si>
    <t>Zambrano, Gabriela</t>
  </si>
  <si>
    <t>Wolliaston, Erica</t>
  </si>
  <si>
    <t>Magomedova, Albina</t>
  </si>
  <si>
    <t>Pereira, Kary</t>
  </si>
  <si>
    <t>Diaz, Jose</t>
  </si>
  <si>
    <t>Pena, Glenys</t>
  </si>
  <si>
    <t>Ramos Bernardez, Claudia</t>
  </si>
  <si>
    <t>James, Miama</t>
  </si>
  <si>
    <t>Nava, Emelia</t>
  </si>
  <si>
    <t>Mayor, Milady</t>
  </si>
  <si>
    <t>Guzman Tavarez, Derna</t>
  </si>
  <si>
    <t>Turcio, Rigoberto</t>
  </si>
  <si>
    <t>Dodson, David</t>
  </si>
  <si>
    <t>Mcpherson, Cheryl</t>
  </si>
  <si>
    <t>Guzman, Gina</t>
  </si>
  <si>
    <t>Smith, Eulet C</t>
  </si>
  <si>
    <t>Veras Diaz, Carlos A</t>
  </si>
  <si>
    <t>Morgan, Richard</t>
  </si>
  <si>
    <t>Tsiklauri, Nika</t>
  </si>
  <si>
    <t>Meade, Anthony</t>
  </si>
  <si>
    <t>Alvarez, Yezid</t>
  </si>
  <si>
    <t>Taylor, Rene</t>
  </si>
  <si>
    <t>Throught, Jahlee</t>
  </si>
  <si>
    <t>Urroz, Miguel</t>
  </si>
  <si>
    <t>Cunningham, Dwight</t>
  </si>
  <si>
    <t>Gausin, Maria</t>
  </si>
  <si>
    <t>Ramirez, Ethel</t>
  </si>
  <si>
    <t>Shakhnazarov, Aram</t>
  </si>
  <si>
    <t>Telfer, Orete XW</t>
  </si>
  <si>
    <t>Liriano, Milka</t>
  </si>
  <si>
    <t>Owusu Adadio, Ben</t>
  </si>
  <si>
    <t>Sangare, Mawa</t>
  </si>
  <si>
    <t>Cesar, Tomas</t>
  </si>
  <si>
    <t>Tsykov, Vitalii</t>
  </si>
  <si>
    <t>Anacleto Valerio, Jorge</t>
  </si>
  <si>
    <t>Rodriguez, Rafael A</t>
  </si>
  <si>
    <t>Vidal, Ana C</t>
  </si>
  <si>
    <t>Roman, Jessica</t>
  </si>
  <si>
    <t>Roman Castillo, Xavier</t>
  </si>
  <si>
    <t>Sadykova, Assem</t>
  </si>
  <si>
    <t>Likhacheva, Nadezda</t>
  </si>
  <si>
    <t>Ramos, Danielle</t>
  </si>
  <si>
    <t>Skeete, Wesley</t>
  </si>
  <si>
    <t>Reid, Morris</t>
  </si>
  <si>
    <t>Maynard, Lavern</t>
  </si>
  <si>
    <t>Stugys, Algirdas</t>
  </si>
  <si>
    <t>Castro Alvarez, Fernando</t>
  </si>
  <si>
    <t>Chinchillia Montero, Kevin Esteban</t>
  </si>
  <si>
    <t>Ouedraogo, Ivan</t>
  </si>
  <si>
    <t>Slashchev, Sergey</t>
  </si>
  <si>
    <t>Laoe, Curtis A</t>
  </si>
  <si>
    <t>Betancourt, Nelson</t>
  </si>
  <si>
    <t>Montan Escanio, Carlos Jose</t>
  </si>
  <si>
    <t>Subero Yepez, Jose</t>
  </si>
  <si>
    <t>Dixon, Andre</t>
  </si>
  <si>
    <t>Oyelohunnu, Olushola</t>
  </si>
  <si>
    <t>Ali, Fayyaz</t>
  </si>
  <si>
    <t>Gemmison, Jestina</t>
  </si>
  <si>
    <t>Reyes Mejia, Wilmer A</t>
  </si>
  <si>
    <t>Batiz, Linsy</t>
  </si>
  <si>
    <t>Arias Rivas, Edgar</t>
  </si>
  <si>
    <t>Arias Rivas, Betzaida O</t>
  </si>
  <si>
    <t>Plishkin, Anatolii</t>
  </si>
  <si>
    <t>Diaz Ramirez, Angelique</t>
  </si>
  <si>
    <t>Meza Rodriguez, Heiby A</t>
  </si>
  <si>
    <t>Delcid Rapalo, Marvin</t>
  </si>
  <si>
    <t>Martinez Flores, Saemy Saleisha</t>
  </si>
  <si>
    <t>Olmedo Zaracay, Katherine</t>
  </si>
  <si>
    <t>Gomez Fuentes, Marvin</t>
  </si>
  <si>
    <t>Gomez Fuentes, Leonardo</t>
  </si>
  <si>
    <t>Zapata-Santos, Keummy Arleth</t>
  </si>
  <si>
    <t>Garcia-Williams, Darrell Divanne</t>
  </si>
  <si>
    <t>Reyes Mejia, Carlos D</t>
  </si>
  <si>
    <t>Castro, Edwin</t>
  </si>
  <si>
    <t>Velasquez Mancia, Rigel Yohairo</t>
  </si>
  <si>
    <t>Velasquez, Christopher</t>
  </si>
  <si>
    <t>Hossain, Arman</t>
  </si>
  <si>
    <t>Garcia Zuniga, Julio Jorge</t>
  </si>
  <si>
    <t>Gonzalez, Macaria</t>
  </si>
  <si>
    <t>Tax Menchu, Angela</t>
  </si>
  <si>
    <t>Eustate, Landry</t>
  </si>
  <si>
    <t>Altamirano, Juan</t>
  </si>
  <si>
    <t>Medina Batiz, Henry Wilfredo</t>
  </si>
  <si>
    <t>Rodriguez, Fernando</t>
  </si>
  <si>
    <t>Roberts, Tajarie</t>
  </si>
  <si>
    <t>Taylor, Dianna</t>
  </si>
  <si>
    <t>Ali, Paula</t>
  </si>
  <si>
    <t>Flores Arzu, Jogeny Sarahi</t>
  </si>
  <si>
    <t>Medina Flores, Wilfer Jomary</t>
  </si>
  <si>
    <t>Medina Flores, Aisha Jogen</t>
  </si>
  <si>
    <t>Vidals, Celestino</t>
  </si>
  <si>
    <t>Jurado, Karina</t>
  </si>
  <si>
    <t>Bienaime, Yolkingtz</t>
  </si>
  <si>
    <t>Guzman, Pedro Arturo</t>
  </si>
  <si>
    <t>Albert, Shemika</t>
  </si>
  <si>
    <t>Roberts, Khadijia</t>
  </si>
  <si>
    <t>Tenempaguay, Maria</t>
  </si>
  <si>
    <t>Vasquez, Narcisa</t>
  </si>
  <si>
    <t>Saltos, Zahira</t>
  </si>
  <si>
    <t>Arias, Deyanira Y</t>
  </si>
  <si>
    <t>Garcia-Zuniga, Julio Jorge</t>
  </si>
  <si>
    <t>Garcia Williams, Darrell Divanne</t>
  </si>
  <si>
    <t>Sanchez Flores, Umberto</t>
  </si>
  <si>
    <t>Lawrence, Viviana</t>
  </si>
  <si>
    <t>Real, Jenny</t>
  </si>
  <si>
    <t>Ramcharan, Rosaline</t>
  </si>
  <si>
    <t>Taylor, Gina</t>
  </si>
  <si>
    <t>Yuganson, Leyda</t>
  </si>
  <si>
    <t>Ramcharan, Albert</t>
  </si>
  <si>
    <t>Molano, Ruben</t>
  </si>
  <si>
    <t>Escorcia, Julio</t>
  </si>
  <si>
    <t>Escorcia, Carlos Alberto</t>
  </si>
  <si>
    <t>Escorcia, Alicia</t>
  </si>
  <si>
    <t>Moise, Claudy</t>
  </si>
  <si>
    <t>Evelyn, Siobhan</t>
  </si>
  <si>
    <t>Ayala, Lesby</t>
  </si>
  <si>
    <t>Guo, Yan Li</t>
  </si>
  <si>
    <t>De Leon Valdez, Sandra J</t>
  </si>
  <si>
    <t>Asobi, Pauline</t>
  </si>
  <si>
    <t>Onguko, Hazel H</t>
  </si>
  <si>
    <t>Volquez, Miguel</t>
  </si>
  <si>
    <t>Lino, Fernando</t>
  </si>
  <si>
    <t>George, Ivee</t>
  </si>
  <si>
    <t>Gongar, Grace M</t>
  </si>
  <si>
    <t>Soukouna, Youssouf</t>
  </si>
  <si>
    <t>Cepeda, Dolores</t>
  </si>
  <si>
    <t>Peralta, Luis</t>
  </si>
  <si>
    <t>Gomez, Delmy</t>
  </si>
  <si>
    <t>De Leon-Gomez, Ismael</t>
  </si>
  <si>
    <t>Gomez, Irene Sofia</t>
  </si>
  <si>
    <t>Feliz Arias, Giselle M</t>
  </si>
  <si>
    <t>Fernandez Molina, Rahi Emmanuel</t>
  </si>
  <si>
    <t>Caballero, Milton Leonel</t>
  </si>
  <si>
    <t>Leon Martinez, Remedios</t>
  </si>
  <si>
    <t>Tulloch, Horace</t>
  </si>
  <si>
    <t>Perez Avila, Yrma</t>
  </si>
  <si>
    <t>Cardenas, Julio</t>
  </si>
  <si>
    <t>Olmedo Zaracay, Rodrigo</t>
  </si>
  <si>
    <t>Cortez Cabrera, Lester Yobanny</t>
  </si>
  <si>
    <t>Zaracay de Olmedo, Maria</t>
  </si>
  <si>
    <t>Alekseev, Aleksei</t>
  </si>
  <si>
    <t>Rowe, Leonardo</t>
  </si>
  <si>
    <t>Palacios Dolmo, Brithany</t>
  </si>
  <si>
    <t>Rodriguez, Fernando A</t>
  </si>
  <si>
    <t>Benjamin, Charlene</t>
  </si>
  <si>
    <t>Hernandez Gonzalez, Guillermina</t>
  </si>
  <si>
    <t>Garzona Zelada, Juan D</t>
  </si>
  <si>
    <t>Zelada Torres, Brenda C</t>
  </si>
  <si>
    <t>Fulgencio, Nicole</t>
  </si>
  <si>
    <t>Perez, Edward</t>
  </si>
  <si>
    <t>Garcia Amaya, Kemely E</t>
  </si>
  <si>
    <t>Amaya Ramirez, Martha</t>
  </si>
  <si>
    <t>Valencia Nunez, Stefany Milexy</t>
  </si>
  <si>
    <t>Aguilar, Dylan</t>
  </si>
  <si>
    <t>Lohinov, Andrii</t>
  </si>
  <si>
    <t>Akbar, Mohammad</t>
  </si>
  <si>
    <t>Espinal, Sonia</t>
  </si>
  <si>
    <t>Santos, Ramon</t>
  </si>
  <si>
    <t>Ruiz Diaz, Thiago Marcelo</t>
  </si>
  <si>
    <t>Pedro, Najimdin</t>
  </si>
  <si>
    <t>Edwards Smith, Antoinette</t>
  </si>
  <si>
    <t>Encarnacion Feliz, Juana</t>
  </si>
  <si>
    <t>Polanco Acacio, Barney</t>
  </si>
  <si>
    <t>Guzman Encarnacion, Luis Angel</t>
  </si>
  <si>
    <t>Guzman Encarnacion, Ana Camil</t>
  </si>
  <si>
    <t>Guzman Encarnacion, Cesar Anthony</t>
  </si>
  <si>
    <t>Giraldo, Noely</t>
  </si>
  <si>
    <t>Kozina, Anastasiia</t>
  </si>
  <si>
    <t>Larionova, Larisa</t>
  </si>
  <si>
    <t>Chukwu, Ramseyn</t>
  </si>
  <si>
    <t>Kante, Aissata</t>
  </si>
  <si>
    <t>Ayala Hernandez, Billy A</t>
  </si>
  <si>
    <t>Hernandez, Glenda Y</t>
  </si>
  <si>
    <t>Castro  Lalin, Darien</t>
  </si>
  <si>
    <t>Castro Lalin, Dania M</t>
  </si>
  <si>
    <t>Agyare, Benjamin</t>
  </si>
  <si>
    <t>Cortez Galicia, Marvin Yobany</t>
  </si>
  <si>
    <t>Bagadzhiyan, Roman</t>
  </si>
  <si>
    <t>St. Juste, Philipa</t>
  </si>
  <si>
    <t>Menchu-Garcia, Vicenta</t>
  </si>
  <si>
    <t>Lascano Miranda, Maria I</t>
  </si>
  <si>
    <t>Bencosme, Jonathan</t>
  </si>
  <si>
    <t>Castillo, Ilda M</t>
  </si>
  <si>
    <t>Pedroza, Ada</t>
  </si>
  <si>
    <t>Chauca, Hector</t>
  </si>
  <si>
    <t>Melendez, Elly F</t>
  </si>
  <si>
    <t>Boureima, Hawa</t>
  </si>
  <si>
    <t>Valencia Balbuena, Anai</t>
  </si>
  <si>
    <t>Hill, Joelynn</t>
  </si>
  <si>
    <t>Gawin, Kat</t>
  </si>
  <si>
    <t>Peterson, Yessenia</t>
  </si>
  <si>
    <t>Pobedash, Sergei</t>
  </si>
  <si>
    <t>Pobedash, Andrei</t>
  </si>
  <si>
    <t>Alquorazy, Abed</t>
  </si>
  <si>
    <t>Herrera, Juan Luis</t>
  </si>
  <si>
    <t>Pylypenko, Maksym</t>
  </si>
  <si>
    <t>Francis, Felecia</t>
  </si>
  <si>
    <t>Louis, Sirenayka</t>
  </si>
  <si>
    <t>Jerez, Gregoria</t>
  </si>
  <si>
    <t>Lopez, Cheyra</t>
  </si>
  <si>
    <t>Wallace, Kathyann</t>
  </si>
  <si>
    <t>Grey, Ian</t>
  </si>
  <si>
    <t>De Mota, Abel</t>
  </si>
  <si>
    <t>Mesa, John</t>
  </si>
  <si>
    <t>Ruiz, Jorge</t>
  </si>
  <si>
    <t>Harripaul, Seuraragee</t>
  </si>
  <si>
    <t>Cortes Valdez, Beatriz</t>
  </si>
  <si>
    <t>Brodrick, Samantha E</t>
  </si>
  <si>
    <t>Matveev, Boris</t>
  </si>
  <si>
    <t>Pujols, Hilda</t>
  </si>
  <si>
    <t>Ali, Shabana</t>
  </si>
  <si>
    <t>Petrov, Andrei</t>
  </si>
  <si>
    <t>Ishimskiy, Dmitriy</t>
  </si>
  <si>
    <t>Pearce, Robert G</t>
  </si>
  <si>
    <t>Ortiz, Yenssi</t>
  </si>
  <si>
    <t>Annan, Wilhemina</t>
  </si>
  <si>
    <t>Curtis, Pamela S</t>
  </si>
  <si>
    <t>Pobedash, Ella</t>
  </si>
  <si>
    <t>Vivas, Elvis</t>
  </si>
  <si>
    <t>de la Cruz Zumbana, Maria Carmen</t>
  </si>
  <si>
    <t>Vivas, Segundo</t>
  </si>
  <si>
    <t>Lewis, Kijana</t>
  </si>
  <si>
    <t>Hernandez, Melissa</t>
  </si>
  <si>
    <t>Gerrado Cuevas, Belky</t>
  </si>
  <si>
    <t>Davis, Jeron</t>
  </si>
  <si>
    <t>Roberts, Khadija</t>
  </si>
  <si>
    <t>Gonzalez, Argelia</t>
  </si>
  <si>
    <t>Ramirez, Aleyda</t>
  </si>
  <si>
    <t>Smith, Raphia S</t>
  </si>
  <si>
    <t>Vargas, Harry</t>
  </si>
  <si>
    <t>Cooper, Lucy</t>
  </si>
  <si>
    <t>Urbaez, Juana</t>
  </si>
  <si>
    <t>Guo, Yan li</t>
  </si>
  <si>
    <t>Randolph, Gleetha</t>
  </si>
  <si>
    <t>Basdeo, Soamnauph</t>
  </si>
  <si>
    <t>Ruiz Campaz, Alicia</t>
  </si>
  <si>
    <t>Tavarez, Josefina</t>
  </si>
  <si>
    <t>Jimenez, Eduvigis</t>
  </si>
  <si>
    <t>Elembaev, Ruslan</t>
  </si>
  <si>
    <t>Molina, Rossie</t>
  </si>
  <si>
    <t>Salas, Leonardo</t>
  </si>
  <si>
    <t>Veras, Johanna</t>
  </si>
  <si>
    <t>Tyo, Igor</t>
  </si>
  <si>
    <t>Flores Garcia, Jenny Ave</t>
  </si>
  <si>
    <t>Molina, Francisca</t>
  </si>
  <si>
    <t>Venceslau, Fernando</t>
  </si>
  <si>
    <t>Azcona, Fabio</t>
  </si>
  <si>
    <t>Tong, Wanzhe</t>
  </si>
  <si>
    <t>Carriel, Martha</t>
  </si>
  <si>
    <t>Frank, Patrick</t>
  </si>
  <si>
    <t>Aguirre Gomez, Dora Fries</t>
  </si>
  <si>
    <t>Clarke, Dennis</t>
  </si>
  <si>
    <t>Taveras, Mariana</t>
  </si>
  <si>
    <t>Peralta de Torres, Genara</t>
  </si>
  <si>
    <t>Syrtsov, Arkadii</t>
  </si>
  <si>
    <t>Muller, Sharmilla C</t>
  </si>
  <si>
    <t>Reyes Ortega, Heidy Yadira</t>
  </si>
  <si>
    <t>Hidalgo Reyes, Erika Joneydi</t>
  </si>
  <si>
    <t>Rodriguez, Silvestre</t>
  </si>
  <si>
    <t>Cortes  Xicohtencatl, Guadalupe</t>
  </si>
  <si>
    <t>Jeudi, Cleevens</t>
  </si>
  <si>
    <t>Cordova, Vilma</t>
  </si>
  <si>
    <t>Silva Vazquez, Gabriela</t>
  </si>
  <si>
    <t>Ordonez, Juana</t>
  </si>
  <si>
    <t>Anderson, Ryando</t>
  </si>
  <si>
    <t>Alfonso, Mary</t>
  </si>
  <si>
    <t>Carlina, Pheches</t>
  </si>
  <si>
    <t>Green, Nicola</t>
  </si>
  <si>
    <t>Velasquez, Cristopher</t>
  </si>
  <si>
    <t>Carino Bravo, Severiana Basilia</t>
  </si>
  <si>
    <t>Naula Bermeo, Hilda</t>
  </si>
  <si>
    <t>Castrejon, Karla Elizabeth</t>
  </si>
  <si>
    <t>Nasser, Amadou</t>
  </si>
  <si>
    <t>Alegre Kopp, Sheila E</t>
  </si>
  <si>
    <t>Cid-Ortiz, Brisa Hinelda</t>
  </si>
  <si>
    <t>Portella Arteaga, Milena Teresa</t>
  </si>
  <si>
    <t>Barrientes Contreras, Angelica</t>
  </si>
  <si>
    <t>Waongho, Zita-Irene</t>
  </si>
  <si>
    <t>Loja Ugana, Olga Lucia</t>
  </si>
  <si>
    <t>Chinchilla, Lorenza</t>
  </si>
  <si>
    <t>Duarte, Angelica</t>
  </si>
  <si>
    <t>Escamilla Hernandez, Rocio</t>
  </si>
  <si>
    <t>Almonte, Dulce</t>
  </si>
  <si>
    <t>Barrera, Lorenza</t>
  </si>
  <si>
    <t>Barcia, Victor</t>
  </si>
  <si>
    <t>Mcintosh, Kashima</t>
  </si>
  <si>
    <t>Quijije, Randy</t>
  </si>
  <si>
    <t>Ustinov, Igor</t>
  </si>
  <si>
    <t>Isanoa, Diane</t>
  </si>
  <si>
    <t>Cepeda De Leon, Zhindel</t>
  </si>
  <si>
    <t>Mashihi Mutondo Ngoma, Mymy</t>
  </si>
  <si>
    <t>Pastor Mejia, Asencion</t>
  </si>
  <si>
    <t>Hernandez, Primitivo</t>
  </si>
  <si>
    <t>Small, Anthony</t>
  </si>
  <si>
    <t>Acosta, Yosvany</t>
  </si>
  <si>
    <t>Jarjou, Emily Olimatou</t>
  </si>
  <si>
    <t>Jaquez de Peralta, Selena</t>
  </si>
  <si>
    <t>Milon, Popi</t>
  </si>
  <si>
    <t>Youssef, Mohamed</t>
  </si>
  <si>
    <t>Pena Hernandez, Martha</t>
  </si>
  <si>
    <t>Montero, Perla E</t>
  </si>
  <si>
    <t>Luna Burgos, Meledy A</t>
  </si>
  <si>
    <t>Hidalgo, Eris</t>
  </si>
  <si>
    <t>Hidalgo Reyes, Jostin Omar</t>
  </si>
  <si>
    <t>Wefum, Joy</t>
  </si>
  <si>
    <t>Bermejo, Rosa Maria</t>
  </si>
  <si>
    <t>Lalmahamad, Arrefa</t>
  </si>
  <si>
    <t>Grullon, Paula</t>
  </si>
  <si>
    <t>Matthew, Grayson E</t>
  </si>
  <si>
    <t>Mishurov, Anatoly</t>
  </si>
  <si>
    <t>Velasquez, Zonia</t>
  </si>
  <si>
    <t>Hidalgo, Dileny</t>
  </si>
  <si>
    <t>Sall, Aguibou</t>
  </si>
  <si>
    <t>Mohan, Joseph D</t>
  </si>
  <si>
    <t>Singh, Andrew</t>
  </si>
  <si>
    <t>Avalos Alfallo, Lulu</t>
  </si>
  <si>
    <t>Azeeze, Kamroon N</t>
  </si>
  <si>
    <t>Chand, Cameel</t>
  </si>
  <si>
    <t>Hylton, Novellette</t>
  </si>
  <si>
    <t>Dia, Ibrahima</t>
  </si>
  <si>
    <t>Martinez, Massiel</t>
  </si>
  <si>
    <t>Yetman, Jan-Adelle</t>
  </si>
  <si>
    <t>Laguna, Jair</t>
  </si>
  <si>
    <t>Yetman, Dale</t>
  </si>
  <si>
    <t>Garcia Campos, Elvia</t>
  </si>
  <si>
    <t>Zapata, Elvin</t>
  </si>
  <si>
    <t>Jimenez, Angeles</t>
  </si>
  <si>
    <t>Lugo, Doris</t>
  </si>
  <si>
    <t>Cruz, Milagros</t>
  </si>
  <si>
    <t>Shamuratova, Alsu</t>
  </si>
  <si>
    <t>Riggon, Renaldo</t>
  </si>
  <si>
    <t>Almanzar, Maria E</t>
  </si>
  <si>
    <t>Johnson, Nesi</t>
  </si>
  <si>
    <t>Eustate de Suarez, Marilelby</t>
  </si>
  <si>
    <t>Shaybout, Mervat</t>
  </si>
  <si>
    <t>Guo, Lingfang</t>
  </si>
  <si>
    <t>Contreras, Lizdy</t>
  </si>
  <si>
    <t>Marshall, Johanna</t>
  </si>
  <si>
    <t>Centeno, Nadia</t>
  </si>
  <si>
    <t>Myrie, Otis R</t>
  </si>
  <si>
    <t>Bartley, Miriam</t>
  </si>
  <si>
    <t>Mendoza, Nicanor</t>
  </si>
  <si>
    <t>Hernandez Romero, Citlaly</t>
  </si>
  <si>
    <t>Solis Romero, Yancy</t>
  </si>
  <si>
    <t>Payton, Gloria</t>
  </si>
  <si>
    <t>Loza, Karina</t>
  </si>
  <si>
    <t>Granados, Lorena Yanira</t>
  </si>
  <si>
    <t>Jack, Paulina</t>
  </si>
  <si>
    <t>Ramos Rosales, Carlos Javier</t>
  </si>
  <si>
    <t>Harripaul, Mohanie</t>
  </si>
  <si>
    <t>Hernandez, Yeny</t>
  </si>
  <si>
    <t>Gonzalez, Lisette</t>
  </si>
  <si>
    <t>Annayev, Seydi</t>
  </si>
  <si>
    <t>Hanson, Kimanie</t>
  </si>
  <si>
    <t>Leslie, Romaine</t>
  </si>
  <si>
    <t>Foster, Jamal</t>
  </si>
  <si>
    <t>Hinds, Jamar</t>
  </si>
  <si>
    <t>Mohammad, Ahmad A</t>
  </si>
  <si>
    <t>Berrios, Felicia</t>
  </si>
  <si>
    <t>Camacho, Nancy</t>
  </si>
  <si>
    <t>Santos-Garcia, Cristian</t>
  </si>
  <si>
    <t>Ordonez, Martha</t>
  </si>
  <si>
    <t>Carabajo Hermida, Jose M</t>
  </si>
  <si>
    <t>Rivera Hernandez, Roberto B</t>
  </si>
  <si>
    <t>Saavedra, Roberto</t>
  </si>
  <si>
    <t>Ceballos- Gonzalez, Julian</t>
  </si>
  <si>
    <t>Rodriguez, Carola</t>
  </si>
  <si>
    <t>Rodriguez Cepeda, Ezequiel</t>
  </si>
  <si>
    <t>Ali, Paula A</t>
  </si>
  <si>
    <t>De Jesus, Georgina</t>
  </si>
  <si>
    <t>Ramos Felipe, Rosa</t>
  </si>
  <si>
    <t>Dauletzharova, Takhmina</t>
  </si>
  <si>
    <t>McTaggard, Stanley R</t>
  </si>
  <si>
    <t>Freeman, Paul</t>
  </si>
  <si>
    <t>Patk, Justyna</t>
  </si>
  <si>
    <t>Abreu, Leida</t>
  </si>
  <si>
    <t>Valera, Joan</t>
  </si>
  <si>
    <t>Henry, Leisha</t>
  </si>
  <si>
    <t>Rojas, Tiffany</t>
  </si>
  <si>
    <t>Camacho Silven, Eulalia Dinora</t>
  </si>
  <si>
    <t>Correa, Sorledy</t>
  </si>
  <si>
    <t>Bissoon, Twinkle</t>
  </si>
  <si>
    <t>Diaz - De Collado, Maria</t>
  </si>
  <si>
    <t>Aguilar Martinez, Jesus</t>
  </si>
  <si>
    <t>Bravo Lopez, Daniela</t>
  </si>
  <si>
    <t>Martinez, Gladis</t>
  </si>
  <si>
    <t>Toribio Castillo, Cindy P</t>
  </si>
  <si>
    <t>Guerrero, Gloria</t>
  </si>
  <si>
    <t>Guimaraes Da Silva, Elineide</t>
  </si>
  <si>
    <t>Meredith, Leeamoy Alisha</t>
  </si>
  <si>
    <t>Ryan, Raheem</t>
  </si>
  <si>
    <t>Rhoden, Nathaniel Andrew</t>
  </si>
  <si>
    <t>Aguilar, Josefina</t>
  </si>
  <si>
    <t>Garvey, Andrianna N</t>
  </si>
  <si>
    <t>King, Henry</t>
  </si>
  <si>
    <t>Rosas Mendez, Daniel</t>
  </si>
  <si>
    <t>Khoury, Rafael</t>
  </si>
  <si>
    <t>Reyez Diaz, Geremias</t>
  </si>
  <si>
    <t>Metilelu, Oluwaseyi A</t>
  </si>
  <si>
    <t>Sancho Zumba, Dioselina</t>
  </si>
  <si>
    <t>Napoleon Louis, Darline</t>
  </si>
  <si>
    <t>Marcano, Merici</t>
  </si>
  <si>
    <t>Hernandez Ferrer de Cuello, Maribel</t>
  </si>
  <si>
    <t>Waheed, Jasna Mina</t>
  </si>
  <si>
    <t>Loka, Amanda</t>
  </si>
  <si>
    <t>Castillo, Nilsa</t>
  </si>
  <si>
    <t>Toribio, Xiomara</t>
  </si>
  <si>
    <t>Santos de Hernandez, Rosalba</t>
  </si>
  <si>
    <t>Shields, Annette</t>
  </si>
  <si>
    <t>Ruiz Escobar, Eudocia A</t>
  </si>
  <si>
    <t>Suero, Jhony</t>
  </si>
  <si>
    <t>Alcantara, Ceneyli</t>
  </si>
  <si>
    <t>Vargas Tolentino, Cenaida</t>
  </si>
  <si>
    <t>Reyes, Cesar</t>
  </si>
  <si>
    <t>Fernandez, Jocelin</t>
  </si>
  <si>
    <t>Miranda, Kehila Yahisset</t>
  </si>
  <si>
    <t>Shaikh, Mussarat</t>
  </si>
  <si>
    <t>Mendoza, Micaela Carrillo</t>
  </si>
  <si>
    <t>McDowell, Jasmine</t>
  </si>
  <si>
    <t>Mamathojaev, Asror</t>
  </si>
  <si>
    <t>Pak, Hyoncha</t>
  </si>
  <si>
    <t>Reyes Alvarado, Elia</t>
  </si>
  <si>
    <t>Gaynor, Sylvia</t>
  </si>
  <si>
    <t>Rodriguez, Henrry</t>
  </si>
  <si>
    <t>Perez, Nolberto</t>
  </si>
  <si>
    <t>Perez, Ruth C</t>
  </si>
  <si>
    <t>Friday, Charlene</t>
  </si>
  <si>
    <t>Reyes, Angela</t>
  </si>
  <si>
    <t>Jimenez Rodriguez, Lisbeth Pamela</t>
  </si>
  <si>
    <t>Almonte, Sugeiry</t>
  </si>
  <si>
    <t>Anderson, Sonia May</t>
  </si>
  <si>
    <t>Basurto, Luzelbi</t>
  </si>
  <si>
    <t>Sanon, Marie Gladis</t>
  </si>
  <si>
    <t>Mpia, Carine</t>
  </si>
  <si>
    <t>Morgan, Milad</t>
  </si>
  <si>
    <t>Sandiford, Brittany</t>
  </si>
  <si>
    <t>Romero Saldana, Carolina</t>
  </si>
  <si>
    <t>Campbell, Alousius</t>
  </si>
  <si>
    <t>Rojas, Elvira</t>
  </si>
  <si>
    <t>Ruiz, Karmina</t>
  </si>
  <si>
    <t>Arias, Alexis</t>
  </si>
  <si>
    <t>Cole, Sharmaine</t>
  </si>
  <si>
    <t>Gray, Natasha</t>
  </si>
  <si>
    <t>Sterling, Valrita</t>
  </si>
  <si>
    <t>Akkuns, Gorkem</t>
  </si>
  <si>
    <t>Tardio, Luis H</t>
  </si>
  <si>
    <t>Plasencia, Rosa Nery</t>
  </si>
  <si>
    <t>Moonsammy, Sindamanie</t>
  </si>
  <si>
    <t>Joseph, Blenda</t>
  </si>
  <si>
    <t>Armstrong, Kathleen</t>
  </si>
  <si>
    <t>Diaz Montes, Millie</t>
  </si>
  <si>
    <t>Fuentez Solis, Elsy</t>
  </si>
  <si>
    <t>Cardoza Nevarez, Maria de los Angeles</t>
  </si>
  <si>
    <t>Rodriguez, Yazmin</t>
  </si>
  <si>
    <t>Rojas, Yefren</t>
  </si>
  <si>
    <t>Colon, Guillerma</t>
  </si>
  <si>
    <t>Hernandez, Roger</t>
  </si>
  <si>
    <t>Garcia, Margarita</t>
  </si>
  <si>
    <t>Paredes, Lanier</t>
  </si>
  <si>
    <t>Salvi, Maria</t>
  </si>
  <si>
    <t>James, Geneva</t>
  </si>
  <si>
    <t>Graham, Nadine</t>
  </si>
  <si>
    <t>Canelas, Vivian</t>
  </si>
  <si>
    <t>Julu, Babysister</t>
  </si>
  <si>
    <t>Toure, Awa</t>
  </si>
  <si>
    <t>Dymov, Yevgeniy</t>
  </si>
  <si>
    <t>Taverez, Waldy</t>
  </si>
  <si>
    <t>Hernandez Nunez, Luisa</t>
  </si>
  <si>
    <t>Ramirez, Renzo</t>
  </si>
  <si>
    <t>Kone, Losseni</t>
  </si>
  <si>
    <t>Alrubaii, Zahralyemen</t>
  </si>
  <si>
    <t>Tula, Elizabeth</t>
  </si>
  <si>
    <t>Wahba, Seham</t>
  </si>
  <si>
    <t>Popov, Stanislav</t>
  </si>
  <si>
    <t>Zhagui Bravo, Ana</t>
  </si>
  <si>
    <t>Guillauville, Jeanne Andrea</t>
  </si>
  <si>
    <t>Ferrer, Cleopatra</t>
  </si>
  <si>
    <t>Padilla, Angelica</t>
  </si>
  <si>
    <t>Mitchell, Ricardo</t>
  </si>
  <si>
    <t>Frias, Carmen</t>
  </si>
  <si>
    <t>Lew, Beverly</t>
  </si>
  <si>
    <t>De Jesus Frias, America Maria</t>
  </si>
  <si>
    <t>Lopez, Alexander</t>
  </si>
  <si>
    <t>Clarke, Kadeen</t>
  </si>
  <si>
    <t>Brown, Stefano</t>
  </si>
  <si>
    <t>Iagudin, Timur</t>
  </si>
  <si>
    <t>Campbell, Sahra</t>
  </si>
  <si>
    <t>Demedetskaya, Yael</t>
  </si>
  <si>
    <t>Demedetskiy, Andrey</t>
  </si>
  <si>
    <t>James, Rickein</t>
  </si>
  <si>
    <t>Grichev, Dmitrii</t>
  </si>
  <si>
    <t>Ramos, Zoila</t>
  </si>
  <si>
    <t>Pryce, Raymond R</t>
  </si>
  <si>
    <t>Kerr-Deans, Moya</t>
  </si>
  <si>
    <t>Zadani, Fath</t>
  </si>
  <si>
    <t>Philip, Bernice</t>
  </si>
  <si>
    <t>Lopez, Diomedes</t>
  </si>
  <si>
    <t>Altamirano Espana, Victor A</t>
  </si>
  <si>
    <t>Gustavi, Anna</t>
  </si>
  <si>
    <t>Martinez de lo Santos, Yolanny</t>
  </si>
  <si>
    <t>Smith-Williams, Elecia</t>
  </si>
  <si>
    <t>Smith, Kennard</t>
  </si>
  <si>
    <t>Robinson, Heather</t>
  </si>
  <si>
    <t>Martinez Moreno, William</t>
  </si>
  <si>
    <t>Quezada, Carlos</t>
  </si>
  <si>
    <t>Sarabia, Idelma</t>
  </si>
  <si>
    <t>Cabrera, Veronica</t>
  </si>
  <si>
    <t>Garcia Santos, Eugenio Antonio</t>
  </si>
  <si>
    <t>Rodriguez de Gomez, Ydalia</t>
  </si>
  <si>
    <t>Muniz, Jesus</t>
  </si>
  <si>
    <t>Lindsay, Gilma</t>
  </si>
  <si>
    <t>Torres, Elisa Antonia</t>
  </si>
  <si>
    <t>Lorenzo, Yobanis</t>
  </si>
  <si>
    <t>Appalsammy, Droubadie</t>
  </si>
  <si>
    <t>Rosado Paulino, Pura Aida C</t>
  </si>
  <si>
    <t>Caceres Luna, Mariel M</t>
  </si>
  <si>
    <t>Raja, Mohamed Javaid</t>
  </si>
  <si>
    <t>Legal Support Unit</t>
  </si>
  <si>
    <t>Ulster</t>
  </si>
  <si>
    <t>Kings, Kings</t>
  </si>
  <si>
    <t>Luzerne</t>
  </si>
  <si>
    <t>Morales-Robinson, Ana</t>
  </si>
  <si>
    <t>Chua, Janice</t>
  </si>
  <si>
    <t>Richman, Emily</t>
  </si>
  <si>
    <t>2018-06-01</t>
  </si>
  <si>
    <t>07/27/2019</t>
  </si>
  <si>
    <t>06/13/2019</t>
  </si>
  <si>
    <t>05/08/2019</t>
  </si>
  <si>
    <t>10/18/2018</t>
  </si>
  <si>
    <t>10/01/2018</t>
  </si>
  <si>
    <t>08/31/2018</t>
  </si>
  <si>
    <t>08/17/2018</t>
  </si>
  <si>
    <t>08/16/2018</t>
  </si>
  <si>
    <t>08/02/2018</t>
  </si>
  <si>
    <t>07/12/2018</t>
  </si>
  <si>
    <t>07/09/2018</t>
  </si>
  <si>
    <t>06/13/2018</t>
  </si>
  <si>
    <t>06/12/2018</t>
  </si>
  <si>
    <t>06/02/2018</t>
  </si>
  <si>
    <t>05/29/2018</t>
  </si>
  <si>
    <t>04/30/2018</t>
  </si>
  <si>
    <t>04/23/2018</t>
  </si>
  <si>
    <t>04/09/2018</t>
  </si>
  <si>
    <t>04/06/2018</t>
  </si>
  <si>
    <t>02/09/2018</t>
  </si>
  <si>
    <t>02/02/2018</t>
  </si>
  <si>
    <t>01/09/2018</t>
  </si>
  <si>
    <t>12/18/2017</t>
  </si>
  <si>
    <t>11/16/2017</t>
  </si>
  <si>
    <t>11/09/2017</t>
  </si>
  <si>
    <t>11/08/2017</t>
  </si>
  <si>
    <t>10/20/2017</t>
  </si>
  <si>
    <t>10/16/2017</t>
  </si>
  <si>
    <t>09/21/2017</t>
  </si>
  <si>
    <t>09/19/2017</t>
  </si>
  <si>
    <t>09/13/2017</t>
  </si>
  <si>
    <t>08/28/2017</t>
  </si>
  <si>
    <t>08/24/2017</t>
  </si>
  <si>
    <t>08/22/2017</t>
  </si>
  <si>
    <t>08/17/2017</t>
  </si>
  <si>
    <t>08/11/2017</t>
  </si>
  <si>
    <t>08/09/2017</t>
  </si>
  <si>
    <t>07/10/2017</t>
  </si>
  <si>
    <t>06/22/2017</t>
  </si>
  <si>
    <t>06/13/2017</t>
  </si>
  <si>
    <t>05/11/2017</t>
  </si>
  <si>
    <t>05/08/2017</t>
  </si>
  <si>
    <t>04/13/2017</t>
  </si>
  <si>
    <t>03/28/2017</t>
  </si>
  <si>
    <t>02/08/2017</t>
  </si>
  <si>
    <t>01/30/2017</t>
  </si>
  <si>
    <t>12/09/2015</t>
  </si>
  <si>
    <t>2157 OCA-City-wide Civil Legal Services Grant</t>
  </si>
  <si>
    <t>2037 STOP Violence Against Women (VAWA)</t>
  </si>
  <si>
    <t>I-539</t>
  </si>
  <si>
    <t>Amer. Sign Lang.</t>
  </si>
  <si>
    <t>Verania</t>
  </si>
  <si>
    <t>Dmitrii</t>
  </si>
  <si>
    <t>Marcia</t>
  </si>
  <si>
    <t>Maria Altagracia</t>
  </si>
  <si>
    <t>Taiwo</t>
  </si>
  <si>
    <t>Bridget</t>
  </si>
  <si>
    <t>Asha</t>
  </si>
  <si>
    <t>Nelda</t>
  </si>
  <si>
    <t>Oril</t>
  </si>
  <si>
    <t>Anahi</t>
  </si>
  <si>
    <t>Winston</t>
  </si>
  <si>
    <t>Loannis</t>
  </si>
  <si>
    <t>Leisy</t>
  </si>
  <si>
    <t>Keisy</t>
  </si>
  <si>
    <t>Dolma</t>
  </si>
  <si>
    <t>Florencia</t>
  </si>
  <si>
    <t>Ipek</t>
  </si>
  <si>
    <t>Elfreada</t>
  </si>
  <si>
    <t>Keeras</t>
  </si>
  <si>
    <t>Dimitry</t>
  </si>
  <si>
    <t>Litzy</t>
  </si>
  <si>
    <t>Alenny</t>
  </si>
  <si>
    <t>Sherwin</t>
  </si>
  <si>
    <t>Pamela</t>
  </si>
  <si>
    <t>Albina</t>
  </si>
  <si>
    <t>Kary</t>
  </si>
  <si>
    <t>Glenys</t>
  </si>
  <si>
    <t>Miama</t>
  </si>
  <si>
    <t>Milady</t>
  </si>
  <si>
    <t>Derna</t>
  </si>
  <si>
    <t>Rigoberto</t>
  </si>
  <si>
    <t>Cheryl</t>
  </si>
  <si>
    <t>Gina</t>
  </si>
  <si>
    <t>Eulet</t>
  </si>
  <si>
    <t>Richard</t>
  </si>
  <si>
    <t>Nika</t>
  </si>
  <si>
    <t>Anthony</t>
  </si>
  <si>
    <t>Yezid</t>
  </si>
  <si>
    <t>Rene</t>
  </si>
  <si>
    <t>Jahlee</t>
  </si>
  <si>
    <t>Dwight</t>
  </si>
  <si>
    <t>Ethel</t>
  </si>
  <si>
    <t>Aram</t>
  </si>
  <si>
    <t>Orete</t>
  </si>
  <si>
    <t>Milka</t>
  </si>
  <si>
    <t>Ben</t>
  </si>
  <si>
    <t>Mawa</t>
  </si>
  <si>
    <t>Tomas</t>
  </si>
  <si>
    <t>Vitalii</t>
  </si>
  <si>
    <t>Assem</t>
  </si>
  <si>
    <t>Nadezda</t>
  </si>
  <si>
    <t>Danielle</t>
  </si>
  <si>
    <t>Wesley</t>
  </si>
  <si>
    <t>Lavern</t>
  </si>
  <si>
    <t>Algirdas</t>
  </si>
  <si>
    <t>Ivan</t>
  </si>
  <si>
    <t>Sergey</t>
  </si>
  <si>
    <t>Nelson</t>
  </si>
  <si>
    <t>Carlos Jose</t>
  </si>
  <si>
    <t>Andre</t>
  </si>
  <si>
    <t>Olushola</t>
  </si>
  <si>
    <t>Fayyaz</t>
  </si>
  <si>
    <t>Jestina</t>
  </si>
  <si>
    <t>Wilmer</t>
  </si>
  <si>
    <t>Linsy</t>
  </si>
  <si>
    <t>Betzaida</t>
  </si>
  <si>
    <t>Anatolii</t>
  </si>
  <si>
    <t>Angelique</t>
  </si>
  <si>
    <t>Heiby</t>
  </si>
  <si>
    <t>Saemy</t>
  </si>
  <si>
    <t>Leonardo</t>
  </si>
  <si>
    <t>Keummy</t>
  </si>
  <si>
    <t>Darrell</t>
  </si>
  <si>
    <t>Rigel</t>
  </si>
  <si>
    <t>Arman</t>
  </si>
  <si>
    <t>Macaria</t>
  </si>
  <si>
    <t>Landry</t>
  </si>
  <si>
    <t>Henry Wilfredo</t>
  </si>
  <si>
    <t>Tajarie</t>
  </si>
  <si>
    <t>Dianna</t>
  </si>
  <si>
    <t>Jogeny Sarahi</t>
  </si>
  <si>
    <t>Wilfer Jomary</t>
  </si>
  <si>
    <t>Aisha Jogen</t>
  </si>
  <si>
    <t>Celestino</t>
  </si>
  <si>
    <t>Karina</t>
  </si>
  <si>
    <t>Yolkingtz</t>
  </si>
  <si>
    <t>Shemika</t>
  </si>
  <si>
    <t>Khadijia</t>
  </si>
  <si>
    <t>Narcisa</t>
  </si>
  <si>
    <t>Zahira</t>
  </si>
  <si>
    <t>Deyanira</t>
  </si>
  <si>
    <t>Julio Jorge</t>
  </si>
  <si>
    <t>Darrell Divanne</t>
  </si>
  <si>
    <t>Umberto</t>
  </si>
  <si>
    <t>Jenny</t>
  </si>
  <si>
    <t>Rosaline</t>
  </si>
  <si>
    <t>Leyda</t>
  </si>
  <si>
    <t>Albert</t>
  </si>
  <si>
    <t>Alicia</t>
  </si>
  <si>
    <t>Claudy</t>
  </si>
  <si>
    <t>Siobhan</t>
  </si>
  <si>
    <t>Lesby</t>
  </si>
  <si>
    <t>Yan Li</t>
  </si>
  <si>
    <t>Pauline</t>
  </si>
  <si>
    <t>Hazel</t>
  </si>
  <si>
    <t>Ivee</t>
  </si>
  <si>
    <t>Grace</t>
  </si>
  <si>
    <t>Youssouf</t>
  </si>
  <si>
    <t>Dolores</t>
  </si>
  <si>
    <t>Delmy</t>
  </si>
  <si>
    <t>Irene</t>
  </si>
  <si>
    <t>Giselle</t>
  </si>
  <si>
    <t>Rahi</t>
  </si>
  <si>
    <t>Milton</t>
  </si>
  <si>
    <t>Remedios</t>
  </si>
  <si>
    <t>Horace</t>
  </si>
  <si>
    <t>Yrma</t>
  </si>
  <si>
    <t>Rodrigo</t>
  </si>
  <si>
    <t>Lester Yobanny</t>
  </si>
  <si>
    <t>Charlene</t>
  </si>
  <si>
    <t>Guillermina</t>
  </si>
  <si>
    <t>Nicole</t>
  </si>
  <si>
    <t>Edward</t>
  </si>
  <si>
    <t>Kemely</t>
  </si>
  <si>
    <t>Stefany</t>
  </si>
  <si>
    <t>Dylan</t>
  </si>
  <si>
    <t>Andrii</t>
  </si>
  <si>
    <t>Thiago</t>
  </si>
  <si>
    <t>Najimdin</t>
  </si>
  <si>
    <t>Antoinette</t>
  </si>
  <si>
    <t>Barney</t>
  </si>
  <si>
    <t>Luis Angel</t>
  </si>
  <si>
    <t>Ana Camil</t>
  </si>
  <si>
    <t>Cesar Anthony</t>
  </si>
  <si>
    <t>Noely</t>
  </si>
  <si>
    <t>Anastasiia</t>
  </si>
  <si>
    <t>Larisa</t>
  </si>
  <si>
    <t>Ramseyn</t>
  </si>
  <si>
    <t>Aissata</t>
  </si>
  <si>
    <t>Billy</t>
  </si>
  <si>
    <t>Darien</t>
  </si>
  <si>
    <t>Dania</t>
  </si>
  <si>
    <t>Benjamin</t>
  </si>
  <si>
    <t>Philipa</t>
  </si>
  <si>
    <t>Vicenta</t>
  </si>
  <si>
    <t>Ilda</t>
  </si>
  <si>
    <t>Ada</t>
  </si>
  <si>
    <t>Elly</t>
  </si>
  <si>
    <t>Hawa</t>
  </si>
  <si>
    <t>Anai</t>
  </si>
  <si>
    <t>Joelynn</t>
  </si>
  <si>
    <t>Kat</t>
  </si>
  <si>
    <t>Yessenia</t>
  </si>
  <si>
    <t>Abed</t>
  </si>
  <si>
    <t>Felecia</t>
  </si>
  <si>
    <t>Sirenayka</t>
  </si>
  <si>
    <t>Gregoria</t>
  </si>
  <si>
    <t>Cheyra</t>
  </si>
  <si>
    <t>Kathyann</t>
  </si>
  <si>
    <t>Ian</t>
  </si>
  <si>
    <t>Seuraragee</t>
  </si>
  <si>
    <t>Beatriz</t>
  </si>
  <si>
    <t>Hilda</t>
  </si>
  <si>
    <t>Shabana</t>
  </si>
  <si>
    <t>Dmitriy</t>
  </si>
  <si>
    <t>Yenssi</t>
  </si>
  <si>
    <t>Wilhemina</t>
  </si>
  <si>
    <t>Ella</t>
  </si>
  <si>
    <t>Elvis</t>
  </si>
  <si>
    <t>Segundo</t>
  </si>
  <si>
    <t>Kijana</t>
  </si>
  <si>
    <t>Belky</t>
  </si>
  <si>
    <t>Jeron</t>
  </si>
  <si>
    <t>Khadija</t>
  </si>
  <si>
    <t>Argelia</t>
  </si>
  <si>
    <t>Aleyda</t>
  </si>
  <si>
    <t>Raphia</t>
  </si>
  <si>
    <t>Harry</t>
  </si>
  <si>
    <t>Lucy</t>
  </si>
  <si>
    <t>Yan li</t>
  </si>
  <si>
    <t>Gleetha</t>
  </si>
  <si>
    <t>Soamnauph</t>
  </si>
  <si>
    <t>Josefina</t>
  </si>
  <si>
    <t>Eduvigis</t>
  </si>
  <si>
    <t>Ruslan</t>
  </si>
  <si>
    <t>Rossie</t>
  </si>
  <si>
    <t>Fabio</t>
  </si>
  <si>
    <t>Wanzhe</t>
  </si>
  <si>
    <t>Patrick</t>
  </si>
  <si>
    <t>Dora</t>
  </si>
  <si>
    <t>Genara</t>
  </si>
  <si>
    <t>Arkadii</t>
  </si>
  <si>
    <t>Sharmilla</t>
  </si>
  <si>
    <t>Heidy</t>
  </si>
  <si>
    <t>Silvestre</t>
  </si>
  <si>
    <t>Cleevens</t>
  </si>
  <si>
    <t>Ryando</t>
  </si>
  <si>
    <t>Mary</t>
  </si>
  <si>
    <t>Pheches</t>
  </si>
  <si>
    <t>Nicola</t>
  </si>
  <si>
    <t>Cristopher</t>
  </si>
  <si>
    <t>Severiana</t>
  </si>
  <si>
    <t>Amadou</t>
  </si>
  <si>
    <t>Sheila</t>
  </si>
  <si>
    <t>Brisa</t>
  </si>
  <si>
    <t>Zita-Irene</t>
  </si>
  <si>
    <t>Lorenza</t>
  </si>
  <si>
    <t>Rocio</t>
  </si>
  <si>
    <t>Kashima</t>
  </si>
  <si>
    <t>Diane</t>
  </si>
  <si>
    <t>Zhindel</t>
  </si>
  <si>
    <t>Mymy</t>
  </si>
  <si>
    <t>Asencion</t>
  </si>
  <si>
    <t>Primitivo</t>
  </si>
  <si>
    <t>Yosvany</t>
  </si>
  <si>
    <t>Emily</t>
  </si>
  <si>
    <t>Selena</t>
  </si>
  <si>
    <t>Popi</t>
  </si>
  <si>
    <t>Meledy</t>
  </si>
  <si>
    <t>Eris</t>
  </si>
  <si>
    <t>Jostin Omar</t>
  </si>
  <si>
    <t>Joy</t>
  </si>
  <si>
    <t>Arrefa</t>
  </si>
  <si>
    <t>Grayson</t>
  </si>
  <si>
    <t>Anatoly</t>
  </si>
  <si>
    <t>Zonia</t>
  </si>
  <si>
    <t>Dileny</t>
  </si>
  <si>
    <t>Aguibou</t>
  </si>
  <si>
    <t>Lulu</t>
  </si>
  <si>
    <t>Kamroon</t>
  </si>
  <si>
    <t>Cameel</t>
  </si>
  <si>
    <t>Novellette</t>
  </si>
  <si>
    <t>Ibrahima</t>
  </si>
  <si>
    <t>Massiel</t>
  </si>
  <si>
    <t>Jan-Adelle</t>
  </si>
  <si>
    <t>Jair</t>
  </si>
  <si>
    <t>Dale</t>
  </si>
  <si>
    <t>Elvia</t>
  </si>
  <si>
    <t>Elvin</t>
  </si>
  <si>
    <t>Angeles</t>
  </si>
  <si>
    <t>Doris</t>
  </si>
  <si>
    <t>Alsu</t>
  </si>
  <si>
    <t>Renaldo</t>
  </si>
  <si>
    <t>Nesi</t>
  </si>
  <si>
    <t>Marilelby</t>
  </si>
  <si>
    <t>Mervat</t>
  </si>
  <si>
    <t>Lingfang</t>
  </si>
  <si>
    <t>Lizdy</t>
  </si>
  <si>
    <t>Otis</t>
  </si>
  <si>
    <t>Nicanor</t>
  </si>
  <si>
    <t>Citlaly</t>
  </si>
  <si>
    <t>Yancy</t>
  </si>
  <si>
    <t>Paulina</t>
  </si>
  <si>
    <t>Mohanie</t>
  </si>
  <si>
    <t>Yeny</t>
  </si>
  <si>
    <t>Lisette</t>
  </si>
  <si>
    <t>Seydi</t>
  </si>
  <si>
    <t>Kimanie</t>
  </si>
  <si>
    <t>Romaine</t>
  </si>
  <si>
    <t>Jamal</t>
  </si>
  <si>
    <t>Jamar</t>
  </si>
  <si>
    <t>Ahmad</t>
  </si>
  <si>
    <t>Felicia</t>
  </si>
  <si>
    <t>Roberto</t>
  </si>
  <si>
    <t>Julian</t>
  </si>
  <si>
    <t>Carola</t>
  </si>
  <si>
    <t>Ezequiel</t>
  </si>
  <si>
    <t>Takhmina</t>
  </si>
  <si>
    <t>Stanley</t>
  </si>
  <si>
    <t>Justyna</t>
  </si>
  <si>
    <t>Leida</t>
  </si>
  <si>
    <t>Leisha</t>
  </si>
  <si>
    <t>Tiffany</t>
  </si>
  <si>
    <t>Eulalia</t>
  </si>
  <si>
    <t>Sorledy</t>
  </si>
  <si>
    <t>Twinkle</t>
  </si>
  <si>
    <t>Gladis</t>
  </si>
  <si>
    <t>Cindy</t>
  </si>
  <si>
    <t>Elineide</t>
  </si>
  <si>
    <t>Leeamoy</t>
  </si>
  <si>
    <t>Raheem</t>
  </si>
  <si>
    <t>Nathaniel</t>
  </si>
  <si>
    <t>Andrianna</t>
  </si>
  <si>
    <t>Geremias</t>
  </si>
  <si>
    <t>Oluwaseyi</t>
  </si>
  <si>
    <t>Dioselina</t>
  </si>
  <si>
    <t>Darline</t>
  </si>
  <si>
    <t>Merici</t>
  </si>
  <si>
    <t>Jasna Mina</t>
  </si>
  <si>
    <t>Amanda</t>
  </si>
  <si>
    <t>Nilsa</t>
  </si>
  <si>
    <t>Rosalba</t>
  </si>
  <si>
    <t>Eudocia</t>
  </si>
  <si>
    <t>Jhony</t>
  </si>
  <si>
    <t>Ceneyli</t>
  </si>
  <si>
    <t>Cenaida</t>
  </si>
  <si>
    <t>Jocelin</t>
  </si>
  <si>
    <t>Kehila</t>
  </si>
  <si>
    <t>Mussarat</t>
  </si>
  <si>
    <t>Micaela</t>
  </si>
  <si>
    <t>Jasmine</t>
  </si>
  <si>
    <t>Asror</t>
  </si>
  <si>
    <t>Hyoncha</t>
  </si>
  <si>
    <t>Elia</t>
  </si>
  <si>
    <t>Sylvia</t>
  </si>
  <si>
    <t>Nolberto</t>
  </si>
  <si>
    <t>Lisbeth</t>
  </si>
  <si>
    <t>Sugeiry</t>
  </si>
  <si>
    <t>Luzelbi</t>
  </si>
  <si>
    <t>Marie Gladis</t>
  </si>
  <si>
    <t>Carine</t>
  </si>
  <si>
    <t>Milad</t>
  </si>
  <si>
    <t>Brittany</t>
  </si>
  <si>
    <t>Alousius</t>
  </si>
  <si>
    <t>Elvira</t>
  </si>
  <si>
    <t>Karmina</t>
  </si>
  <si>
    <t>Alexis</t>
  </si>
  <si>
    <t>Sharmaine</t>
  </si>
  <si>
    <t>Natasha</t>
  </si>
  <si>
    <t>Valrita</t>
  </si>
  <si>
    <t>Gorkem</t>
  </si>
  <si>
    <t>Sindamanie</t>
  </si>
  <si>
    <t>Blenda</t>
  </si>
  <si>
    <t>Kathleen</t>
  </si>
  <si>
    <t>Millie</t>
  </si>
  <si>
    <t>Elsy</t>
  </si>
  <si>
    <t>Yazmin</t>
  </si>
  <si>
    <t>Yefren</t>
  </si>
  <si>
    <t>Guillerma</t>
  </si>
  <si>
    <t>Roger</t>
  </si>
  <si>
    <t>Lanier</t>
  </si>
  <si>
    <t>Geneva</t>
  </si>
  <si>
    <t>Nadine</t>
  </si>
  <si>
    <t>Vivian</t>
  </si>
  <si>
    <t>Babysister</t>
  </si>
  <si>
    <t>Awa</t>
  </si>
  <si>
    <t>Yevgeniy</t>
  </si>
  <si>
    <t>Waldy</t>
  </si>
  <si>
    <t>Renzo</t>
  </si>
  <si>
    <t>Losseni</t>
  </si>
  <si>
    <t>Zahralyemen</t>
  </si>
  <si>
    <t>Seham</t>
  </si>
  <si>
    <t>Stanislav</t>
  </si>
  <si>
    <t>Jeanne</t>
  </si>
  <si>
    <t>Cleopatra</t>
  </si>
  <si>
    <t>Beverly</t>
  </si>
  <si>
    <t>America</t>
  </si>
  <si>
    <t>Kadeen</t>
  </si>
  <si>
    <t>Stefano</t>
  </si>
  <si>
    <t>Timur</t>
  </si>
  <si>
    <t>Sahra</t>
  </si>
  <si>
    <t>Yael</t>
  </si>
  <si>
    <t>Rickein</t>
  </si>
  <si>
    <t>Zoila</t>
  </si>
  <si>
    <t>Moya</t>
  </si>
  <si>
    <t>Fath</t>
  </si>
  <si>
    <t>Bernice</t>
  </si>
  <si>
    <t>Diomedes</t>
  </si>
  <si>
    <t>Anna</t>
  </si>
  <si>
    <t>Yolanny</t>
  </si>
  <si>
    <t>Elecia</t>
  </si>
  <si>
    <t>Kennard</t>
  </si>
  <si>
    <t>Heather</t>
  </si>
  <si>
    <t>Idelma</t>
  </si>
  <si>
    <t>Eugenio</t>
  </si>
  <si>
    <t>Ydalia</t>
  </si>
  <si>
    <t>Gilma</t>
  </si>
  <si>
    <t>Elisa</t>
  </si>
  <si>
    <t>Yobanis</t>
  </si>
  <si>
    <t>Droubadie</t>
  </si>
  <si>
    <t>Pura</t>
  </si>
  <si>
    <t>Mariel</t>
  </si>
  <si>
    <t>Medina Jorge</t>
  </si>
  <si>
    <t>Skuratov</t>
  </si>
  <si>
    <t>Benito</t>
  </si>
  <si>
    <t>Gonzalez del Jesus</t>
  </si>
  <si>
    <t>Omosowon</t>
  </si>
  <si>
    <t>Udeani</t>
  </si>
  <si>
    <t>Soumere</t>
  </si>
  <si>
    <t>Garcia Casildo</t>
  </si>
  <si>
    <t>Dickson</t>
  </si>
  <si>
    <t>Noel</t>
  </si>
  <si>
    <t>Zuleta Chavez</t>
  </si>
  <si>
    <t>Chatzopoulos</t>
  </si>
  <si>
    <t>Inirio</t>
  </si>
  <si>
    <t>Smith</t>
  </si>
  <si>
    <t>Martinez Flores</t>
  </si>
  <si>
    <t>Ortiz</t>
  </si>
  <si>
    <t>Lhamo</t>
  </si>
  <si>
    <t>Leon Rosas</t>
  </si>
  <si>
    <t>Arslanbas</t>
  </si>
  <si>
    <t>Ziama</t>
  </si>
  <si>
    <t>Moonsammy</t>
  </si>
  <si>
    <t>Khozhev</t>
  </si>
  <si>
    <t>Plasencia</t>
  </si>
  <si>
    <t>King</t>
  </si>
  <si>
    <t>Baca</t>
  </si>
  <si>
    <t>Corrales Uribe</t>
  </si>
  <si>
    <t>Lopez Medina</t>
  </si>
  <si>
    <t>Zapata Figueroa</t>
  </si>
  <si>
    <t>Zambrano</t>
  </si>
  <si>
    <t>Wolliaston</t>
  </si>
  <si>
    <t>Magomedova</t>
  </si>
  <si>
    <t>Pereira</t>
  </si>
  <si>
    <t>Pena</t>
  </si>
  <si>
    <t>Ramos Bernardez</t>
  </si>
  <si>
    <t>Nava</t>
  </si>
  <si>
    <t>Mayor</t>
  </si>
  <si>
    <t>Guzman Tavarez</t>
  </si>
  <si>
    <t>Turcio</t>
  </si>
  <si>
    <t>Dodson</t>
  </si>
  <si>
    <t>Mcpherson</t>
  </si>
  <si>
    <t>Veras Diaz</t>
  </si>
  <si>
    <t>Tsiklauri</t>
  </si>
  <si>
    <t>Meade</t>
  </si>
  <si>
    <t>Taylor</t>
  </si>
  <si>
    <t>Throught</t>
  </si>
  <si>
    <t>Urroz</t>
  </si>
  <si>
    <t>Cunningham</t>
  </si>
  <si>
    <t>Gausin</t>
  </si>
  <si>
    <t>Shakhnazarov</t>
  </si>
  <si>
    <t>Telfer</t>
  </si>
  <si>
    <t>Liriano</t>
  </si>
  <si>
    <t>Owusu Adadio</t>
  </si>
  <si>
    <t>Sangare</t>
  </si>
  <si>
    <t>Tsykov</t>
  </si>
  <si>
    <t>Anacleto Valerio</t>
  </si>
  <si>
    <t>Roman Castillo</t>
  </si>
  <si>
    <t>Sadykova</t>
  </si>
  <si>
    <t>Likhacheva</t>
  </si>
  <si>
    <t>Skeete</t>
  </si>
  <si>
    <t>Maynard</t>
  </si>
  <si>
    <t>Stugys</t>
  </si>
  <si>
    <t>Castro Alvarez</t>
  </si>
  <si>
    <t>Chinchillia Montero</t>
  </si>
  <si>
    <t>Ouedraogo</t>
  </si>
  <si>
    <t>Slashchev</t>
  </si>
  <si>
    <t>Laoe</t>
  </si>
  <si>
    <t>Betancourt</t>
  </si>
  <si>
    <t>Montan Escanio</t>
  </si>
  <si>
    <t>Subero Yepez</t>
  </si>
  <si>
    <t>Oyelohunnu</t>
  </si>
  <si>
    <t>Gemmison</t>
  </si>
  <si>
    <t>Reyes Mejia</t>
  </si>
  <si>
    <t>Batiz</t>
  </si>
  <si>
    <t>Arias Rivas</t>
  </si>
  <si>
    <t>Plishkin</t>
  </si>
  <si>
    <t>Diaz Ramirez</t>
  </si>
  <si>
    <t>Meza Rodriguez</t>
  </si>
  <si>
    <t>Delcid Rapalo</t>
  </si>
  <si>
    <t>Olmedo Zaracay</t>
  </si>
  <si>
    <t>Gomez Fuentes</t>
  </si>
  <si>
    <t>Zapata-Santos</t>
  </si>
  <si>
    <t>Garcia-Williams</t>
  </si>
  <si>
    <t>Velasquez Mancia</t>
  </si>
  <si>
    <t>Hossain</t>
  </si>
  <si>
    <t>Garcia Zuniga</t>
  </si>
  <si>
    <t>Tax Menchu</t>
  </si>
  <si>
    <t>Eustate</t>
  </si>
  <si>
    <t>Altamirano</t>
  </si>
  <si>
    <t>Medina Batiz</t>
  </si>
  <si>
    <t>Flores Arzu</t>
  </si>
  <si>
    <t>Medina Flores</t>
  </si>
  <si>
    <t>Vidals</t>
  </si>
  <si>
    <t>Jurado</t>
  </si>
  <si>
    <t>Bienaime</t>
  </si>
  <si>
    <t>Tenempaguay</t>
  </si>
  <si>
    <t>Saltos</t>
  </si>
  <si>
    <t>Arias</t>
  </si>
  <si>
    <t>Garcia-Zuniga</t>
  </si>
  <si>
    <t>Garcia Williams</t>
  </si>
  <si>
    <t>Sanchez Flores</t>
  </si>
  <si>
    <t>Lawrence</t>
  </si>
  <si>
    <t>Real</t>
  </si>
  <si>
    <t>Ramcharan</t>
  </si>
  <si>
    <t>Yuganson</t>
  </si>
  <si>
    <t>Molano</t>
  </si>
  <si>
    <t>Escorcia</t>
  </si>
  <si>
    <t>Moise</t>
  </si>
  <si>
    <t>Evelyn</t>
  </si>
  <si>
    <t>Guo</t>
  </si>
  <si>
    <t>De Leon Valdez</t>
  </si>
  <si>
    <t>Asobi</t>
  </si>
  <si>
    <t>Onguko</t>
  </si>
  <si>
    <t>Volquez</t>
  </si>
  <si>
    <t>Gongar</t>
  </si>
  <si>
    <t>Soukouna</t>
  </si>
  <si>
    <t>Cepeda</t>
  </si>
  <si>
    <t>De Leon-Gomez</t>
  </si>
  <si>
    <t>Feliz Arias</t>
  </si>
  <si>
    <t>Fernandez Molina</t>
  </si>
  <si>
    <t>Caballero</t>
  </si>
  <si>
    <t>Leon Martinez</t>
  </si>
  <si>
    <t>Tulloch</t>
  </si>
  <si>
    <t>Perez Avila</t>
  </si>
  <si>
    <t>Cardenas</t>
  </si>
  <si>
    <t>Cortez Cabrera</t>
  </si>
  <si>
    <t>Zaracay de Olmedo</t>
  </si>
  <si>
    <t>Alekseev</t>
  </si>
  <si>
    <t>Rowe</t>
  </si>
  <si>
    <t>Palacios Dolmo</t>
  </si>
  <si>
    <t>Hernandez Gonzalez</t>
  </si>
  <si>
    <t>Garzona Zelada</t>
  </si>
  <si>
    <t>Zelada Torres</t>
  </si>
  <si>
    <t>Fulgencio</t>
  </si>
  <si>
    <t>Garcia Amaya</t>
  </si>
  <si>
    <t>Amaya Ramirez</t>
  </si>
  <si>
    <t>Valencia Nunez</t>
  </si>
  <si>
    <t>Aguilar</t>
  </si>
  <si>
    <t>Lohinov</t>
  </si>
  <si>
    <t>Akbar</t>
  </si>
  <si>
    <t>Espinal</t>
  </si>
  <si>
    <t>Ruiz Diaz</t>
  </si>
  <si>
    <t>Edwards Smith</t>
  </si>
  <si>
    <t>Encarnacion Feliz</t>
  </si>
  <si>
    <t>Polanco Acacio</t>
  </si>
  <si>
    <t>Guzman Encarnacion</t>
  </si>
  <si>
    <t>Giraldo</t>
  </si>
  <si>
    <t>Kozina</t>
  </si>
  <si>
    <t>Larionova</t>
  </si>
  <si>
    <t>Chukwu</t>
  </si>
  <si>
    <t>Kante</t>
  </si>
  <si>
    <t>Ayala Hernandez</t>
  </si>
  <si>
    <t>Castro  Lalin</t>
  </si>
  <si>
    <t>Castro Lalin</t>
  </si>
  <si>
    <t>Agyare</t>
  </si>
  <si>
    <t>Cortez Galicia</t>
  </si>
  <si>
    <t>Bagadzhiyan</t>
  </si>
  <si>
    <t>St. Juste</t>
  </si>
  <si>
    <t>Menchu-Garcia</t>
  </si>
  <si>
    <t>Lascano Miranda</t>
  </si>
  <si>
    <t>Bencosme</t>
  </si>
  <si>
    <t>Pedroza</t>
  </si>
  <si>
    <t>Chauca</t>
  </si>
  <si>
    <t>Melendez</t>
  </si>
  <si>
    <t>Boureima</t>
  </si>
  <si>
    <t>Valencia Balbuena</t>
  </si>
  <si>
    <t>Hill</t>
  </si>
  <si>
    <t>Gawin</t>
  </si>
  <si>
    <t>Pobedash</t>
  </si>
  <si>
    <t>Alquorazy</t>
  </si>
  <si>
    <t>Pylypenko</t>
  </si>
  <si>
    <t>Jerez</t>
  </si>
  <si>
    <t>Wallace</t>
  </si>
  <si>
    <t>Grey</t>
  </si>
  <si>
    <t>De Mota</t>
  </si>
  <si>
    <t>Mesa</t>
  </si>
  <si>
    <t>Ruiz</t>
  </si>
  <si>
    <t>Harripaul</t>
  </si>
  <si>
    <t>Cortes Valdez</t>
  </si>
  <si>
    <t>Brodrick</t>
  </si>
  <si>
    <t>Matveev</t>
  </si>
  <si>
    <t>Pujols</t>
  </si>
  <si>
    <t>Petrov</t>
  </si>
  <si>
    <t>Ishimskiy</t>
  </si>
  <si>
    <t>Pearce</t>
  </si>
  <si>
    <t>Annan</t>
  </si>
  <si>
    <t>Vivas</t>
  </si>
  <si>
    <t>de la Cruz Zumbana</t>
  </si>
  <si>
    <t>Gerrado Cuevas</t>
  </si>
  <si>
    <t>Davis</t>
  </si>
  <si>
    <t>Cooper</t>
  </si>
  <si>
    <t>Urbaez</t>
  </si>
  <si>
    <t>Randolph</t>
  </si>
  <si>
    <t>Ruiz Campaz</t>
  </si>
  <si>
    <t>Jimenez</t>
  </si>
  <si>
    <t>Elembaev</t>
  </si>
  <si>
    <t>Salas</t>
  </si>
  <si>
    <t>Veras</t>
  </si>
  <si>
    <t>Tyo</t>
  </si>
  <si>
    <t>Flores Garcia</t>
  </si>
  <si>
    <t>Venceslau</t>
  </si>
  <si>
    <t>Azcona</t>
  </si>
  <si>
    <t>Tong</t>
  </si>
  <si>
    <t>Carriel</t>
  </si>
  <si>
    <t>Frank</t>
  </si>
  <si>
    <t>Aguirre Gomez</t>
  </si>
  <si>
    <t>Peralta de Torres</t>
  </si>
  <si>
    <t>Syrtsov</t>
  </si>
  <si>
    <t>Muller</t>
  </si>
  <si>
    <t>Reyes Ortega</t>
  </si>
  <si>
    <t>Hidalgo Reyes</t>
  </si>
  <si>
    <t>Cortes  Xicohtencatl</t>
  </si>
  <si>
    <t>Jeudi</t>
  </si>
  <si>
    <t>Cordova</t>
  </si>
  <si>
    <t>Silva Vazquez</t>
  </si>
  <si>
    <t>Ordonez</t>
  </si>
  <si>
    <t>Alfonso</t>
  </si>
  <si>
    <t>Carlina</t>
  </si>
  <si>
    <t>Green</t>
  </si>
  <si>
    <t>Carino Bravo</t>
  </si>
  <si>
    <t>Naula Bermeo</t>
  </si>
  <si>
    <t>Castrejon</t>
  </si>
  <si>
    <t>Nasser</t>
  </si>
  <si>
    <t>Alegre Kopp</t>
  </si>
  <si>
    <t>Cid-Ortiz</t>
  </si>
  <si>
    <t>Portella Arteaga</t>
  </si>
  <si>
    <t>Barrientes Contreras</t>
  </si>
  <si>
    <t>Waongho</t>
  </si>
  <si>
    <t>Loja Ugana</t>
  </si>
  <si>
    <t>Chinchilla</t>
  </si>
  <si>
    <t>Duarte</t>
  </si>
  <si>
    <t>Escamilla Hernandez</t>
  </si>
  <si>
    <t>Almonte</t>
  </si>
  <si>
    <t>Mcintosh</t>
  </si>
  <si>
    <t>Quijije</t>
  </si>
  <si>
    <t>Ustinov</t>
  </si>
  <si>
    <t>Isanoa</t>
  </si>
  <si>
    <t>Cepeda De Leon</t>
  </si>
  <si>
    <t>Mashihi Mutondo Ngoma</t>
  </si>
  <si>
    <t>Pastor Mejia</t>
  </si>
  <si>
    <t>Small</t>
  </si>
  <si>
    <t>Acosta</t>
  </si>
  <si>
    <t>Jarjou</t>
  </si>
  <si>
    <t>Jaquez de Peralta</t>
  </si>
  <si>
    <t>Milon</t>
  </si>
  <si>
    <t>Pena Hernandez</t>
  </si>
  <si>
    <t>Montero</t>
  </si>
  <si>
    <t>Luna Burgos</t>
  </si>
  <si>
    <t>Hidalgo</t>
  </si>
  <si>
    <t>Wefum</t>
  </si>
  <si>
    <t>Bermejo</t>
  </si>
  <si>
    <t>Lalmahamad</t>
  </si>
  <si>
    <t>Grullon</t>
  </si>
  <si>
    <t>Mishurov</t>
  </si>
  <si>
    <t>Sall</t>
  </si>
  <si>
    <t>Mohan</t>
  </si>
  <si>
    <t>Avalos Alfallo</t>
  </si>
  <si>
    <t>Azeeze</t>
  </si>
  <si>
    <t>Chand</t>
  </si>
  <si>
    <t>Hylton</t>
  </si>
  <si>
    <t>Dia</t>
  </si>
  <si>
    <t>Yetman</t>
  </si>
  <si>
    <t>Laguna</t>
  </si>
  <si>
    <t>Garcia Campos</t>
  </si>
  <si>
    <t>Zapata</t>
  </si>
  <si>
    <t>Lugo</t>
  </si>
  <si>
    <t>Shamuratova</t>
  </si>
  <si>
    <t>Riggon</t>
  </si>
  <si>
    <t>Almanzar</t>
  </si>
  <si>
    <t>Eustate de Suarez</t>
  </si>
  <si>
    <t>Shaybout</t>
  </si>
  <si>
    <t>Contreras</t>
  </si>
  <si>
    <t>Marshall</t>
  </si>
  <si>
    <t>Centeno</t>
  </si>
  <si>
    <t>Myrie</t>
  </si>
  <si>
    <t>Bartley</t>
  </si>
  <si>
    <t>Hernandez Romero</t>
  </si>
  <si>
    <t>Solis Romero</t>
  </si>
  <si>
    <t>Payton</t>
  </si>
  <si>
    <t>Loza</t>
  </si>
  <si>
    <t>Granados</t>
  </si>
  <si>
    <t>Jack</t>
  </si>
  <si>
    <t>Ramos Rosales</t>
  </si>
  <si>
    <t>Annayev</t>
  </si>
  <si>
    <t>Hanson</t>
  </si>
  <si>
    <t>Foster</t>
  </si>
  <si>
    <t>Hinds</t>
  </si>
  <si>
    <t>Berrios</t>
  </si>
  <si>
    <t>Camacho</t>
  </si>
  <si>
    <t>Santos-Garcia</t>
  </si>
  <si>
    <t>Carabajo Hermida</t>
  </si>
  <si>
    <t>Rivera Hernandez</t>
  </si>
  <si>
    <t>Ceballos- Gonzalez</t>
  </si>
  <si>
    <t>Rodriguez Cepeda</t>
  </si>
  <si>
    <t>Ramos Felipe</t>
  </si>
  <si>
    <t>Dauletzharova</t>
  </si>
  <si>
    <t>McTaggard</t>
  </si>
  <si>
    <t>Freeman</t>
  </si>
  <si>
    <t>Patk</t>
  </si>
  <si>
    <t>Abreu</t>
  </si>
  <si>
    <t>Valera</t>
  </si>
  <si>
    <t>Camacho Silven</t>
  </si>
  <si>
    <t>Correa</t>
  </si>
  <si>
    <t>Bissoon</t>
  </si>
  <si>
    <t>Diaz - De Collado</t>
  </si>
  <si>
    <t>Aguilar Martinez</t>
  </si>
  <si>
    <t>Bravo Lopez</t>
  </si>
  <si>
    <t>Toribio Castillo</t>
  </si>
  <si>
    <t>Guimaraes Da Silva</t>
  </si>
  <si>
    <t>Meredith</t>
  </si>
  <si>
    <t>Rhoden</t>
  </si>
  <si>
    <t>Garvey</t>
  </si>
  <si>
    <t>Rosas Mendez</t>
  </si>
  <si>
    <t>Khoury</t>
  </si>
  <si>
    <t>Reyez Diaz</t>
  </si>
  <si>
    <t>Metilelu</t>
  </si>
  <si>
    <t>Sancho Zumba</t>
  </si>
  <si>
    <t>Napoleon Louis</t>
  </si>
  <si>
    <t>Marcano</t>
  </si>
  <si>
    <t>Hernandez Ferrer de Cuello</t>
  </si>
  <si>
    <t>Waheed</t>
  </si>
  <si>
    <t>Loka</t>
  </si>
  <si>
    <t>Toribio</t>
  </si>
  <si>
    <t>Santos de Hernandez</t>
  </si>
  <si>
    <t>Shields</t>
  </si>
  <si>
    <t>Ruiz Escobar</t>
  </si>
  <si>
    <t>Suero</t>
  </si>
  <si>
    <t>Alcantara</t>
  </si>
  <si>
    <t>Vargas Tolentino</t>
  </si>
  <si>
    <t>Reyes</t>
  </si>
  <si>
    <t>Shaikh</t>
  </si>
  <si>
    <t>McDowell</t>
  </si>
  <si>
    <t>Mamathojaev</t>
  </si>
  <si>
    <t>Pak</t>
  </si>
  <si>
    <t>Reyes Alvarado</t>
  </si>
  <si>
    <t>Gaynor</t>
  </si>
  <si>
    <t>Friday</t>
  </si>
  <si>
    <t>Jimenez Rodriguez</t>
  </si>
  <si>
    <t>Basurto</t>
  </si>
  <si>
    <t>Sanon</t>
  </si>
  <si>
    <t>Mpia</t>
  </si>
  <si>
    <t>Sandiford</t>
  </si>
  <si>
    <t>Romero Saldana</t>
  </si>
  <si>
    <t>Campbell</t>
  </si>
  <si>
    <t>Cole</t>
  </si>
  <si>
    <t>Sterling</t>
  </si>
  <si>
    <t>Akkuns</t>
  </si>
  <si>
    <t>Tardio</t>
  </si>
  <si>
    <t>Armstrong</t>
  </si>
  <si>
    <t>Diaz Montes</t>
  </si>
  <si>
    <t>Fuentez Solis</t>
  </si>
  <si>
    <t>Cardoza Nevarez</t>
  </si>
  <si>
    <t>Paredes</t>
  </si>
  <si>
    <t>Salvi</t>
  </si>
  <si>
    <t>Graham</t>
  </si>
  <si>
    <t>Canelas</t>
  </si>
  <si>
    <t>Julu</t>
  </si>
  <si>
    <t>Toure</t>
  </si>
  <si>
    <t>Dymov</t>
  </si>
  <si>
    <t>Taverez</t>
  </si>
  <si>
    <t>Hernandez Nunez</t>
  </si>
  <si>
    <t>Kone</t>
  </si>
  <si>
    <t>Alrubaii</t>
  </si>
  <si>
    <t>Tula</t>
  </si>
  <si>
    <t>Wahba</t>
  </si>
  <si>
    <t>Popov</t>
  </si>
  <si>
    <t>Zhagui Bravo</t>
  </si>
  <si>
    <t>Guillauville</t>
  </si>
  <si>
    <t>Ferrer</t>
  </si>
  <si>
    <t>Mitchell</t>
  </si>
  <si>
    <t>Frias</t>
  </si>
  <si>
    <t>Lew</t>
  </si>
  <si>
    <t>De Jesus Frias</t>
  </si>
  <si>
    <t>Iagudin</t>
  </si>
  <si>
    <t>Demedetskaya</t>
  </si>
  <si>
    <t>Demedetskiy</t>
  </si>
  <si>
    <t>Grichev</t>
  </si>
  <si>
    <t>Pryce</t>
  </si>
  <si>
    <t>Kerr-Deans</t>
  </si>
  <si>
    <t>Zadani</t>
  </si>
  <si>
    <t>Philip</t>
  </si>
  <si>
    <t>Altamirano Espana</t>
  </si>
  <si>
    <t>Gustavi</t>
  </si>
  <si>
    <t>Martinez de lo Santos</t>
  </si>
  <si>
    <t>Smith-Williams</t>
  </si>
  <si>
    <t>Martinez Moreno</t>
  </si>
  <si>
    <t>Sarabia</t>
  </si>
  <si>
    <t>Cabrera</t>
  </si>
  <si>
    <t>Garcia Santos</t>
  </si>
  <si>
    <t>Rodriguez de Gomez</t>
  </si>
  <si>
    <t>Muniz</t>
  </si>
  <si>
    <t>Lindsay</t>
  </si>
  <si>
    <t>Lorenzo</t>
  </si>
  <si>
    <t>Appalsammy</t>
  </si>
  <si>
    <t>Rosado Paulino</t>
  </si>
  <si>
    <t>Caceres Luna</t>
  </si>
  <si>
    <t>Raja</t>
  </si>
  <si>
    <t>Chile</t>
  </si>
  <si>
    <t>Greece</t>
  </si>
  <si>
    <t>Uruguay</t>
  </si>
  <si>
    <t>Saint Kitts and Nevis</t>
  </si>
  <si>
    <t>Lithuania</t>
  </si>
  <si>
    <t>Mali</t>
  </si>
  <si>
    <t>Afghanistan</t>
  </si>
  <si>
    <t>Niger</t>
  </si>
  <si>
    <t>St. Maartin</t>
  </si>
  <si>
    <t>Congo</t>
  </si>
  <si>
    <t>Serbia</t>
  </si>
  <si>
    <t>Equatorial Guinea</t>
  </si>
  <si>
    <t>Denmark</t>
  </si>
  <si>
    <t>03/10/2019</t>
  </si>
  <si>
    <t>02/02/2000</t>
  </si>
  <si>
    <t>10/25/1993</t>
  </si>
  <si>
    <t>11/12/1980</t>
  </si>
  <si>
    <t>12/29/1954</t>
  </si>
  <si>
    <t>02/17/1990</t>
  </si>
  <si>
    <t>03/07/1970</t>
  </si>
  <si>
    <t>03/20/1985</t>
  </si>
  <si>
    <t>08/08/1952</t>
  </si>
  <si>
    <t>02/19/1985</t>
  </si>
  <si>
    <t>03/13/1991</t>
  </si>
  <si>
    <t>02/11/1970</t>
  </si>
  <si>
    <t>03/23/1983</t>
  </si>
  <si>
    <t>06/08/1974</t>
  </si>
  <si>
    <t>06/09/1989</t>
  </si>
  <si>
    <t>02/19/1994</t>
  </si>
  <si>
    <t>01/12/1972</t>
  </si>
  <si>
    <t>01/01/1992</t>
  </si>
  <si>
    <t>11/27/1971</t>
  </si>
  <si>
    <t>03/20/1992</t>
  </si>
  <si>
    <t>04/20/1965</t>
  </si>
  <si>
    <t>10/12/1981</t>
  </si>
  <si>
    <t>11/03/1965</t>
  </si>
  <si>
    <t>05/25/1976</t>
  </si>
  <si>
    <t>08/08/2001</t>
  </si>
  <si>
    <t>11/21/1987</t>
  </si>
  <si>
    <t>12/08/1980</t>
  </si>
  <si>
    <t>07/29/1960</t>
  </si>
  <si>
    <t>01/02/1935</t>
  </si>
  <si>
    <t>09/05/1936</t>
  </si>
  <si>
    <t>06/06/1980</t>
  </si>
  <si>
    <t>06/28/1989</t>
  </si>
  <si>
    <t>11/15/1966</t>
  </si>
  <si>
    <t>07/24/1992</t>
  </si>
  <si>
    <t>11/06/1962</t>
  </si>
  <si>
    <t>01/09/1985</t>
  </si>
  <si>
    <t>06/02/1981</t>
  </si>
  <si>
    <t>05/03/1987</t>
  </si>
  <si>
    <t>10/07/1967</t>
  </si>
  <si>
    <t>11/25/1965</t>
  </si>
  <si>
    <t>11/17/1980</t>
  </si>
  <si>
    <t>07/04/1978</t>
  </si>
  <si>
    <t>12/29/1948</t>
  </si>
  <si>
    <t>02/06/1972</t>
  </si>
  <si>
    <t>08/27/1940</t>
  </si>
  <si>
    <t>07/25/1968</t>
  </si>
  <si>
    <t>07/27/1995</t>
  </si>
  <si>
    <t>03/28/1997</t>
  </si>
  <si>
    <t>05/31/1995</t>
  </si>
  <si>
    <t>03/06/1986</t>
  </si>
  <si>
    <t>07/18/1977</t>
  </si>
  <si>
    <t>03/29/1985</t>
  </si>
  <si>
    <t>02/22/1974</t>
  </si>
  <si>
    <t>05/07/1989</t>
  </si>
  <si>
    <t>04/19/1992</t>
  </si>
  <si>
    <t>06/23/1977</t>
  </si>
  <si>
    <t>12/29/1985</t>
  </si>
  <si>
    <t>05/04/1982</t>
  </si>
  <si>
    <t>09/01/1995</t>
  </si>
  <si>
    <t>01/27/1996</t>
  </si>
  <si>
    <t>01/07/1945</t>
  </si>
  <si>
    <t>09/02/1984</t>
  </si>
  <si>
    <t>04/23/1950</t>
  </si>
  <si>
    <t>05/28/1976</t>
  </si>
  <si>
    <t>05/21/1957</t>
  </si>
  <si>
    <t>03/17/1999</t>
  </si>
  <si>
    <t>08/02/1993</t>
  </si>
  <si>
    <t>08/18/1995</t>
  </si>
  <si>
    <t>07/20/1965</t>
  </si>
  <si>
    <t>01/06/1961</t>
  </si>
  <si>
    <t>06/07/1955</t>
  </si>
  <si>
    <t>09/08/1958</t>
  </si>
  <si>
    <t>09/25/1990</t>
  </si>
  <si>
    <t>10/16/1994</t>
  </si>
  <si>
    <t>03/25/1988</t>
  </si>
  <si>
    <t>01/13/1985</t>
  </si>
  <si>
    <t>07/03/1969</t>
  </si>
  <si>
    <t>10/08/1990</t>
  </si>
  <si>
    <t>01/01/1981</t>
  </si>
  <si>
    <t>11/15/1986</t>
  </si>
  <si>
    <t>04/22/1981</t>
  </si>
  <si>
    <t>03/04/1957</t>
  </si>
  <si>
    <t>04/09/1980</t>
  </si>
  <si>
    <t>07/28/2002</t>
  </si>
  <si>
    <t>01/18/2000</t>
  </si>
  <si>
    <t>11/11/2003</t>
  </si>
  <si>
    <t>05/06/2006</t>
  </si>
  <si>
    <t>10/09/2002</t>
  </si>
  <si>
    <t>01/30/1997</t>
  </si>
  <si>
    <t>01/20/2003</t>
  </si>
  <si>
    <t>09/18/1999</t>
  </si>
  <si>
    <t>06/30/2014</t>
  </si>
  <si>
    <t>05/12/1999</t>
  </si>
  <si>
    <t>08/22/2009</t>
  </si>
  <si>
    <t>12/14/2012</t>
  </si>
  <si>
    <t>03/06/2003</t>
  </si>
  <si>
    <t>11/20/2004</t>
  </si>
  <si>
    <t>04/15/2004</t>
  </si>
  <si>
    <t>01/26/2002</t>
  </si>
  <si>
    <t>10/25/2000</t>
  </si>
  <si>
    <t>02/07/2003</t>
  </si>
  <si>
    <t>07/28/1999</t>
  </si>
  <si>
    <t>06/17/1968</t>
  </si>
  <si>
    <t>01/18/2014</t>
  </si>
  <si>
    <t>01/20/2011</t>
  </si>
  <si>
    <t>09/28/1970</t>
  </si>
  <si>
    <t>10/18/1990</t>
  </si>
  <si>
    <t>05/30/1935</t>
  </si>
  <si>
    <t>06/27/2007</t>
  </si>
  <si>
    <t>08/02/1962</t>
  </si>
  <si>
    <t>07/22/1992</t>
  </si>
  <si>
    <t>09/07/2013</t>
  </si>
  <si>
    <t>03/23/2016</t>
  </si>
  <si>
    <t>07/27/1971</t>
  </si>
  <si>
    <t>06/12/1973</t>
  </si>
  <si>
    <t>11/02/1991</t>
  </si>
  <si>
    <t>05/20/1942</t>
  </si>
  <si>
    <t>05/17/2001</t>
  </si>
  <si>
    <t>01/13/2013</t>
  </si>
  <si>
    <t>01/15/1969</t>
  </si>
  <si>
    <t>08/09/1961</t>
  </si>
  <si>
    <t>07/14/1963</t>
  </si>
  <si>
    <t>04/21/1983</t>
  </si>
  <si>
    <t>04/25/1980</t>
  </si>
  <si>
    <t>12/28/1963</t>
  </si>
  <si>
    <t>04/16/1963</t>
  </si>
  <si>
    <t>06/12/1986</t>
  </si>
  <si>
    <t>06/30/1989</t>
  </si>
  <si>
    <t>06/20/1951</t>
  </si>
  <si>
    <t>01/25/1964</t>
  </si>
  <si>
    <t>05/04/2001</t>
  </si>
  <si>
    <t>04/15/1983</t>
  </si>
  <si>
    <t>11/02/1986</t>
  </si>
  <si>
    <t>04/08/1986</t>
  </si>
  <si>
    <t>09/11/1964</t>
  </si>
  <si>
    <t>10/21/1993</t>
  </si>
  <si>
    <t>04/29/1955</t>
  </si>
  <si>
    <t>06/21/1974</t>
  </si>
  <si>
    <t>02/04/1961</t>
  </si>
  <si>
    <t>12/17/1993</t>
  </si>
  <si>
    <t>08/10/2006</t>
  </si>
  <si>
    <t>02/07/1985</t>
  </si>
  <si>
    <t>03/01/1963</t>
  </si>
  <si>
    <t>09/11/1946</t>
  </si>
  <si>
    <t>11/04/1985</t>
  </si>
  <si>
    <t>01/28/2004</t>
  </si>
  <si>
    <t>08/11/2016</t>
  </si>
  <si>
    <t>06/10/1980</t>
  </si>
  <si>
    <t>07/16/1994</t>
  </si>
  <si>
    <t>06/13/1963</t>
  </si>
  <si>
    <t>09/10/1990</t>
  </si>
  <si>
    <t>05/06/1950</t>
  </si>
  <si>
    <t>07/08/1967</t>
  </si>
  <si>
    <t>01/07/1979</t>
  </si>
  <si>
    <t>11/17/2002</t>
  </si>
  <si>
    <t>06/11/2004</t>
  </si>
  <si>
    <t>07/18/1972</t>
  </si>
  <si>
    <t>10/07/1978</t>
  </si>
  <si>
    <t>10/31/1998</t>
  </si>
  <si>
    <t>11/06/2004</t>
  </si>
  <si>
    <t>09/01/2011</t>
  </si>
  <si>
    <t>05/03/1968</t>
  </si>
  <si>
    <t>12/15/1992</t>
  </si>
  <si>
    <t>10/18/2010</t>
  </si>
  <si>
    <t>07/31/1985</t>
  </si>
  <si>
    <t>05/03/1999</t>
  </si>
  <si>
    <t>03/04/1983</t>
  </si>
  <si>
    <t>06/23/2014</t>
  </si>
  <si>
    <t>12/13/1999</t>
  </si>
  <si>
    <t>05/13/2016</t>
  </si>
  <si>
    <t>11/05/1976</t>
  </si>
  <si>
    <t>02/05/1988</t>
  </si>
  <si>
    <t>08/17/1969</t>
  </si>
  <si>
    <t>07/10/1973</t>
  </si>
  <si>
    <t>09/28/2017</t>
  </si>
  <si>
    <t>02/07/1988</t>
  </si>
  <si>
    <t>04/16/1970</t>
  </si>
  <si>
    <t>11/24/1970</t>
  </si>
  <si>
    <t>11/15/1983</t>
  </si>
  <si>
    <t>05/23/1999</t>
  </si>
  <si>
    <t>05/27/2002</t>
  </si>
  <si>
    <t>01/03/1998</t>
  </si>
  <si>
    <t>07/15/1992</t>
  </si>
  <si>
    <t>02/20/1989</t>
  </si>
  <si>
    <t>02/14/1986</t>
  </si>
  <si>
    <t>10/29/1962</t>
  </si>
  <si>
    <t>04/26/2012</t>
  </si>
  <si>
    <t>05/15/1983</t>
  </si>
  <si>
    <t>11/22/2018</t>
  </si>
  <si>
    <t>01/01/1998</t>
  </si>
  <si>
    <t>04/11/1983</t>
  </si>
  <si>
    <t>07/11/1986</t>
  </si>
  <si>
    <t>09/26/1961</t>
  </si>
  <si>
    <t>02/09/1989</t>
  </si>
  <si>
    <t>06/08/1958</t>
  </si>
  <si>
    <t>02/28/1982</t>
  </si>
  <si>
    <t>12/10/1961</t>
  </si>
  <si>
    <t>10/16/1964</t>
  </si>
  <si>
    <t>01/30/1952</t>
  </si>
  <si>
    <t>07/01/1967</t>
  </si>
  <si>
    <t>03/18/1986</t>
  </si>
  <si>
    <t>10/10/1996</t>
  </si>
  <si>
    <t>07/14/1981</t>
  </si>
  <si>
    <t>02/07/1967</t>
  </si>
  <si>
    <t>03/30/1982</t>
  </si>
  <si>
    <t>05/25/2013</t>
  </si>
  <si>
    <t>01/01/1984</t>
  </si>
  <si>
    <t>09/27/1983</t>
  </si>
  <si>
    <t>08/05/1980</t>
  </si>
  <si>
    <t>12/15/1984</t>
  </si>
  <si>
    <t>01/30/1982</t>
  </si>
  <si>
    <t>11/17/1989</t>
  </si>
  <si>
    <t>01/26/1987</t>
  </si>
  <si>
    <t>07/11/1985</t>
  </si>
  <si>
    <t>08/16/1954</t>
  </si>
  <si>
    <t>12/20/1977</t>
  </si>
  <si>
    <t>07/20/1962</t>
  </si>
  <si>
    <t>09/23/1969</t>
  </si>
  <si>
    <t>12/21/1959</t>
  </si>
  <si>
    <t>03/31/1979</t>
  </si>
  <si>
    <t>05/20/1990</t>
  </si>
  <si>
    <t>08/01/1950</t>
  </si>
  <si>
    <t>01/08/1972</t>
  </si>
  <si>
    <t>04/05/1989</t>
  </si>
  <si>
    <t>08/04/1989</t>
  </si>
  <si>
    <t>10/25/1954</t>
  </si>
  <si>
    <t>08/12/1993</t>
  </si>
  <si>
    <t>07/16/1992</t>
  </si>
  <si>
    <t>07/27/1967</t>
  </si>
  <si>
    <t>09/12/1982</t>
  </si>
  <si>
    <t>08/10/2004</t>
  </si>
  <si>
    <t>07/13/1983</t>
  </si>
  <si>
    <t>07/22/1982</t>
  </si>
  <si>
    <t>05/27/1982</t>
  </si>
  <si>
    <t>08/31/1988</t>
  </si>
  <si>
    <t>10/03/1968</t>
  </si>
  <si>
    <t>10/20/1983</t>
  </si>
  <si>
    <t>12/21/1982</t>
  </si>
  <si>
    <t>02/03/1991</t>
  </si>
  <si>
    <t>11/24/1953</t>
  </si>
  <si>
    <t>06/24/1944</t>
  </si>
  <si>
    <t>01/04/1976</t>
  </si>
  <si>
    <t>09/08/1965</t>
  </si>
  <si>
    <t>05/09/1955</t>
  </si>
  <si>
    <t>07/15/1965</t>
  </si>
  <si>
    <t>10/16/1974</t>
  </si>
  <si>
    <t>07/29/1977</t>
  </si>
  <si>
    <t>06/25/1979</t>
  </si>
  <si>
    <t>02/13/1985</t>
  </si>
  <si>
    <t>06/16/1995</t>
  </si>
  <si>
    <t>12/17/1983</t>
  </si>
  <si>
    <t>03/10/1990</t>
  </si>
  <si>
    <t>01/03/1969</t>
  </si>
  <si>
    <t>03/01/1989</t>
  </si>
  <si>
    <t>05/09/1980</t>
  </si>
  <si>
    <t>06/16/1988</t>
  </si>
  <si>
    <t>01/08/1979</t>
  </si>
  <si>
    <t>08/07/2014</t>
  </si>
  <si>
    <t>04/08/1983</t>
  </si>
  <si>
    <t>07/08/1975</t>
  </si>
  <si>
    <t>01/19/1939</t>
  </si>
  <si>
    <t>06/25/1975</t>
  </si>
  <si>
    <t>10/04/1990</t>
  </si>
  <si>
    <t>03/08/1975</t>
  </si>
  <si>
    <t>01/07/1992</t>
  </si>
  <si>
    <t>07/15/2010</t>
  </si>
  <si>
    <t>02/21/1964</t>
  </si>
  <si>
    <t>12/14/1986</t>
  </si>
  <si>
    <t>12/16/1983</t>
  </si>
  <si>
    <t>12/25/1985</t>
  </si>
  <si>
    <t>07/16/1991</t>
  </si>
  <si>
    <t>05/14/1989</t>
  </si>
  <si>
    <t>10/04/1988</t>
  </si>
  <si>
    <t>02/10/1956</t>
  </si>
  <si>
    <t>11/09/1989</t>
  </si>
  <si>
    <t>09/13/1977</t>
  </si>
  <si>
    <t>06/26/1974</t>
  </si>
  <si>
    <t>08/11/1983</t>
  </si>
  <si>
    <t>12/01/1981</t>
  </si>
  <si>
    <t>04/07/1985</t>
  </si>
  <si>
    <t>07/04/1970</t>
  </si>
  <si>
    <t>05/13/1984</t>
  </si>
  <si>
    <t>09/25/1979</t>
  </si>
  <si>
    <t>12/08/1969</t>
  </si>
  <si>
    <t>06/29/1988</t>
  </si>
  <si>
    <t>04/15/1979</t>
  </si>
  <si>
    <t>06/21/1937</t>
  </si>
  <si>
    <t>03/05/1986</t>
  </si>
  <si>
    <t>06/17/1961</t>
  </si>
  <si>
    <t>01/08/1975</t>
  </si>
  <si>
    <t>01/22/2000</t>
  </si>
  <si>
    <t>08/12/1989</t>
  </si>
  <si>
    <t>08/26/2000</t>
  </si>
  <si>
    <t>02/22/1992</t>
  </si>
  <si>
    <t>10/26/1992</t>
  </si>
  <si>
    <t>09/11/2000</t>
  </si>
  <si>
    <t>09/16/1979</t>
  </si>
  <si>
    <t>05/26/1949</t>
  </si>
  <si>
    <t>01/10/1989</t>
  </si>
  <si>
    <t>06/10/1973</t>
  </si>
  <si>
    <t>08/16/1967</t>
  </si>
  <si>
    <t>07/27/1996</t>
  </si>
  <si>
    <t>01/18/1977</t>
  </si>
  <si>
    <t>04/22/1995</t>
  </si>
  <si>
    <t>04/25/1958</t>
  </si>
  <si>
    <t>06/25/1992</t>
  </si>
  <si>
    <t>10/03/2012</t>
  </si>
  <si>
    <t>07/10/1988</t>
  </si>
  <si>
    <t>03/09/1975</t>
  </si>
  <si>
    <t>06/07/1998</t>
  </si>
  <si>
    <t>06/22/1968</t>
  </si>
  <si>
    <t>11/12/1977</t>
  </si>
  <si>
    <t>07/12/1986</t>
  </si>
  <si>
    <t>10/27/1962</t>
  </si>
  <si>
    <t>11/05/1988</t>
  </si>
  <si>
    <t>01/22/1985</t>
  </si>
  <si>
    <t>01/29/1962</t>
  </si>
  <si>
    <t>03/10/1996</t>
  </si>
  <si>
    <t>01/02/1980</t>
  </si>
  <si>
    <t>01/20/1966</t>
  </si>
  <si>
    <t>03/23/1963</t>
  </si>
  <si>
    <t>08/31/1971</t>
  </si>
  <si>
    <t>08/25/1987</t>
  </si>
  <si>
    <t>02/27/1984</t>
  </si>
  <si>
    <t>03/02/1958</t>
  </si>
  <si>
    <t>04/21/1967</t>
  </si>
  <si>
    <t>10/26/1955</t>
  </si>
  <si>
    <t>06/19/1965</t>
  </si>
  <si>
    <t>05/17/1998</t>
  </si>
  <si>
    <t>04/09/1994</t>
  </si>
  <si>
    <t>05/24/1980</t>
  </si>
  <si>
    <t>06/26/1967</t>
  </si>
  <si>
    <t>02/23/1990</t>
  </si>
  <si>
    <t>04/01/1995</t>
  </si>
  <si>
    <t>03/24/1977</t>
  </si>
  <si>
    <t>06/02/1963</t>
  </si>
  <si>
    <t>03/24/1985</t>
  </si>
  <si>
    <t>07/07/1985</t>
  </si>
  <si>
    <t>12/28/1979</t>
  </si>
  <si>
    <t>06/16/1982</t>
  </si>
  <si>
    <t>09/23/1981</t>
  </si>
  <si>
    <t>10/02/1929</t>
  </si>
  <si>
    <t>07/28/2006</t>
  </si>
  <si>
    <t>06/10/1941</t>
  </si>
  <si>
    <t>09/10/1994</t>
  </si>
  <si>
    <t>10/23/1990</t>
  </si>
  <si>
    <t>02/05/1973</t>
  </si>
  <si>
    <t>05/24/1981</t>
  </si>
  <si>
    <t>05/29/1961</t>
  </si>
  <si>
    <t>11/06/1982</t>
  </si>
  <si>
    <t>01/10/1996</t>
  </si>
  <si>
    <t>09/19/2002</t>
  </si>
  <si>
    <t>07/28/2000</t>
  </si>
  <si>
    <t>04/24/1984</t>
  </si>
  <si>
    <t>12/07/1964</t>
  </si>
  <si>
    <t>06/04/1981</t>
  </si>
  <si>
    <t>05/01/1982</t>
  </si>
  <si>
    <t>05/19/1961</t>
  </si>
  <si>
    <t>02/10/1931</t>
  </si>
  <si>
    <t>06/26/1958</t>
  </si>
  <si>
    <t>02/16/1959</t>
  </si>
  <si>
    <t>04/07/1954</t>
  </si>
  <si>
    <t>08/22/1968</t>
  </si>
  <si>
    <t>10/02/1951</t>
  </si>
  <si>
    <t>04/23/1974</t>
  </si>
  <si>
    <t>07/05/1959</t>
  </si>
  <si>
    <t>02/10/1988</t>
  </si>
  <si>
    <t>06/17/1931</t>
  </si>
  <si>
    <t>11/15/1981</t>
  </si>
  <si>
    <t>12/04/1983</t>
  </si>
  <si>
    <t>11/10/1970</t>
  </si>
  <si>
    <t>01/27/1979</t>
  </si>
  <si>
    <t>08/18/1980</t>
  </si>
  <si>
    <t>11/27/1978</t>
  </si>
  <si>
    <t>12/10/1957</t>
  </si>
  <si>
    <t>10/05/1979</t>
  </si>
  <si>
    <t>09/24/1993</t>
  </si>
  <si>
    <t>06/19/1979</t>
  </si>
  <si>
    <t>04/27/1997</t>
  </si>
  <si>
    <t>02/13/2001</t>
  </si>
  <si>
    <t>07/10/1966</t>
  </si>
  <si>
    <t>01/13/1993</t>
  </si>
  <si>
    <t>08/28/1971</t>
  </si>
  <si>
    <t>10/05/2003</t>
  </si>
  <si>
    <t>08/17/2005</t>
  </si>
  <si>
    <t>01/18/2008</t>
  </si>
  <si>
    <t>04/09/1981</t>
  </si>
  <si>
    <t>09/12/1998</t>
  </si>
  <si>
    <t>01/16/1995</t>
  </si>
  <si>
    <t>12/24/1955</t>
  </si>
  <si>
    <t>11/10/1980</t>
  </si>
  <si>
    <t>03/01/1995</t>
  </si>
  <si>
    <t>06/07/1992</t>
  </si>
  <si>
    <t>08/24/1984</t>
  </si>
  <si>
    <t>06/11/1985</t>
  </si>
  <si>
    <t>06/01/1962</t>
  </si>
  <si>
    <t>10/31/1978</t>
  </si>
  <si>
    <t>05/22/1964</t>
  </si>
  <si>
    <t>04/14/1984</t>
  </si>
  <si>
    <t>10/16/1962</t>
  </si>
  <si>
    <t>05/02/1974</t>
  </si>
  <si>
    <t>09/07/1992</t>
  </si>
  <si>
    <t>01/05/1971</t>
  </si>
  <si>
    <t>03/01/1947</t>
  </si>
  <si>
    <t>11/24/1960</t>
  </si>
  <si>
    <t>05/11/1971</t>
  </si>
  <si>
    <t>03/18/1975</t>
  </si>
  <si>
    <t>02/01/2010</t>
  </si>
  <si>
    <t>12/21/1980</t>
  </si>
  <si>
    <t>06/14/1952</t>
  </si>
  <si>
    <t>09/19/1966</t>
  </si>
  <si>
    <t>01/16/1959</t>
  </si>
  <si>
    <t>04/11/1992</t>
  </si>
  <si>
    <t>05/02/1989</t>
  </si>
  <si>
    <t>06/16/1963</t>
  </si>
  <si>
    <t>03/01/1986</t>
  </si>
  <si>
    <t>08/14/1965</t>
  </si>
  <si>
    <t>11/21/1970</t>
  </si>
  <si>
    <t>01/04/1966</t>
  </si>
  <si>
    <t>08/08/1968</t>
  </si>
  <si>
    <t>09/28/1993</t>
  </si>
  <si>
    <t>09/19/1994</t>
  </si>
  <si>
    <t>10/10/1955</t>
  </si>
  <si>
    <t>08/10/1995</t>
  </si>
  <si>
    <t>03/06/1955</t>
  </si>
  <si>
    <t>05/10/1988</t>
  </si>
  <si>
    <t>12/31/1968</t>
  </si>
  <si>
    <t>01/04/1998</t>
  </si>
  <si>
    <t>02/21/1983</t>
  </si>
  <si>
    <t>12/15/1970</t>
  </si>
  <si>
    <t>12/20/1974</t>
  </si>
  <si>
    <t>10/10/1981</t>
  </si>
  <si>
    <t>11/26/1990</t>
  </si>
  <si>
    <t>11/13/1968</t>
  </si>
  <si>
    <t>03/06/1984</t>
  </si>
  <si>
    <t>06/22/1962</t>
  </si>
  <si>
    <t>02/22/1991</t>
  </si>
  <si>
    <t>05/26/1962</t>
  </si>
  <si>
    <t>12/10/1985</t>
  </si>
  <si>
    <t>07/01/1972</t>
  </si>
  <si>
    <t>11/26/1955</t>
  </si>
  <si>
    <t>03/20/1957</t>
  </si>
  <si>
    <t>09/15/1991</t>
  </si>
  <si>
    <t>01/14/1987</t>
  </si>
  <si>
    <t>09/12/1971</t>
  </si>
  <si>
    <t>03/06/1978</t>
  </si>
  <si>
    <t>12/03/1989</t>
  </si>
  <si>
    <t>07/10/1970</t>
  </si>
  <si>
    <t>12/30/1985</t>
  </si>
  <si>
    <t>01/28/1940</t>
  </si>
  <si>
    <t>10/03/1988</t>
  </si>
  <si>
    <t>10/12/1972</t>
  </si>
  <si>
    <t>09/18/1981</t>
  </si>
  <si>
    <t>07/15/1971</t>
  </si>
  <si>
    <t>08/14/1984</t>
  </si>
  <si>
    <t>01/02/1994</t>
  </si>
  <si>
    <t>11/25/1968</t>
  </si>
  <si>
    <t>09/29/1995</t>
  </si>
  <si>
    <t>08/25/1964</t>
  </si>
  <si>
    <t>06/25/1998</t>
  </si>
  <si>
    <t>03/06/1977</t>
  </si>
  <si>
    <t>03/22/1983</t>
  </si>
  <si>
    <t>04/04/1992</t>
  </si>
  <si>
    <t>08/01/1973</t>
  </si>
  <si>
    <t>03/27/1991</t>
  </si>
  <si>
    <t>04/05/1983</t>
  </si>
  <si>
    <t>02/08/1936</t>
  </si>
  <si>
    <t>08/07/1976</t>
  </si>
  <si>
    <t>05/31/1966</t>
  </si>
  <si>
    <t>07/22/1978</t>
  </si>
  <si>
    <t>01/29/1961</t>
  </si>
  <si>
    <t>12/06/1946</t>
  </si>
  <si>
    <t>03/24/1992</t>
  </si>
  <si>
    <t>05/27/1963</t>
  </si>
  <si>
    <t>02/20/1982</t>
  </si>
  <si>
    <t>05/14/1994</t>
  </si>
  <si>
    <t>01/29/1991</t>
  </si>
  <si>
    <t>02/06/1990</t>
  </si>
  <si>
    <t>05/08/1975</t>
  </si>
  <si>
    <t>02/03/1983</t>
  </si>
  <si>
    <t>02/19/1990</t>
  </si>
  <si>
    <t>02/21/1991</t>
  </si>
  <si>
    <t>03/08/1966</t>
  </si>
  <si>
    <t>10/19/1978</t>
  </si>
  <si>
    <t>08/10/1967</t>
  </si>
  <si>
    <t>05/20/1988</t>
  </si>
  <si>
    <t>11/30/1972</t>
  </si>
  <si>
    <t>06/07/1983</t>
  </si>
  <si>
    <t>03/09/1996</t>
  </si>
  <si>
    <t>05/05/1978</t>
  </si>
  <si>
    <t>12/26/1975</t>
  </si>
  <si>
    <t>11/16/1951</t>
  </si>
  <si>
    <t>03/02/1996</t>
  </si>
  <si>
    <t>08/26/1956</t>
  </si>
  <si>
    <t>02/03/1982</t>
  </si>
  <si>
    <t>09/30/1964</t>
  </si>
  <si>
    <t>02/17/1973</t>
  </si>
  <si>
    <t>08/16/1961</t>
  </si>
  <si>
    <t>06/05/1959</t>
  </si>
  <si>
    <t>11/20/1965</t>
  </si>
  <si>
    <t>01/20/1937</t>
  </si>
  <si>
    <t>04/24/1963</t>
  </si>
  <si>
    <t>10/27/1966</t>
  </si>
  <si>
    <t>12/08/1964</t>
  </si>
  <si>
    <t>01/07/1991</t>
  </si>
  <si>
    <t>08/13/1963</t>
  </si>
  <si>
    <t>$21,900.00</t>
  </si>
  <si>
    <t>$14,040.00</t>
  </si>
  <si>
    <t>$14,976.00</t>
  </si>
  <si>
    <t>$1,548.00</t>
  </si>
  <si>
    <t>$4,160.00</t>
  </si>
  <si>
    <t>$5,000.00</t>
  </si>
  <si>
    <t>$9,360.00</t>
  </si>
  <si>
    <t>$20,580.00</t>
  </si>
  <si>
    <t>$29,120.00</t>
  </si>
  <si>
    <t>$4,500.00</t>
  </si>
  <si>
    <t>$20,300.00</t>
  </si>
  <si>
    <t>$29,740.00</t>
  </si>
  <si>
    <t>$2,040.00</t>
  </si>
  <si>
    <t>$12,948.00</t>
  </si>
  <si>
    <t>$10,848.00</t>
  </si>
  <si>
    <t>$9,300.00</t>
  </si>
  <si>
    <t>$28,000.00</t>
  </si>
  <si>
    <t>$13,440.00</t>
  </si>
  <si>
    <t>$45,200.00</t>
  </si>
  <si>
    <t>$25,200.00</t>
  </si>
  <si>
    <t>$11,000.00</t>
  </si>
  <si>
    <t>$23,120.00</t>
  </si>
  <si>
    <t>$7,180.00</t>
  </si>
  <si>
    <t>$260.00</t>
  </si>
  <si>
    <t>$19,000.00</t>
  </si>
  <si>
    <t>$33,420.00</t>
  </si>
  <si>
    <t>$8,820.00</t>
  </si>
  <si>
    <t>$13,162.00</t>
  </si>
  <si>
    <t>$11,068.80</t>
  </si>
  <si>
    <t>$39,600.00</t>
  </si>
  <si>
    <t>$10,284.00</t>
  </si>
  <si>
    <t>$5,350.00</t>
  </si>
  <si>
    <t>$11,700.00</t>
  </si>
  <si>
    <t>$35,256.00</t>
  </si>
  <si>
    <t>$18,200.04</t>
  </si>
  <si>
    <t>$39,760.00</t>
  </si>
  <si>
    <t>$4,160.04</t>
  </si>
  <si>
    <t>$48,000.00</t>
  </si>
  <si>
    <t>$35,996.04</t>
  </si>
  <si>
    <t>$44,200.08</t>
  </si>
  <si>
    <t>$11,612.90</t>
  </si>
  <si>
    <t>$43,226.00</t>
  </si>
  <si>
    <t>$31,928.00</t>
  </si>
  <si>
    <t>$44,076.00</t>
  </si>
  <si>
    <t>$31,500.00</t>
  </si>
  <si>
    <t>$8,040.00</t>
  </si>
  <si>
    <t>$8,640.00</t>
  </si>
  <si>
    <t>$18,492.00</t>
  </si>
  <si>
    <t>$30,393.82</t>
  </si>
  <si>
    <t>$20,644.00</t>
  </si>
  <si>
    <t>$15,756.00</t>
  </si>
  <si>
    <t>$26,200.00</t>
  </si>
  <si>
    <t>$27,828.00</t>
  </si>
  <si>
    <t>$23,060.00</t>
  </si>
  <si>
    <t>$1,680.00</t>
  </si>
  <si>
    <t>$20,712.00</t>
  </si>
  <si>
    <t>$41,134.40</t>
  </si>
  <si>
    <t>$4,896.00</t>
  </si>
  <si>
    <t>$17,400.00</t>
  </si>
  <si>
    <t>$45,120.00</t>
  </si>
  <si>
    <t>$29,665.29</t>
  </si>
  <si>
    <t>$14,000.00</t>
  </si>
  <si>
    <t>$19,972.00</t>
  </si>
  <si>
    <t>$12,800.00</t>
  </si>
  <si>
    <t>$25,220.00</t>
  </si>
  <si>
    <t>$34,400.00</t>
  </si>
  <si>
    <t>$18,504.00</t>
  </si>
  <si>
    <t>$7,000.00</t>
  </si>
  <si>
    <t>$6,234.00</t>
  </si>
  <si>
    <t>$12,840.00</t>
  </si>
  <si>
    <t>$20,317.44</t>
  </si>
  <si>
    <t>$54,548.00</t>
  </si>
  <si>
    <t>$14,041.00</t>
  </si>
  <si>
    <t>$34,320.00</t>
  </si>
  <si>
    <t>$15,500.00</t>
  </si>
  <si>
    <t>$16,900.00</t>
  </si>
  <si>
    <t>$27,264.00</t>
  </si>
  <si>
    <t>$11,904.00</t>
  </si>
  <si>
    <t>$2,392.00</t>
  </si>
  <si>
    <t>$8,280.00</t>
  </si>
  <si>
    <t>$11,556.00</t>
  </si>
  <si>
    <t>$13,524.00</t>
  </si>
  <si>
    <t>$24,938.77</t>
  </si>
  <si>
    <t>$7,980.00</t>
  </si>
  <si>
    <t>$6,720.00</t>
  </si>
  <si>
    <t>$2,379.00</t>
  </si>
  <si>
    <t>$27,845.00</t>
  </si>
  <si>
    <t>$29,944.00</t>
  </si>
  <si>
    <t>$24,980.37</t>
  </si>
  <si>
    <t>$4,092.00</t>
  </si>
  <si>
    <t>$18,912.00</t>
  </si>
  <si>
    <t>$36,800.00</t>
  </si>
  <si>
    <t>$10,008.00</t>
  </si>
  <si>
    <t>$23,328.00</t>
  </si>
  <si>
    <t>$27,792.00</t>
  </si>
  <si>
    <t>$27,375.00</t>
  </si>
  <si>
    <t>$26,468.00</t>
  </si>
  <si>
    <t>$36,300.00</t>
  </si>
  <si>
    <t>$39,416.00</t>
  </si>
  <si>
    <t>$44,200.00</t>
  </si>
  <si>
    <t>$23,013.00</t>
  </si>
  <si>
    <t>$12,636.00</t>
  </si>
  <si>
    <t>$23,995.50</t>
  </si>
  <si>
    <t>$8,796.00</t>
  </si>
  <si>
    <t>$10,080.00</t>
  </si>
  <si>
    <t>$29,663.04</t>
  </si>
  <si>
    <t>$17,688.00</t>
  </si>
  <si>
    <t>$30,600.00</t>
  </si>
  <si>
    <t>$31,252.00</t>
  </si>
  <si>
    <t>$26,100.00</t>
  </si>
  <si>
    <t>$6,245.00</t>
  </si>
  <si>
    <t>$14,280.00</t>
  </si>
  <si>
    <t>$3,696.00</t>
  </si>
  <si>
    <t>$29,264.00</t>
  </si>
  <si>
    <t>$27,492.00</t>
  </si>
  <si>
    <t>$350.00</t>
  </si>
  <si>
    <t>$5,508.00</t>
  </si>
  <si>
    <t>$13,552.00</t>
  </si>
  <si>
    <t>$24,960.00</t>
  </si>
  <si>
    <t>$17,769.00</t>
  </si>
  <si>
    <t>$12,456.00</t>
  </si>
  <si>
    <t>$5,040.00</t>
  </si>
  <si>
    <t>$7,413.90</t>
  </si>
  <si>
    <t>$37,700.00</t>
  </si>
  <si>
    <t>$30,680.00</t>
  </si>
  <si>
    <t>$13,272.00</t>
  </si>
  <si>
    <t>$10,392.00</t>
  </si>
  <si>
    <t>$19,307.00</t>
  </si>
  <si>
    <t>$20,208.00</t>
  </si>
  <si>
    <t>$17,160.00</t>
  </si>
  <si>
    <t>$16,380.00</t>
  </si>
  <si>
    <t>$15,144.00</t>
  </si>
  <si>
    <t>$12,700.00</t>
  </si>
  <si>
    <t>$13,560.00</t>
  </si>
  <si>
    <t>$8,580.00</t>
  </si>
  <si>
    <t>$3,324.00</t>
  </si>
  <si>
    <t>$29,720.00</t>
  </si>
  <si>
    <t>$19,320.00</t>
  </si>
  <si>
    <t>$2,808.00</t>
  </si>
  <si>
    <t>$21,738.00</t>
  </si>
  <si>
    <t>$10,980.00</t>
  </si>
  <si>
    <t>$10,020.00</t>
  </si>
  <si>
    <t>$8,736.00</t>
  </si>
  <si>
    <t>$40,300.00</t>
  </si>
  <si>
    <t>$26,416.00</t>
  </si>
  <si>
    <t>$40,560.00</t>
  </si>
  <si>
    <t>$996.00</t>
  </si>
  <si>
    <t>$16,960.00</t>
  </si>
  <si>
    <t>$23,920.00</t>
  </si>
  <si>
    <t>$2,080.00</t>
  </si>
  <si>
    <t>$16,836.00</t>
  </si>
  <si>
    <t>$2,352.00</t>
  </si>
  <si>
    <t>$53,520.00</t>
  </si>
  <si>
    <t>$61,100.00</t>
  </si>
  <si>
    <t>$20,280.00</t>
  </si>
  <si>
    <t>$36,920.04</t>
  </si>
  <si>
    <t>$12,124.00</t>
  </si>
  <si>
    <t>$61,540.00</t>
  </si>
  <si>
    <t>$10,420.80</t>
  </si>
  <si>
    <t>$11,304.00</t>
  </si>
  <si>
    <t>$9,494.00</t>
  </si>
  <si>
    <t>$23,800.00</t>
  </si>
  <si>
    <t>$300.00</t>
  </si>
  <si>
    <t>$10,152.00</t>
  </si>
  <si>
    <t>$5,044.00</t>
  </si>
  <si>
    <t>$9,456.00</t>
  </si>
  <si>
    <t>$52,640.00</t>
  </si>
  <si>
    <t>$5,004.00</t>
  </si>
  <si>
    <t>$9,656.00</t>
  </si>
  <si>
    <t>$18,616.00</t>
  </si>
  <si>
    <t>$31,668.00</t>
  </si>
  <si>
    <t>$9,036.00</t>
  </si>
  <si>
    <t>$13,740.00</t>
  </si>
  <si>
    <t>$58,000.00</t>
  </si>
  <si>
    <t>$2,016.00</t>
  </si>
  <si>
    <t>08/29/2018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</si>
</sst>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L253"/>
  <sheetViews>
    <sheetView tabSelected="1" workbookViewId="0"/>
  </sheetViews>
  <sheetFormatPr defaultRowHeight="15"/>
  <cols>
    <col min="1" max="1" width="20.7109375" style="1" customWidth="1"/>
    <col min="2" max="702" width="25.7109375" customWidth="1"/>
  </cols>
  <sheetData>
    <row r="1" spans="1: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</row>
    <row r="2" spans="1:64">
      <c r="A2" s="1">
        <f>HYPERLINK("https://lsnyc.legalserver.org/matter/dynamic-profile/view/1913557","19-1913557")</f>
        <v>0</v>
      </c>
      <c r="B2" t="s">
        <v>64</v>
      </c>
      <c r="C2" t="s">
        <v>250</v>
      </c>
      <c r="D2" t="s">
        <v>251</v>
      </c>
      <c r="E2" t="s">
        <v>261</v>
      </c>
      <c r="F2" t="s">
        <v>273</v>
      </c>
      <c r="G2" t="s">
        <v>275</v>
      </c>
      <c r="H2">
        <v>354.82</v>
      </c>
      <c r="I2" t="s">
        <v>274</v>
      </c>
      <c r="K2" t="s">
        <v>278</v>
      </c>
      <c r="P2" t="s">
        <v>492</v>
      </c>
      <c r="Q2" t="s">
        <v>501</v>
      </c>
      <c r="S2" t="s">
        <v>503</v>
      </c>
      <c r="T2" t="s">
        <v>507</v>
      </c>
      <c r="U2" t="s">
        <v>511</v>
      </c>
      <c r="V2">
        <v>11757</v>
      </c>
      <c r="W2" t="s">
        <v>516</v>
      </c>
      <c r="X2" t="s">
        <v>547</v>
      </c>
      <c r="Y2" t="s">
        <v>275</v>
      </c>
      <c r="Z2" t="s">
        <v>559</v>
      </c>
      <c r="AA2" t="s">
        <v>728</v>
      </c>
      <c r="AB2" t="s">
        <v>902</v>
      </c>
      <c r="AC2" t="s">
        <v>904</v>
      </c>
      <c r="AF2" t="s">
        <v>923</v>
      </c>
      <c r="AI2">
        <v>6.4</v>
      </c>
      <c r="AK2" t="s">
        <v>932</v>
      </c>
      <c r="AL2" t="s">
        <v>274</v>
      </c>
      <c r="AT2">
        <v>0</v>
      </c>
      <c r="AU2">
        <v>2</v>
      </c>
      <c r="AV2" t="s">
        <v>273</v>
      </c>
      <c r="AY2" t="s">
        <v>273</v>
      </c>
      <c r="BB2">
        <v>0</v>
      </c>
      <c r="BC2">
        <v>0</v>
      </c>
      <c r="BD2">
        <v>0</v>
      </c>
      <c r="BE2">
        <v>0</v>
      </c>
      <c r="BF2" t="s">
        <v>1063</v>
      </c>
      <c r="BG2" t="s">
        <v>1064</v>
      </c>
      <c r="BH2">
        <v>38</v>
      </c>
      <c r="BI2" t="s">
        <v>1246</v>
      </c>
      <c r="BK2">
        <v>1914220</v>
      </c>
      <c r="BL2" t="s">
        <v>275</v>
      </c>
    </row>
    <row r="3" spans="1:64">
      <c r="A3" s="1">
        <f>HYPERLINK("https://lsnyc.legalserver.org/matter/dynamic-profile/view/1913871","19-1913871")</f>
        <v>0</v>
      </c>
      <c r="B3" t="s">
        <v>65</v>
      </c>
      <c r="C3" t="s">
        <v>250</v>
      </c>
      <c r="D3" t="s">
        <v>252</v>
      </c>
      <c r="E3" t="s">
        <v>261</v>
      </c>
      <c r="F3" t="s">
        <v>273</v>
      </c>
      <c r="G3" t="s">
        <v>275</v>
      </c>
      <c r="H3">
        <v>0</v>
      </c>
      <c r="I3" t="s">
        <v>274</v>
      </c>
      <c r="K3" t="s">
        <v>279</v>
      </c>
      <c r="P3" t="s">
        <v>492</v>
      </c>
      <c r="Q3" t="s">
        <v>501</v>
      </c>
      <c r="S3" t="s">
        <v>503</v>
      </c>
      <c r="T3" t="s">
        <v>508</v>
      </c>
      <c r="U3" t="s">
        <v>511</v>
      </c>
      <c r="V3">
        <v>11226</v>
      </c>
      <c r="W3" t="s">
        <v>517</v>
      </c>
      <c r="Y3" t="s">
        <v>275</v>
      </c>
      <c r="Z3" t="s">
        <v>560</v>
      </c>
      <c r="AA3" t="s">
        <v>729</v>
      </c>
      <c r="AB3" t="s">
        <v>902</v>
      </c>
      <c r="AC3" t="s">
        <v>904</v>
      </c>
      <c r="AF3" t="s">
        <v>923</v>
      </c>
      <c r="AI3">
        <v>6.1</v>
      </c>
      <c r="AK3" t="s">
        <v>933</v>
      </c>
      <c r="AL3" t="s">
        <v>274</v>
      </c>
      <c r="AT3">
        <v>0</v>
      </c>
      <c r="AU3">
        <v>2</v>
      </c>
      <c r="AV3" t="s">
        <v>273</v>
      </c>
      <c r="AY3" t="s">
        <v>273</v>
      </c>
      <c r="BB3">
        <v>0</v>
      </c>
      <c r="BC3">
        <v>0</v>
      </c>
      <c r="BD3">
        <v>0</v>
      </c>
      <c r="BE3">
        <v>0</v>
      </c>
      <c r="BF3" t="s">
        <v>1063</v>
      </c>
      <c r="BG3" t="s">
        <v>1065</v>
      </c>
      <c r="BH3">
        <v>58</v>
      </c>
      <c r="BI3" t="s">
        <v>1247</v>
      </c>
      <c r="BK3">
        <v>1914535</v>
      </c>
      <c r="BL3" t="s">
        <v>275</v>
      </c>
    </row>
    <row r="4" spans="1:64">
      <c r="A4" s="1">
        <f>HYPERLINK("https://lsnyc.legalserver.org/matter/dynamic-profile/view/1912055","19-1912055")</f>
        <v>0</v>
      </c>
      <c r="B4" t="s">
        <v>66</v>
      </c>
      <c r="C4" t="s">
        <v>250</v>
      </c>
      <c r="D4" t="s">
        <v>253</v>
      </c>
      <c r="E4" t="s">
        <v>262</v>
      </c>
      <c r="F4" t="s">
        <v>273</v>
      </c>
      <c r="G4" t="s">
        <v>275</v>
      </c>
      <c r="H4">
        <v>0</v>
      </c>
      <c r="K4" t="s">
        <v>280</v>
      </c>
      <c r="P4" t="s">
        <v>492</v>
      </c>
      <c r="Q4" t="s">
        <v>501</v>
      </c>
      <c r="S4" t="s">
        <v>503</v>
      </c>
      <c r="T4" t="s">
        <v>508</v>
      </c>
      <c r="U4" t="s">
        <v>511</v>
      </c>
      <c r="V4">
        <v>11385</v>
      </c>
      <c r="W4" t="s">
        <v>518</v>
      </c>
      <c r="Z4" t="s">
        <v>561</v>
      </c>
      <c r="AA4" t="s">
        <v>730</v>
      </c>
      <c r="AB4" t="s">
        <v>902</v>
      </c>
      <c r="AC4" t="s">
        <v>905</v>
      </c>
      <c r="AI4">
        <v>8</v>
      </c>
      <c r="AK4" t="s">
        <v>934</v>
      </c>
      <c r="AT4">
        <v>2</v>
      </c>
      <c r="AU4">
        <v>1</v>
      </c>
      <c r="AV4" t="s">
        <v>273</v>
      </c>
      <c r="AY4" t="s">
        <v>273</v>
      </c>
      <c r="BB4">
        <v>0</v>
      </c>
      <c r="BC4">
        <v>0</v>
      </c>
      <c r="BD4">
        <v>0</v>
      </c>
      <c r="BE4">
        <v>0</v>
      </c>
      <c r="BF4" t="s">
        <v>1063</v>
      </c>
      <c r="BG4" t="s">
        <v>1066</v>
      </c>
      <c r="BH4">
        <v>29</v>
      </c>
      <c r="BI4" t="s">
        <v>1247</v>
      </c>
      <c r="BK4">
        <v>1878947</v>
      </c>
    </row>
    <row r="5" spans="1:64">
      <c r="A5" s="1">
        <f>HYPERLINK("https://lsnyc.legalserver.org/matter/dynamic-profile/view/1912061","19-1912061")</f>
        <v>0</v>
      </c>
      <c r="B5" t="s">
        <v>67</v>
      </c>
      <c r="C5" t="s">
        <v>250</v>
      </c>
      <c r="D5" t="s">
        <v>253</v>
      </c>
      <c r="E5" t="s">
        <v>262</v>
      </c>
      <c r="F5" t="s">
        <v>273</v>
      </c>
      <c r="G5" t="s">
        <v>275</v>
      </c>
      <c r="H5">
        <v>0</v>
      </c>
      <c r="K5" t="s">
        <v>280</v>
      </c>
      <c r="P5" t="s">
        <v>492</v>
      </c>
      <c r="Q5" t="s">
        <v>502</v>
      </c>
      <c r="S5" t="s">
        <v>503</v>
      </c>
      <c r="T5" t="s">
        <v>508</v>
      </c>
      <c r="U5" t="s">
        <v>511</v>
      </c>
      <c r="V5">
        <v>11385</v>
      </c>
      <c r="W5" t="s">
        <v>518</v>
      </c>
      <c r="X5" t="s">
        <v>548</v>
      </c>
      <c r="Z5" t="s">
        <v>562</v>
      </c>
      <c r="AA5" t="s">
        <v>731</v>
      </c>
      <c r="AB5" t="s">
        <v>902</v>
      </c>
      <c r="AC5" t="s">
        <v>905</v>
      </c>
      <c r="AI5">
        <v>0.5</v>
      </c>
      <c r="AK5" t="s">
        <v>934</v>
      </c>
      <c r="AT5">
        <v>2</v>
      </c>
      <c r="AU5">
        <v>1</v>
      </c>
      <c r="AV5" t="s">
        <v>273</v>
      </c>
      <c r="AY5" t="s">
        <v>273</v>
      </c>
      <c r="BB5">
        <v>0</v>
      </c>
      <c r="BC5">
        <v>0</v>
      </c>
      <c r="BD5">
        <v>0</v>
      </c>
      <c r="BE5">
        <v>0</v>
      </c>
      <c r="BF5" t="s">
        <v>1063</v>
      </c>
      <c r="BG5" t="s">
        <v>1067</v>
      </c>
      <c r="BH5">
        <v>7</v>
      </c>
      <c r="BI5" t="s">
        <v>1247</v>
      </c>
      <c r="BK5">
        <v>1878947</v>
      </c>
    </row>
    <row r="6" spans="1:64">
      <c r="A6" s="1">
        <f>HYPERLINK("https://lsnyc.legalserver.org/matter/dynamic-profile/view/1911906","19-1911906")</f>
        <v>0</v>
      </c>
      <c r="B6" t="s">
        <v>68</v>
      </c>
      <c r="C6" t="s">
        <v>250</v>
      </c>
      <c r="D6" t="s">
        <v>254</v>
      </c>
      <c r="E6" t="s">
        <v>263</v>
      </c>
      <c r="F6" t="s">
        <v>273</v>
      </c>
      <c r="G6" t="s">
        <v>275</v>
      </c>
      <c r="H6">
        <v>0</v>
      </c>
      <c r="K6" t="s">
        <v>281</v>
      </c>
      <c r="P6" t="s">
        <v>492</v>
      </c>
      <c r="Q6" t="s">
        <v>502</v>
      </c>
      <c r="S6" t="s">
        <v>504</v>
      </c>
      <c r="T6" t="s">
        <v>507</v>
      </c>
      <c r="U6" t="s">
        <v>512</v>
      </c>
      <c r="V6">
        <v>10304</v>
      </c>
      <c r="X6" t="s">
        <v>548</v>
      </c>
      <c r="Z6" t="s">
        <v>563</v>
      </c>
      <c r="AA6" t="s">
        <v>732</v>
      </c>
      <c r="AB6" t="s">
        <v>902</v>
      </c>
      <c r="AC6" t="s">
        <v>905</v>
      </c>
      <c r="AI6">
        <v>21.3</v>
      </c>
      <c r="AT6">
        <v>2</v>
      </c>
      <c r="AU6">
        <v>2</v>
      </c>
      <c r="AV6" t="s">
        <v>273</v>
      </c>
      <c r="AY6" t="s">
        <v>273</v>
      </c>
      <c r="BB6">
        <v>0</v>
      </c>
      <c r="BC6">
        <v>0</v>
      </c>
      <c r="BD6">
        <v>0</v>
      </c>
      <c r="BE6">
        <v>0</v>
      </c>
      <c r="BF6" t="s">
        <v>1063</v>
      </c>
      <c r="BG6" t="s">
        <v>1068</v>
      </c>
      <c r="BH6">
        <v>19</v>
      </c>
      <c r="BI6" t="s">
        <v>1247</v>
      </c>
      <c r="BK6">
        <v>1909732</v>
      </c>
    </row>
    <row r="7" spans="1:64">
      <c r="A7" s="1">
        <f>HYPERLINK("https://lsnyc.legalserver.org/matter/dynamic-profile/view/1911907","19-1911907")</f>
        <v>0</v>
      </c>
      <c r="B7" t="s">
        <v>69</v>
      </c>
      <c r="C7" t="s">
        <v>250</v>
      </c>
      <c r="D7" t="s">
        <v>252</v>
      </c>
      <c r="E7" t="s">
        <v>263</v>
      </c>
      <c r="F7" t="s">
        <v>273</v>
      </c>
      <c r="G7" t="s">
        <v>275</v>
      </c>
      <c r="H7">
        <v>0</v>
      </c>
      <c r="K7" t="s">
        <v>281</v>
      </c>
      <c r="P7" t="s">
        <v>492</v>
      </c>
      <c r="Q7" t="s">
        <v>502</v>
      </c>
      <c r="S7" t="s">
        <v>504</v>
      </c>
      <c r="T7" t="s">
        <v>507</v>
      </c>
      <c r="U7" t="s">
        <v>512</v>
      </c>
      <c r="V7">
        <v>11232</v>
      </c>
      <c r="X7" t="s">
        <v>548</v>
      </c>
      <c r="Z7" t="s">
        <v>564</v>
      </c>
      <c r="AA7" t="s">
        <v>732</v>
      </c>
      <c r="AB7" t="s">
        <v>902</v>
      </c>
      <c r="AC7" t="s">
        <v>905</v>
      </c>
      <c r="AI7">
        <v>32.1</v>
      </c>
      <c r="AT7">
        <v>2</v>
      </c>
      <c r="AU7">
        <v>1</v>
      </c>
      <c r="AV7" t="s">
        <v>273</v>
      </c>
      <c r="AY7" t="s">
        <v>273</v>
      </c>
      <c r="BB7">
        <v>0</v>
      </c>
      <c r="BC7">
        <v>0</v>
      </c>
      <c r="BD7">
        <v>0</v>
      </c>
      <c r="BE7">
        <v>0</v>
      </c>
      <c r="BF7" t="s">
        <v>1063</v>
      </c>
      <c r="BG7" t="s">
        <v>1069</v>
      </c>
      <c r="BH7">
        <v>16</v>
      </c>
      <c r="BI7" t="s">
        <v>1247</v>
      </c>
      <c r="BK7">
        <v>1909732</v>
      </c>
    </row>
    <row r="8" spans="1:64">
      <c r="A8" s="1">
        <f>HYPERLINK("https://lsnyc.legalserver.org/matter/dynamic-profile/view/1911776","19-1911776")</f>
        <v>0</v>
      </c>
      <c r="B8" t="s">
        <v>70</v>
      </c>
      <c r="C8" t="s">
        <v>250</v>
      </c>
      <c r="D8" t="s">
        <v>255</v>
      </c>
      <c r="E8" t="s">
        <v>262</v>
      </c>
      <c r="F8" t="s">
        <v>273</v>
      </c>
      <c r="G8" t="s">
        <v>275</v>
      </c>
      <c r="H8">
        <v>0</v>
      </c>
      <c r="I8" t="s">
        <v>274</v>
      </c>
      <c r="K8" t="s">
        <v>282</v>
      </c>
      <c r="L8" t="s">
        <v>279</v>
      </c>
      <c r="M8" t="s">
        <v>471</v>
      </c>
      <c r="N8" t="s">
        <v>476</v>
      </c>
      <c r="P8" t="s">
        <v>493</v>
      </c>
      <c r="Q8" t="s">
        <v>502</v>
      </c>
      <c r="S8" t="s">
        <v>503</v>
      </c>
      <c r="T8" t="s">
        <v>509</v>
      </c>
      <c r="U8" t="s">
        <v>511</v>
      </c>
      <c r="V8">
        <v>11205</v>
      </c>
      <c r="X8" t="s">
        <v>548</v>
      </c>
      <c r="Y8" t="s">
        <v>275</v>
      </c>
      <c r="Z8" t="s">
        <v>565</v>
      </c>
      <c r="AA8" t="s">
        <v>733</v>
      </c>
      <c r="AB8" t="s">
        <v>902</v>
      </c>
      <c r="AC8" t="s">
        <v>905</v>
      </c>
      <c r="AD8" t="s">
        <v>274</v>
      </c>
      <c r="AE8" t="s">
        <v>917</v>
      </c>
      <c r="AF8" t="s">
        <v>924</v>
      </c>
      <c r="AI8">
        <v>25</v>
      </c>
      <c r="AJ8" t="s">
        <v>558</v>
      </c>
      <c r="AK8" t="s">
        <v>934</v>
      </c>
      <c r="AL8" t="s">
        <v>274</v>
      </c>
      <c r="AM8" t="s">
        <v>973</v>
      </c>
      <c r="AN8" t="s">
        <v>283</v>
      </c>
      <c r="AO8" t="s">
        <v>978</v>
      </c>
      <c r="AP8" t="s">
        <v>476</v>
      </c>
      <c r="AQ8" t="s">
        <v>1032</v>
      </c>
      <c r="AR8" t="s">
        <v>1051</v>
      </c>
      <c r="AT8">
        <v>0</v>
      </c>
      <c r="AU8">
        <v>1</v>
      </c>
      <c r="AV8" t="s">
        <v>273</v>
      </c>
      <c r="AY8" t="s">
        <v>273</v>
      </c>
      <c r="BB8">
        <v>0</v>
      </c>
      <c r="BC8">
        <v>0</v>
      </c>
      <c r="BD8">
        <v>0</v>
      </c>
      <c r="BE8">
        <v>0</v>
      </c>
      <c r="BF8" t="s">
        <v>493</v>
      </c>
      <c r="BG8" t="s">
        <v>1070</v>
      </c>
      <c r="BH8">
        <v>20</v>
      </c>
      <c r="BI8" t="s">
        <v>1247</v>
      </c>
      <c r="BK8">
        <v>1903479</v>
      </c>
      <c r="BL8" t="s">
        <v>274</v>
      </c>
    </row>
    <row r="9" spans="1:64">
      <c r="A9" s="1">
        <f>HYPERLINK("https://lsnyc.legalserver.org/matter/dynamic-profile/view/1911277","19-1911277")</f>
        <v>0</v>
      </c>
      <c r="B9" t="s">
        <v>71</v>
      </c>
      <c r="C9" t="s">
        <v>250</v>
      </c>
      <c r="D9" t="s">
        <v>252</v>
      </c>
      <c r="E9" t="s">
        <v>264</v>
      </c>
      <c r="F9" t="s">
        <v>274</v>
      </c>
      <c r="G9" t="s">
        <v>274</v>
      </c>
      <c r="H9">
        <v>187.35</v>
      </c>
      <c r="I9" t="s">
        <v>274</v>
      </c>
      <c r="K9" t="s">
        <v>283</v>
      </c>
      <c r="O9" t="s">
        <v>274</v>
      </c>
      <c r="P9" t="s">
        <v>494</v>
      </c>
      <c r="Q9" t="s">
        <v>501</v>
      </c>
      <c r="S9" t="s">
        <v>503</v>
      </c>
      <c r="T9" t="s">
        <v>507</v>
      </c>
      <c r="U9" t="s">
        <v>511</v>
      </c>
      <c r="V9">
        <v>11213</v>
      </c>
      <c r="X9" t="s">
        <v>549</v>
      </c>
      <c r="Y9" t="s">
        <v>275</v>
      </c>
      <c r="Z9" t="s">
        <v>566</v>
      </c>
      <c r="AA9" t="s">
        <v>734</v>
      </c>
      <c r="AB9" t="s">
        <v>902</v>
      </c>
      <c r="AC9" t="s">
        <v>904</v>
      </c>
      <c r="AF9" t="s">
        <v>925</v>
      </c>
      <c r="AI9">
        <v>2.3</v>
      </c>
      <c r="AJ9" t="s">
        <v>558</v>
      </c>
      <c r="AK9" t="s">
        <v>935</v>
      </c>
      <c r="AL9" t="s">
        <v>274</v>
      </c>
      <c r="AT9">
        <v>0</v>
      </c>
      <c r="AU9">
        <v>1</v>
      </c>
      <c r="AV9" t="s">
        <v>273</v>
      </c>
      <c r="AY9" t="s">
        <v>273</v>
      </c>
      <c r="BB9">
        <v>0</v>
      </c>
      <c r="BC9">
        <v>0</v>
      </c>
      <c r="BD9">
        <v>0</v>
      </c>
      <c r="BE9">
        <v>0</v>
      </c>
      <c r="BF9" t="s">
        <v>1063</v>
      </c>
      <c r="BG9" t="s">
        <v>1071</v>
      </c>
      <c r="BH9">
        <v>27</v>
      </c>
      <c r="BI9" t="s">
        <v>1248</v>
      </c>
      <c r="BK9">
        <v>1911937</v>
      </c>
      <c r="BL9" t="s">
        <v>275</v>
      </c>
    </row>
    <row r="10" spans="1:64">
      <c r="A10" s="1">
        <f>HYPERLINK("https://lsnyc.legalserver.org/matter/dynamic-profile/view/1910685","19-1910685")</f>
        <v>0</v>
      </c>
      <c r="B10" t="s">
        <v>72</v>
      </c>
      <c r="C10" t="s">
        <v>250</v>
      </c>
      <c r="D10" t="s">
        <v>252</v>
      </c>
      <c r="E10" t="s">
        <v>265</v>
      </c>
      <c r="F10" t="s">
        <v>273</v>
      </c>
      <c r="G10" t="s">
        <v>275</v>
      </c>
      <c r="H10">
        <v>0</v>
      </c>
      <c r="I10" t="s">
        <v>274</v>
      </c>
      <c r="K10" t="s">
        <v>284</v>
      </c>
      <c r="P10" t="s">
        <v>492</v>
      </c>
      <c r="Q10" t="s">
        <v>502</v>
      </c>
      <c r="S10" t="s">
        <v>503</v>
      </c>
      <c r="T10" t="s">
        <v>507</v>
      </c>
      <c r="U10" t="s">
        <v>511</v>
      </c>
      <c r="V10">
        <v>11219</v>
      </c>
      <c r="W10" t="s">
        <v>519</v>
      </c>
      <c r="X10" t="s">
        <v>548</v>
      </c>
      <c r="Y10" t="s">
        <v>275</v>
      </c>
      <c r="Z10" t="s">
        <v>567</v>
      </c>
      <c r="AA10" t="s">
        <v>735</v>
      </c>
      <c r="AB10" t="s">
        <v>902</v>
      </c>
      <c r="AC10" t="s">
        <v>905</v>
      </c>
      <c r="AF10" t="s">
        <v>926</v>
      </c>
      <c r="AI10">
        <v>1.5</v>
      </c>
      <c r="AJ10" t="s">
        <v>558</v>
      </c>
      <c r="AK10" t="s">
        <v>936</v>
      </c>
      <c r="AL10" t="s">
        <v>274</v>
      </c>
      <c r="AT10">
        <v>1</v>
      </c>
      <c r="AU10">
        <v>1</v>
      </c>
      <c r="AV10" t="s">
        <v>273</v>
      </c>
      <c r="AY10" t="s">
        <v>273</v>
      </c>
      <c r="BB10">
        <v>0</v>
      </c>
      <c r="BC10">
        <v>0</v>
      </c>
      <c r="BD10">
        <v>0</v>
      </c>
      <c r="BE10">
        <v>0</v>
      </c>
      <c r="BF10" t="s">
        <v>1063</v>
      </c>
      <c r="BG10" t="s">
        <v>1072</v>
      </c>
      <c r="BH10">
        <v>17</v>
      </c>
      <c r="BI10" t="s">
        <v>1247</v>
      </c>
      <c r="BK10">
        <v>1904237</v>
      </c>
      <c r="BL10" t="s">
        <v>274</v>
      </c>
    </row>
    <row r="11" spans="1:64">
      <c r="A11" s="1">
        <f>HYPERLINK("https://lsnyc.legalserver.org/matter/dynamic-profile/view/1910242","19-1910242")</f>
        <v>0</v>
      </c>
      <c r="B11" t="s">
        <v>73</v>
      </c>
      <c r="C11" t="s">
        <v>250</v>
      </c>
      <c r="D11" t="s">
        <v>252</v>
      </c>
      <c r="E11" t="s">
        <v>262</v>
      </c>
      <c r="F11" t="s">
        <v>273</v>
      </c>
      <c r="G11" t="s">
        <v>275</v>
      </c>
      <c r="H11">
        <v>43.38</v>
      </c>
      <c r="I11" t="s">
        <v>274</v>
      </c>
      <c r="K11" t="s">
        <v>285</v>
      </c>
      <c r="M11" t="s">
        <v>472</v>
      </c>
      <c r="N11" t="s">
        <v>282</v>
      </c>
      <c r="P11" t="s">
        <v>495</v>
      </c>
      <c r="Q11" t="s">
        <v>501</v>
      </c>
      <c r="S11" t="s">
        <v>503</v>
      </c>
      <c r="T11" t="s">
        <v>508</v>
      </c>
      <c r="U11" t="s">
        <v>511</v>
      </c>
      <c r="V11">
        <v>11213</v>
      </c>
      <c r="W11" t="s">
        <v>520</v>
      </c>
      <c r="X11" t="s">
        <v>549</v>
      </c>
      <c r="Y11" t="s">
        <v>275</v>
      </c>
      <c r="Z11" t="s">
        <v>568</v>
      </c>
      <c r="AA11" t="s">
        <v>736</v>
      </c>
      <c r="AB11" t="s">
        <v>902</v>
      </c>
      <c r="AC11" t="s">
        <v>905</v>
      </c>
      <c r="AF11" t="s">
        <v>923</v>
      </c>
      <c r="AI11">
        <v>3.5</v>
      </c>
      <c r="AJ11" t="s">
        <v>558</v>
      </c>
      <c r="AK11" t="s">
        <v>937</v>
      </c>
      <c r="AL11" t="s">
        <v>274</v>
      </c>
      <c r="AM11" t="s">
        <v>973</v>
      </c>
      <c r="AN11" t="s">
        <v>282</v>
      </c>
      <c r="AO11" t="s">
        <v>976</v>
      </c>
      <c r="AP11" t="s">
        <v>446</v>
      </c>
      <c r="AT11">
        <v>2</v>
      </c>
      <c r="AU11">
        <v>1</v>
      </c>
      <c r="AV11" t="s">
        <v>273</v>
      </c>
      <c r="AY11" t="s">
        <v>273</v>
      </c>
      <c r="BB11">
        <v>0</v>
      </c>
      <c r="BC11">
        <v>0</v>
      </c>
      <c r="BD11">
        <v>0</v>
      </c>
      <c r="BE11">
        <v>0</v>
      </c>
      <c r="BF11" t="s">
        <v>1063</v>
      </c>
      <c r="BG11" t="s">
        <v>1073</v>
      </c>
      <c r="BH11">
        <v>39</v>
      </c>
      <c r="BI11" t="s">
        <v>1249</v>
      </c>
      <c r="BK11">
        <v>1896770</v>
      </c>
      <c r="BL11" t="s">
        <v>275</v>
      </c>
    </row>
    <row r="12" spans="1:64">
      <c r="A12" s="1">
        <f>HYPERLINK("https://lsnyc.legalserver.org/matter/dynamic-profile/view/1910018","19-1910018")</f>
        <v>0</v>
      </c>
      <c r="B12" t="s">
        <v>74</v>
      </c>
      <c r="C12" t="s">
        <v>250</v>
      </c>
      <c r="D12" t="s">
        <v>255</v>
      </c>
      <c r="E12" t="s">
        <v>262</v>
      </c>
      <c r="F12" t="s">
        <v>275</v>
      </c>
      <c r="G12" t="s">
        <v>275</v>
      </c>
      <c r="H12">
        <v>0</v>
      </c>
      <c r="I12" t="s">
        <v>274</v>
      </c>
      <c r="K12" t="s">
        <v>286</v>
      </c>
      <c r="O12" t="s">
        <v>275</v>
      </c>
      <c r="P12" t="s">
        <v>492</v>
      </c>
      <c r="Q12" t="s">
        <v>501</v>
      </c>
      <c r="S12" t="s">
        <v>503</v>
      </c>
      <c r="T12" t="s">
        <v>508</v>
      </c>
      <c r="U12" t="s">
        <v>511</v>
      </c>
      <c r="V12">
        <v>7047</v>
      </c>
      <c r="W12" t="s">
        <v>521</v>
      </c>
      <c r="X12" t="s">
        <v>548</v>
      </c>
      <c r="Y12" t="s">
        <v>275</v>
      </c>
      <c r="Z12" t="s">
        <v>569</v>
      </c>
      <c r="AA12" t="s">
        <v>737</v>
      </c>
      <c r="AB12" t="s">
        <v>902</v>
      </c>
      <c r="AC12" t="s">
        <v>905</v>
      </c>
      <c r="AD12" t="s">
        <v>275</v>
      </c>
      <c r="AF12" t="s">
        <v>923</v>
      </c>
      <c r="AI12">
        <v>3.25</v>
      </c>
      <c r="AK12" t="s">
        <v>938</v>
      </c>
      <c r="AL12" t="s">
        <v>274</v>
      </c>
      <c r="AQ12" t="s">
        <v>1033</v>
      </c>
      <c r="AR12" t="s">
        <v>1051</v>
      </c>
      <c r="AT12">
        <v>0</v>
      </c>
      <c r="AU12">
        <v>1</v>
      </c>
      <c r="AV12" t="s">
        <v>273</v>
      </c>
      <c r="AY12" t="s">
        <v>273</v>
      </c>
      <c r="BB12">
        <v>0</v>
      </c>
      <c r="BC12">
        <v>0</v>
      </c>
      <c r="BD12">
        <v>0</v>
      </c>
      <c r="BE12">
        <v>0</v>
      </c>
      <c r="BF12" t="s">
        <v>1063</v>
      </c>
      <c r="BG12" t="s">
        <v>1074</v>
      </c>
      <c r="BH12">
        <v>32</v>
      </c>
      <c r="BI12" t="s">
        <v>1247</v>
      </c>
      <c r="BK12">
        <v>1910675</v>
      </c>
      <c r="BL12" t="s">
        <v>275</v>
      </c>
    </row>
    <row r="13" spans="1:64">
      <c r="A13" s="1">
        <f>HYPERLINK("https://lsnyc.legalserver.org/matter/dynamic-profile/view/1909305","19-1909305")</f>
        <v>0</v>
      </c>
      <c r="B13" t="s">
        <v>72</v>
      </c>
      <c r="C13" t="s">
        <v>250</v>
      </c>
      <c r="D13" t="s">
        <v>252</v>
      </c>
      <c r="E13" t="s">
        <v>263</v>
      </c>
      <c r="F13" t="s">
        <v>273</v>
      </c>
      <c r="G13" t="s">
        <v>275</v>
      </c>
      <c r="H13">
        <v>0</v>
      </c>
      <c r="I13" t="s">
        <v>274</v>
      </c>
      <c r="K13" t="s">
        <v>287</v>
      </c>
      <c r="P13" t="s">
        <v>492</v>
      </c>
      <c r="Q13" t="s">
        <v>502</v>
      </c>
      <c r="S13" t="s">
        <v>504</v>
      </c>
      <c r="T13" t="s">
        <v>507</v>
      </c>
      <c r="U13" t="s">
        <v>512</v>
      </c>
      <c r="V13">
        <v>11219</v>
      </c>
      <c r="X13" t="s">
        <v>548</v>
      </c>
      <c r="Y13" t="s">
        <v>275</v>
      </c>
      <c r="Z13" t="s">
        <v>567</v>
      </c>
      <c r="AA13" t="s">
        <v>735</v>
      </c>
      <c r="AB13" t="s">
        <v>902</v>
      </c>
      <c r="AC13" t="s">
        <v>905</v>
      </c>
      <c r="AF13" t="s">
        <v>924</v>
      </c>
      <c r="AI13">
        <v>48.35</v>
      </c>
      <c r="AJ13" t="s">
        <v>558</v>
      </c>
      <c r="AK13" t="s">
        <v>936</v>
      </c>
      <c r="AL13" t="s">
        <v>274</v>
      </c>
      <c r="AM13" t="s">
        <v>973</v>
      </c>
      <c r="AN13" t="s">
        <v>287</v>
      </c>
      <c r="AT13">
        <v>1</v>
      </c>
      <c r="AU13">
        <v>1</v>
      </c>
      <c r="AV13" t="s">
        <v>273</v>
      </c>
      <c r="AY13" t="s">
        <v>273</v>
      </c>
      <c r="BB13">
        <v>0</v>
      </c>
      <c r="BC13">
        <v>0</v>
      </c>
      <c r="BD13">
        <v>0</v>
      </c>
      <c r="BE13">
        <v>0</v>
      </c>
      <c r="BF13" t="s">
        <v>1063</v>
      </c>
      <c r="BG13" t="s">
        <v>1072</v>
      </c>
      <c r="BH13">
        <v>17</v>
      </c>
      <c r="BI13" t="s">
        <v>1247</v>
      </c>
      <c r="BK13">
        <v>1904237</v>
      </c>
    </row>
    <row r="14" spans="1:64">
      <c r="A14" s="1">
        <f>HYPERLINK("https://lsnyc.legalserver.org/matter/dynamic-profile/view/1909179","19-1909179")</f>
        <v>0</v>
      </c>
      <c r="B14" t="s">
        <v>75</v>
      </c>
      <c r="C14" t="s">
        <v>250</v>
      </c>
      <c r="D14" t="s">
        <v>253</v>
      </c>
      <c r="E14" t="s">
        <v>261</v>
      </c>
      <c r="F14" t="s">
        <v>273</v>
      </c>
      <c r="G14" t="s">
        <v>275</v>
      </c>
      <c r="H14">
        <v>0</v>
      </c>
      <c r="K14" t="s">
        <v>288</v>
      </c>
      <c r="P14" t="s">
        <v>492</v>
      </c>
      <c r="Q14" t="s">
        <v>501</v>
      </c>
      <c r="S14" t="s">
        <v>503</v>
      </c>
      <c r="T14" t="s">
        <v>507</v>
      </c>
      <c r="U14" t="s">
        <v>511</v>
      </c>
      <c r="V14">
        <v>11434</v>
      </c>
      <c r="W14" t="s">
        <v>522</v>
      </c>
      <c r="X14" t="s">
        <v>549</v>
      </c>
      <c r="Y14" t="s">
        <v>275</v>
      </c>
      <c r="Z14" t="s">
        <v>570</v>
      </c>
      <c r="AA14" t="s">
        <v>738</v>
      </c>
      <c r="AB14" t="s">
        <v>902</v>
      </c>
      <c r="AC14" t="s">
        <v>906</v>
      </c>
      <c r="AF14" t="s">
        <v>927</v>
      </c>
      <c r="AI14">
        <v>1.2</v>
      </c>
      <c r="AK14" t="s">
        <v>939</v>
      </c>
      <c r="AL14" t="s">
        <v>274</v>
      </c>
      <c r="AM14" t="s">
        <v>974</v>
      </c>
      <c r="AN14" t="s">
        <v>288</v>
      </c>
      <c r="AT14">
        <v>0</v>
      </c>
      <c r="AU14">
        <v>1</v>
      </c>
      <c r="AV14" t="s">
        <v>273</v>
      </c>
      <c r="AY14" t="s">
        <v>273</v>
      </c>
      <c r="BB14">
        <v>0</v>
      </c>
      <c r="BC14">
        <v>0</v>
      </c>
      <c r="BD14">
        <v>0</v>
      </c>
      <c r="BE14">
        <v>0</v>
      </c>
      <c r="BF14" t="s">
        <v>1063</v>
      </c>
      <c r="BG14" t="s">
        <v>1075</v>
      </c>
      <c r="BH14">
        <v>39</v>
      </c>
      <c r="BI14" t="s">
        <v>1247</v>
      </c>
      <c r="BK14">
        <v>1909836</v>
      </c>
      <c r="BL14" t="s">
        <v>275</v>
      </c>
    </row>
    <row r="15" spans="1:64">
      <c r="A15" s="1">
        <f>HYPERLINK("https://lsnyc.legalserver.org/matter/dynamic-profile/view/1909242","19-1909242")</f>
        <v>0</v>
      </c>
      <c r="B15" t="s">
        <v>69</v>
      </c>
      <c r="C15" t="s">
        <v>250</v>
      </c>
      <c r="D15" t="s">
        <v>252</v>
      </c>
      <c r="E15" t="s">
        <v>265</v>
      </c>
      <c r="F15" t="s">
        <v>273</v>
      </c>
      <c r="G15" t="s">
        <v>275</v>
      </c>
      <c r="H15">
        <v>0</v>
      </c>
      <c r="I15" t="s">
        <v>274</v>
      </c>
      <c r="K15" t="s">
        <v>288</v>
      </c>
      <c r="P15" t="s">
        <v>492</v>
      </c>
      <c r="Q15" t="s">
        <v>502</v>
      </c>
      <c r="S15" t="s">
        <v>503</v>
      </c>
      <c r="T15" t="s">
        <v>507</v>
      </c>
      <c r="U15" t="s">
        <v>511</v>
      </c>
      <c r="V15">
        <v>11232</v>
      </c>
      <c r="W15" t="s">
        <v>518</v>
      </c>
      <c r="X15" t="s">
        <v>548</v>
      </c>
      <c r="Y15" t="s">
        <v>275</v>
      </c>
      <c r="Z15" t="s">
        <v>564</v>
      </c>
      <c r="AA15" t="s">
        <v>732</v>
      </c>
      <c r="AB15" t="s">
        <v>902</v>
      </c>
      <c r="AC15" t="s">
        <v>905</v>
      </c>
      <c r="AF15" t="s">
        <v>926</v>
      </c>
      <c r="AI15">
        <v>6.75</v>
      </c>
      <c r="AJ15" t="s">
        <v>558</v>
      </c>
      <c r="AK15" t="s">
        <v>934</v>
      </c>
      <c r="AL15" t="s">
        <v>274</v>
      </c>
      <c r="AT15">
        <v>2</v>
      </c>
      <c r="AU15">
        <v>1</v>
      </c>
      <c r="AV15" t="s">
        <v>273</v>
      </c>
      <c r="AY15" t="s">
        <v>273</v>
      </c>
      <c r="BB15">
        <v>0</v>
      </c>
      <c r="BC15">
        <v>0</v>
      </c>
      <c r="BD15">
        <v>0</v>
      </c>
      <c r="BE15">
        <v>0</v>
      </c>
      <c r="BF15" t="s">
        <v>1063</v>
      </c>
      <c r="BG15" t="s">
        <v>1069</v>
      </c>
      <c r="BH15">
        <v>16</v>
      </c>
      <c r="BI15" t="s">
        <v>1247</v>
      </c>
      <c r="BK15">
        <v>1909732</v>
      </c>
      <c r="BL15" t="s">
        <v>274</v>
      </c>
    </row>
    <row r="16" spans="1:64">
      <c r="A16" s="1">
        <f>HYPERLINK("https://lsnyc.legalserver.org/matter/dynamic-profile/view/1909094","19-1909094")</f>
        <v>0</v>
      </c>
      <c r="B16" t="s">
        <v>68</v>
      </c>
      <c r="C16" t="s">
        <v>250</v>
      </c>
      <c r="D16" t="s">
        <v>254</v>
      </c>
      <c r="E16" t="s">
        <v>265</v>
      </c>
      <c r="F16" t="s">
        <v>273</v>
      </c>
      <c r="G16" t="s">
        <v>275</v>
      </c>
      <c r="H16">
        <v>0</v>
      </c>
      <c r="I16" t="s">
        <v>274</v>
      </c>
      <c r="K16" t="s">
        <v>289</v>
      </c>
      <c r="P16" t="s">
        <v>492</v>
      </c>
      <c r="Q16" t="s">
        <v>502</v>
      </c>
      <c r="S16" t="s">
        <v>503</v>
      </c>
      <c r="T16" t="s">
        <v>507</v>
      </c>
      <c r="U16" t="s">
        <v>511</v>
      </c>
      <c r="V16">
        <v>10304</v>
      </c>
      <c r="W16" t="s">
        <v>518</v>
      </c>
      <c r="X16" t="s">
        <v>548</v>
      </c>
      <c r="Y16" t="s">
        <v>275</v>
      </c>
      <c r="Z16" t="s">
        <v>563</v>
      </c>
      <c r="AA16" t="s">
        <v>732</v>
      </c>
      <c r="AB16" t="s">
        <v>902</v>
      </c>
      <c r="AC16" t="s">
        <v>905</v>
      </c>
      <c r="AF16" t="s">
        <v>926</v>
      </c>
      <c r="AI16">
        <v>10.95</v>
      </c>
      <c r="AJ16" t="s">
        <v>558</v>
      </c>
      <c r="AK16" t="s">
        <v>934</v>
      </c>
      <c r="AL16" t="s">
        <v>274</v>
      </c>
      <c r="AT16">
        <v>2</v>
      </c>
      <c r="AU16">
        <v>2</v>
      </c>
      <c r="AV16" t="s">
        <v>273</v>
      </c>
      <c r="AY16" t="s">
        <v>273</v>
      </c>
      <c r="BB16">
        <v>0</v>
      </c>
      <c r="BC16">
        <v>0</v>
      </c>
      <c r="BD16">
        <v>0</v>
      </c>
      <c r="BE16">
        <v>0</v>
      </c>
      <c r="BF16" t="s">
        <v>1063</v>
      </c>
      <c r="BG16" t="s">
        <v>1068</v>
      </c>
      <c r="BH16">
        <v>19</v>
      </c>
      <c r="BI16" t="s">
        <v>1247</v>
      </c>
      <c r="BK16">
        <v>1909732</v>
      </c>
      <c r="BL16" t="s">
        <v>274</v>
      </c>
    </row>
    <row r="17" spans="1:64">
      <c r="A17" s="1">
        <f>HYPERLINK("https://lsnyc.legalserver.org/matter/dynamic-profile/view/1908981","19-1908981")</f>
        <v>0</v>
      </c>
      <c r="B17" t="s">
        <v>76</v>
      </c>
      <c r="C17" t="s">
        <v>250</v>
      </c>
      <c r="D17" t="s">
        <v>252</v>
      </c>
      <c r="E17" t="s">
        <v>261</v>
      </c>
      <c r="F17" t="s">
        <v>273</v>
      </c>
      <c r="G17" t="s">
        <v>275</v>
      </c>
      <c r="H17">
        <v>175.69</v>
      </c>
      <c r="I17" t="s">
        <v>274</v>
      </c>
      <c r="K17" t="s">
        <v>290</v>
      </c>
      <c r="P17" t="s">
        <v>492</v>
      </c>
      <c r="Q17" t="s">
        <v>501</v>
      </c>
      <c r="S17" t="s">
        <v>503</v>
      </c>
      <c r="T17" t="s">
        <v>507</v>
      </c>
      <c r="U17" t="s">
        <v>511</v>
      </c>
      <c r="V17">
        <v>11212</v>
      </c>
      <c r="W17" t="s">
        <v>517</v>
      </c>
      <c r="X17" t="s">
        <v>550</v>
      </c>
      <c r="Y17" t="s">
        <v>275</v>
      </c>
      <c r="Z17" t="s">
        <v>571</v>
      </c>
      <c r="AA17" t="s">
        <v>739</v>
      </c>
      <c r="AB17" t="s">
        <v>902</v>
      </c>
      <c r="AC17" t="s">
        <v>904</v>
      </c>
      <c r="AF17" t="s">
        <v>923</v>
      </c>
      <c r="AI17">
        <v>9.4</v>
      </c>
      <c r="AK17" t="s">
        <v>933</v>
      </c>
      <c r="AL17" t="s">
        <v>274</v>
      </c>
      <c r="AM17" t="s">
        <v>973</v>
      </c>
      <c r="AN17" t="s">
        <v>981</v>
      </c>
      <c r="AS17" t="s">
        <v>1055</v>
      </c>
      <c r="AT17">
        <v>2</v>
      </c>
      <c r="AU17">
        <v>2</v>
      </c>
      <c r="AV17" t="s">
        <v>273</v>
      </c>
      <c r="AY17" t="s">
        <v>273</v>
      </c>
      <c r="BB17">
        <v>0</v>
      </c>
      <c r="BC17">
        <v>0</v>
      </c>
      <c r="BD17">
        <v>0</v>
      </c>
      <c r="BE17">
        <v>0</v>
      </c>
      <c r="BF17" t="s">
        <v>1063</v>
      </c>
      <c r="BG17" t="s">
        <v>1076</v>
      </c>
      <c r="BH17">
        <v>25</v>
      </c>
      <c r="BI17" t="s">
        <v>1250</v>
      </c>
      <c r="BK17">
        <v>1909638</v>
      </c>
      <c r="BL17" t="s">
        <v>275</v>
      </c>
    </row>
    <row r="18" spans="1:64">
      <c r="A18" s="1">
        <f>HYPERLINK("https://lsnyc.legalserver.org/matter/dynamic-profile/view/1909075","19-1909075")</f>
        <v>0</v>
      </c>
      <c r="B18" t="s">
        <v>77</v>
      </c>
      <c r="C18" t="s">
        <v>250</v>
      </c>
      <c r="D18" t="s">
        <v>252</v>
      </c>
      <c r="E18" t="s">
        <v>265</v>
      </c>
      <c r="F18" t="s">
        <v>273</v>
      </c>
      <c r="G18" t="s">
        <v>275</v>
      </c>
      <c r="H18">
        <v>0</v>
      </c>
      <c r="I18" t="s">
        <v>274</v>
      </c>
      <c r="K18" t="s">
        <v>290</v>
      </c>
      <c r="P18" t="s">
        <v>492</v>
      </c>
      <c r="Q18" t="s">
        <v>501</v>
      </c>
      <c r="S18" t="s">
        <v>503</v>
      </c>
      <c r="T18" t="s">
        <v>510</v>
      </c>
      <c r="U18" t="s">
        <v>511</v>
      </c>
      <c r="V18">
        <v>11232</v>
      </c>
      <c r="W18" t="s">
        <v>518</v>
      </c>
      <c r="X18" t="s">
        <v>548</v>
      </c>
      <c r="Y18" t="s">
        <v>275</v>
      </c>
      <c r="Z18" t="s">
        <v>572</v>
      </c>
      <c r="AA18" t="s">
        <v>732</v>
      </c>
      <c r="AB18" t="s">
        <v>902</v>
      </c>
      <c r="AC18" t="s">
        <v>905</v>
      </c>
      <c r="AF18" t="s">
        <v>926</v>
      </c>
      <c r="AI18">
        <v>26.75</v>
      </c>
      <c r="AJ18" t="s">
        <v>558</v>
      </c>
      <c r="AK18" t="s">
        <v>934</v>
      </c>
      <c r="AL18" t="s">
        <v>274</v>
      </c>
      <c r="AT18">
        <v>2</v>
      </c>
      <c r="AU18">
        <v>1</v>
      </c>
      <c r="AV18" t="s">
        <v>273</v>
      </c>
      <c r="AY18" t="s">
        <v>273</v>
      </c>
      <c r="BB18">
        <v>0</v>
      </c>
      <c r="BC18">
        <v>0</v>
      </c>
      <c r="BD18">
        <v>0</v>
      </c>
      <c r="BE18">
        <v>0</v>
      </c>
      <c r="BF18" t="s">
        <v>1063</v>
      </c>
      <c r="BG18" t="s">
        <v>1077</v>
      </c>
      <c r="BH18">
        <v>44</v>
      </c>
      <c r="BI18" t="s">
        <v>1247</v>
      </c>
      <c r="BK18">
        <v>1909732</v>
      </c>
      <c r="BL18" t="s">
        <v>274</v>
      </c>
    </row>
    <row r="19" spans="1:64">
      <c r="A19" s="1">
        <f>HYPERLINK("https://lsnyc.legalserver.org/matter/dynamic-profile/view/1907941","19-1907941")</f>
        <v>0</v>
      </c>
      <c r="B19" t="s">
        <v>78</v>
      </c>
      <c r="C19" t="s">
        <v>250</v>
      </c>
      <c r="D19" t="s">
        <v>252</v>
      </c>
      <c r="E19" t="s">
        <v>261</v>
      </c>
      <c r="F19" t="s">
        <v>273</v>
      </c>
      <c r="G19" t="s">
        <v>275</v>
      </c>
      <c r="H19">
        <v>118.27</v>
      </c>
      <c r="K19" t="s">
        <v>291</v>
      </c>
      <c r="P19" t="s">
        <v>492</v>
      </c>
      <c r="Q19" t="s">
        <v>501</v>
      </c>
      <c r="S19" t="s">
        <v>503</v>
      </c>
      <c r="T19" t="s">
        <v>507</v>
      </c>
      <c r="U19" t="s">
        <v>511</v>
      </c>
      <c r="V19">
        <v>11233</v>
      </c>
      <c r="W19" t="s">
        <v>523</v>
      </c>
      <c r="Y19" t="s">
        <v>275</v>
      </c>
      <c r="Z19" t="s">
        <v>573</v>
      </c>
      <c r="AA19" t="s">
        <v>740</v>
      </c>
      <c r="AB19" t="s">
        <v>902</v>
      </c>
      <c r="AC19" t="s">
        <v>904</v>
      </c>
      <c r="AF19" t="s">
        <v>923</v>
      </c>
      <c r="AI19">
        <v>4.1</v>
      </c>
      <c r="AK19" t="s">
        <v>939</v>
      </c>
      <c r="AL19" t="s">
        <v>274</v>
      </c>
      <c r="AM19" t="s">
        <v>973</v>
      </c>
      <c r="AN19" t="s">
        <v>450</v>
      </c>
      <c r="AT19">
        <v>1</v>
      </c>
      <c r="AU19">
        <v>1</v>
      </c>
      <c r="AV19" t="s">
        <v>273</v>
      </c>
      <c r="AY19" t="s">
        <v>273</v>
      </c>
      <c r="BB19">
        <v>0</v>
      </c>
      <c r="BC19">
        <v>0</v>
      </c>
      <c r="BD19">
        <v>0</v>
      </c>
      <c r="BE19">
        <v>0</v>
      </c>
      <c r="BF19" t="s">
        <v>1063</v>
      </c>
      <c r="BG19" t="s">
        <v>1078</v>
      </c>
      <c r="BH19">
        <v>19</v>
      </c>
      <c r="BI19" t="s">
        <v>1251</v>
      </c>
      <c r="BK19">
        <v>1908598</v>
      </c>
      <c r="BL19" t="s">
        <v>275</v>
      </c>
    </row>
    <row r="20" spans="1:64">
      <c r="A20" s="1">
        <f>HYPERLINK("https://lsnyc.legalserver.org/matter/dynamic-profile/view/1908009","19-1908009")</f>
        <v>0</v>
      </c>
      <c r="B20" t="s">
        <v>79</v>
      </c>
      <c r="C20" t="s">
        <v>250</v>
      </c>
      <c r="D20" t="s">
        <v>252</v>
      </c>
      <c r="E20" t="s">
        <v>266</v>
      </c>
      <c r="F20" t="s">
        <v>273</v>
      </c>
      <c r="G20" t="s">
        <v>275</v>
      </c>
      <c r="H20">
        <v>0</v>
      </c>
      <c r="I20" t="s">
        <v>274</v>
      </c>
      <c r="K20" t="s">
        <v>291</v>
      </c>
      <c r="P20" t="s">
        <v>496</v>
      </c>
      <c r="Q20" t="s">
        <v>501</v>
      </c>
      <c r="S20" t="s">
        <v>503</v>
      </c>
      <c r="T20" t="s">
        <v>508</v>
      </c>
      <c r="U20" t="s">
        <v>511</v>
      </c>
      <c r="V20">
        <v>11233</v>
      </c>
      <c r="W20" t="s">
        <v>518</v>
      </c>
      <c r="X20" t="s">
        <v>551</v>
      </c>
      <c r="Y20" t="s">
        <v>275</v>
      </c>
      <c r="Z20" t="s">
        <v>574</v>
      </c>
      <c r="AA20" t="s">
        <v>741</v>
      </c>
      <c r="AB20" t="s">
        <v>902</v>
      </c>
      <c r="AC20" t="s">
        <v>905</v>
      </c>
      <c r="AF20" t="s">
        <v>926</v>
      </c>
      <c r="AI20">
        <v>4.3</v>
      </c>
      <c r="AJ20" t="s">
        <v>558</v>
      </c>
      <c r="AK20" t="s">
        <v>940</v>
      </c>
      <c r="AL20" t="s">
        <v>274</v>
      </c>
      <c r="AS20" t="s">
        <v>1056</v>
      </c>
      <c r="AT20">
        <v>0</v>
      </c>
      <c r="AU20">
        <v>1</v>
      </c>
      <c r="AV20" t="s">
        <v>273</v>
      </c>
      <c r="AY20" t="s">
        <v>273</v>
      </c>
      <c r="BB20">
        <v>0</v>
      </c>
      <c r="BC20">
        <v>0</v>
      </c>
      <c r="BD20">
        <v>0</v>
      </c>
      <c r="BE20">
        <v>0</v>
      </c>
      <c r="BF20" t="s">
        <v>1063</v>
      </c>
      <c r="BG20" t="s">
        <v>1079</v>
      </c>
      <c r="BH20">
        <v>63</v>
      </c>
      <c r="BI20" t="s">
        <v>1247</v>
      </c>
      <c r="BK20">
        <v>1908666</v>
      </c>
      <c r="BL20" t="s">
        <v>275</v>
      </c>
    </row>
    <row r="21" spans="1:64">
      <c r="A21" s="1">
        <f>HYPERLINK("https://lsnyc.legalserver.org/matter/dynamic-profile/view/1907904","19-1907904")</f>
        <v>0</v>
      </c>
      <c r="B21" t="s">
        <v>80</v>
      </c>
      <c r="C21" t="s">
        <v>250</v>
      </c>
      <c r="D21" t="s">
        <v>256</v>
      </c>
      <c r="E21" t="s">
        <v>262</v>
      </c>
      <c r="F21" t="s">
        <v>273</v>
      </c>
      <c r="G21" t="s">
        <v>275</v>
      </c>
      <c r="H21">
        <v>0</v>
      </c>
      <c r="I21" t="s">
        <v>274</v>
      </c>
      <c r="K21" t="s">
        <v>292</v>
      </c>
      <c r="M21" t="s">
        <v>471</v>
      </c>
      <c r="N21" t="s">
        <v>477</v>
      </c>
      <c r="P21" t="s">
        <v>492</v>
      </c>
      <c r="Q21" t="s">
        <v>502</v>
      </c>
      <c r="S21" t="s">
        <v>503</v>
      </c>
      <c r="T21" t="s">
        <v>507</v>
      </c>
      <c r="U21" t="s">
        <v>511</v>
      </c>
      <c r="V21">
        <v>7111</v>
      </c>
      <c r="W21" t="s">
        <v>518</v>
      </c>
      <c r="Z21" t="s">
        <v>575</v>
      </c>
      <c r="AA21" t="s">
        <v>742</v>
      </c>
      <c r="AB21" t="s">
        <v>902</v>
      </c>
      <c r="AC21" t="s">
        <v>905</v>
      </c>
      <c r="AF21" t="s">
        <v>926</v>
      </c>
      <c r="AI21">
        <v>5.25</v>
      </c>
      <c r="AK21" t="s">
        <v>934</v>
      </c>
      <c r="AL21" t="s">
        <v>274</v>
      </c>
      <c r="AT21">
        <v>0</v>
      </c>
      <c r="AU21">
        <v>1</v>
      </c>
      <c r="AV21" t="s">
        <v>273</v>
      </c>
      <c r="AY21" t="s">
        <v>273</v>
      </c>
      <c r="BB21">
        <v>0</v>
      </c>
      <c r="BC21">
        <v>0</v>
      </c>
      <c r="BD21">
        <v>0</v>
      </c>
      <c r="BE21">
        <v>0</v>
      </c>
      <c r="BF21" t="s">
        <v>1063</v>
      </c>
      <c r="BG21" t="s">
        <v>1080</v>
      </c>
      <c r="BH21">
        <v>20</v>
      </c>
      <c r="BI21" t="s">
        <v>1247</v>
      </c>
      <c r="BK21">
        <v>1908561</v>
      </c>
    </row>
    <row r="22" spans="1:64">
      <c r="A22" s="1">
        <f>HYPERLINK("https://lsnyc.legalserver.org/matter/dynamic-profile/view/1907753","19-1907753")</f>
        <v>0</v>
      </c>
      <c r="B22" t="s">
        <v>81</v>
      </c>
      <c r="C22" t="s">
        <v>250</v>
      </c>
      <c r="D22" t="s">
        <v>252</v>
      </c>
      <c r="E22" t="s">
        <v>261</v>
      </c>
      <c r="F22" t="s">
        <v>273</v>
      </c>
      <c r="G22" t="s">
        <v>275</v>
      </c>
      <c r="H22">
        <v>118.27</v>
      </c>
      <c r="I22" t="s">
        <v>274</v>
      </c>
      <c r="K22" t="s">
        <v>293</v>
      </c>
      <c r="P22" t="s">
        <v>492</v>
      </c>
      <c r="Q22" t="s">
        <v>501</v>
      </c>
      <c r="S22" t="s">
        <v>503</v>
      </c>
      <c r="T22" t="s">
        <v>508</v>
      </c>
      <c r="U22" t="s">
        <v>511</v>
      </c>
      <c r="V22">
        <v>11233</v>
      </c>
      <c r="W22" t="s">
        <v>520</v>
      </c>
      <c r="Y22" t="s">
        <v>275</v>
      </c>
      <c r="Z22" t="s">
        <v>576</v>
      </c>
      <c r="AA22" t="s">
        <v>743</v>
      </c>
      <c r="AB22" t="s">
        <v>902</v>
      </c>
      <c r="AC22" t="s">
        <v>904</v>
      </c>
      <c r="AF22" t="s">
        <v>923</v>
      </c>
      <c r="AI22">
        <v>2.1</v>
      </c>
      <c r="AK22" t="s">
        <v>939</v>
      </c>
      <c r="AL22" t="s">
        <v>274</v>
      </c>
      <c r="AM22" t="s">
        <v>973</v>
      </c>
      <c r="AN22" t="s">
        <v>293</v>
      </c>
      <c r="AT22">
        <v>1</v>
      </c>
      <c r="AU22">
        <v>1</v>
      </c>
      <c r="AV22" t="s">
        <v>273</v>
      </c>
      <c r="AY22" t="s">
        <v>273</v>
      </c>
      <c r="BB22">
        <v>0</v>
      </c>
      <c r="BC22">
        <v>0</v>
      </c>
      <c r="BD22">
        <v>0</v>
      </c>
      <c r="BE22">
        <v>0</v>
      </c>
      <c r="BF22" t="s">
        <v>1063</v>
      </c>
      <c r="BG22" t="s">
        <v>1081</v>
      </c>
      <c r="BH22">
        <v>54</v>
      </c>
      <c r="BI22" t="s">
        <v>1251</v>
      </c>
      <c r="BK22">
        <v>1908361</v>
      </c>
      <c r="BL22" t="s">
        <v>275</v>
      </c>
    </row>
    <row r="23" spans="1:64">
      <c r="A23" s="1">
        <f>HYPERLINK("https://lsnyc.legalserver.org/matter/dynamic-profile/view/1907704","19-1907704")</f>
        <v>0</v>
      </c>
      <c r="B23" t="s">
        <v>81</v>
      </c>
      <c r="C23" t="s">
        <v>250</v>
      </c>
      <c r="D23" t="s">
        <v>252</v>
      </c>
      <c r="E23" t="s">
        <v>261</v>
      </c>
      <c r="F23" t="s">
        <v>273</v>
      </c>
      <c r="G23" t="s">
        <v>275</v>
      </c>
      <c r="H23">
        <v>119.46</v>
      </c>
      <c r="I23" t="s">
        <v>274</v>
      </c>
      <c r="K23" t="s">
        <v>294</v>
      </c>
      <c r="P23" t="s">
        <v>492</v>
      </c>
      <c r="Q23" t="s">
        <v>501</v>
      </c>
      <c r="S23" t="s">
        <v>503</v>
      </c>
      <c r="T23" t="s">
        <v>508</v>
      </c>
      <c r="U23" t="s">
        <v>511</v>
      </c>
      <c r="V23">
        <v>11233</v>
      </c>
      <c r="W23" t="s">
        <v>523</v>
      </c>
      <c r="Z23" t="s">
        <v>576</v>
      </c>
      <c r="AA23" t="s">
        <v>743</v>
      </c>
      <c r="AB23" t="s">
        <v>902</v>
      </c>
      <c r="AC23" t="s">
        <v>904</v>
      </c>
      <c r="AF23" t="s">
        <v>923</v>
      </c>
      <c r="AI23">
        <v>3.4</v>
      </c>
      <c r="AK23" t="s">
        <v>939</v>
      </c>
      <c r="AL23" t="s">
        <v>274</v>
      </c>
      <c r="AM23" t="s">
        <v>973</v>
      </c>
      <c r="AN23" t="s">
        <v>293</v>
      </c>
      <c r="AT23">
        <v>1</v>
      </c>
      <c r="AU23">
        <v>1</v>
      </c>
      <c r="AV23" t="s">
        <v>273</v>
      </c>
      <c r="AY23" t="s">
        <v>273</v>
      </c>
      <c r="BB23">
        <v>0</v>
      </c>
      <c r="BC23">
        <v>0</v>
      </c>
      <c r="BD23">
        <v>0</v>
      </c>
      <c r="BE23">
        <v>0</v>
      </c>
      <c r="BF23" t="s">
        <v>1063</v>
      </c>
      <c r="BG23" t="s">
        <v>1081</v>
      </c>
      <c r="BH23">
        <v>54</v>
      </c>
      <c r="BI23" t="s">
        <v>1252</v>
      </c>
      <c r="BK23">
        <v>1908361</v>
      </c>
    </row>
    <row r="24" spans="1:64">
      <c r="A24" s="1">
        <f>HYPERLINK("https://lsnyc.legalserver.org/matter/dynamic-profile/view/1907713","19-1907713")</f>
        <v>0</v>
      </c>
      <c r="B24" t="s">
        <v>81</v>
      </c>
      <c r="C24" t="s">
        <v>250</v>
      </c>
      <c r="D24" t="s">
        <v>252</v>
      </c>
      <c r="E24" t="s">
        <v>261</v>
      </c>
      <c r="F24" t="s">
        <v>273</v>
      </c>
      <c r="G24" t="s">
        <v>275</v>
      </c>
      <c r="H24">
        <v>118.27</v>
      </c>
      <c r="I24" t="s">
        <v>274</v>
      </c>
      <c r="K24" t="s">
        <v>294</v>
      </c>
      <c r="P24" t="s">
        <v>492</v>
      </c>
      <c r="Q24" t="s">
        <v>501</v>
      </c>
      <c r="S24" t="s">
        <v>503</v>
      </c>
      <c r="T24" t="s">
        <v>508</v>
      </c>
      <c r="U24" t="s">
        <v>511</v>
      </c>
      <c r="V24">
        <v>11233</v>
      </c>
      <c r="W24" t="s">
        <v>524</v>
      </c>
      <c r="Z24" t="s">
        <v>576</v>
      </c>
      <c r="AA24" t="s">
        <v>743</v>
      </c>
      <c r="AB24" t="s">
        <v>902</v>
      </c>
      <c r="AC24" t="s">
        <v>904</v>
      </c>
      <c r="AF24" t="s">
        <v>923</v>
      </c>
      <c r="AI24">
        <v>3.7</v>
      </c>
      <c r="AK24" t="s">
        <v>939</v>
      </c>
      <c r="AL24" t="s">
        <v>274</v>
      </c>
      <c r="AM24" t="s">
        <v>973</v>
      </c>
      <c r="AN24" t="s">
        <v>293</v>
      </c>
      <c r="AT24">
        <v>1</v>
      </c>
      <c r="AU24">
        <v>1</v>
      </c>
      <c r="AV24" t="s">
        <v>273</v>
      </c>
      <c r="AY24" t="s">
        <v>273</v>
      </c>
      <c r="BB24">
        <v>0</v>
      </c>
      <c r="BC24">
        <v>0</v>
      </c>
      <c r="BD24">
        <v>0</v>
      </c>
      <c r="BE24">
        <v>0</v>
      </c>
      <c r="BF24" t="s">
        <v>1063</v>
      </c>
      <c r="BG24" t="s">
        <v>1081</v>
      </c>
      <c r="BH24">
        <v>54</v>
      </c>
      <c r="BI24" t="s">
        <v>1251</v>
      </c>
      <c r="BK24">
        <v>1908361</v>
      </c>
    </row>
    <row r="25" spans="1:64">
      <c r="A25" s="1">
        <f>HYPERLINK("https://lsnyc.legalserver.org/matter/dynamic-profile/view/1907518","19-1907518")</f>
        <v>0</v>
      </c>
      <c r="B25" t="s">
        <v>82</v>
      </c>
      <c r="C25" t="s">
        <v>250</v>
      </c>
      <c r="D25" t="s">
        <v>252</v>
      </c>
      <c r="E25" t="s">
        <v>265</v>
      </c>
      <c r="F25" t="s">
        <v>273</v>
      </c>
      <c r="G25" t="s">
        <v>275</v>
      </c>
      <c r="H25">
        <v>85.16</v>
      </c>
      <c r="I25" t="s">
        <v>274</v>
      </c>
      <c r="K25" t="s">
        <v>295</v>
      </c>
      <c r="P25" t="s">
        <v>492</v>
      </c>
      <c r="Q25" t="s">
        <v>501</v>
      </c>
      <c r="S25" t="s">
        <v>503</v>
      </c>
      <c r="T25" t="s">
        <v>508</v>
      </c>
      <c r="U25" t="s">
        <v>511</v>
      </c>
      <c r="V25">
        <v>11214</v>
      </c>
      <c r="W25" t="s">
        <v>520</v>
      </c>
      <c r="X25" t="s">
        <v>548</v>
      </c>
      <c r="Y25" t="s">
        <v>275</v>
      </c>
      <c r="Z25" t="s">
        <v>577</v>
      </c>
      <c r="AA25" t="s">
        <v>744</v>
      </c>
      <c r="AB25" t="s">
        <v>902</v>
      </c>
      <c r="AC25" t="s">
        <v>905</v>
      </c>
      <c r="AF25" t="s">
        <v>923</v>
      </c>
      <c r="AI25">
        <v>1</v>
      </c>
      <c r="AJ25" t="s">
        <v>558</v>
      </c>
      <c r="AK25" t="s">
        <v>941</v>
      </c>
      <c r="AL25" t="s">
        <v>274</v>
      </c>
      <c r="AT25">
        <v>1</v>
      </c>
      <c r="AU25">
        <v>1</v>
      </c>
      <c r="AV25" t="s">
        <v>273</v>
      </c>
      <c r="AY25" t="s">
        <v>273</v>
      </c>
      <c r="BB25">
        <v>0</v>
      </c>
      <c r="BC25">
        <v>0</v>
      </c>
      <c r="BD25">
        <v>0</v>
      </c>
      <c r="BE25">
        <v>0</v>
      </c>
      <c r="BF25" t="s">
        <v>1063</v>
      </c>
      <c r="BG25" t="s">
        <v>1082</v>
      </c>
      <c r="BH25">
        <v>23</v>
      </c>
      <c r="BI25" t="s">
        <v>1253</v>
      </c>
      <c r="BK25">
        <v>1864316</v>
      </c>
      <c r="BL25" t="s">
        <v>274</v>
      </c>
    </row>
    <row r="26" spans="1:64">
      <c r="A26" s="1">
        <f>HYPERLINK("https://lsnyc.legalserver.org/matter/dynamic-profile/view/1907157","19-1907157")</f>
        <v>0</v>
      </c>
      <c r="B26" t="s">
        <v>83</v>
      </c>
      <c r="C26" t="s">
        <v>250</v>
      </c>
      <c r="D26" t="s">
        <v>252</v>
      </c>
      <c r="E26" t="s">
        <v>261</v>
      </c>
      <c r="F26" t="s">
        <v>273</v>
      </c>
      <c r="G26" t="s">
        <v>275</v>
      </c>
      <c r="H26">
        <v>121.17</v>
      </c>
      <c r="I26" t="s">
        <v>274</v>
      </c>
      <c r="K26" t="s">
        <v>296</v>
      </c>
      <c r="L26" t="s">
        <v>442</v>
      </c>
      <c r="P26" t="s">
        <v>493</v>
      </c>
      <c r="Q26" t="s">
        <v>501</v>
      </c>
      <c r="S26" t="s">
        <v>503</v>
      </c>
      <c r="T26" t="s">
        <v>507</v>
      </c>
      <c r="U26" t="s">
        <v>511</v>
      </c>
      <c r="V26">
        <v>11207</v>
      </c>
      <c r="W26" t="s">
        <v>517</v>
      </c>
      <c r="Y26" t="s">
        <v>275</v>
      </c>
      <c r="Z26" t="s">
        <v>578</v>
      </c>
      <c r="AA26" t="s">
        <v>745</v>
      </c>
      <c r="AB26" t="s">
        <v>902</v>
      </c>
      <c r="AC26" t="s">
        <v>904</v>
      </c>
      <c r="AD26" t="s">
        <v>275</v>
      </c>
      <c r="AE26" t="s">
        <v>918</v>
      </c>
      <c r="AF26" t="s">
        <v>927</v>
      </c>
      <c r="AI26">
        <v>3.3</v>
      </c>
      <c r="AK26" t="s">
        <v>939</v>
      </c>
      <c r="AL26" t="s">
        <v>274</v>
      </c>
      <c r="AQ26" t="s">
        <v>1034</v>
      </c>
      <c r="AR26" t="s">
        <v>1052</v>
      </c>
      <c r="AT26">
        <v>2</v>
      </c>
      <c r="AU26">
        <v>2</v>
      </c>
      <c r="AV26" t="s">
        <v>273</v>
      </c>
      <c r="AY26" t="s">
        <v>273</v>
      </c>
      <c r="BB26">
        <v>0</v>
      </c>
      <c r="BC26">
        <v>0</v>
      </c>
      <c r="BD26">
        <v>0</v>
      </c>
      <c r="BE26">
        <v>0</v>
      </c>
      <c r="BF26" t="s">
        <v>493</v>
      </c>
      <c r="BG26" t="s">
        <v>1083</v>
      </c>
      <c r="BH26">
        <v>39</v>
      </c>
      <c r="BI26" t="s">
        <v>1254</v>
      </c>
      <c r="BK26">
        <v>1907813</v>
      </c>
      <c r="BL26" t="s">
        <v>275</v>
      </c>
    </row>
    <row r="27" spans="1:64">
      <c r="A27" s="1">
        <f>HYPERLINK("https://lsnyc.legalserver.org/matter/dynamic-profile/view/1907114","19-1907114")</f>
        <v>0</v>
      </c>
      <c r="B27" t="s">
        <v>84</v>
      </c>
      <c r="C27" t="s">
        <v>250</v>
      </c>
      <c r="D27" t="s">
        <v>257</v>
      </c>
      <c r="E27" t="s">
        <v>263</v>
      </c>
      <c r="F27" t="s">
        <v>273</v>
      </c>
      <c r="G27" t="s">
        <v>275</v>
      </c>
      <c r="H27">
        <v>0</v>
      </c>
      <c r="I27" t="s">
        <v>274</v>
      </c>
      <c r="K27" t="s">
        <v>297</v>
      </c>
      <c r="O27" t="s">
        <v>275</v>
      </c>
      <c r="P27" t="s">
        <v>492</v>
      </c>
      <c r="Q27" t="s">
        <v>501</v>
      </c>
      <c r="S27" t="s">
        <v>503</v>
      </c>
      <c r="T27" t="s">
        <v>508</v>
      </c>
      <c r="U27" t="s">
        <v>511</v>
      </c>
      <c r="V27">
        <v>10460</v>
      </c>
      <c r="W27" t="s">
        <v>518</v>
      </c>
      <c r="X27" t="s">
        <v>548</v>
      </c>
      <c r="Y27" t="s">
        <v>275</v>
      </c>
      <c r="Z27" t="s">
        <v>579</v>
      </c>
      <c r="AA27" t="s">
        <v>746</v>
      </c>
      <c r="AB27" t="s">
        <v>902</v>
      </c>
      <c r="AC27" t="s">
        <v>907</v>
      </c>
      <c r="AI27">
        <v>8</v>
      </c>
      <c r="AJ27" t="s">
        <v>931</v>
      </c>
      <c r="AK27" t="s">
        <v>934</v>
      </c>
      <c r="AL27" t="s">
        <v>274</v>
      </c>
      <c r="AT27">
        <v>3</v>
      </c>
      <c r="AU27">
        <v>1</v>
      </c>
      <c r="AV27" t="s">
        <v>273</v>
      </c>
      <c r="AY27" t="s">
        <v>273</v>
      </c>
      <c r="BB27">
        <v>0</v>
      </c>
      <c r="BC27">
        <v>0</v>
      </c>
      <c r="BD27">
        <v>0</v>
      </c>
      <c r="BE27">
        <v>0</v>
      </c>
      <c r="BF27" t="s">
        <v>1063</v>
      </c>
      <c r="BG27" t="s">
        <v>1084</v>
      </c>
      <c r="BH27">
        <v>33</v>
      </c>
      <c r="BI27" t="s">
        <v>1247</v>
      </c>
      <c r="BK27">
        <v>1907770</v>
      </c>
    </row>
    <row r="28" spans="1:64">
      <c r="A28" s="1">
        <f>HYPERLINK("https://lsnyc.legalserver.org/matter/dynamic-profile/view/1906769","19-1906769")</f>
        <v>0</v>
      </c>
      <c r="B28" t="s">
        <v>85</v>
      </c>
      <c r="C28" t="s">
        <v>250</v>
      </c>
      <c r="D28" t="s">
        <v>252</v>
      </c>
      <c r="E28" t="s">
        <v>261</v>
      </c>
      <c r="F28" t="s">
        <v>273</v>
      </c>
      <c r="G28" t="s">
        <v>275</v>
      </c>
      <c r="H28">
        <v>117.03</v>
      </c>
      <c r="K28" t="s">
        <v>298</v>
      </c>
      <c r="L28" t="s">
        <v>443</v>
      </c>
      <c r="P28" t="s">
        <v>493</v>
      </c>
      <c r="Q28" t="s">
        <v>501</v>
      </c>
      <c r="S28" t="s">
        <v>503</v>
      </c>
      <c r="T28" t="s">
        <v>508</v>
      </c>
      <c r="U28" t="s">
        <v>511</v>
      </c>
      <c r="V28">
        <v>11221</v>
      </c>
      <c r="W28" t="s">
        <v>525</v>
      </c>
      <c r="Z28" t="s">
        <v>580</v>
      </c>
      <c r="AA28" t="s">
        <v>747</v>
      </c>
      <c r="AB28" t="s">
        <v>902</v>
      </c>
      <c r="AC28" t="s">
        <v>904</v>
      </c>
      <c r="AD28" t="s">
        <v>275</v>
      </c>
      <c r="AE28" t="s">
        <v>918</v>
      </c>
      <c r="AF28" t="s">
        <v>927</v>
      </c>
      <c r="AI28">
        <v>3.2</v>
      </c>
      <c r="AQ28" t="s">
        <v>1034</v>
      </c>
      <c r="AR28" t="s">
        <v>1053</v>
      </c>
      <c r="AS28" t="s">
        <v>1057</v>
      </c>
      <c r="AT28">
        <v>1</v>
      </c>
      <c r="AU28">
        <v>6</v>
      </c>
      <c r="AV28" t="s">
        <v>273</v>
      </c>
      <c r="AY28" t="s">
        <v>273</v>
      </c>
      <c r="BB28">
        <v>0</v>
      </c>
      <c r="BC28">
        <v>0</v>
      </c>
      <c r="BD28">
        <v>0</v>
      </c>
      <c r="BE28">
        <v>0</v>
      </c>
      <c r="BF28" t="s">
        <v>493</v>
      </c>
      <c r="BG28" t="s">
        <v>1085</v>
      </c>
      <c r="BH28">
        <v>41</v>
      </c>
      <c r="BI28" t="s">
        <v>1255</v>
      </c>
      <c r="BK28">
        <v>1907424</v>
      </c>
    </row>
    <row r="29" spans="1:64">
      <c r="A29" s="1">
        <f>HYPERLINK("https://lsnyc.legalserver.org/matter/dynamic-profile/view/1906299","19-1906299")</f>
        <v>0</v>
      </c>
      <c r="B29" t="s">
        <v>70</v>
      </c>
      <c r="C29" t="s">
        <v>250</v>
      </c>
      <c r="D29" t="s">
        <v>255</v>
      </c>
      <c r="E29" t="s">
        <v>262</v>
      </c>
      <c r="F29" t="s">
        <v>273</v>
      </c>
      <c r="G29" t="s">
        <v>275</v>
      </c>
      <c r="H29">
        <v>0</v>
      </c>
      <c r="I29" t="s">
        <v>274</v>
      </c>
      <c r="K29" t="s">
        <v>299</v>
      </c>
      <c r="P29" t="s">
        <v>492</v>
      </c>
      <c r="Q29" t="s">
        <v>502</v>
      </c>
      <c r="S29" t="s">
        <v>503</v>
      </c>
      <c r="T29" t="s">
        <v>508</v>
      </c>
      <c r="U29" t="s">
        <v>511</v>
      </c>
      <c r="V29">
        <v>10031</v>
      </c>
      <c r="W29" t="s">
        <v>520</v>
      </c>
      <c r="X29" t="s">
        <v>548</v>
      </c>
      <c r="Z29" t="s">
        <v>565</v>
      </c>
      <c r="AA29" t="s">
        <v>733</v>
      </c>
      <c r="AB29" t="s">
        <v>902</v>
      </c>
      <c r="AC29" t="s">
        <v>905</v>
      </c>
      <c r="AF29" t="s">
        <v>923</v>
      </c>
      <c r="AI29">
        <v>0.25</v>
      </c>
      <c r="AK29" t="s">
        <v>934</v>
      </c>
      <c r="AL29" t="s">
        <v>274</v>
      </c>
      <c r="AM29" t="s">
        <v>973</v>
      </c>
      <c r="AN29" t="s">
        <v>982</v>
      </c>
      <c r="AT29">
        <v>0</v>
      </c>
      <c r="AU29">
        <v>1</v>
      </c>
      <c r="AV29" t="s">
        <v>273</v>
      </c>
      <c r="AY29" t="s">
        <v>273</v>
      </c>
      <c r="BB29">
        <v>0</v>
      </c>
      <c r="BC29">
        <v>0</v>
      </c>
      <c r="BD29">
        <v>0</v>
      </c>
      <c r="BE29">
        <v>0</v>
      </c>
      <c r="BF29" t="s">
        <v>1063</v>
      </c>
      <c r="BG29" t="s">
        <v>1070</v>
      </c>
      <c r="BH29">
        <v>20</v>
      </c>
      <c r="BI29" t="s">
        <v>1247</v>
      </c>
      <c r="BK29">
        <v>1903479</v>
      </c>
    </row>
    <row r="30" spans="1:64">
      <c r="A30" s="1">
        <f>HYPERLINK("https://lsnyc.legalserver.org/matter/dynamic-profile/view/1904550","19-1904550")</f>
        <v>0</v>
      </c>
      <c r="B30" t="s">
        <v>86</v>
      </c>
      <c r="C30" t="s">
        <v>250</v>
      </c>
      <c r="D30" t="s">
        <v>252</v>
      </c>
      <c r="E30" t="s">
        <v>261</v>
      </c>
      <c r="F30" t="s">
        <v>273</v>
      </c>
      <c r="G30" t="s">
        <v>275</v>
      </c>
      <c r="H30">
        <v>0</v>
      </c>
      <c r="I30" t="s">
        <v>274</v>
      </c>
      <c r="K30" t="s">
        <v>300</v>
      </c>
      <c r="L30" t="s">
        <v>286</v>
      </c>
      <c r="P30" t="s">
        <v>493</v>
      </c>
      <c r="Q30" t="s">
        <v>501</v>
      </c>
      <c r="S30" t="s">
        <v>503</v>
      </c>
      <c r="T30" t="s">
        <v>508</v>
      </c>
      <c r="U30" t="s">
        <v>511</v>
      </c>
      <c r="V30">
        <v>11236</v>
      </c>
      <c r="W30" t="s">
        <v>520</v>
      </c>
      <c r="Y30" t="s">
        <v>275</v>
      </c>
      <c r="Z30" t="s">
        <v>581</v>
      </c>
      <c r="AA30" t="s">
        <v>748</v>
      </c>
      <c r="AB30" t="s">
        <v>902</v>
      </c>
      <c r="AC30" t="s">
        <v>906</v>
      </c>
      <c r="AD30" t="s">
        <v>275</v>
      </c>
      <c r="AE30" t="s">
        <v>919</v>
      </c>
      <c r="AF30" t="s">
        <v>923</v>
      </c>
      <c r="AI30">
        <v>8.300000000000001</v>
      </c>
      <c r="AK30" t="s">
        <v>942</v>
      </c>
      <c r="AL30" t="s">
        <v>274</v>
      </c>
      <c r="AM30" t="s">
        <v>973</v>
      </c>
      <c r="AN30" t="s">
        <v>287</v>
      </c>
      <c r="AQ30" t="s">
        <v>1035</v>
      </c>
      <c r="AR30" t="s">
        <v>1051</v>
      </c>
      <c r="AT30">
        <v>0</v>
      </c>
      <c r="AU30">
        <v>2</v>
      </c>
      <c r="AV30" t="s">
        <v>273</v>
      </c>
      <c r="AY30" t="s">
        <v>273</v>
      </c>
      <c r="BB30">
        <v>0</v>
      </c>
      <c r="BC30">
        <v>0</v>
      </c>
      <c r="BD30">
        <v>0</v>
      </c>
      <c r="BE30">
        <v>0</v>
      </c>
      <c r="BF30" t="s">
        <v>493</v>
      </c>
      <c r="BG30" t="s">
        <v>1086</v>
      </c>
      <c r="BH30">
        <v>43</v>
      </c>
      <c r="BI30" t="s">
        <v>1247</v>
      </c>
      <c r="BK30">
        <v>1875072</v>
      </c>
      <c r="BL30" t="s">
        <v>275</v>
      </c>
    </row>
    <row r="31" spans="1:64">
      <c r="A31" s="1">
        <f>HYPERLINK("https://lsnyc.legalserver.org/matter/dynamic-profile/view/1904410","19-1904410")</f>
        <v>0</v>
      </c>
      <c r="B31" t="s">
        <v>87</v>
      </c>
      <c r="C31" t="s">
        <v>250</v>
      </c>
      <c r="D31" t="s">
        <v>252</v>
      </c>
      <c r="E31" t="s">
        <v>262</v>
      </c>
      <c r="F31" t="s">
        <v>273</v>
      </c>
      <c r="G31" t="s">
        <v>275</v>
      </c>
      <c r="H31">
        <v>0</v>
      </c>
      <c r="I31" t="s">
        <v>274</v>
      </c>
      <c r="K31" t="s">
        <v>301</v>
      </c>
      <c r="L31" t="s">
        <v>444</v>
      </c>
      <c r="M31" t="s">
        <v>472</v>
      </c>
      <c r="N31" t="s">
        <v>302</v>
      </c>
      <c r="P31" t="s">
        <v>493</v>
      </c>
      <c r="Q31" t="s">
        <v>501</v>
      </c>
      <c r="S31" t="s">
        <v>503</v>
      </c>
      <c r="T31" t="s">
        <v>507</v>
      </c>
      <c r="U31" t="s">
        <v>511</v>
      </c>
      <c r="V31">
        <v>11207</v>
      </c>
      <c r="W31" t="s">
        <v>520</v>
      </c>
      <c r="X31" t="s">
        <v>549</v>
      </c>
      <c r="Y31" t="s">
        <v>275</v>
      </c>
      <c r="Z31" t="s">
        <v>582</v>
      </c>
      <c r="AA31" t="s">
        <v>749</v>
      </c>
      <c r="AB31" t="s">
        <v>902</v>
      </c>
      <c r="AC31" t="s">
        <v>905</v>
      </c>
      <c r="AD31" t="s">
        <v>275</v>
      </c>
      <c r="AE31" t="s">
        <v>919</v>
      </c>
      <c r="AF31" t="s">
        <v>923</v>
      </c>
      <c r="AI31">
        <v>5.25</v>
      </c>
      <c r="AK31" t="s">
        <v>943</v>
      </c>
      <c r="AL31" t="s">
        <v>274</v>
      </c>
      <c r="AM31" t="s">
        <v>973</v>
      </c>
      <c r="AN31" t="s">
        <v>302</v>
      </c>
      <c r="AO31" t="s">
        <v>976</v>
      </c>
      <c r="AP31" t="s">
        <v>444</v>
      </c>
      <c r="AQ31" t="s">
        <v>1036</v>
      </c>
      <c r="AR31" t="s">
        <v>1051</v>
      </c>
      <c r="AT31">
        <v>0</v>
      </c>
      <c r="AU31">
        <v>1</v>
      </c>
      <c r="AV31" t="s">
        <v>273</v>
      </c>
      <c r="AY31" t="s">
        <v>273</v>
      </c>
      <c r="BB31">
        <v>0</v>
      </c>
      <c r="BC31">
        <v>0</v>
      </c>
      <c r="BD31">
        <v>0</v>
      </c>
      <c r="BE31">
        <v>0</v>
      </c>
      <c r="BF31" t="s">
        <v>493</v>
      </c>
      <c r="BG31" t="s">
        <v>1087</v>
      </c>
      <c r="BH31">
        <v>29</v>
      </c>
      <c r="BI31" t="s">
        <v>1247</v>
      </c>
      <c r="BK31">
        <v>1883910</v>
      </c>
      <c r="BL31" t="s">
        <v>275</v>
      </c>
    </row>
    <row r="32" spans="1:64">
      <c r="A32" s="1">
        <f>HYPERLINK("https://lsnyc.legalserver.org/matter/dynamic-profile/view/1904416","19-1904416")</f>
        <v>0</v>
      </c>
      <c r="B32" t="s">
        <v>88</v>
      </c>
      <c r="C32" t="s">
        <v>250</v>
      </c>
      <c r="D32" t="s">
        <v>252</v>
      </c>
      <c r="E32" t="s">
        <v>262</v>
      </c>
      <c r="F32" t="s">
        <v>273</v>
      </c>
      <c r="G32" t="s">
        <v>275</v>
      </c>
      <c r="H32">
        <v>0</v>
      </c>
      <c r="I32" t="s">
        <v>274</v>
      </c>
      <c r="K32" t="s">
        <v>301</v>
      </c>
      <c r="L32" t="s">
        <v>445</v>
      </c>
      <c r="P32" t="s">
        <v>493</v>
      </c>
      <c r="Q32" t="s">
        <v>501</v>
      </c>
      <c r="S32" t="s">
        <v>503</v>
      </c>
      <c r="T32" t="s">
        <v>508</v>
      </c>
      <c r="U32" t="s">
        <v>511</v>
      </c>
      <c r="V32">
        <v>11207</v>
      </c>
      <c r="W32" t="s">
        <v>520</v>
      </c>
      <c r="X32" t="s">
        <v>552</v>
      </c>
      <c r="Y32" t="s">
        <v>274</v>
      </c>
      <c r="Z32" t="s">
        <v>583</v>
      </c>
      <c r="AA32" t="s">
        <v>750</v>
      </c>
      <c r="AB32" t="s">
        <v>902</v>
      </c>
      <c r="AC32" t="s">
        <v>906</v>
      </c>
      <c r="AD32" t="s">
        <v>275</v>
      </c>
      <c r="AE32" t="s">
        <v>918</v>
      </c>
      <c r="AF32" t="s">
        <v>923</v>
      </c>
      <c r="AI32">
        <v>3.5</v>
      </c>
      <c r="AK32" t="s">
        <v>937</v>
      </c>
      <c r="AL32" t="s">
        <v>274</v>
      </c>
      <c r="AM32" t="s">
        <v>975</v>
      </c>
      <c r="AN32" t="s">
        <v>292</v>
      </c>
      <c r="AQ32" t="s">
        <v>1037</v>
      </c>
      <c r="AR32" t="s">
        <v>1051</v>
      </c>
      <c r="AT32">
        <v>1</v>
      </c>
      <c r="AU32">
        <v>1</v>
      </c>
      <c r="AV32" t="s">
        <v>273</v>
      </c>
      <c r="AY32" t="s">
        <v>273</v>
      </c>
      <c r="BB32">
        <v>0</v>
      </c>
      <c r="BC32">
        <v>0</v>
      </c>
      <c r="BD32">
        <v>0</v>
      </c>
      <c r="BE32">
        <v>0</v>
      </c>
      <c r="BF32" t="s">
        <v>493</v>
      </c>
      <c r="BG32" t="s">
        <v>1088</v>
      </c>
      <c r="BH32">
        <v>51</v>
      </c>
      <c r="BI32" t="s">
        <v>1247</v>
      </c>
      <c r="BK32">
        <v>739287</v>
      </c>
    </row>
    <row r="33" spans="1:64">
      <c r="A33" s="1">
        <f>HYPERLINK("https://lsnyc.legalserver.org/matter/dynamic-profile/view/1904397","19-1904397")</f>
        <v>0</v>
      </c>
      <c r="B33" t="s">
        <v>89</v>
      </c>
      <c r="C33" t="s">
        <v>250</v>
      </c>
      <c r="D33" t="s">
        <v>257</v>
      </c>
      <c r="E33" t="s">
        <v>262</v>
      </c>
      <c r="F33" t="s">
        <v>273</v>
      </c>
      <c r="G33" t="s">
        <v>275</v>
      </c>
      <c r="H33">
        <v>0</v>
      </c>
      <c r="I33" t="s">
        <v>274</v>
      </c>
      <c r="K33" t="s">
        <v>301</v>
      </c>
      <c r="L33" t="s">
        <v>446</v>
      </c>
      <c r="M33" t="s">
        <v>472</v>
      </c>
      <c r="N33" t="s">
        <v>478</v>
      </c>
      <c r="P33" t="s">
        <v>493</v>
      </c>
      <c r="Q33" t="s">
        <v>502</v>
      </c>
      <c r="S33" t="s">
        <v>503</v>
      </c>
      <c r="T33" t="s">
        <v>508</v>
      </c>
      <c r="U33" t="s">
        <v>511</v>
      </c>
      <c r="V33">
        <v>10458</v>
      </c>
      <c r="W33" t="s">
        <v>526</v>
      </c>
      <c r="X33" t="s">
        <v>548</v>
      </c>
      <c r="Y33" t="s">
        <v>275</v>
      </c>
      <c r="Z33" t="s">
        <v>584</v>
      </c>
      <c r="AA33" t="s">
        <v>751</v>
      </c>
      <c r="AB33" t="s">
        <v>902</v>
      </c>
      <c r="AC33" t="s">
        <v>905</v>
      </c>
      <c r="AD33" t="s">
        <v>274</v>
      </c>
      <c r="AE33" t="s">
        <v>919</v>
      </c>
      <c r="AF33" t="s">
        <v>923</v>
      </c>
      <c r="AI33">
        <v>1.35</v>
      </c>
      <c r="AJ33" t="s">
        <v>558</v>
      </c>
      <c r="AK33" t="s">
        <v>936</v>
      </c>
      <c r="AL33" t="s">
        <v>274</v>
      </c>
      <c r="AM33" t="s">
        <v>976</v>
      </c>
      <c r="AN33" t="s">
        <v>478</v>
      </c>
      <c r="AQ33" t="s">
        <v>1038</v>
      </c>
      <c r="AR33" t="s">
        <v>1051</v>
      </c>
      <c r="AT33">
        <v>1</v>
      </c>
      <c r="AU33">
        <v>3</v>
      </c>
      <c r="AV33" t="s">
        <v>273</v>
      </c>
      <c r="AY33" t="s">
        <v>273</v>
      </c>
      <c r="BB33">
        <v>0</v>
      </c>
      <c r="BC33">
        <v>0</v>
      </c>
      <c r="BD33">
        <v>0</v>
      </c>
      <c r="BE33">
        <v>0</v>
      </c>
      <c r="BF33" t="s">
        <v>493</v>
      </c>
      <c r="BG33" t="s">
        <v>1089</v>
      </c>
      <c r="BH33">
        <v>22</v>
      </c>
      <c r="BI33" t="s">
        <v>1247</v>
      </c>
      <c r="BK33">
        <v>1892606</v>
      </c>
      <c r="BL33" t="s">
        <v>274</v>
      </c>
    </row>
    <row r="34" spans="1:64">
      <c r="A34" s="1">
        <f>HYPERLINK("https://lsnyc.legalserver.org/matter/dynamic-profile/view/1904392","19-1904392")</f>
        <v>0</v>
      </c>
      <c r="B34" t="s">
        <v>90</v>
      </c>
      <c r="C34" t="s">
        <v>250</v>
      </c>
      <c r="D34" t="s">
        <v>252</v>
      </c>
      <c r="E34" t="s">
        <v>262</v>
      </c>
      <c r="F34" t="s">
        <v>273</v>
      </c>
      <c r="G34" t="s">
        <v>275</v>
      </c>
      <c r="H34">
        <v>0</v>
      </c>
      <c r="I34" t="s">
        <v>274</v>
      </c>
      <c r="K34" t="s">
        <v>301</v>
      </c>
      <c r="M34" t="s">
        <v>473</v>
      </c>
      <c r="N34" t="s">
        <v>479</v>
      </c>
      <c r="P34" t="s">
        <v>492</v>
      </c>
      <c r="Q34" t="s">
        <v>501</v>
      </c>
      <c r="S34" t="s">
        <v>504</v>
      </c>
      <c r="T34" t="s">
        <v>508</v>
      </c>
      <c r="U34" t="s">
        <v>512</v>
      </c>
      <c r="V34">
        <v>11212</v>
      </c>
      <c r="X34" t="s">
        <v>549</v>
      </c>
      <c r="Y34" t="s">
        <v>275</v>
      </c>
      <c r="Z34" t="s">
        <v>585</v>
      </c>
      <c r="AA34" t="s">
        <v>752</v>
      </c>
      <c r="AB34" t="s">
        <v>902</v>
      </c>
      <c r="AC34" t="s">
        <v>905</v>
      </c>
      <c r="AF34" t="s">
        <v>924</v>
      </c>
      <c r="AI34">
        <v>0.4</v>
      </c>
      <c r="AK34" t="s">
        <v>939</v>
      </c>
      <c r="AL34" t="s">
        <v>274</v>
      </c>
      <c r="AT34">
        <v>1</v>
      </c>
      <c r="AU34">
        <v>1</v>
      </c>
      <c r="AV34" t="s">
        <v>273</v>
      </c>
      <c r="AY34" t="s">
        <v>273</v>
      </c>
      <c r="BB34">
        <v>0</v>
      </c>
      <c r="BC34">
        <v>0</v>
      </c>
      <c r="BD34">
        <v>0</v>
      </c>
      <c r="BE34">
        <v>0</v>
      </c>
      <c r="BF34" t="s">
        <v>1063</v>
      </c>
      <c r="BG34" t="s">
        <v>1090</v>
      </c>
      <c r="BH34">
        <v>16</v>
      </c>
      <c r="BI34" t="s">
        <v>1247</v>
      </c>
      <c r="BK34">
        <v>1898267</v>
      </c>
      <c r="BL34" t="s">
        <v>275</v>
      </c>
    </row>
    <row r="35" spans="1:64">
      <c r="A35" s="1">
        <f>HYPERLINK("https://lsnyc.legalserver.org/matter/dynamic-profile/view/1904407","19-1904407")</f>
        <v>0</v>
      </c>
      <c r="B35" t="s">
        <v>91</v>
      </c>
      <c r="C35" t="s">
        <v>250</v>
      </c>
      <c r="D35" t="s">
        <v>252</v>
      </c>
      <c r="E35" t="s">
        <v>262</v>
      </c>
      <c r="F35" t="s">
        <v>273</v>
      </c>
      <c r="G35" t="s">
        <v>275</v>
      </c>
      <c r="H35">
        <v>1.6</v>
      </c>
      <c r="I35" t="s">
        <v>274</v>
      </c>
      <c r="K35" t="s">
        <v>301</v>
      </c>
      <c r="P35" t="s">
        <v>492</v>
      </c>
      <c r="Q35" t="s">
        <v>501</v>
      </c>
      <c r="S35" t="s">
        <v>503</v>
      </c>
      <c r="T35" t="s">
        <v>507</v>
      </c>
      <c r="U35" t="s">
        <v>511</v>
      </c>
      <c r="V35">
        <v>11236</v>
      </c>
      <c r="W35" t="s">
        <v>527</v>
      </c>
      <c r="X35" t="s">
        <v>549</v>
      </c>
      <c r="Y35" t="s">
        <v>275</v>
      </c>
      <c r="Z35" t="s">
        <v>586</v>
      </c>
      <c r="AA35" t="s">
        <v>753</v>
      </c>
      <c r="AB35" t="s">
        <v>902</v>
      </c>
      <c r="AC35" t="s">
        <v>904</v>
      </c>
      <c r="AF35" t="s">
        <v>923</v>
      </c>
      <c r="AI35">
        <v>5.5</v>
      </c>
      <c r="AK35" t="s">
        <v>939</v>
      </c>
      <c r="AL35" t="s">
        <v>274</v>
      </c>
      <c r="AT35">
        <v>0</v>
      </c>
      <c r="AU35">
        <v>1</v>
      </c>
      <c r="AV35" t="s">
        <v>273</v>
      </c>
      <c r="AY35" t="s">
        <v>273</v>
      </c>
      <c r="BB35">
        <v>0</v>
      </c>
      <c r="BC35">
        <v>0</v>
      </c>
      <c r="BD35">
        <v>0</v>
      </c>
      <c r="BE35">
        <v>0</v>
      </c>
      <c r="BF35" t="s">
        <v>1063</v>
      </c>
      <c r="BG35" t="s">
        <v>1091</v>
      </c>
      <c r="BH35">
        <v>64</v>
      </c>
      <c r="BI35" t="s">
        <v>1256</v>
      </c>
      <c r="BK35">
        <v>1880114</v>
      </c>
      <c r="BL35" t="s">
        <v>275</v>
      </c>
    </row>
    <row r="36" spans="1:64">
      <c r="A36" s="1">
        <f>HYPERLINK("https://lsnyc.legalserver.org/matter/dynamic-profile/view/1910127","19-1910127")</f>
        <v>0</v>
      </c>
      <c r="B36" t="s">
        <v>92</v>
      </c>
      <c r="C36" t="s">
        <v>250</v>
      </c>
      <c r="D36" t="s">
        <v>253</v>
      </c>
      <c r="E36" t="s">
        <v>265</v>
      </c>
      <c r="F36" t="s">
        <v>273</v>
      </c>
      <c r="G36" t="s">
        <v>275</v>
      </c>
      <c r="H36">
        <v>0</v>
      </c>
      <c r="I36" t="s">
        <v>274</v>
      </c>
      <c r="K36" t="s">
        <v>302</v>
      </c>
      <c r="P36" t="s">
        <v>497</v>
      </c>
      <c r="Q36" t="s">
        <v>501</v>
      </c>
      <c r="S36" t="s">
        <v>503</v>
      </c>
      <c r="T36" t="s">
        <v>508</v>
      </c>
      <c r="U36" t="s">
        <v>511</v>
      </c>
      <c r="V36">
        <v>11435</v>
      </c>
      <c r="W36" t="s">
        <v>520</v>
      </c>
      <c r="X36" t="s">
        <v>549</v>
      </c>
      <c r="Y36" t="s">
        <v>274</v>
      </c>
      <c r="Z36" t="s">
        <v>587</v>
      </c>
      <c r="AA36" t="s">
        <v>754</v>
      </c>
      <c r="AB36" t="s">
        <v>902</v>
      </c>
      <c r="AC36" t="s">
        <v>906</v>
      </c>
      <c r="AF36" t="s">
        <v>923</v>
      </c>
      <c r="AI36">
        <v>0.3</v>
      </c>
      <c r="AJ36" t="s">
        <v>558</v>
      </c>
      <c r="AK36" t="s">
        <v>944</v>
      </c>
      <c r="AL36" t="s">
        <v>274</v>
      </c>
      <c r="AM36" t="s">
        <v>973</v>
      </c>
      <c r="AN36" t="s">
        <v>302</v>
      </c>
      <c r="AT36">
        <v>2</v>
      </c>
      <c r="AU36">
        <v>1</v>
      </c>
      <c r="AV36" t="s">
        <v>273</v>
      </c>
      <c r="AY36" t="s">
        <v>273</v>
      </c>
      <c r="BB36">
        <v>0</v>
      </c>
      <c r="BC36">
        <v>0</v>
      </c>
      <c r="BD36">
        <v>0</v>
      </c>
      <c r="BE36">
        <v>0</v>
      </c>
      <c r="BF36" t="s">
        <v>1063</v>
      </c>
      <c r="BG36" t="s">
        <v>1092</v>
      </c>
      <c r="BH36">
        <v>43</v>
      </c>
      <c r="BI36" t="s">
        <v>1247</v>
      </c>
      <c r="BK36">
        <v>85938</v>
      </c>
      <c r="BL36" t="s">
        <v>275</v>
      </c>
    </row>
    <row r="37" spans="1:64">
      <c r="A37" s="1">
        <f>HYPERLINK("https://lsnyc.legalserver.org/matter/dynamic-profile/view/1904091","19-1904091")</f>
        <v>0</v>
      </c>
      <c r="B37" t="s">
        <v>93</v>
      </c>
      <c r="C37" t="s">
        <v>250</v>
      </c>
      <c r="D37" t="s">
        <v>257</v>
      </c>
      <c r="E37" t="s">
        <v>262</v>
      </c>
      <c r="F37" t="s">
        <v>273</v>
      </c>
      <c r="G37" t="s">
        <v>275</v>
      </c>
      <c r="H37">
        <v>36.12</v>
      </c>
      <c r="I37" t="s">
        <v>274</v>
      </c>
      <c r="K37" t="s">
        <v>303</v>
      </c>
      <c r="O37" t="s">
        <v>275</v>
      </c>
      <c r="P37" t="s">
        <v>492</v>
      </c>
      <c r="Q37" t="s">
        <v>501</v>
      </c>
      <c r="S37" t="s">
        <v>503</v>
      </c>
      <c r="T37" t="s">
        <v>507</v>
      </c>
      <c r="U37" t="s">
        <v>511</v>
      </c>
      <c r="V37">
        <v>10453</v>
      </c>
      <c r="W37" t="s">
        <v>520</v>
      </c>
      <c r="X37" t="s">
        <v>548</v>
      </c>
      <c r="Y37" t="s">
        <v>275</v>
      </c>
      <c r="Z37" t="s">
        <v>588</v>
      </c>
      <c r="AA37" t="s">
        <v>755</v>
      </c>
      <c r="AB37" t="s">
        <v>902</v>
      </c>
      <c r="AC37" t="s">
        <v>905</v>
      </c>
      <c r="AF37" t="s">
        <v>923</v>
      </c>
      <c r="AI37">
        <v>6.75</v>
      </c>
      <c r="AJ37" t="s">
        <v>558</v>
      </c>
      <c r="AK37" t="s">
        <v>945</v>
      </c>
      <c r="AL37" t="s">
        <v>274</v>
      </c>
      <c r="AM37" t="s">
        <v>973</v>
      </c>
      <c r="AN37" t="s">
        <v>303</v>
      </c>
      <c r="AT37">
        <v>0</v>
      </c>
      <c r="AU37">
        <v>1</v>
      </c>
      <c r="AV37" t="s">
        <v>273</v>
      </c>
      <c r="AY37" t="s">
        <v>273</v>
      </c>
      <c r="BB37">
        <v>0</v>
      </c>
      <c r="BC37">
        <v>0</v>
      </c>
      <c r="BD37">
        <v>0</v>
      </c>
      <c r="BE37">
        <v>0</v>
      </c>
      <c r="BF37" t="s">
        <v>1063</v>
      </c>
      <c r="BG37" t="s">
        <v>1093</v>
      </c>
      <c r="BH37">
        <v>30</v>
      </c>
      <c r="BI37" t="s">
        <v>1257</v>
      </c>
      <c r="BK37">
        <v>810528</v>
      </c>
    </row>
    <row r="38" spans="1:64">
      <c r="A38" s="1">
        <f>HYPERLINK("https://lsnyc.legalserver.org/matter/dynamic-profile/view/1904109","19-1904109")</f>
        <v>0</v>
      </c>
      <c r="B38" t="s">
        <v>94</v>
      </c>
      <c r="C38" t="s">
        <v>250</v>
      </c>
      <c r="D38" t="s">
        <v>252</v>
      </c>
      <c r="E38" t="s">
        <v>263</v>
      </c>
      <c r="F38" t="s">
        <v>273</v>
      </c>
      <c r="G38" t="s">
        <v>275</v>
      </c>
      <c r="H38">
        <v>17.24</v>
      </c>
      <c r="I38" t="s">
        <v>274</v>
      </c>
      <c r="K38" t="s">
        <v>303</v>
      </c>
      <c r="P38" t="s">
        <v>492</v>
      </c>
      <c r="Q38" t="s">
        <v>501</v>
      </c>
      <c r="S38" t="s">
        <v>503</v>
      </c>
      <c r="T38" t="s">
        <v>508</v>
      </c>
      <c r="U38" t="s">
        <v>511</v>
      </c>
      <c r="V38">
        <v>11230</v>
      </c>
      <c r="W38" t="s">
        <v>528</v>
      </c>
      <c r="X38" t="s">
        <v>549</v>
      </c>
      <c r="Y38" t="s">
        <v>275</v>
      </c>
      <c r="Z38" t="s">
        <v>589</v>
      </c>
      <c r="AA38" t="s">
        <v>756</v>
      </c>
      <c r="AB38" t="s">
        <v>902</v>
      </c>
      <c r="AC38" t="s">
        <v>906</v>
      </c>
      <c r="AF38" t="s">
        <v>923</v>
      </c>
      <c r="AI38">
        <v>0.2</v>
      </c>
      <c r="AJ38" t="s">
        <v>931</v>
      </c>
      <c r="AK38" t="s">
        <v>933</v>
      </c>
      <c r="AL38" t="s">
        <v>274</v>
      </c>
      <c r="AM38" t="s">
        <v>973</v>
      </c>
      <c r="AN38" t="s">
        <v>485</v>
      </c>
      <c r="AT38">
        <v>4</v>
      </c>
      <c r="AU38">
        <v>1</v>
      </c>
      <c r="AV38" t="s">
        <v>273</v>
      </c>
      <c r="AY38" t="s">
        <v>273</v>
      </c>
      <c r="BB38">
        <v>0</v>
      </c>
      <c r="BC38">
        <v>0</v>
      </c>
      <c r="BD38">
        <v>0</v>
      </c>
      <c r="BE38">
        <v>0</v>
      </c>
      <c r="BF38" t="s">
        <v>1063</v>
      </c>
      <c r="BG38" t="s">
        <v>1094</v>
      </c>
      <c r="BH38">
        <v>26</v>
      </c>
      <c r="BI38" t="s">
        <v>1258</v>
      </c>
      <c r="BK38">
        <v>1885981</v>
      </c>
    </row>
    <row r="39" spans="1:64">
      <c r="A39" s="1">
        <f>HYPERLINK("https://lsnyc.legalserver.org/matter/dynamic-profile/view/1903650","19-1903650")</f>
        <v>0</v>
      </c>
      <c r="B39" t="s">
        <v>95</v>
      </c>
      <c r="C39" t="s">
        <v>250</v>
      </c>
      <c r="D39" t="s">
        <v>252</v>
      </c>
      <c r="E39" t="s">
        <v>265</v>
      </c>
      <c r="F39" t="s">
        <v>273</v>
      </c>
      <c r="G39" t="s">
        <v>275</v>
      </c>
      <c r="H39">
        <v>93.2</v>
      </c>
      <c r="I39" t="s">
        <v>274</v>
      </c>
      <c r="K39" t="s">
        <v>304</v>
      </c>
      <c r="L39" t="s">
        <v>447</v>
      </c>
      <c r="O39" t="s">
        <v>275</v>
      </c>
      <c r="Q39" t="s">
        <v>502</v>
      </c>
      <c r="S39" t="s">
        <v>503</v>
      </c>
      <c r="T39" t="s">
        <v>507</v>
      </c>
      <c r="U39" t="s">
        <v>511</v>
      </c>
      <c r="V39">
        <v>11239</v>
      </c>
      <c r="X39" t="s">
        <v>548</v>
      </c>
      <c r="Y39" t="s">
        <v>275</v>
      </c>
      <c r="Z39" t="s">
        <v>590</v>
      </c>
      <c r="AA39" t="s">
        <v>757</v>
      </c>
      <c r="AB39" t="s">
        <v>902</v>
      </c>
      <c r="AC39" t="s">
        <v>905</v>
      </c>
      <c r="AD39" t="s">
        <v>916</v>
      </c>
      <c r="AE39" t="s">
        <v>920</v>
      </c>
      <c r="AF39" t="s">
        <v>928</v>
      </c>
      <c r="AI39">
        <v>1.7</v>
      </c>
      <c r="AJ39" t="s">
        <v>558</v>
      </c>
      <c r="AK39" t="s">
        <v>934</v>
      </c>
      <c r="AL39" t="s">
        <v>274</v>
      </c>
      <c r="AM39" t="s">
        <v>975</v>
      </c>
      <c r="AN39" t="s">
        <v>447</v>
      </c>
      <c r="AQ39" t="s">
        <v>1033</v>
      </c>
      <c r="AR39" t="s">
        <v>1053</v>
      </c>
      <c r="AT39">
        <v>2</v>
      </c>
      <c r="AU39">
        <v>2</v>
      </c>
      <c r="AV39" t="s">
        <v>273</v>
      </c>
      <c r="AY39" t="s">
        <v>273</v>
      </c>
      <c r="BB39">
        <v>0</v>
      </c>
      <c r="BC39">
        <v>0</v>
      </c>
      <c r="BD39">
        <v>0</v>
      </c>
      <c r="BE39">
        <v>0</v>
      </c>
      <c r="BF39" t="s">
        <v>493</v>
      </c>
      <c r="BG39" t="s">
        <v>1095</v>
      </c>
      <c r="BH39">
        <v>17</v>
      </c>
      <c r="BI39" t="s">
        <v>1259</v>
      </c>
      <c r="BK39">
        <v>1904305</v>
      </c>
      <c r="BL39" t="s">
        <v>274</v>
      </c>
    </row>
    <row r="40" spans="1:64">
      <c r="A40" s="1">
        <f>HYPERLINK("https://lsnyc.legalserver.org/matter/dynamic-profile/view/1903582","19-1903582")</f>
        <v>0</v>
      </c>
      <c r="B40" t="s">
        <v>72</v>
      </c>
      <c r="C40" t="s">
        <v>250</v>
      </c>
      <c r="D40" t="s">
        <v>252</v>
      </c>
      <c r="E40" t="s">
        <v>265</v>
      </c>
      <c r="F40" t="s">
        <v>273</v>
      </c>
      <c r="G40" t="s">
        <v>275</v>
      </c>
      <c r="H40">
        <v>184.51</v>
      </c>
      <c r="I40" t="s">
        <v>274</v>
      </c>
      <c r="K40" t="s">
        <v>305</v>
      </c>
      <c r="O40" t="s">
        <v>275</v>
      </c>
      <c r="P40" t="s">
        <v>492</v>
      </c>
      <c r="Q40" t="s">
        <v>502</v>
      </c>
      <c r="S40" t="s">
        <v>503</v>
      </c>
      <c r="T40" t="s">
        <v>507</v>
      </c>
      <c r="U40" t="s">
        <v>511</v>
      </c>
      <c r="V40">
        <v>11219</v>
      </c>
      <c r="W40" t="s">
        <v>518</v>
      </c>
      <c r="X40" t="s">
        <v>548</v>
      </c>
      <c r="Y40" t="s">
        <v>275</v>
      </c>
      <c r="Z40" t="s">
        <v>567</v>
      </c>
      <c r="AA40" t="s">
        <v>735</v>
      </c>
      <c r="AB40" t="s">
        <v>902</v>
      </c>
      <c r="AC40" t="s">
        <v>905</v>
      </c>
      <c r="AF40" t="s">
        <v>926</v>
      </c>
      <c r="AI40">
        <v>24.5</v>
      </c>
      <c r="AJ40" t="s">
        <v>558</v>
      </c>
      <c r="AK40" t="s">
        <v>936</v>
      </c>
      <c r="AL40" t="s">
        <v>274</v>
      </c>
      <c r="AT40">
        <v>1</v>
      </c>
      <c r="AU40">
        <v>1</v>
      </c>
      <c r="AV40" t="s">
        <v>273</v>
      </c>
      <c r="AY40" t="s">
        <v>273</v>
      </c>
      <c r="BB40">
        <v>0</v>
      </c>
      <c r="BC40">
        <v>0</v>
      </c>
      <c r="BD40">
        <v>0</v>
      </c>
      <c r="BE40">
        <v>0</v>
      </c>
      <c r="BF40" t="s">
        <v>1063</v>
      </c>
      <c r="BG40" t="s">
        <v>1072</v>
      </c>
      <c r="BH40">
        <v>17</v>
      </c>
      <c r="BI40" t="s">
        <v>1254</v>
      </c>
      <c r="BK40">
        <v>1904237</v>
      </c>
    </row>
    <row r="41" spans="1:64">
      <c r="A41" s="1">
        <f>HYPERLINK("https://lsnyc.legalserver.org/matter/dynamic-profile/view/1903057","19-1903057")</f>
        <v>0</v>
      </c>
      <c r="B41" t="s">
        <v>96</v>
      </c>
      <c r="C41" t="s">
        <v>250</v>
      </c>
      <c r="D41" t="s">
        <v>258</v>
      </c>
      <c r="E41" t="s">
        <v>266</v>
      </c>
      <c r="F41" t="s">
        <v>273</v>
      </c>
      <c r="G41" t="s">
        <v>275</v>
      </c>
      <c r="H41">
        <v>0</v>
      </c>
      <c r="I41" t="s">
        <v>274</v>
      </c>
      <c r="K41" t="s">
        <v>306</v>
      </c>
      <c r="P41" t="s">
        <v>492</v>
      </c>
      <c r="Q41" t="s">
        <v>501</v>
      </c>
      <c r="S41" t="s">
        <v>503</v>
      </c>
      <c r="T41" t="s">
        <v>507</v>
      </c>
      <c r="U41" t="s">
        <v>511</v>
      </c>
      <c r="V41">
        <v>10701</v>
      </c>
      <c r="W41" t="s">
        <v>521</v>
      </c>
      <c r="Y41" t="s">
        <v>275</v>
      </c>
      <c r="Z41" t="s">
        <v>591</v>
      </c>
      <c r="AA41" t="s">
        <v>758</v>
      </c>
      <c r="AB41" t="s">
        <v>902</v>
      </c>
      <c r="AC41" t="s">
        <v>905</v>
      </c>
      <c r="AF41" t="s">
        <v>923</v>
      </c>
      <c r="AI41">
        <v>4</v>
      </c>
      <c r="AJ41" t="s">
        <v>558</v>
      </c>
      <c r="AK41" t="s">
        <v>946</v>
      </c>
      <c r="AL41" t="s">
        <v>274</v>
      </c>
      <c r="AM41" t="s">
        <v>973</v>
      </c>
      <c r="AN41" t="s">
        <v>482</v>
      </c>
      <c r="AO41" t="s">
        <v>975</v>
      </c>
      <c r="AP41" t="s">
        <v>320</v>
      </c>
      <c r="AT41">
        <v>0</v>
      </c>
      <c r="AU41">
        <v>1</v>
      </c>
      <c r="AV41" t="s">
        <v>274</v>
      </c>
      <c r="AY41" t="s">
        <v>274</v>
      </c>
      <c r="BB41">
        <v>0</v>
      </c>
      <c r="BC41">
        <v>0</v>
      </c>
      <c r="BD41">
        <v>0</v>
      </c>
      <c r="BE41">
        <v>0</v>
      </c>
      <c r="BF41" t="s">
        <v>1063</v>
      </c>
      <c r="BG41" t="s">
        <v>1096</v>
      </c>
      <c r="BH41">
        <v>26</v>
      </c>
      <c r="BI41" t="s">
        <v>1247</v>
      </c>
      <c r="BK41">
        <v>1903712</v>
      </c>
      <c r="BL41" t="s">
        <v>275</v>
      </c>
    </row>
    <row r="42" spans="1:64">
      <c r="A42" s="1">
        <f>HYPERLINK("https://lsnyc.legalserver.org/matter/dynamic-profile/view/1902897","19-1902897")</f>
        <v>0</v>
      </c>
      <c r="B42" t="s">
        <v>70</v>
      </c>
      <c r="C42" t="s">
        <v>250</v>
      </c>
      <c r="D42" t="s">
        <v>255</v>
      </c>
      <c r="E42" t="s">
        <v>262</v>
      </c>
      <c r="F42" t="s">
        <v>273</v>
      </c>
      <c r="G42" t="s">
        <v>275</v>
      </c>
      <c r="H42">
        <v>0</v>
      </c>
      <c r="I42" t="s">
        <v>274</v>
      </c>
      <c r="K42" t="s">
        <v>307</v>
      </c>
      <c r="M42" t="s">
        <v>472</v>
      </c>
      <c r="N42" t="s">
        <v>480</v>
      </c>
      <c r="P42" t="s">
        <v>496</v>
      </c>
      <c r="Q42" t="s">
        <v>502</v>
      </c>
      <c r="S42" t="s">
        <v>503</v>
      </c>
      <c r="T42" t="s">
        <v>509</v>
      </c>
      <c r="U42" t="s">
        <v>511</v>
      </c>
      <c r="V42">
        <v>10031</v>
      </c>
      <c r="W42" t="s">
        <v>529</v>
      </c>
      <c r="X42" t="s">
        <v>548</v>
      </c>
      <c r="Y42" t="s">
        <v>275</v>
      </c>
      <c r="Z42" t="s">
        <v>565</v>
      </c>
      <c r="AA42" t="s">
        <v>733</v>
      </c>
      <c r="AB42" t="s">
        <v>902</v>
      </c>
      <c r="AC42" t="s">
        <v>905</v>
      </c>
      <c r="AF42" t="s">
        <v>926</v>
      </c>
      <c r="AI42">
        <v>3.1</v>
      </c>
      <c r="AJ42" t="s">
        <v>558</v>
      </c>
      <c r="AK42" t="s">
        <v>934</v>
      </c>
      <c r="AL42" t="s">
        <v>274</v>
      </c>
      <c r="AM42" t="s">
        <v>973</v>
      </c>
      <c r="AN42" t="s">
        <v>480</v>
      </c>
      <c r="AS42" t="s">
        <v>558</v>
      </c>
      <c r="AT42">
        <v>0</v>
      </c>
      <c r="AU42">
        <v>1</v>
      </c>
      <c r="AV42" t="s">
        <v>273</v>
      </c>
      <c r="AY42" t="s">
        <v>273</v>
      </c>
      <c r="BB42">
        <v>0</v>
      </c>
      <c r="BC42">
        <v>0</v>
      </c>
      <c r="BD42">
        <v>0</v>
      </c>
      <c r="BE42">
        <v>0</v>
      </c>
      <c r="BF42" t="s">
        <v>1063</v>
      </c>
      <c r="BG42" t="s">
        <v>1070</v>
      </c>
      <c r="BH42">
        <v>20</v>
      </c>
      <c r="BI42" t="s">
        <v>1247</v>
      </c>
      <c r="BK42">
        <v>1903479</v>
      </c>
      <c r="BL42" t="s">
        <v>274</v>
      </c>
    </row>
    <row r="43" spans="1:64">
      <c r="A43" s="1">
        <f>HYPERLINK("https://lsnyc.legalserver.org/matter/dynamic-profile/view/1902824","19-1902824")</f>
        <v>0</v>
      </c>
      <c r="B43" t="s">
        <v>70</v>
      </c>
      <c r="C43" t="s">
        <v>250</v>
      </c>
      <c r="D43" t="s">
        <v>255</v>
      </c>
      <c r="E43" t="s">
        <v>262</v>
      </c>
      <c r="F43" t="s">
        <v>273</v>
      </c>
      <c r="G43" t="s">
        <v>275</v>
      </c>
      <c r="H43">
        <v>0</v>
      </c>
      <c r="I43" t="s">
        <v>274</v>
      </c>
      <c r="K43" t="s">
        <v>308</v>
      </c>
      <c r="M43" t="s">
        <v>471</v>
      </c>
      <c r="N43" t="s">
        <v>481</v>
      </c>
      <c r="P43" t="s">
        <v>492</v>
      </c>
      <c r="Q43" t="s">
        <v>502</v>
      </c>
      <c r="S43" t="s">
        <v>503</v>
      </c>
      <c r="T43" t="s">
        <v>509</v>
      </c>
      <c r="U43" t="s">
        <v>511</v>
      </c>
      <c r="V43">
        <v>10031</v>
      </c>
      <c r="W43" t="s">
        <v>518</v>
      </c>
      <c r="X43" t="s">
        <v>548</v>
      </c>
      <c r="Y43" t="s">
        <v>275</v>
      </c>
      <c r="Z43" t="s">
        <v>565</v>
      </c>
      <c r="AA43" t="s">
        <v>733</v>
      </c>
      <c r="AB43" t="s">
        <v>902</v>
      </c>
      <c r="AC43" t="s">
        <v>905</v>
      </c>
      <c r="AF43" t="s">
        <v>926</v>
      </c>
      <c r="AI43">
        <v>16</v>
      </c>
      <c r="AJ43" t="s">
        <v>558</v>
      </c>
      <c r="AK43" t="s">
        <v>934</v>
      </c>
      <c r="AL43" t="s">
        <v>274</v>
      </c>
      <c r="AT43">
        <v>0</v>
      </c>
      <c r="AU43">
        <v>1</v>
      </c>
      <c r="AV43" t="s">
        <v>273</v>
      </c>
      <c r="AY43" t="s">
        <v>273</v>
      </c>
      <c r="BB43">
        <v>0</v>
      </c>
      <c r="BC43">
        <v>0</v>
      </c>
      <c r="BD43">
        <v>0</v>
      </c>
      <c r="BE43">
        <v>0</v>
      </c>
      <c r="BF43" t="s">
        <v>1063</v>
      </c>
      <c r="BG43" t="s">
        <v>1070</v>
      </c>
      <c r="BH43">
        <v>20</v>
      </c>
      <c r="BI43" t="s">
        <v>1247</v>
      </c>
      <c r="BK43">
        <v>1903479</v>
      </c>
    </row>
    <row r="44" spans="1:64">
      <c r="A44" s="1">
        <f>HYPERLINK("https://lsnyc.legalserver.org/matter/dynamic-profile/view/1902262","19-1902262")</f>
        <v>0</v>
      </c>
      <c r="B44" t="s">
        <v>97</v>
      </c>
      <c r="C44" t="s">
        <v>250</v>
      </c>
      <c r="D44" t="s">
        <v>252</v>
      </c>
      <c r="E44" t="s">
        <v>267</v>
      </c>
      <c r="F44" t="s">
        <v>273</v>
      </c>
      <c r="G44" t="s">
        <v>275</v>
      </c>
      <c r="H44">
        <v>0</v>
      </c>
      <c r="K44" t="s">
        <v>309</v>
      </c>
      <c r="P44" t="s">
        <v>492</v>
      </c>
      <c r="Q44" t="s">
        <v>501</v>
      </c>
      <c r="S44" t="s">
        <v>505</v>
      </c>
      <c r="T44" t="s">
        <v>507</v>
      </c>
      <c r="U44" t="s">
        <v>513</v>
      </c>
      <c r="V44">
        <v>11235</v>
      </c>
      <c r="W44" t="s">
        <v>530</v>
      </c>
      <c r="Z44" t="s">
        <v>592</v>
      </c>
      <c r="AA44" t="s">
        <v>759</v>
      </c>
      <c r="AB44" t="s">
        <v>903</v>
      </c>
      <c r="AF44" t="s">
        <v>929</v>
      </c>
      <c r="AI44">
        <v>1.25</v>
      </c>
      <c r="AT44">
        <v>0</v>
      </c>
      <c r="AU44">
        <v>1</v>
      </c>
      <c r="AV44" t="s">
        <v>273</v>
      </c>
      <c r="AY44" t="s">
        <v>273</v>
      </c>
      <c r="BB44">
        <v>0</v>
      </c>
      <c r="BC44">
        <v>0</v>
      </c>
      <c r="BD44">
        <v>0</v>
      </c>
      <c r="BE44">
        <v>0</v>
      </c>
      <c r="BF44" t="s">
        <v>1063</v>
      </c>
      <c r="BG44" t="s">
        <v>1097</v>
      </c>
      <c r="BH44">
        <v>55</v>
      </c>
      <c r="BI44" t="s">
        <v>1247</v>
      </c>
      <c r="BK44">
        <v>1902916</v>
      </c>
    </row>
    <row r="45" spans="1:64">
      <c r="A45" s="1">
        <f>HYPERLINK("https://lsnyc.legalserver.org/matter/dynamic-profile/view/1901964","19-1901964")</f>
        <v>0</v>
      </c>
      <c r="B45" t="s">
        <v>98</v>
      </c>
      <c r="C45" t="s">
        <v>250</v>
      </c>
      <c r="D45" t="s">
        <v>252</v>
      </c>
      <c r="E45" t="s">
        <v>266</v>
      </c>
      <c r="F45" t="s">
        <v>273</v>
      </c>
      <c r="G45" t="s">
        <v>275</v>
      </c>
      <c r="H45">
        <v>0</v>
      </c>
      <c r="I45" t="s">
        <v>274</v>
      </c>
      <c r="K45" t="s">
        <v>310</v>
      </c>
      <c r="P45" t="s">
        <v>494</v>
      </c>
      <c r="Q45" t="s">
        <v>502</v>
      </c>
      <c r="S45" t="s">
        <v>503</v>
      </c>
      <c r="T45" t="s">
        <v>508</v>
      </c>
      <c r="U45" t="s">
        <v>511</v>
      </c>
      <c r="V45">
        <v>11220</v>
      </c>
      <c r="W45" t="s">
        <v>529</v>
      </c>
      <c r="X45" t="s">
        <v>548</v>
      </c>
      <c r="Y45" t="s">
        <v>275</v>
      </c>
      <c r="Z45" t="s">
        <v>593</v>
      </c>
      <c r="AA45" t="s">
        <v>760</v>
      </c>
      <c r="AB45" t="s">
        <v>902</v>
      </c>
      <c r="AC45" t="s">
        <v>905</v>
      </c>
      <c r="AF45" t="s">
        <v>923</v>
      </c>
      <c r="AI45">
        <v>0.4</v>
      </c>
      <c r="AJ45" t="s">
        <v>558</v>
      </c>
      <c r="AK45" t="s">
        <v>936</v>
      </c>
      <c r="AL45" t="s">
        <v>274</v>
      </c>
      <c r="AM45" t="s">
        <v>973</v>
      </c>
      <c r="AO45" t="s">
        <v>975</v>
      </c>
      <c r="AT45">
        <v>1</v>
      </c>
      <c r="AU45">
        <v>1</v>
      </c>
      <c r="AV45" t="s">
        <v>274</v>
      </c>
      <c r="AY45" t="s">
        <v>274</v>
      </c>
      <c r="BB45">
        <v>0</v>
      </c>
      <c r="BC45">
        <v>0</v>
      </c>
      <c r="BD45">
        <v>0</v>
      </c>
      <c r="BE45">
        <v>0</v>
      </c>
      <c r="BF45" t="s">
        <v>1063</v>
      </c>
      <c r="BG45" t="s">
        <v>1098</v>
      </c>
      <c r="BH45">
        <v>23</v>
      </c>
      <c r="BI45" t="s">
        <v>1247</v>
      </c>
      <c r="BK45">
        <v>1895289</v>
      </c>
    </row>
    <row r="46" spans="1:64">
      <c r="A46" s="1">
        <f>HYPERLINK("https://lsnyc.legalserver.org/matter/dynamic-profile/view/1901965","19-1901965")</f>
        <v>0</v>
      </c>
      <c r="B46" t="s">
        <v>99</v>
      </c>
      <c r="C46" t="s">
        <v>250</v>
      </c>
      <c r="D46" t="s">
        <v>252</v>
      </c>
      <c r="E46" t="s">
        <v>266</v>
      </c>
      <c r="F46" t="s">
        <v>273</v>
      </c>
      <c r="G46" t="s">
        <v>275</v>
      </c>
      <c r="H46">
        <v>0</v>
      </c>
      <c r="I46" t="s">
        <v>274</v>
      </c>
      <c r="K46" t="s">
        <v>310</v>
      </c>
      <c r="P46" t="s">
        <v>494</v>
      </c>
      <c r="Q46" t="s">
        <v>502</v>
      </c>
      <c r="S46" t="s">
        <v>503</v>
      </c>
      <c r="T46" t="s">
        <v>507</v>
      </c>
      <c r="U46" t="s">
        <v>511</v>
      </c>
      <c r="V46">
        <v>11209</v>
      </c>
      <c r="W46" t="s">
        <v>519</v>
      </c>
      <c r="X46" t="s">
        <v>548</v>
      </c>
      <c r="Y46" t="s">
        <v>275</v>
      </c>
      <c r="Z46" t="s">
        <v>594</v>
      </c>
      <c r="AA46" t="s">
        <v>761</v>
      </c>
      <c r="AB46" t="s">
        <v>902</v>
      </c>
      <c r="AC46" t="s">
        <v>905</v>
      </c>
      <c r="AF46" t="s">
        <v>926</v>
      </c>
      <c r="AI46">
        <v>0</v>
      </c>
      <c r="AJ46" t="s">
        <v>558</v>
      </c>
      <c r="AK46" t="s">
        <v>934</v>
      </c>
      <c r="AL46" t="s">
        <v>274</v>
      </c>
      <c r="AM46" t="s">
        <v>973</v>
      </c>
      <c r="AO46" t="s">
        <v>975</v>
      </c>
      <c r="AT46">
        <v>1</v>
      </c>
      <c r="AU46">
        <v>1</v>
      </c>
      <c r="AV46" t="s">
        <v>274</v>
      </c>
      <c r="AY46" t="s">
        <v>274</v>
      </c>
      <c r="BB46">
        <v>0</v>
      </c>
      <c r="BC46">
        <v>0</v>
      </c>
      <c r="BD46">
        <v>0</v>
      </c>
      <c r="BE46">
        <v>0</v>
      </c>
      <c r="BF46" t="s">
        <v>1063</v>
      </c>
      <c r="BG46" t="s">
        <v>1099</v>
      </c>
      <c r="BH46">
        <v>4</v>
      </c>
      <c r="BI46" t="s">
        <v>1247</v>
      </c>
      <c r="BK46">
        <v>1898825</v>
      </c>
    </row>
    <row r="47" spans="1:64">
      <c r="A47" s="1">
        <f>HYPERLINK("https://lsnyc.legalserver.org/matter/dynamic-profile/view/1901966","19-1901966")</f>
        <v>0</v>
      </c>
      <c r="B47" t="s">
        <v>100</v>
      </c>
      <c r="C47" t="s">
        <v>250</v>
      </c>
      <c r="D47" t="s">
        <v>255</v>
      </c>
      <c r="E47" t="s">
        <v>266</v>
      </c>
      <c r="F47" t="s">
        <v>273</v>
      </c>
      <c r="G47" t="s">
        <v>275</v>
      </c>
      <c r="H47">
        <v>0</v>
      </c>
      <c r="I47" t="s">
        <v>274</v>
      </c>
      <c r="K47" t="s">
        <v>310</v>
      </c>
      <c r="P47" t="s">
        <v>494</v>
      </c>
      <c r="Q47" t="s">
        <v>502</v>
      </c>
      <c r="S47" t="s">
        <v>503</v>
      </c>
      <c r="T47" t="s">
        <v>507</v>
      </c>
      <c r="U47" t="s">
        <v>511</v>
      </c>
      <c r="V47">
        <v>11214</v>
      </c>
      <c r="W47" t="s">
        <v>519</v>
      </c>
      <c r="X47" t="s">
        <v>548</v>
      </c>
      <c r="Y47" t="s">
        <v>275</v>
      </c>
      <c r="Z47" t="s">
        <v>595</v>
      </c>
      <c r="AA47" t="s">
        <v>762</v>
      </c>
      <c r="AB47" t="s">
        <v>902</v>
      </c>
      <c r="AC47" t="s">
        <v>905</v>
      </c>
      <c r="AF47" t="s">
        <v>926</v>
      </c>
      <c r="AI47">
        <v>0.25</v>
      </c>
      <c r="AJ47" t="s">
        <v>558</v>
      </c>
      <c r="AK47" t="s">
        <v>941</v>
      </c>
      <c r="AL47" t="s">
        <v>274</v>
      </c>
      <c r="AM47" t="s">
        <v>973</v>
      </c>
      <c r="AO47" t="s">
        <v>975</v>
      </c>
      <c r="AT47">
        <v>1</v>
      </c>
      <c r="AU47">
        <v>1</v>
      </c>
      <c r="AV47" t="s">
        <v>274</v>
      </c>
      <c r="AY47" t="s">
        <v>274</v>
      </c>
      <c r="BB47">
        <v>0</v>
      </c>
      <c r="BC47">
        <v>0</v>
      </c>
      <c r="BD47">
        <v>0</v>
      </c>
      <c r="BE47">
        <v>0</v>
      </c>
      <c r="BF47" t="s">
        <v>1063</v>
      </c>
      <c r="BG47" t="s">
        <v>1100</v>
      </c>
      <c r="BH47">
        <v>9</v>
      </c>
      <c r="BI47" t="s">
        <v>1247</v>
      </c>
      <c r="BK47">
        <v>1898831</v>
      </c>
    </row>
    <row r="48" spans="1:64">
      <c r="A48" s="1">
        <f>HYPERLINK("https://lsnyc.legalserver.org/matter/dynamic-profile/view/1901969","19-1901969")</f>
        <v>0</v>
      </c>
      <c r="B48" t="s">
        <v>101</v>
      </c>
      <c r="C48" t="s">
        <v>250</v>
      </c>
      <c r="D48" t="s">
        <v>252</v>
      </c>
      <c r="E48" t="s">
        <v>266</v>
      </c>
      <c r="F48" t="s">
        <v>273</v>
      </c>
      <c r="G48" t="s">
        <v>275</v>
      </c>
      <c r="H48">
        <v>0</v>
      </c>
      <c r="I48" t="s">
        <v>274</v>
      </c>
      <c r="K48" t="s">
        <v>310</v>
      </c>
      <c r="P48" t="s">
        <v>494</v>
      </c>
      <c r="Q48" t="s">
        <v>502</v>
      </c>
      <c r="S48" t="s">
        <v>503</v>
      </c>
      <c r="T48" t="s">
        <v>507</v>
      </c>
      <c r="U48" t="s">
        <v>511</v>
      </c>
      <c r="V48">
        <v>11220</v>
      </c>
      <c r="W48" t="s">
        <v>519</v>
      </c>
      <c r="X48" t="s">
        <v>548</v>
      </c>
      <c r="Y48" t="s">
        <v>275</v>
      </c>
      <c r="Z48" t="s">
        <v>596</v>
      </c>
      <c r="AA48" t="s">
        <v>763</v>
      </c>
      <c r="AB48" t="s">
        <v>902</v>
      </c>
      <c r="AC48" t="s">
        <v>905</v>
      </c>
      <c r="AF48" t="s">
        <v>926</v>
      </c>
      <c r="AI48">
        <v>0</v>
      </c>
      <c r="AK48" t="s">
        <v>934</v>
      </c>
      <c r="AL48" t="s">
        <v>274</v>
      </c>
      <c r="AM48" t="s">
        <v>973</v>
      </c>
      <c r="AO48" t="s">
        <v>975</v>
      </c>
      <c r="AT48">
        <v>1</v>
      </c>
      <c r="AU48">
        <v>1</v>
      </c>
      <c r="AV48" t="s">
        <v>274</v>
      </c>
      <c r="AY48" t="s">
        <v>274</v>
      </c>
      <c r="BB48">
        <v>0</v>
      </c>
      <c r="BC48">
        <v>0</v>
      </c>
      <c r="BD48">
        <v>0</v>
      </c>
      <c r="BE48">
        <v>0</v>
      </c>
      <c r="BF48" t="s">
        <v>1063</v>
      </c>
      <c r="BG48" t="s">
        <v>1101</v>
      </c>
      <c r="BH48">
        <v>15</v>
      </c>
      <c r="BI48" t="s">
        <v>1247</v>
      </c>
      <c r="BK48">
        <v>1890690</v>
      </c>
    </row>
    <row r="49" spans="1:64">
      <c r="A49" s="1">
        <f>HYPERLINK("https://lsnyc.legalserver.org/matter/dynamic-profile/view/1902066","19-1902066")</f>
        <v>0</v>
      </c>
      <c r="B49" t="s">
        <v>102</v>
      </c>
      <c r="C49" t="s">
        <v>250</v>
      </c>
      <c r="D49" t="s">
        <v>257</v>
      </c>
      <c r="E49" t="s">
        <v>268</v>
      </c>
      <c r="F49" t="s">
        <v>273</v>
      </c>
      <c r="G49" t="s">
        <v>275</v>
      </c>
      <c r="H49">
        <v>0</v>
      </c>
      <c r="I49" t="s">
        <v>274</v>
      </c>
      <c r="K49" t="s">
        <v>310</v>
      </c>
      <c r="M49" t="s">
        <v>473</v>
      </c>
      <c r="N49" t="s">
        <v>482</v>
      </c>
      <c r="P49" t="s">
        <v>496</v>
      </c>
      <c r="Q49" t="s">
        <v>501</v>
      </c>
      <c r="S49" t="s">
        <v>503</v>
      </c>
      <c r="T49" t="s">
        <v>507</v>
      </c>
      <c r="U49" t="s">
        <v>511</v>
      </c>
      <c r="V49">
        <v>10472</v>
      </c>
      <c r="W49" t="s">
        <v>520</v>
      </c>
      <c r="X49" t="s">
        <v>548</v>
      </c>
      <c r="Y49" t="s">
        <v>275</v>
      </c>
      <c r="Z49" t="s">
        <v>597</v>
      </c>
      <c r="AA49" t="s">
        <v>764</v>
      </c>
      <c r="AB49" t="s">
        <v>902</v>
      </c>
      <c r="AC49" t="s">
        <v>905</v>
      </c>
      <c r="AF49" t="s">
        <v>923</v>
      </c>
      <c r="AI49">
        <v>1.75</v>
      </c>
      <c r="AJ49" t="s">
        <v>558</v>
      </c>
      <c r="AK49" t="s">
        <v>947</v>
      </c>
      <c r="AL49" t="s">
        <v>274</v>
      </c>
      <c r="AM49" t="s">
        <v>973</v>
      </c>
      <c r="AN49" t="s">
        <v>482</v>
      </c>
      <c r="AT49">
        <v>0</v>
      </c>
      <c r="AU49">
        <v>1</v>
      </c>
      <c r="AV49" t="s">
        <v>273</v>
      </c>
      <c r="AY49" t="s">
        <v>273</v>
      </c>
      <c r="BB49">
        <v>0</v>
      </c>
      <c r="BC49">
        <v>0</v>
      </c>
      <c r="BD49">
        <v>0</v>
      </c>
      <c r="BE49">
        <v>0</v>
      </c>
      <c r="BF49" t="s">
        <v>1063</v>
      </c>
      <c r="BG49" t="s">
        <v>1102</v>
      </c>
      <c r="BH49">
        <v>36</v>
      </c>
      <c r="BI49" t="s">
        <v>1247</v>
      </c>
      <c r="BK49">
        <v>798997</v>
      </c>
    </row>
    <row r="50" spans="1:64">
      <c r="A50" s="1">
        <f>HYPERLINK("https://lsnyc.legalserver.org/matter/dynamic-profile/view/1902073","19-1902073")</f>
        <v>0</v>
      </c>
      <c r="B50" t="s">
        <v>103</v>
      </c>
      <c r="C50" t="s">
        <v>250</v>
      </c>
      <c r="D50" t="s">
        <v>252</v>
      </c>
      <c r="E50" t="s">
        <v>269</v>
      </c>
      <c r="F50" t="s">
        <v>273</v>
      </c>
      <c r="G50" t="s">
        <v>275</v>
      </c>
      <c r="H50">
        <v>0</v>
      </c>
      <c r="I50" t="s">
        <v>274</v>
      </c>
      <c r="K50" t="s">
        <v>310</v>
      </c>
      <c r="P50" t="s">
        <v>492</v>
      </c>
      <c r="Q50" t="s">
        <v>501</v>
      </c>
      <c r="S50" t="s">
        <v>503</v>
      </c>
      <c r="T50" t="s">
        <v>508</v>
      </c>
      <c r="U50" t="s">
        <v>511</v>
      </c>
      <c r="V50">
        <v>11220</v>
      </c>
      <c r="W50" t="s">
        <v>520</v>
      </c>
      <c r="X50" t="s">
        <v>553</v>
      </c>
      <c r="Y50" t="s">
        <v>274</v>
      </c>
      <c r="Z50" t="s">
        <v>598</v>
      </c>
      <c r="AA50" t="s">
        <v>765</v>
      </c>
      <c r="AB50" t="s">
        <v>902</v>
      </c>
      <c r="AC50" t="s">
        <v>905</v>
      </c>
      <c r="AF50" t="s">
        <v>923</v>
      </c>
      <c r="AI50">
        <v>4.35</v>
      </c>
      <c r="AJ50" t="s">
        <v>558</v>
      </c>
      <c r="AK50" t="s">
        <v>948</v>
      </c>
      <c r="AL50" t="s">
        <v>274</v>
      </c>
      <c r="AM50" t="s">
        <v>973</v>
      </c>
      <c r="AN50" t="s">
        <v>983</v>
      </c>
      <c r="AT50">
        <v>0</v>
      </c>
      <c r="AU50">
        <v>1</v>
      </c>
      <c r="AV50" t="s">
        <v>273</v>
      </c>
      <c r="AY50" t="s">
        <v>273</v>
      </c>
      <c r="BB50">
        <v>0</v>
      </c>
      <c r="BC50">
        <v>0</v>
      </c>
      <c r="BD50">
        <v>0</v>
      </c>
      <c r="BE50">
        <v>0</v>
      </c>
      <c r="BF50" t="s">
        <v>1063</v>
      </c>
      <c r="BG50" t="s">
        <v>1103</v>
      </c>
      <c r="BH50">
        <v>25</v>
      </c>
      <c r="BI50" t="s">
        <v>1247</v>
      </c>
      <c r="BK50">
        <v>821371</v>
      </c>
    </row>
    <row r="51" spans="1:64">
      <c r="A51" s="1">
        <f>HYPERLINK("https://lsnyc.legalserver.org/matter/dynamic-profile/view/1901260","19-1901260")</f>
        <v>0</v>
      </c>
      <c r="B51" t="s">
        <v>104</v>
      </c>
      <c r="C51" t="s">
        <v>250</v>
      </c>
      <c r="D51" t="s">
        <v>252</v>
      </c>
      <c r="E51" t="s">
        <v>265</v>
      </c>
      <c r="F51" t="s">
        <v>273</v>
      </c>
      <c r="G51" t="s">
        <v>275</v>
      </c>
      <c r="H51">
        <v>0</v>
      </c>
      <c r="I51" t="s">
        <v>274</v>
      </c>
      <c r="K51" t="s">
        <v>311</v>
      </c>
      <c r="P51" t="s">
        <v>494</v>
      </c>
      <c r="Q51" t="s">
        <v>502</v>
      </c>
      <c r="S51" t="s">
        <v>503</v>
      </c>
      <c r="T51" t="s">
        <v>507</v>
      </c>
      <c r="U51" t="s">
        <v>511</v>
      </c>
      <c r="V51">
        <v>11214</v>
      </c>
      <c r="W51" t="s">
        <v>518</v>
      </c>
      <c r="X51" t="s">
        <v>548</v>
      </c>
      <c r="Y51" t="s">
        <v>275</v>
      </c>
      <c r="Z51" t="s">
        <v>599</v>
      </c>
      <c r="AA51" t="s">
        <v>766</v>
      </c>
      <c r="AB51" t="s">
        <v>902</v>
      </c>
      <c r="AC51" t="s">
        <v>905</v>
      </c>
      <c r="AF51" t="s">
        <v>926</v>
      </c>
      <c r="AI51">
        <v>0.4</v>
      </c>
      <c r="AJ51" t="s">
        <v>558</v>
      </c>
      <c r="AK51" t="s">
        <v>941</v>
      </c>
      <c r="AL51" t="s">
        <v>274</v>
      </c>
      <c r="AT51">
        <v>0</v>
      </c>
      <c r="AU51">
        <v>1</v>
      </c>
      <c r="AV51" t="s">
        <v>273</v>
      </c>
      <c r="AY51" t="s">
        <v>273</v>
      </c>
      <c r="BB51">
        <v>0</v>
      </c>
      <c r="BC51">
        <v>0</v>
      </c>
      <c r="BD51">
        <v>0</v>
      </c>
      <c r="BE51">
        <v>0</v>
      </c>
      <c r="BF51" t="s">
        <v>1063</v>
      </c>
      <c r="BG51" t="s">
        <v>1104</v>
      </c>
      <c r="BH51">
        <v>20</v>
      </c>
      <c r="BI51" t="s">
        <v>1247</v>
      </c>
      <c r="BK51">
        <v>1894964</v>
      </c>
    </row>
    <row r="52" spans="1:64">
      <c r="A52" s="1">
        <f>HYPERLINK("https://lsnyc.legalserver.org/matter/dynamic-profile/view/1901263","19-1901263")</f>
        <v>0</v>
      </c>
      <c r="B52" t="s">
        <v>104</v>
      </c>
      <c r="C52" t="s">
        <v>250</v>
      </c>
      <c r="D52" t="s">
        <v>252</v>
      </c>
      <c r="E52" t="s">
        <v>265</v>
      </c>
      <c r="F52" t="s">
        <v>273</v>
      </c>
      <c r="G52" t="s">
        <v>275</v>
      </c>
      <c r="H52">
        <v>0</v>
      </c>
      <c r="I52" t="s">
        <v>274</v>
      </c>
      <c r="K52" t="s">
        <v>311</v>
      </c>
      <c r="P52" t="s">
        <v>494</v>
      </c>
      <c r="Q52" t="s">
        <v>502</v>
      </c>
      <c r="S52" t="s">
        <v>503</v>
      </c>
      <c r="T52" t="s">
        <v>507</v>
      </c>
      <c r="U52" t="s">
        <v>511</v>
      </c>
      <c r="V52">
        <v>11214</v>
      </c>
      <c r="W52" t="s">
        <v>531</v>
      </c>
      <c r="X52" t="s">
        <v>548</v>
      </c>
      <c r="Y52" t="s">
        <v>275</v>
      </c>
      <c r="Z52" t="s">
        <v>599</v>
      </c>
      <c r="AA52" t="s">
        <v>766</v>
      </c>
      <c r="AB52" t="s">
        <v>902</v>
      </c>
      <c r="AC52" t="s">
        <v>905</v>
      </c>
      <c r="AF52" t="s">
        <v>926</v>
      </c>
      <c r="AI52">
        <v>0.4</v>
      </c>
      <c r="AJ52" t="s">
        <v>558</v>
      </c>
      <c r="AK52" t="s">
        <v>941</v>
      </c>
      <c r="AL52" t="s">
        <v>274</v>
      </c>
      <c r="AT52">
        <v>0</v>
      </c>
      <c r="AU52">
        <v>1</v>
      </c>
      <c r="AV52" t="s">
        <v>273</v>
      </c>
      <c r="AY52" t="s">
        <v>273</v>
      </c>
      <c r="BB52">
        <v>0</v>
      </c>
      <c r="BC52">
        <v>0</v>
      </c>
      <c r="BD52">
        <v>0</v>
      </c>
      <c r="BE52">
        <v>0</v>
      </c>
      <c r="BF52" t="s">
        <v>1063</v>
      </c>
      <c r="BG52" t="s">
        <v>1104</v>
      </c>
      <c r="BH52">
        <v>20</v>
      </c>
      <c r="BI52" t="s">
        <v>1247</v>
      </c>
      <c r="BK52">
        <v>1894964</v>
      </c>
    </row>
    <row r="53" spans="1:64">
      <c r="A53" s="1">
        <f>HYPERLINK("https://lsnyc.legalserver.org/matter/dynamic-profile/view/1900145","19-1900145")</f>
        <v>0</v>
      </c>
      <c r="B53" t="s">
        <v>105</v>
      </c>
      <c r="C53" t="s">
        <v>250</v>
      </c>
      <c r="D53" t="s">
        <v>252</v>
      </c>
      <c r="E53" t="s">
        <v>265</v>
      </c>
      <c r="F53" t="s">
        <v>274</v>
      </c>
      <c r="G53" t="s">
        <v>274</v>
      </c>
      <c r="H53">
        <v>0</v>
      </c>
      <c r="I53" t="s">
        <v>274</v>
      </c>
      <c r="K53" t="s">
        <v>312</v>
      </c>
      <c r="L53" t="s">
        <v>448</v>
      </c>
      <c r="M53" t="s">
        <v>471</v>
      </c>
      <c r="N53" t="s">
        <v>483</v>
      </c>
      <c r="Q53" t="s">
        <v>501</v>
      </c>
      <c r="S53" t="s">
        <v>503</v>
      </c>
      <c r="T53" t="s">
        <v>510</v>
      </c>
      <c r="U53" t="s">
        <v>511</v>
      </c>
      <c r="V53">
        <v>11235</v>
      </c>
      <c r="W53" t="s">
        <v>518</v>
      </c>
      <c r="X53" t="s">
        <v>553</v>
      </c>
      <c r="Y53" t="s">
        <v>275</v>
      </c>
      <c r="Z53" t="s">
        <v>600</v>
      </c>
      <c r="AA53" t="s">
        <v>767</v>
      </c>
      <c r="AB53" t="s">
        <v>902</v>
      </c>
      <c r="AC53" t="s">
        <v>905</v>
      </c>
      <c r="AD53" t="s">
        <v>274</v>
      </c>
      <c r="AE53" t="s">
        <v>921</v>
      </c>
      <c r="AF53" t="s">
        <v>926</v>
      </c>
      <c r="AI53">
        <v>28.5</v>
      </c>
      <c r="AJ53" t="s">
        <v>558</v>
      </c>
      <c r="AK53" t="s">
        <v>948</v>
      </c>
      <c r="AL53" t="s">
        <v>274</v>
      </c>
      <c r="AM53" t="s">
        <v>973</v>
      </c>
      <c r="AN53" t="s">
        <v>984</v>
      </c>
      <c r="AO53" t="s">
        <v>978</v>
      </c>
      <c r="AP53" t="s">
        <v>483</v>
      </c>
      <c r="AQ53" t="s">
        <v>1039</v>
      </c>
      <c r="AR53" t="s">
        <v>1051</v>
      </c>
      <c r="AT53">
        <v>0</v>
      </c>
      <c r="AU53">
        <v>1</v>
      </c>
      <c r="AV53" t="s">
        <v>273</v>
      </c>
      <c r="AY53" t="s">
        <v>273</v>
      </c>
      <c r="BB53">
        <v>0</v>
      </c>
      <c r="BC53">
        <v>0</v>
      </c>
      <c r="BD53">
        <v>0</v>
      </c>
      <c r="BE53">
        <v>0</v>
      </c>
      <c r="BF53" t="s">
        <v>493</v>
      </c>
      <c r="BG53" t="s">
        <v>1105</v>
      </c>
      <c r="BH53">
        <v>40</v>
      </c>
      <c r="BI53" t="s">
        <v>1247</v>
      </c>
      <c r="BK53">
        <v>1875529</v>
      </c>
      <c r="BL53" t="s">
        <v>275</v>
      </c>
    </row>
    <row r="54" spans="1:64">
      <c r="A54" s="1">
        <f>HYPERLINK("https://lsnyc.legalserver.org/matter/dynamic-profile/view/1899569","19-1899569")</f>
        <v>0</v>
      </c>
      <c r="B54" t="s">
        <v>106</v>
      </c>
      <c r="C54" t="s">
        <v>250</v>
      </c>
      <c r="D54" t="s">
        <v>252</v>
      </c>
      <c r="E54" t="s">
        <v>262</v>
      </c>
      <c r="F54" t="s">
        <v>273</v>
      </c>
      <c r="G54" t="s">
        <v>275</v>
      </c>
      <c r="H54">
        <v>85.33</v>
      </c>
      <c r="I54" t="s">
        <v>274</v>
      </c>
      <c r="K54" t="s">
        <v>313</v>
      </c>
      <c r="M54" t="s">
        <v>472</v>
      </c>
      <c r="N54" t="s">
        <v>484</v>
      </c>
      <c r="O54" t="s">
        <v>275</v>
      </c>
      <c r="Q54" t="s">
        <v>501</v>
      </c>
      <c r="S54" t="s">
        <v>503</v>
      </c>
      <c r="T54" t="s">
        <v>508</v>
      </c>
      <c r="U54" t="s">
        <v>511</v>
      </c>
      <c r="V54">
        <v>11218</v>
      </c>
      <c r="W54" t="s">
        <v>518</v>
      </c>
      <c r="X54" t="s">
        <v>549</v>
      </c>
      <c r="Y54" t="s">
        <v>275</v>
      </c>
      <c r="Z54" t="s">
        <v>601</v>
      </c>
      <c r="AA54" t="s">
        <v>768</v>
      </c>
      <c r="AB54" t="s">
        <v>902</v>
      </c>
      <c r="AC54" t="s">
        <v>905</v>
      </c>
      <c r="AF54" t="s">
        <v>926</v>
      </c>
      <c r="AI54">
        <v>10.65</v>
      </c>
      <c r="AK54" t="s">
        <v>936</v>
      </c>
      <c r="AL54" t="s">
        <v>274</v>
      </c>
      <c r="AT54">
        <v>1</v>
      </c>
      <c r="AU54">
        <v>2</v>
      </c>
      <c r="AV54" t="s">
        <v>273</v>
      </c>
      <c r="AY54" t="s">
        <v>273</v>
      </c>
      <c r="BB54">
        <v>0</v>
      </c>
      <c r="BC54">
        <v>0</v>
      </c>
      <c r="BD54">
        <v>0</v>
      </c>
      <c r="BE54">
        <v>0</v>
      </c>
      <c r="BF54" t="s">
        <v>1063</v>
      </c>
      <c r="BG54" t="s">
        <v>1106</v>
      </c>
      <c r="BH54">
        <v>25</v>
      </c>
      <c r="BI54" t="s">
        <v>1260</v>
      </c>
      <c r="BK54">
        <v>1900217</v>
      </c>
      <c r="BL54" t="s">
        <v>274</v>
      </c>
    </row>
    <row r="55" spans="1:64">
      <c r="A55" s="1">
        <f>HYPERLINK("https://lsnyc.legalserver.org/matter/dynamic-profile/view/1899577","19-1899577")</f>
        <v>0</v>
      </c>
      <c r="B55" t="s">
        <v>107</v>
      </c>
      <c r="C55" t="s">
        <v>250</v>
      </c>
      <c r="D55" t="s">
        <v>252</v>
      </c>
      <c r="E55" t="s">
        <v>262</v>
      </c>
      <c r="F55" t="s">
        <v>273</v>
      </c>
      <c r="G55" t="s">
        <v>275</v>
      </c>
      <c r="H55">
        <v>85.33</v>
      </c>
      <c r="I55" t="s">
        <v>274</v>
      </c>
      <c r="K55" t="s">
        <v>313</v>
      </c>
      <c r="M55" t="s">
        <v>472</v>
      </c>
      <c r="N55" t="s">
        <v>484</v>
      </c>
      <c r="O55" t="s">
        <v>274</v>
      </c>
      <c r="Q55" t="s">
        <v>502</v>
      </c>
      <c r="S55" t="s">
        <v>503</v>
      </c>
      <c r="T55" t="s">
        <v>507</v>
      </c>
      <c r="U55" t="s">
        <v>511</v>
      </c>
      <c r="V55">
        <v>11218</v>
      </c>
      <c r="W55" t="s">
        <v>518</v>
      </c>
      <c r="X55" t="s">
        <v>548</v>
      </c>
      <c r="Y55" t="s">
        <v>275</v>
      </c>
      <c r="Z55" t="s">
        <v>602</v>
      </c>
      <c r="AA55" t="s">
        <v>768</v>
      </c>
      <c r="AB55" t="s">
        <v>902</v>
      </c>
      <c r="AC55" t="s">
        <v>905</v>
      </c>
      <c r="AF55" t="s">
        <v>926</v>
      </c>
      <c r="AI55">
        <v>1.1</v>
      </c>
      <c r="AJ55" t="s">
        <v>558</v>
      </c>
      <c r="AK55" t="s">
        <v>936</v>
      </c>
      <c r="AL55" t="s">
        <v>274</v>
      </c>
      <c r="AT55">
        <v>1</v>
      </c>
      <c r="AU55">
        <v>2</v>
      </c>
      <c r="AV55" t="s">
        <v>273</v>
      </c>
      <c r="AY55" t="s">
        <v>273</v>
      </c>
      <c r="BB55">
        <v>0</v>
      </c>
      <c r="BC55">
        <v>0</v>
      </c>
      <c r="BD55">
        <v>0</v>
      </c>
      <c r="BE55">
        <v>0</v>
      </c>
      <c r="BF55" t="s">
        <v>1063</v>
      </c>
      <c r="BG55" t="s">
        <v>1107</v>
      </c>
      <c r="BH55">
        <v>5</v>
      </c>
      <c r="BI55" t="s">
        <v>1260</v>
      </c>
      <c r="BK55">
        <v>1900217</v>
      </c>
    </row>
    <row r="56" spans="1:64">
      <c r="A56" s="1">
        <f>HYPERLINK("https://lsnyc.legalserver.org/matter/dynamic-profile/view/1899651","19-1899651")</f>
        <v>0</v>
      </c>
      <c r="B56" t="s">
        <v>108</v>
      </c>
      <c r="C56" t="s">
        <v>250</v>
      </c>
      <c r="D56" t="s">
        <v>252</v>
      </c>
      <c r="E56" t="s">
        <v>266</v>
      </c>
      <c r="F56" t="s">
        <v>273</v>
      </c>
      <c r="G56" t="s">
        <v>275</v>
      </c>
      <c r="H56">
        <v>0</v>
      </c>
      <c r="I56" t="s">
        <v>274</v>
      </c>
      <c r="K56" t="s">
        <v>313</v>
      </c>
      <c r="O56" t="s">
        <v>275</v>
      </c>
      <c r="Q56" t="s">
        <v>501</v>
      </c>
      <c r="S56" t="s">
        <v>503</v>
      </c>
      <c r="T56" t="s">
        <v>507</v>
      </c>
      <c r="U56" t="s">
        <v>511</v>
      </c>
      <c r="V56">
        <v>11236</v>
      </c>
      <c r="W56" t="s">
        <v>520</v>
      </c>
      <c r="X56" t="s">
        <v>554</v>
      </c>
      <c r="Y56" t="s">
        <v>275</v>
      </c>
      <c r="Z56" t="s">
        <v>603</v>
      </c>
      <c r="AA56" t="s">
        <v>769</v>
      </c>
      <c r="AB56" t="s">
        <v>902</v>
      </c>
      <c r="AC56" t="s">
        <v>905</v>
      </c>
      <c r="AF56" t="s">
        <v>923</v>
      </c>
      <c r="AI56">
        <v>3</v>
      </c>
      <c r="AJ56" t="s">
        <v>558</v>
      </c>
      <c r="AK56" t="s">
        <v>937</v>
      </c>
      <c r="AL56" t="s">
        <v>274</v>
      </c>
      <c r="AM56" t="s">
        <v>975</v>
      </c>
      <c r="AO56" t="s">
        <v>973</v>
      </c>
      <c r="AT56">
        <v>0</v>
      </c>
      <c r="AU56">
        <v>1</v>
      </c>
      <c r="AV56" t="s">
        <v>274</v>
      </c>
      <c r="AY56" t="s">
        <v>274</v>
      </c>
      <c r="BB56">
        <v>0</v>
      </c>
      <c r="BC56">
        <v>0</v>
      </c>
      <c r="BD56">
        <v>0</v>
      </c>
      <c r="BE56">
        <v>0</v>
      </c>
      <c r="BF56" t="s">
        <v>1063</v>
      </c>
      <c r="BG56" t="s">
        <v>1108</v>
      </c>
      <c r="BH56">
        <v>33</v>
      </c>
      <c r="BI56" t="s">
        <v>1247</v>
      </c>
      <c r="BK56">
        <v>1900299</v>
      </c>
    </row>
    <row r="57" spans="1:64">
      <c r="A57" s="1">
        <f>HYPERLINK("https://lsnyc.legalserver.org/matter/dynamic-profile/view/1899290","19-1899290")</f>
        <v>0</v>
      </c>
      <c r="B57" t="s">
        <v>109</v>
      </c>
      <c r="C57" t="s">
        <v>250</v>
      </c>
      <c r="D57" t="s">
        <v>257</v>
      </c>
      <c r="E57" t="s">
        <v>265</v>
      </c>
      <c r="F57" t="s">
        <v>273</v>
      </c>
      <c r="G57" t="s">
        <v>275</v>
      </c>
      <c r="H57">
        <v>70.68000000000001</v>
      </c>
      <c r="K57" t="s">
        <v>314</v>
      </c>
      <c r="O57" t="s">
        <v>275</v>
      </c>
      <c r="P57" t="s">
        <v>497</v>
      </c>
      <c r="Q57" t="s">
        <v>501</v>
      </c>
      <c r="S57" t="s">
        <v>503</v>
      </c>
      <c r="T57" t="s">
        <v>507</v>
      </c>
      <c r="U57" t="s">
        <v>511</v>
      </c>
      <c r="V57">
        <v>10451</v>
      </c>
      <c r="W57" t="s">
        <v>524</v>
      </c>
      <c r="Y57" t="s">
        <v>275</v>
      </c>
      <c r="Z57" t="s">
        <v>604</v>
      </c>
      <c r="AA57" t="s">
        <v>770</v>
      </c>
      <c r="AB57" t="s">
        <v>902</v>
      </c>
      <c r="AC57" t="s">
        <v>908</v>
      </c>
      <c r="AF57" t="s">
        <v>923</v>
      </c>
      <c r="AI57">
        <v>1.8</v>
      </c>
      <c r="AJ57" t="s">
        <v>558</v>
      </c>
      <c r="AK57" t="s">
        <v>949</v>
      </c>
      <c r="AT57">
        <v>2</v>
      </c>
      <c r="AU57">
        <v>2</v>
      </c>
      <c r="AV57" t="s">
        <v>273</v>
      </c>
      <c r="AY57" t="s">
        <v>273</v>
      </c>
      <c r="BB57">
        <v>0</v>
      </c>
      <c r="BC57">
        <v>0</v>
      </c>
      <c r="BD57">
        <v>0</v>
      </c>
      <c r="BE57">
        <v>0</v>
      </c>
      <c r="BF57" t="s">
        <v>1063</v>
      </c>
      <c r="BG57" t="s">
        <v>1109</v>
      </c>
      <c r="BH57">
        <v>18</v>
      </c>
      <c r="BI57" t="s">
        <v>1260</v>
      </c>
      <c r="BK57">
        <v>1899938</v>
      </c>
    </row>
    <row r="58" spans="1:64">
      <c r="A58" s="1">
        <f>HYPERLINK("https://lsnyc.legalserver.org/matter/dynamic-profile/view/1899378","19-1899378")</f>
        <v>0</v>
      </c>
      <c r="B58" t="s">
        <v>82</v>
      </c>
      <c r="C58" t="s">
        <v>250</v>
      </c>
      <c r="D58" t="s">
        <v>252</v>
      </c>
      <c r="E58" t="s">
        <v>265</v>
      </c>
      <c r="F58" t="s">
        <v>273</v>
      </c>
      <c r="G58" t="s">
        <v>275</v>
      </c>
      <c r="H58">
        <v>0</v>
      </c>
      <c r="I58" t="s">
        <v>274</v>
      </c>
      <c r="K58" t="s">
        <v>315</v>
      </c>
      <c r="L58" t="s">
        <v>449</v>
      </c>
      <c r="Q58" t="s">
        <v>501</v>
      </c>
      <c r="S58" t="s">
        <v>504</v>
      </c>
      <c r="T58" t="s">
        <v>508</v>
      </c>
      <c r="U58" t="s">
        <v>512</v>
      </c>
      <c r="V58">
        <v>11214</v>
      </c>
      <c r="X58" t="s">
        <v>548</v>
      </c>
      <c r="Y58" t="s">
        <v>275</v>
      </c>
      <c r="Z58" t="s">
        <v>577</v>
      </c>
      <c r="AA58" t="s">
        <v>744</v>
      </c>
      <c r="AB58" t="s">
        <v>902</v>
      </c>
      <c r="AC58" t="s">
        <v>905</v>
      </c>
      <c r="AD58" t="s">
        <v>274</v>
      </c>
      <c r="AE58" t="s">
        <v>917</v>
      </c>
      <c r="AF58" t="s">
        <v>924</v>
      </c>
      <c r="AI58">
        <v>13.3</v>
      </c>
      <c r="AJ58" t="s">
        <v>558</v>
      </c>
      <c r="AK58" t="s">
        <v>941</v>
      </c>
      <c r="AL58" t="s">
        <v>274</v>
      </c>
      <c r="AM58" t="s">
        <v>977</v>
      </c>
      <c r="AN58" t="s">
        <v>329</v>
      </c>
      <c r="AQ58" t="s">
        <v>1040</v>
      </c>
      <c r="AR58" t="s">
        <v>1051</v>
      </c>
      <c r="AT58">
        <v>1</v>
      </c>
      <c r="AU58">
        <v>1</v>
      </c>
      <c r="AV58" t="s">
        <v>273</v>
      </c>
      <c r="AY58" t="s">
        <v>273</v>
      </c>
      <c r="BB58">
        <v>0</v>
      </c>
      <c r="BC58">
        <v>0</v>
      </c>
      <c r="BD58">
        <v>0</v>
      </c>
      <c r="BE58">
        <v>0</v>
      </c>
      <c r="BF58" t="s">
        <v>493</v>
      </c>
      <c r="BG58" t="s">
        <v>1082</v>
      </c>
      <c r="BH58">
        <v>22</v>
      </c>
      <c r="BI58" t="s">
        <v>1247</v>
      </c>
      <c r="BK58">
        <v>1864316</v>
      </c>
    </row>
    <row r="59" spans="1:64">
      <c r="A59" s="1">
        <f>HYPERLINK("https://lsnyc.legalserver.org/matter/dynamic-profile/view/1898930","19-1898930")</f>
        <v>0</v>
      </c>
      <c r="B59" t="s">
        <v>110</v>
      </c>
      <c r="C59" t="s">
        <v>250</v>
      </c>
      <c r="D59" t="s">
        <v>252</v>
      </c>
      <c r="E59" t="s">
        <v>262</v>
      </c>
      <c r="F59" t="s">
        <v>273</v>
      </c>
      <c r="G59" t="s">
        <v>275</v>
      </c>
      <c r="H59">
        <v>0</v>
      </c>
      <c r="I59" t="s">
        <v>274</v>
      </c>
      <c r="K59" t="s">
        <v>316</v>
      </c>
      <c r="L59" t="s">
        <v>450</v>
      </c>
      <c r="M59" t="s">
        <v>472</v>
      </c>
      <c r="N59" t="s">
        <v>455</v>
      </c>
      <c r="P59" t="s">
        <v>493</v>
      </c>
      <c r="Q59" t="s">
        <v>501</v>
      </c>
      <c r="S59" t="s">
        <v>503</v>
      </c>
      <c r="T59" t="s">
        <v>507</v>
      </c>
      <c r="U59" t="s">
        <v>511</v>
      </c>
      <c r="V59">
        <v>11226</v>
      </c>
      <c r="W59" t="s">
        <v>520</v>
      </c>
      <c r="Y59" t="s">
        <v>275</v>
      </c>
      <c r="Z59" t="s">
        <v>605</v>
      </c>
      <c r="AA59" t="s">
        <v>771</v>
      </c>
      <c r="AB59" t="s">
        <v>902</v>
      </c>
      <c r="AC59" t="s">
        <v>905</v>
      </c>
      <c r="AD59" t="s">
        <v>916</v>
      </c>
      <c r="AE59" t="s">
        <v>919</v>
      </c>
      <c r="AF59" t="s">
        <v>923</v>
      </c>
      <c r="AI59">
        <v>5.2</v>
      </c>
      <c r="AJ59" t="s">
        <v>558</v>
      </c>
      <c r="AK59" t="s">
        <v>939</v>
      </c>
      <c r="AL59" t="s">
        <v>274</v>
      </c>
      <c r="AM59" t="s">
        <v>973</v>
      </c>
      <c r="AN59" t="s">
        <v>985</v>
      </c>
      <c r="AO59" t="s">
        <v>978</v>
      </c>
      <c r="AP59" t="s">
        <v>455</v>
      </c>
      <c r="AQ59" t="s">
        <v>1036</v>
      </c>
      <c r="AR59" t="s">
        <v>1051</v>
      </c>
      <c r="AT59">
        <v>0</v>
      </c>
      <c r="AU59">
        <v>1</v>
      </c>
      <c r="AV59" t="s">
        <v>273</v>
      </c>
      <c r="AY59" t="s">
        <v>273</v>
      </c>
      <c r="BB59">
        <v>0</v>
      </c>
      <c r="BC59">
        <v>0</v>
      </c>
      <c r="BD59">
        <v>0</v>
      </c>
      <c r="BE59">
        <v>0</v>
      </c>
      <c r="BF59" t="s">
        <v>493</v>
      </c>
      <c r="BG59" t="s">
        <v>1110</v>
      </c>
      <c r="BH59">
        <v>25</v>
      </c>
      <c r="BI59" t="s">
        <v>1247</v>
      </c>
      <c r="BK59">
        <v>793808</v>
      </c>
    </row>
    <row r="60" spans="1:64">
      <c r="A60" s="1">
        <f>HYPERLINK("https://lsnyc.legalserver.org/matter/dynamic-profile/view/1898913","19-1898913")</f>
        <v>0</v>
      </c>
      <c r="B60" t="s">
        <v>111</v>
      </c>
      <c r="C60" t="s">
        <v>250</v>
      </c>
      <c r="D60" t="s">
        <v>252</v>
      </c>
      <c r="E60" t="s">
        <v>265</v>
      </c>
      <c r="F60" t="s">
        <v>273</v>
      </c>
      <c r="G60" t="s">
        <v>275</v>
      </c>
      <c r="H60">
        <v>80.78</v>
      </c>
      <c r="I60" t="s">
        <v>274</v>
      </c>
      <c r="K60" t="s">
        <v>317</v>
      </c>
      <c r="L60" t="s">
        <v>451</v>
      </c>
      <c r="O60" t="s">
        <v>275</v>
      </c>
      <c r="Q60" t="s">
        <v>501</v>
      </c>
      <c r="S60" t="s">
        <v>503</v>
      </c>
      <c r="T60" t="s">
        <v>508</v>
      </c>
      <c r="U60" t="s">
        <v>511</v>
      </c>
      <c r="V60">
        <v>11214</v>
      </c>
      <c r="W60" t="s">
        <v>518</v>
      </c>
      <c r="X60" t="s">
        <v>548</v>
      </c>
      <c r="Y60" t="s">
        <v>275</v>
      </c>
      <c r="Z60" t="s">
        <v>606</v>
      </c>
      <c r="AA60" t="s">
        <v>772</v>
      </c>
      <c r="AB60" t="s">
        <v>902</v>
      </c>
      <c r="AC60" t="s">
        <v>905</v>
      </c>
      <c r="AD60" t="s">
        <v>916</v>
      </c>
      <c r="AE60" t="s">
        <v>920</v>
      </c>
      <c r="AF60" t="s">
        <v>928</v>
      </c>
      <c r="AI60">
        <v>0.9</v>
      </c>
      <c r="AJ60" t="s">
        <v>558</v>
      </c>
      <c r="AK60" t="s">
        <v>941</v>
      </c>
      <c r="AL60" t="s">
        <v>274</v>
      </c>
      <c r="AQ60" t="s">
        <v>1033</v>
      </c>
      <c r="AR60" t="s">
        <v>1051</v>
      </c>
      <c r="AT60">
        <v>2</v>
      </c>
      <c r="AU60">
        <v>2</v>
      </c>
      <c r="AV60" t="s">
        <v>273</v>
      </c>
      <c r="AY60" t="s">
        <v>273</v>
      </c>
      <c r="BB60">
        <v>0</v>
      </c>
      <c r="BC60">
        <v>0</v>
      </c>
      <c r="BD60">
        <v>0</v>
      </c>
      <c r="BE60">
        <v>0</v>
      </c>
      <c r="BF60" t="s">
        <v>493</v>
      </c>
      <c r="BG60" t="s">
        <v>1111</v>
      </c>
      <c r="BH60">
        <v>32</v>
      </c>
      <c r="BI60" t="s">
        <v>1261</v>
      </c>
      <c r="BK60">
        <v>1899432</v>
      </c>
    </row>
    <row r="61" spans="1:64">
      <c r="A61" s="1">
        <f>HYPERLINK("https://lsnyc.legalserver.org/matter/dynamic-profile/view/1898917","19-1898917")</f>
        <v>0</v>
      </c>
      <c r="B61" t="s">
        <v>112</v>
      </c>
      <c r="C61" t="s">
        <v>250</v>
      </c>
      <c r="D61" t="s">
        <v>252</v>
      </c>
      <c r="E61" t="s">
        <v>265</v>
      </c>
      <c r="F61" t="s">
        <v>273</v>
      </c>
      <c r="G61" t="s">
        <v>275</v>
      </c>
      <c r="H61">
        <v>80.78</v>
      </c>
      <c r="I61" t="s">
        <v>274</v>
      </c>
      <c r="K61" t="s">
        <v>317</v>
      </c>
      <c r="L61" t="s">
        <v>451</v>
      </c>
      <c r="O61" t="s">
        <v>275</v>
      </c>
      <c r="Q61" t="s">
        <v>501</v>
      </c>
      <c r="S61" t="s">
        <v>503</v>
      </c>
      <c r="T61" t="s">
        <v>508</v>
      </c>
      <c r="U61" t="s">
        <v>511</v>
      </c>
      <c r="V61">
        <v>11214</v>
      </c>
      <c r="W61" t="s">
        <v>518</v>
      </c>
      <c r="X61" t="s">
        <v>548</v>
      </c>
      <c r="Y61" t="s">
        <v>275</v>
      </c>
      <c r="Z61" t="s">
        <v>607</v>
      </c>
      <c r="AA61" t="s">
        <v>772</v>
      </c>
      <c r="AB61" t="s">
        <v>902</v>
      </c>
      <c r="AC61" t="s">
        <v>905</v>
      </c>
      <c r="AD61" t="s">
        <v>916</v>
      </c>
      <c r="AE61" t="s">
        <v>920</v>
      </c>
      <c r="AF61" t="s">
        <v>928</v>
      </c>
      <c r="AI61">
        <v>0.9</v>
      </c>
      <c r="AJ61" t="s">
        <v>558</v>
      </c>
      <c r="AK61" t="s">
        <v>941</v>
      </c>
      <c r="AL61" t="s">
        <v>274</v>
      </c>
      <c r="AM61" t="s">
        <v>975</v>
      </c>
      <c r="AQ61" t="s">
        <v>1033</v>
      </c>
      <c r="AR61" t="s">
        <v>1051</v>
      </c>
      <c r="AT61">
        <v>2</v>
      </c>
      <c r="AU61">
        <v>2</v>
      </c>
      <c r="AV61" t="s">
        <v>273</v>
      </c>
      <c r="AY61" t="s">
        <v>273</v>
      </c>
      <c r="BB61">
        <v>0</v>
      </c>
      <c r="BC61">
        <v>0</v>
      </c>
      <c r="BD61">
        <v>0</v>
      </c>
      <c r="BE61">
        <v>0</v>
      </c>
      <c r="BF61" t="s">
        <v>493</v>
      </c>
      <c r="BG61" t="s">
        <v>1112</v>
      </c>
      <c r="BH61">
        <v>3</v>
      </c>
      <c r="BI61" t="s">
        <v>1261</v>
      </c>
      <c r="BK61">
        <v>1899432</v>
      </c>
    </row>
    <row r="62" spans="1:64">
      <c r="A62" s="1">
        <f>HYPERLINK("https://lsnyc.legalserver.org/matter/dynamic-profile/view/1898455","19-1898455")</f>
        <v>0</v>
      </c>
      <c r="B62" t="s">
        <v>113</v>
      </c>
      <c r="C62" t="s">
        <v>250</v>
      </c>
      <c r="D62" t="s">
        <v>252</v>
      </c>
      <c r="E62" t="s">
        <v>263</v>
      </c>
      <c r="F62" t="s">
        <v>273</v>
      </c>
      <c r="G62" t="s">
        <v>275</v>
      </c>
      <c r="H62">
        <v>105.78</v>
      </c>
      <c r="I62" t="s">
        <v>274</v>
      </c>
      <c r="K62" t="s">
        <v>318</v>
      </c>
      <c r="M62" t="s">
        <v>473</v>
      </c>
      <c r="N62" t="s">
        <v>485</v>
      </c>
      <c r="O62" t="s">
        <v>275</v>
      </c>
      <c r="P62" t="s">
        <v>496</v>
      </c>
      <c r="Q62" t="s">
        <v>501</v>
      </c>
      <c r="S62" t="s">
        <v>503</v>
      </c>
      <c r="T62" t="s">
        <v>507</v>
      </c>
      <c r="U62" t="s">
        <v>511</v>
      </c>
      <c r="V62">
        <v>11225</v>
      </c>
      <c r="W62" t="s">
        <v>516</v>
      </c>
      <c r="X62" t="s">
        <v>548</v>
      </c>
      <c r="Y62" t="s">
        <v>275</v>
      </c>
      <c r="Z62" t="s">
        <v>564</v>
      </c>
      <c r="AA62" t="s">
        <v>773</v>
      </c>
      <c r="AB62" t="s">
        <v>902</v>
      </c>
      <c r="AC62" t="s">
        <v>904</v>
      </c>
      <c r="AF62" t="s">
        <v>923</v>
      </c>
      <c r="AI62">
        <v>11.6</v>
      </c>
      <c r="AJ62" t="s">
        <v>558</v>
      </c>
      <c r="AK62" t="s">
        <v>947</v>
      </c>
      <c r="AL62" t="s">
        <v>274</v>
      </c>
      <c r="AM62" t="s">
        <v>973</v>
      </c>
      <c r="AN62" t="s">
        <v>485</v>
      </c>
      <c r="AT62">
        <v>0</v>
      </c>
      <c r="AU62">
        <v>2</v>
      </c>
      <c r="AV62" t="s">
        <v>273</v>
      </c>
      <c r="AY62" t="s">
        <v>273</v>
      </c>
      <c r="BB62">
        <v>0</v>
      </c>
      <c r="BC62">
        <v>0</v>
      </c>
      <c r="BD62">
        <v>0</v>
      </c>
      <c r="BE62">
        <v>0</v>
      </c>
      <c r="BF62" t="s">
        <v>1063</v>
      </c>
      <c r="BG62" t="s">
        <v>1113</v>
      </c>
      <c r="BH62">
        <v>40</v>
      </c>
      <c r="BI62" t="s">
        <v>1262</v>
      </c>
      <c r="BK62">
        <v>779761</v>
      </c>
    </row>
    <row r="63" spans="1:64">
      <c r="A63" s="1">
        <f>HYPERLINK("https://lsnyc.legalserver.org/matter/dynamic-profile/view/1898170","19-1898170")</f>
        <v>0</v>
      </c>
      <c r="B63" t="s">
        <v>114</v>
      </c>
      <c r="C63" t="s">
        <v>250</v>
      </c>
      <c r="D63" t="s">
        <v>252</v>
      </c>
      <c r="E63" t="s">
        <v>266</v>
      </c>
      <c r="F63" t="s">
        <v>273</v>
      </c>
      <c r="G63" t="s">
        <v>275</v>
      </c>
      <c r="H63">
        <v>7.77</v>
      </c>
      <c r="I63" t="s">
        <v>274</v>
      </c>
      <c r="K63" t="s">
        <v>319</v>
      </c>
      <c r="O63" t="s">
        <v>275</v>
      </c>
      <c r="P63" t="s">
        <v>492</v>
      </c>
      <c r="Q63" t="s">
        <v>501</v>
      </c>
      <c r="S63" t="s">
        <v>503</v>
      </c>
      <c r="T63" t="s">
        <v>508</v>
      </c>
      <c r="U63" t="s">
        <v>511</v>
      </c>
      <c r="V63">
        <v>11220</v>
      </c>
      <c r="W63" t="s">
        <v>518</v>
      </c>
      <c r="X63" t="s">
        <v>548</v>
      </c>
      <c r="Z63" t="s">
        <v>608</v>
      </c>
      <c r="AA63" t="s">
        <v>774</v>
      </c>
      <c r="AB63" t="s">
        <v>902</v>
      </c>
      <c r="AC63" t="s">
        <v>909</v>
      </c>
      <c r="AF63" t="s">
        <v>928</v>
      </c>
      <c r="AI63">
        <v>0</v>
      </c>
      <c r="AJ63" t="s">
        <v>558</v>
      </c>
      <c r="AK63" t="s">
        <v>950</v>
      </c>
      <c r="AL63" t="s">
        <v>274</v>
      </c>
      <c r="AM63" t="s">
        <v>975</v>
      </c>
      <c r="AT63">
        <v>2</v>
      </c>
      <c r="AU63">
        <v>2</v>
      </c>
      <c r="AV63" t="s">
        <v>275</v>
      </c>
      <c r="AY63" t="s">
        <v>273</v>
      </c>
      <c r="BB63">
        <v>0</v>
      </c>
      <c r="BC63">
        <v>0</v>
      </c>
      <c r="BD63">
        <v>0</v>
      </c>
      <c r="BE63">
        <v>0</v>
      </c>
      <c r="BF63" t="s">
        <v>1063</v>
      </c>
      <c r="BG63" t="s">
        <v>1114</v>
      </c>
      <c r="BH63">
        <v>31</v>
      </c>
      <c r="BI63" t="s">
        <v>1263</v>
      </c>
      <c r="BK63">
        <v>1898814</v>
      </c>
    </row>
    <row r="64" spans="1:64">
      <c r="A64" s="1">
        <f>HYPERLINK("https://lsnyc.legalserver.org/matter/dynamic-profile/view/1898181","19-1898181")</f>
        <v>0</v>
      </c>
      <c r="B64" t="s">
        <v>99</v>
      </c>
      <c r="C64" t="s">
        <v>250</v>
      </c>
      <c r="D64" t="s">
        <v>252</v>
      </c>
      <c r="E64" t="s">
        <v>266</v>
      </c>
      <c r="F64" t="s">
        <v>273</v>
      </c>
      <c r="G64" t="s">
        <v>275</v>
      </c>
      <c r="H64">
        <v>0</v>
      </c>
      <c r="I64" t="s">
        <v>274</v>
      </c>
      <c r="K64" t="s">
        <v>319</v>
      </c>
      <c r="P64" t="s">
        <v>492</v>
      </c>
      <c r="Q64" t="s">
        <v>502</v>
      </c>
      <c r="S64" t="s">
        <v>503</v>
      </c>
      <c r="T64" t="s">
        <v>507</v>
      </c>
      <c r="U64" t="s">
        <v>511</v>
      </c>
      <c r="V64">
        <v>11209</v>
      </c>
      <c r="W64" t="s">
        <v>518</v>
      </c>
      <c r="X64" t="s">
        <v>548</v>
      </c>
      <c r="Y64" t="s">
        <v>275</v>
      </c>
      <c r="Z64" t="s">
        <v>594</v>
      </c>
      <c r="AA64" t="s">
        <v>761</v>
      </c>
      <c r="AB64" t="s">
        <v>902</v>
      </c>
      <c r="AC64" t="s">
        <v>905</v>
      </c>
      <c r="AF64" t="s">
        <v>926</v>
      </c>
      <c r="AI64">
        <v>1.3</v>
      </c>
      <c r="AJ64" t="s">
        <v>558</v>
      </c>
      <c r="AK64" t="s">
        <v>934</v>
      </c>
      <c r="AL64" t="s">
        <v>274</v>
      </c>
      <c r="AM64" t="s">
        <v>973</v>
      </c>
      <c r="AO64" t="s">
        <v>975</v>
      </c>
      <c r="AT64">
        <v>1</v>
      </c>
      <c r="AU64">
        <v>1</v>
      </c>
      <c r="AV64" t="s">
        <v>274</v>
      </c>
      <c r="AY64" t="s">
        <v>274</v>
      </c>
      <c r="BB64">
        <v>0</v>
      </c>
      <c r="BC64">
        <v>0</v>
      </c>
      <c r="BD64">
        <v>0</v>
      </c>
      <c r="BE64">
        <v>0</v>
      </c>
      <c r="BF64" t="s">
        <v>1063</v>
      </c>
      <c r="BG64" t="s">
        <v>1099</v>
      </c>
      <c r="BH64">
        <v>4</v>
      </c>
      <c r="BI64" t="s">
        <v>1247</v>
      </c>
      <c r="BK64">
        <v>1898825</v>
      </c>
    </row>
    <row r="65" spans="1:64">
      <c r="A65" s="1">
        <f>HYPERLINK("https://lsnyc.legalserver.org/matter/dynamic-profile/view/1898183","19-1898183")</f>
        <v>0</v>
      </c>
      <c r="B65" t="s">
        <v>115</v>
      </c>
      <c r="C65" t="s">
        <v>250</v>
      </c>
      <c r="D65" t="s">
        <v>255</v>
      </c>
      <c r="E65" t="s">
        <v>266</v>
      </c>
      <c r="F65" t="s">
        <v>273</v>
      </c>
      <c r="G65" t="s">
        <v>275</v>
      </c>
      <c r="H65">
        <v>0</v>
      </c>
      <c r="I65" t="s">
        <v>274</v>
      </c>
      <c r="K65" t="s">
        <v>319</v>
      </c>
      <c r="Q65" t="s">
        <v>502</v>
      </c>
      <c r="S65" t="s">
        <v>503</v>
      </c>
      <c r="T65" t="s">
        <v>507</v>
      </c>
      <c r="U65" t="s">
        <v>511</v>
      </c>
      <c r="V65">
        <v>11218</v>
      </c>
      <c r="W65" t="s">
        <v>518</v>
      </c>
      <c r="X65" t="s">
        <v>548</v>
      </c>
      <c r="Y65" t="s">
        <v>275</v>
      </c>
      <c r="Z65" t="s">
        <v>609</v>
      </c>
      <c r="AA65" t="s">
        <v>775</v>
      </c>
      <c r="AB65" t="s">
        <v>902</v>
      </c>
      <c r="AC65" t="s">
        <v>905</v>
      </c>
      <c r="AF65" t="s">
        <v>923</v>
      </c>
      <c r="AI65">
        <v>0</v>
      </c>
      <c r="AJ65" t="s">
        <v>558</v>
      </c>
      <c r="AK65" t="s">
        <v>934</v>
      </c>
      <c r="AL65" t="s">
        <v>274</v>
      </c>
      <c r="AM65" t="s">
        <v>975</v>
      </c>
      <c r="AO65" t="s">
        <v>975</v>
      </c>
      <c r="AT65">
        <v>1</v>
      </c>
      <c r="AU65">
        <v>3</v>
      </c>
      <c r="AV65" t="s">
        <v>274</v>
      </c>
      <c r="AY65" t="s">
        <v>273</v>
      </c>
      <c r="BB65">
        <v>0</v>
      </c>
      <c r="BC65">
        <v>0</v>
      </c>
      <c r="BD65">
        <v>0</v>
      </c>
      <c r="BE65">
        <v>0</v>
      </c>
      <c r="BF65" t="s">
        <v>1063</v>
      </c>
      <c r="BG65" t="s">
        <v>1115</v>
      </c>
      <c r="BH65">
        <v>7</v>
      </c>
      <c r="BI65" t="s">
        <v>1247</v>
      </c>
      <c r="BK65">
        <v>1898827</v>
      </c>
    </row>
    <row r="66" spans="1:64">
      <c r="A66" s="1">
        <f>HYPERLINK("https://lsnyc.legalserver.org/matter/dynamic-profile/view/1898187","19-1898187")</f>
        <v>0</v>
      </c>
      <c r="B66" t="s">
        <v>116</v>
      </c>
      <c r="C66" t="s">
        <v>250</v>
      </c>
      <c r="D66" t="s">
        <v>255</v>
      </c>
      <c r="E66" t="s">
        <v>266</v>
      </c>
      <c r="F66" t="s">
        <v>273</v>
      </c>
      <c r="G66" t="s">
        <v>275</v>
      </c>
      <c r="H66">
        <v>0</v>
      </c>
      <c r="I66" t="s">
        <v>274</v>
      </c>
      <c r="K66" t="s">
        <v>319</v>
      </c>
      <c r="O66" t="s">
        <v>275</v>
      </c>
      <c r="P66" t="s">
        <v>492</v>
      </c>
      <c r="Q66" t="s">
        <v>502</v>
      </c>
      <c r="S66" t="s">
        <v>503</v>
      </c>
      <c r="T66" t="s">
        <v>507</v>
      </c>
      <c r="U66" t="s">
        <v>511</v>
      </c>
      <c r="V66">
        <v>11216</v>
      </c>
      <c r="W66" t="s">
        <v>518</v>
      </c>
      <c r="X66" t="s">
        <v>548</v>
      </c>
      <c r="Y66" t="s">
        <v>275</v>
      </c>
      <c r="Z66" t="s">
        <v>595</v>
      </c>
      <c r="AA66" t="s">
        <v>762</v>
      </c>
      <c r="AB66" t="s">
        <v>902</v>
      </c>
      <c r="AC66" t="s">
        <v>905</v>
      </c>
      <c r="AF66" t="s">
        <v>926</v>
      </c>
      <c r="AI66">
        <v>12.2</v>
      </c>
      <c r="AJ66" t="s">
        <v>558</v>
      </c>
      <c r="AK66" t="s">
        <v>941</v>
      </c>
      <c r="AL66" t="s">
        <v>274</v>
      </c>
      <c r="AM66" t="s">
        <v>973</v>
      </c>
      <c r="AO66" t="s">
        <v>975</v>
      </c>
      <c r="AT66">
        <v>1</v>
      </c>
      <c r="AU66">
        <v>1</v>
      </c>
      <c r="AV66" t="s">
        <v>274</v>
      </c>
      <c r="AY66" t="s">
        <v>274</v>
      </c>
      <c r="BB66">
        <v>0</v>
      </c>
      <c r="BC66">
        <v>0</v>
      </c>
      <c r="BD66">
        <v>0</v>
      </c>
      <c r="BE66">
        <v>0</v>
      </c>
      <c r="BF66" t="s">
        <v>1063</v>
      </c>
      <c r="BG66" t="s">
        <v>1100</v>
      </c>
      <c r="BH66">
        <v>9</v>
      </c>
      <c r="BI66" t="s">
        <v>1247</v>
      </c>
      <c r="BK66">
        <v>1898831</v>
      </c>
    </row>
    <row r="67" spans="1:64">
      <c r="A67" s="1">
        <f>HYPERLINK("https://lsnyc.legalserver.org/matter/dynamic-profile/view/1897872","19-1897872")</f>
        <v>0</v>
      </c>
      <c r="B67" t="s">
        <v>117</v>
      </c>
      <c r="C67" t="s">
        <v>250</v>
      </c>
      <c r="D67" t="s">
        <v>252</v>
      </c>
      <c r="E67" t="s">
        <v>263</v>
      </c>
      <c r="F67" t="s">
        <v>273</v>
      </c>
      <c r="G67" t="s">
        <v>275</v>
      </c>
      <c r="H67">
        <v>60.95</v>
      </c>
      <c r="I67" t="s">
        <v>274</v>
      </c>
      <c r="K67" t="s">
        <v>320</v>
      </c>
      <c r="P67" t="s">
        <v>492</v>
      </c>
      <c r="Q67" t="s">
        <v>501</v>
      </c>
      <c r="S67" t="s">
        <v>503</v>
      </c>
      <c r="T67" t="s">
        <v>508</v>
      </c>
      <c r="U67" t="s">
        <v>511</v>
      </c>
      <c r="V67">
        <v>11221</v>
      </c>
      <c r="W67" t="s">
        <v>532</v>
      </c>
      <c r="X67" t="s">
        <v>548</v>
      </c>
      <c r="Y67" t="s">
        <v>275</v>
      </c>
      <c r="Z67" t="s">
        <v>610</v>
      </c>
      <c r="AA67" t="s">
        <v>776</v>
      </c>
      <c r="AB67" t="s">
        <v>902</v>
      </c>
      <c r="AC67" t="s">
        <v>905</v>
      </c>
      <c r="AF67" t="s">
        <v>923</v>
      </c>
      <c r="AI67">
        <v>8.75</v>
      </c>
      <c r="AJ67" t="s">
        <v>931</v>
      </c>
      <c r="AK67" t="s">
        <v>933</v>
      </c>
      <c r="AL67" t="s">
        <v>274</v>
      </c>
      <c r="AT67">
        <v>2</v>
      </c>
      <c r="AU67">
        <v>1</v>
      </c>
      <c r="AV67" t="s">
        <v>273</v>
      </c>
      <c r="AY67" t="s">
        <v>273</v>
      </c>
      <c r="BB67">
        <v>0</v>
      </c>
      <c r="BC67">
        <v>0</v>
      </c>
      <c r="BD67">
        <v>0</v>
      </c>
      <c r="BE67">
        <v>0</v>
      </c>
      <c r="BF67" t="s">
        <v>1063</v>
      </c>
      <c r="BG67" t="s">
        <v>1116</v>
      </c>
      <c r="BH67">
        <v>34</v>
      </c>
      <c r="BI67" t="s">
        <v>1264</v>
      </c>
      <c r="BK67">
        <v>1898515</v>
      </c>
    </row>
    <row r="68" spans="1:64">
      <c r="A68" s="1">
        <f>HYPERLINK("https://lsnyc.legalserver.org/matter/dynamic-profile/view/1897680","19-1897680")</f>
        <v>0</v>
      </c>
      <c r="B68" t="s">
        <v>118</v>
      </c>
      <c r="C68" t="s">
        <v>250</v>
      </c>
      <c r="D68" t="s">
        <v>252</v>
      </c>
      <c r="E68" t="s">
        <v>268</v>
      </c>
      <c r="F68" t="s">
        <v>273</v>
      </c>
      <c r="G68" t="s">
        <v>275</v>
      </c>
      <c r="H68">
        <v>193.97</v>
      </c>
      <c r="I68" t="s">
        <v>274</v>
      </c>
      <c r="K68" t="s">
        <v>321</v>
      </c>
      <c r="L68" t="s">
        <v>452</v>
      </c>
      <c r="P68" t="s">
        <v>493</v>
      </c>
      <c r="Q68" t="s">
        <v>501</v>
      </c>
      <c r="S68" t="s">
        <v>503</v>
      </c>
      <c r="T68" t="s">
        <v>507</v>
      </c>
      <c r="U68" t="s">
        <v>511</v>
      </c>
      <c r="V68">
        <v>11220</v>
      </c>
      <c r="W68" t="s">
        <v>520</v>
      </c>
      <c r="X68" t="s">
        <v>548</v>
      </c>
      <c r="Y68" t="s">
        <v>274</v>
      </c>
      <c r="Z68" t="s">
        <v>611</v>
      </c>
      <c r="AA68" t="s">
        <v>777</v>
      </c>
      <c r="AB68" t="s">
        <v>902</v>
      </c>
      <c r="AC68" t="s">
        <v>910</v>
      </c>
      <c r="AD68" t="s">
        <v>275</v>
      </c>
      <c r="AE68" t="s">
        <v>918</v>
      </c>
      <c r="AF68" t="s">
        <v>923</v>
      </c>
      <c r="AI68">
        <v>3.8</v>
      </c>
      <c r="AJ68" t="s">
        <v>558</v>
      </c>
      <c r="AK68" t="s">
        <v>933</v>
      </c>
      <c r="AL68" t="s">
        <v>274</v>
      </c>
      <c r="AM68" t="s">
        <v>973</v>
      </c>
      <c r="AN68" t="s">
        <v>321</v>
      </c>
      <c r="AQ68" t="s">
        <v>1038</v>
      </c>
      <c r="AR68" t="s">
        <v>1051</v>
      </c>
      <c r="AT68">
        <v>0</v>
      </c>
      <c r="AU68">
        <v>2</v>
      </c>
      <c r="AV68" t="s">
        <v>273</v>
      </c>
      <c r="AY68" t="s">
        <v>273</v>
      </c>
      <c r="BB68">
        <v>0</v>
      </c>
      <c r="BC68">
        <v>0</v>
      </c>
      <c r="BD68">
        <v>0</v>
      </c>
      <c r="BE68">
        <v>0</v>
      </c>
      <c r="BF68" t="s">
        <v>493</v>
      </c>
      <c r="BG68" t="s">
        <v>1117</v>
      </c>
      <c r="BH68">
        <v>43</v>
      </c>
      <c r="BI68" t="s">
        <v>1265</v>
      </c>
      <c r="BK68">
        <v>1874855</v>
      </c>
    </row>
    <row r="69" spans="1:64">
      <c r="A69" s="1">
        <f>HYPERLINK("https://lsnyc.legalserver.org/matter/dynamic-profile/view/1897624","19-1897624")</f>
        <v>0</v>
      </c>
      <c r="B69" t="s">
        <v>90</v>
      </c>
      <c r="C69" t="s">
        <v>250</v>
      </c>
      <c r="D69" t="s">
        <v>252</v>
      </c>
      <c r="E69" t="s">
        <v>262</v>
      </c>
      <c r="F69" t="s">
        <v>273</v>
      </c>
      <c r="G69" t="s">
        <v>275</v>
      </c>
      <c r="H69">
        <v>0</v>
      </c>
      <c r="I69" t="s">
        <v>274</v>
      </c>
      <c r="K69" t="s">
        <v>321</v>
      </c>
      <c r="P69" t="s">
        <v>492</v>
      </c>
      <c r="Q69" t="s">
        <v>501</v>
      </c>
      <c r="S69" t="s">
        <v>503</v>
      </c>
      <c r="T69" t="s">
        <v>508</v>
      </c>
      <c r="U69" t="s">
        <v>511</v>
      </c>
      <c r="V69">
        <v>11212</v>
      </c>
      <c r="W69" t="s">
        <v>529</v>
      </c>
      <c r="Y69" t="s">
        <v>275</v>
      </c>
      <c r="Z69" t="s">
        <v>585</v>
      </c>
      <c r="AA69" t="s">
        <v>752</v>
      </c>
      <c r="AB69" t="s">
        <v>902</v>
      </c>
      <c r="AC69" t="s">
        <v>905</v>
      </c>
      <c r="AF69" t="s">
        <v>923</v>
      </c>
      <c r="AI69">
        <v>18.7</v>
      </c>
      <c r="AJ69" t="s">
        <v>931</v>
      </c>
      <c r="AK69" t="s">
        <v>939</v>
      </c>
      <c r="AL69" t="s">
        <v>274</v>
      </c>
      <c r="AT69">
        <v>1</v>
      </c>
      <c r="AU69">
        <v>1</v>
      </c>
      <c r="AV69" t="s">
        <v>273</v>
      </c>
      <c r="AY69" t="s">
        <v>273</v>
      </c>
      <c r="BB69">
        <v>0</v>
      </c>
      <c r="BC69">
        <v>0</v>
      </c>
      <c r="BD69">
        <v>0</v>
      </c>
      <c r="BE69">
        <v>0</v>
      </c>
      <c r="BF69" t="s">
        <v>1063</v>
      </c>
      <c r="BG69" t="s">
        <v>1090</v>
      </c>
      <c r="BH69">
        <v>16</v>
      </c>
      <c r="BI69" t="s">
        <v>1247</v>
      </c>
      <c r="BK69">
        <v>1898267</v>
      </c>
      <c r="BL69" t="s">
        <v>275</v>
      </c>
    </row>
    <row r="70" spans="1:64">
      <c r="A70" s="1">
        <f>HYPERLINK("https://lsnyc.legalserver.org/matter/dynamic-profile/view/1896460","19-1896460")</f>
        <v>0</v>
      </c>
      <c r="B70" t="s">
        <v>119</v>
      </c>
      <c r="C70" t="s">
        <v>250</v>
      </c>
      <c r="D70" t="s">
        <v>253</v>
      </c>
      <c r="E70" t="s">
        <v>265</v>
      </c>
      <c r="F70" t="s">
        <v>273</v>
      </c>
      <c r="G70" t="s">
        <v>275</v>
      </c>
      <c r="H70">
        <v>0</v>
      </c>
      <c r="I70" t="s">
        <v>274</v>
      </c>
      <c r="K70" t="s">
        <v>322</v>
      </c>
      <c r="L70" t="s">
        <v>449</v>
      </c>
      <c r="M70" t="s">
        <v>472</v>
      </c>
      <c r="N70" t="s">
        <v>483</v>
      </c>
      <c r="P70" t="s">
        <v>492</v>
      </c>
      <c r="Q70" t="s">
        <v>502</v>
      </c>
      <c r="S70" t="s">
        <v>503</v>
      </c>
      <c r="T70" t="s">
        <v>508</v>
      </c>
      <c r="U70" t="s">
        <v>511</v>
      </c>
      <c r="V70">
        <v>11355</v>
      </c>
      <c r="W70" t="s">
        <v>529</v>
      </c>
      <c r="X70" t="s">
        <v>555</v>
      </c>
      <c r="Y70" t="s">
        <v>275</v>
      </c>
      <c r="Z70" t="s">
        <v>612</v>
      </c>
      <c r="AA70" t="s">
        <v>778</v>
      </c>
      <c r="AB70" t="s">
        <v>902</v>
      </c>
      <c r="AC70" t="s">
        <v>905</v>
      </c>
      <c r="AD70" t="s">
        <v>274</v>
      </c>
      <c r="AE70" t="s">
        <v>919</v>
      </c>
      <c r="AF70" t="s">
        <v>923</v>
      </c>
      <c r="AI70">
        <v>0.55</v>
      </c>
      <c r="AJ70" t="s">
        <v>558</v>
      </c>
      <c r="AK70" t="s">
        <v>951</v>
      </c>
      <c r="AL70" t="s">
        <v>274</v>
      </c>
      <c r="AM70" t="s">
        <v>978</v>
      </c>
      <c r="AN70" t="s">
        <v>287</v>
      </c>
      <c r="AQ70" t="s">
        <v>1041</v>
      </c>
      <c r="AR70" t="s">
        <v>1051</v>
      </c>
      <c r="AT70">
        <v>0</v>
      </c>
      <c r="AU70">
        <v>1</v>
      </c>
      <c r="AV70" t="s">
        <v>273</v>
      </c>
      <c r="AY70" t="s">
        <v>273</v>
      </c>
      <c r="BB70">
        <v>0</v>
      </c>
      <c r="BC70">
        <v>0</v>
      </c>
      <c r="BD70">
        <v>0</v>
      </c>
      <c r="BE70">
        <v>0</v>
      </c>
      <c r="BF70" t="s">
        <v>493</v>
      </c>
      <c r="BG70" t="s">
        <v>1118</v>
      </c>
      <c r="BH70">
        <v>22</v>
      </c>
      <c r="BI70" t="s">
        <v>1247</v>
      </c>
      <c r="BK70">
        <v>1893569</v>
      </c>
      <c r="BL70" t="s">
        <v>275</v>
      </c>
    </row>
    <row r="71" spans="1:64">
      <c r="A71" s="1">
        <f>HYPERLINK("https://lsnyc.legalserver.org/matter/dynamic-profile/view/1896459","19-1896459")</f>
        <v>0</v>
      </c>
      <c r="B71" t="s">
        <v>120</v>
      </c>
      <c r="C71" t="s">
        <v>250</v>
      </c>
      <c r="D71" t="s">
        <v>252</v>
      </c>
      <c r="E71" t="s">
        <v>265</v>
      </c>
      <c r="F71" t="s">
        <v>273</v>
      </c>
      <c r="G71" t="s">
        <v>275</v>
      </c>
      <c r="H71">
        <v>0</v>
      </c>
      <c r="I71" t="s">
        <v>274</v>
      </c>
      <c r="K71" t="s">
        <v>322</v>
      </c>
      <c r="M71" t="s">
        <v>474</v>
      </c>
      <c r="N71" t="s">
        <v>279</v>
      </c>
      <c r="P71" t="s">
        <v>492</v>
      </c>
      <c r="Q71" t="s">
        <v>502</v>
      </c>
      <c r="S71" t="s">
        <v>503</v>
      </c>
      <c r="T71" t="s">
        <v>507</v>
      </c>
      <c r="U71" t="s">
        <v>511</v>
      </c>
      <c r="V71">
        <v>11226</v>
      </c>
      <c r="W71" t="s">
        <v>519</v>
      </c>
      <c r="X71" t="s">
        <v>548</v>
      </c>
      <c r="Y71" t="s">
        <v>275</v>
      </c>
      <c r="Z71" t="s">
        <v>613</v>
      </c>
      <c r="AA71" t="s">
        <v>779</v>
      </c>
      <c r="AB71" t="s">
        <v>902</v>
      </c>
      <c r="AC71" t="s">
        <v>905</v>
      </c>
      <c r="AF71" t="s">
        <v>926</v>
      </c>
      <c r="AI71">
        <v>8.85</v>
      </c>
      <c r="AJ71" t="s">
        <v>558</v>
      </c>
      <c r="AK71" t="s">
        <v>934</v>
      </c>
      <c r="AL71" t="s">
        <v>274</v>
      </c>
      <c r="AT71">
        <v>0</v>
      </c>
      <c r="AU71">
        <v>1</v>
      </c>
      <c r="AV71" t="s">
        <v>273</v>
      </c>
      <c r="AY71" t="s">
        <v>273</v>
      </c>
      <c r="BB71">
        <v>0</v>
      </c>
      <c r="BC71">
        <v>0</v>
      </c>
      <c r="BD71">
        <v>0</v>
      </c>
      <c r="BE71">
        <v>0</v>
      </c>
      <c r="BF71" t="s">
        <v>1063</v>
      </c>
      <c r="BG71" t="s">
        <v>1119</v>
      </c>
      <c r="BH71">
        <v>22</v>
      </c>
      <c r="BI71" t="s">
        <v>1247</v>
      </c>
      <c r="BK71">
        <v>1892679</v>
      </c>
      <c r="BL71" t="s">
        <v>274</v>
      </c>
    </row>
    <row r="72" spans="1:64">
      <c r="A72" s="1">
        <f>HYPERLINK("https://lsnyc.legalserver.org/matter/dynamic-profile/view/1896128","19-1896128")</f>
        <v>0</v>
      </c>
      <c r="B72" t="s">
        <v>73</v>
      </c>
      <c r="C72" t="s">
        <v>250</v>
      </c>
      <c r="D72" t="s">
        <v>252</v>
      </c>
      <c r="E72" t="s">
        <v>261</v>
      </c>
      <c r="F72" t="s">
        <v>273</v>
      </c>
      <c r="G72" t="s">
        <v>275</v>
      </c>
      <c r="H72">
        <v>43.38</v>
      </c>
      <c r="I72" t="s">
        <v>274</v>
      </c>
      <c r="K72" t="s">
        <v>323</v>
      </c>
      <c r="O72" t="s">
        <v>275</v>
      </c>
      <c r="P72" t="s">
        <v>492</v>
      </c>
      <c r="Q72" t="s">
        <v>501</v>
      </c>
      <c r="S72" t="s">
        <v>503</v>
      </c>
      <c r="T72" t="s">
        <v>508</v>
      </c>
      <c r="U72" t="s">
        <v>511</v>
      </c>
      <c r="V72">
        <v>11213</v>
      </c>
      <c r="W72" t="s">
        <v>518</v>
      </c>
      <c r="X72" t="s">
        <v>549</v>
      </c>
      <c r="Z72" t="s">
        <v>568</v>
      </c>
      <c r="AA72" t="s">
        <v>736</v>
      </c>
      <c r="AB72" t="s">
        <v>902</v>
      </c>
      <c r="AC72" t="s">
        <v>905</v>
      </c>
      <c r="AF72" t="s">
        <v>926</v>
      </c>
      <c r="AI72">
        <v>14.2</v>
      </c>
      <c r="AJ72" t="s">
        <v>558</v>
      </c>
      <c r="AK72" t="s">
        <v>937</v>
      </c>
      <c r="AL72" t="s">
        <v>274</v>
      </c>
      <c r="AM72" t="s">
        <v>974</v>
      </c>
      <c r="AN72" t="s">
        <v>483</v>
      </c>
      <c r="AT72">
        <v>2</v>
      </c>
      <c r="AU72">
        <v>1</v>
      </c>
      <c r="AV72" t="s">
        <v>273</v>
      </c>
      <c r="AY72" t="s">
        <v>273</v>
      </c>
      <c r="BB72">
        <v>0</v>
      </c>
      <c r="BC72">
        <v>0</v>
      </c>
      <c r="BD72">
        <v>0</v>
      </c>
      <c r="BE72">
        <v>0</v>
      </c>
      <c r="BF72" t="s">
        <v>1063</v>
      </c>
      <c r="BG72" t="s">
        <v>1073</v>
      </c>
      <c r="BH72">
        <v>38</v>
      </c>
      <c r="BI72" t="s">
        <v>1249</v>
      </c>
      <c r="BK72">
        <v>1896770</v>
      </c>
    </row>
    <row r="73" spans="1:64">
      <c r="A73" s="1">
        <f>HYPERLINK("https://lsnyc.legalserver.org/matter/dynamic-profile/view/1895509","19-1895509")</f>
        <v>0</v>
      </c>
      <c r="B73" t="s">
        <v>121</v>
      </c>
      <c r="C73" t="s">
        <v>250</v>
      </c>
      <c r="D73" t="s">
        <v>252</v>
      </c>
      <c r="E73" t="s">
        <v>266</v>
      </c>
      <c r="F73" t="s">
        <v>273</v>
      </c>
      <c r="G73" t="s">
        <v>275</v>
      </c>
      <c r="H73">
        <v>90.87</v>
      </c>
      <c r="I73" t="s">
        <v>274</v>
      </c>
      <c r="K73" t="s">
        <v>324</v>
      </c>
      <c r="O73" t="s">
        <v>275</v>
      </c>
      <c r="Q73" t="s">
        <v>501</v>
      </c>
      <c r="S73" t="s">
        <v>503</v>
      </c>
      <c r="T73" t="s">
        <v>508</v>
      </c>
      <c r="U73" t="s">
        <v>511</v>
      </c>
      <c r="V73">
        <v>11232</v>
      </c>
      <c r="W73" t="s">
        <v>519</v>
      </c>
      <c r="X73" t="s">
        <v>548</v>
      </c>
      <c r="Y73" t="s">
        <v>275</v>
      </c>
      <c r="Z73" t="s">
        <v>614</v>
      </c>
      <c r="AA73" t="s">
        <v>773</v>
      </c>
      <c r="AB73" t="s">
        <v>902</v>
      </c>
      <c r="AC73" t="s">
        <v>905</v>
      </c>
      <c r="AF73" t="s">
        <v>928</v>
      </c>
      <c r="AI73">
        <v>3</v>
      </c>
      <c r="AJ73" t="s">
        <v>558</v>
      </c>
      <c r="AK73" t="s">
        <v>941</v>
      </c>
      <c r="AL73" t="s">
        <v>274</v>
      </c>
      <c r="AM73" t="s">
        <v>975</v>
      </c>
      <c r="AT73">
        <v>2</v>
      </c>
      <c r="AU73">
        <v>2</v>
      </c>
      <c r="AV73" t="s">
        <v>274</v>
      </c>
      <c r="AY73" t="s">
        <v>274</v>
      </c>
      <c r="BB73">
        <v>0</v>
      </c>
      <c r="BC73">
        <v>0</v>
      </c>
      <c r="BD73">
        <v>0</v>
      </c>
      <c r="BE73">
        <v>0</v>
      </c>
      <c r="BF73" t="s">
        <v>1063</v>
      </c>
      <c r="BG73" t="s">
        <v>1120</v>
      </c>
      <c r="BH73">
        <v>29</v>
      </c>
      <c r="BI73" t="s">
        <v>1248</v>
      </c>
      <c r="BK73">
        <v>1896151</v>
      </c>
    </row>
    <row r="74" spans="1:64">
      <c r="A74" s="1">
        <f>HYPERLINK("https://lsnyc.legalserver.org/matter/dynamic-profile/view/1895059","19-1895059")</f>
        <v>0</v>
      </c>
      <c r="B74" t="s">
        <v>122</v>
      </c>
      <c r="C74" t="s">
        <v>250</v>
      </c>
      <c r="D74" t="s">
        <v>252</v>
      </c>
      <c r="E74" t="s">
        <v>261</v>
      </c>
      <c r="F74" t="s">
        <v>273</v>
      </c>
      <c r="G74" t="s">
        <v>275</v>
      </c>
      <c r="H74">
        <v>0</v>
      </c>
      <c r="I74" t="s">
        <v>274</v>
      </c>
      <c r="K74" t="s">
        <v>325</v>
      </c>
      <c r="L74" t="s">
        <v>453</v>
      </c>
      <c r="P74" t="s">
        <v>492</v>
      </c>
      <c r="Q74" t="s">
        <v>501</v>
      </c>
      <c r="S74" t="s">
        <v>503</v>
      </c>
      <c r="T74" t="s">
        <v>507</v>
      </c>
      <c r="U74" t="s">
        <v>511</v>
      </c>
      <c r="V74">
        <v>11216</v>
      </c>
      <c r="W74" t="s">
        <v>533</v>
      </c>
      <c r="Y74" t="s">
        <v>275</v>
      </c>
      <c r="Z74" t="s">
        <v>613</v>
      </c>
      <c r="AA74" t="s">
        <v>780</v>
      </c>
      <c r="AB74" t="s">
        <v>903</v>
      </c>
      <c r="AD74" t="s">
        <v>275</v>
      </c>
      <c r="AE74" t="s">
        <v>919</v>
      </c>
      <c r="AF74" t="s">
        <v>923</v>
      </c>
      <c r="AI74">
        <v>5.7</v>
      </c>
      <c r="AK74" t="s">
        <v>938</v>
      </c>
      <c r="AL74" t="s">
        <v>274</v>
      </c>
      <c r="AM74" t="s">
        <v>973</v>
      </c>
      <c r="AN74" t="s">
        <v>986</v>
      </c>
      <c r="AO74" t="s">
        <v>976</v>
      </c>
      <c r="AP74" t="s">
        <v>453</v>
      </c>
      <c r="AQ74" t="s">
        <v>1042</v>
      </c>
      <c r="AR74" t="s">
        <v>1051</v>
      </c>
      <c r="AT74">
        <v>0</v>
      </c>
      <c r="AU74">
        <v>1</v>
      </c>
      <c r="AV74" t="s">
        <v>273</v>
      </c>
      <c r="AY74" t="s">
        <v>273</v>
      </c>
      <c r="BB74">
        <v>0</v>
      </c>
      <c r="BC74">
        <v>0</v>
      </c>
      <c r="BD74">
        <v>0</v>
      </c>
      <c r="BE74">
        <v>0</v>
      </c>
      <c r="BF74" t="s">
        <v>493</v>
      </c>
      <c r="BG74" t="s">
        <v>1121</v>
      </c>
      <c r="BH74">
        <v>49</v>
      </c>
      <c r="BI74" t="s">
        <v>1247</v>
      </c>
      <c r="BK74">
        <v>1895700</v>
      </c>
      <c r="BL74" t="s">
        <v>275</v>
      </c>
    </row>
    <row r="75" spans="1:64">
      <c r="A75" s="1">
        <f>HYPERLINK("https://lsnyc.legalserver.org/matter/dynamic-profile/view/1895070","19-1895070")</f>
        <v>0</v>
      </c>
      <c r="B75" t="s">
        <v>123</v>
      </c>
      <c r="C75" t="s">
        <v>250</v>
      </c>
      <c r="D75" t="s">
        <v>252</v>
      </c>
      <c r="E75" t="s">
        <v>266</v>
      </c>
      <c r="F75" t="s">
        <v>273</v>
      </c>
      <c r="G75" t="s">
        <v>275</v>
      </c>
      <c r="H75">
        <v>0</v>
      </c>
      <c r="I75" t="s">
        <v>274</v>
      </c>
      <c r="K75" t="s">
        <v>325</v>
      </c>
      <c r="Q75" t="s">
        <v>502</v>
      </c>
      <c r="S75" t="s">
        <v>503</v>
      </c>
      <c r="T75" t="s">
        <v>507</v>
      </c>
      <c r="U75" t="s">
        <v>511</v>
      </c>
      <c r="V75">
        <v>11214</v>
      </c>
      <c r="W75" t="s">
        <v>518</v>
      </c>
      <c r="X75" t="s">
        <v>548</v>
      </c>
      <c r="Z75" t="s">
        <v>615</v>
      </c>
      <c r="AA75" t="s">
        <v>781</v>
      </c>
      <c r="AB75" t="s">
        <v>902</v>
      </c>
      <c r="AC75" t="s">
        <v>905</v>
      </c>
      <c r="AF75" t="s">
        <v>926</v>
      </c>
      <c r="AI75">
        <v>1.2</v>
      </c>
      <c r="AJ75" t="s">
        <v>558</v>
      </c>
      <c r="AK75" t="s">
        <v>941</v>
      </c>
      <c r="AL75" t="s">
        <v>274</v>
      </c>
      <c r="AM75" t="s">
        <v>973</v>
      </c>
      <c r="AO75" t="s">
        <v>975</v>
      </c>
      <c r="AT75">
        <v>0</v>
      </c>
      <c r="AU75">
        <v>1</v>
      </c>
      <c r="AV75" t="s">
        <v>274</v>
      </c>
      <c r="AY75" t="s">
        <v>274</v>
      </c>
      <c r="BB75">
        <v>0</v>
      </c>
      <c r="BC75">
        <v>0</v>
      </c>
      <c r="BD75">
        <v>0</v>
      </c>
      <c r="BE75">
        <v>0</v>
      </c>
      <c r="BF75" t="s">
        <v>1063</v>
      </c>
      <c r="BG75" t="s">
        <v>1122</v>
      </c>
      <c r="BH75">
        <v>22</v>
      </c>
      <c r="BI75" t="s">
        <v>1247</v>
      </c>
      <c r="BK75">
        <v>1895711</v>
      </c>
    </row>
    <row r="76" spans="1:64">
      <c r="A76" s="1">
        <f>HYPERLINK("https://lsnyc.legalserver.org/matter/dynamic-profile/view/1895072","19-1895072")</f>
        <v>0</v>
      </c>
      <c r="B76" t="s">
        <v>123</v>
      </c>
      <c r="C76" t="s">
        <v>250</v>
      </c>
      <c r="D76" t="s">
        <v>252</v>
      </c>
      <c r="E76" t="s">
        <v>266</v>
      </c>
      <c r="F76" t="s">
        <v>273</v>
      </c>
      <c r="G76" t="s">
        <v>275</v>
      </c>
      <c r="H76">
        <v>0</v>
      </c>
      <c r="I76" t="s">
        <v>274</v>
      </c>
      <c r="K76" t="s">
        <v>325</v>
      </c>
      <c r="Q76" t="s">
        <v>502</v>
      </c>
      <c r="S76" t="s">
        <v>503</v>
      </c>
      <c r="T76" t="s">
        <v>507</v>
      </c>
      <c r="U76" t="s">
        <v>511</v>
      </c>
      <c r="V76">
        <v>11214</v>
      </c>
      <c r="W76" t="s">
        <v>529</v>
      </c>
      <c r="X76" t="s">
        <v>548</v>
      </c>
      <c r="Y76" t="s">
        <v>275</v>
      </c>
      <c r="Z76" t="s">
        <v>615</v>
      </c>
      <c r="AA76" t="s">
        <v>781</v>
      </c>
      <c r="AB76" t="s">
        <v>902</v>
      </c>
      <c r="AC76" t="s">
        <v>905</v>
      </c>
      <c r="AF76" t="s">
        <v>926</v>
      </c>
      <c r="AI76">
        <v>19.4</v>
      </c>
      <c r="AJ76" t="s">
        <v>558</v>
      </c>
      <c r="AK76" t="s">
        <v>941</v>
      </c>
      <c r="AL76" t="s">
        <v>274</v>
      </c>
      <c r="AM76" t="s">
        <v>973</v>
      </c>
      <c r="AO76" t="s">
        <v>975</v>
      </c>
      <c r="AT76">
        <v>0</v>
      </c>
      <c r="AU76">
        <v>1</v>
      </c>
      <c r="AV76" t="s">
        <v>274</v>
      </c>
      <c r="AY76" t="s">
        <v>273</v>
      </c>
      <c r="BB76">
        <v>0</v>
      </c>
      <c r="BC76">
        <v>0</v>
      </c>
      <c r="BD76">
        <v>0</v>
      </c>
      <c r="BE76">
        <v>0</v>
      </c>
      <c r="BF76" t="s">
        <v>1063</v>
      </c>
      <c r="BG76" t="s">
        <v>1122</v>
      </c>
      <c r="BH76">
        <v>22</v>
      </c>
      <c r="BI76" t="s">
        <v>1247</v>
      </c>
      <c r="BK76">
        <v>1895711</v>
      </c>
    </row>
    <row r="77" spans="1:64">
      <c r="A77" s="1">
        <f>HYPERLINK("https://lsnyc.legalserver.org/matter/dynamic-profile/view/1894897","19-1894897")</f>
        <v>0</v>
      </c>
      <c r="B77" t="s">
        <v>124</v>
      </c>
      <c r="C77" t="s">
        <v>250</v>
      </c>
      <c r="D77" t="s">
        <v>252</v>
      </c>
      <c r="E77" t="s">
        <v>266</v>
      </c>
      <c r="F77" t="s">
        <v>273</v>
      </c>
      <c r="G77" t="s">
        <v>275</v>
      </c>
      <c r="H77">
        <v>0</v>
      </c>
      <c r="I77" t="s">
        <v>274</v>
      </c>
      <c r="K77" t="s">
        <v>326</v>
      </c>
      <c r="Q77" t="s">
        <v>502</v>
      </c>
      <c r="S77" t="s">
        <v>503</v>
      </c>
      <c r="T77" t="s">
        <v>507</v>
      </c>
      <c r="U77" t="s">
        <v>511</v>
      </c>
      <c r="V77">
        <v>11211</v>
      </c>
      <c r="W77" t="s">
        <v>518</v>
      </c>
      <c r="X77" t="s">
        <v>548</v>
      </c>
      <c r="Y77" t="s">
        <v>275</v>
      </c>
      <c r="Z77" t="s">
        <v>597</v>
      </c>
      <c r="AA77" t="s">
        <v>782</v>
      </c>
      <c r="AB77" t="s">
        <v>902</v>
      </c>
      <c r="AC77" t="s">
        <v>905</v>
      </c>
      <c r="AF77" t="s">
        <v>926</v>
      </c>
      <c r="AI77">
        <v>1.25</v>
      </c>
      <c r="AJ77" t="s">
        <v>558</v>
      </c>
      <c r="AK77" t="s">
        <v>941</v>
      </c>
      <c r="AL77" t="s">
        <v>274</v>
      </c>
      <c r="AM77" t="s">
        <v>973</v>
      </c>
      <c r="AO77" t="s">
        <v>975</v>
      </c>
      <c r="AT77">
        <v>2</v>
      </c>
      <c r="AU77">
        <v>2</v>
      </c>
      <c r="AV77" t="s">
        <v>274</v>
      </c>
      <c r="AY77" t="s">
        <v>274</v>
      </c>
      <c r="BB77">
        <v>0</v>
      </c>
      <c r="BC77">
        <v>0</v>
      </c>
      <c r="BD77">
        <v>0</v>
      </c>
      <c r="BE77">
        <v>0</v>
      </c>
      <c r="BF77" t="s">
        <v>1063</v>
      </c>
      <c r="BG77" t="s">
        <v>1123</v>
      </c>
      <c r="BH77">
        <v>17</v>
      </c>
      <c r="BI77" t="s">
        <v>1247</v>
      </c>
      <c r="BK77">
        <v>1869691</v>
      </c>
    </row>
    <row r="78" spans="1:64">
      <c r="A78" s="1">
        <f>HYPERLINK("https://lsnyc.legalserver.org/matter/dynamic-profile/view/1894803","19-1894803")</f>
        <v>0</v>
      </c>
      <c r="B78" t="s">
        <v>125</v>
      </c>
      <c r="C78" t="s">
        <v>250</v>
      </c>
      <c r="D78" t="s">
        <v>252</v>
      </c>
      <c r="E78" t="s">
        <v>265</v>
      </c>
      <c r="F78" t="s">
        <v>273</v>
      </c>
      <c r="G78" t="s">
        <v>275</v>
      </c>
      <c r="H78">
        <v>115.29</v>
      </c>
      <c r="I78" t="s">
        <v>274</v>
      </c>
      <c r="K78" t="s">
        <v>327</v>
      </c>
      <c r="M78" t="s">
        <v>473</v>
      </c>
      <c r="N78" t="s">
        <v>301</v>
      </c>
      <c r="O78" t="s">
        <v>275</v>
      </c>
      <c r="P78" t="s">
        <v>492</v>
      </c>
      <c r="Q78" t="s">
        <v>501</v>
      </c>
      <c r="S78" t="s">
        <v>503</v>
      </c>
      <c r="T78" t="s">
        <v>509</v>
      </c>
      <c r="U78" t="s">
        <v>511</v>
      </c>
      <c r="V78">
        <v>11206</v>
      </c>
      <c r="W78" t="s">
        <v>518</v>
      </c>
      <c r="X78" t="s">
        <v>549</v>
      </c>
      <c r="Y78" t="s">
        <v>275</v>
      </c>
      <c r="Z78" t="s">
        <v>616</v>
      </c>
      <c r="AA78" t="s">
        <v>783</v>
      </c>
      <c r="AB78" t="s">
        <v>902</v>
      </c>
      <c r="AC78" t="s">
        <v>905</v>
      </c>
      <c r="AF78" t="s">
        <v>926</v>
      </c>
      <c r="AI78">
        <v>63.55</v>
      </c>
      <c r="AJ78" t="s">
        <v>558</v>
      </c>
      <c r="AK78" t="s">
        <v>948</v>
      </c>
      <c r="AL78" t="s">
        <v>274</v>
      </c>
      <c r="AT78">
        <v>0</v>
      </c>
      <c r="AU78">
        <v>1</v>
      </c>
      <c r="AV78" t="s">
        <v>273</v>
      </c>
      <c r="AY78" t="s">
        <v>273</v>
      </c>
      <c r="BB78">
        <v>0</v>
      </c>
      <c r="BC78">
        <v>0</v>
      </c>
      <c r="BD78">
        <v>0</v>
      </c>
      <c r="BE78">
        <v>0</v>
      </c>
      <c r="BF78" t="s">
        <v>1063</v>
      </c>
      <c r="BG78" t="s">
        <v>1124</v>
      </c>
      <c r="BH78">
        <v>24</v>
      </c>
      <c r="BI78" t="s">
        <v>1253</v>
      </c>
      <c r="BK78">
        <v>1895444</v>
      </c>
    </row>
    <row r="79" spans="1:64">
      <c r="A79" s="1">
        <f>HYPERLINK("https://lsnyc.legalserver.org/matter/dynamic-profile/view/1894648","19-1894648")</f>
        <v>0</v>
      </c>
      <c r="B79" t="s">
        <v>98</v>
      </c>
      <c r="C79" t="s">
        <v>250</v>
      </c>
      <c r="D79" t="s">
        <v>252</v>
      </c>
      <c r="E79" t="s">
        <v>266</v>
      </c>
      <c r="F79" t="s">
        <v>273</v>
      </c>
      <c r="G79" t="s">
        <v>275</v>
      </c>
      <c r="H79">
        <v>0</v>
      </c>
      <c r="I79" t="s">
        <v>274</v>
      </c>
      <c r="K79" t="s">
        <v>328</v>
      </c>
      <c r="P79" t="s">
        <v>492</v>
      </c>
      <c r="Q79" t="s">
        <v>502</v>
      </c>
      <c r="S79" t="s">
        <v>503</v>
      </c>
      <c r="T79" t="s">
        <v>508</v>
      </c>
      <c r="U79" t="s">
        <v>511</v>
      </c>
      <c r="V79">
        <v>11220</v>
      </c>
      <c r="W79" t="s">
        <v>518</v>
      </c>
      <c r="X79" t="s">
        <v>548</v>
      </c>
      <c r="Y79" t="s">
        <v>275</v>
      </c>
      <c r="Z79" t="s">
        <v>593</v>
      </c>
      <c r="AA79" t="s">
        <v>760</v>
      </c>
      <c r="AB79" t="s">
        <v>902</v>
      </c>
      <c r="AC79" t="s">
        <v>905</v>
      </c>
      <c r="AF79" t="s">
        <v>923</v>
      </c>
      <c r="AI79">
        <v>10.75</v>
      </c>
      <c r="AJ79" t="s">
        <v>558</v>
      </c>
      <c r="AK79" t="s">
        <v>936</v>
      </c>
      <c r="AL79" t="s">
        <v>274</v>
      </c>
      <c r="AM79" t="s">
        <v>973</v>
      </c>
      <c r="AO79" t="s">
        <v>975</v>
      </c>
      <c r="AT79">
        <v>1</v>
      </c>
      <c r="AU79">
        <v>1</v>
      </c>
      <c r="AV79" t="s">
        <v>274</v>
      </c>
      <c r="AY79" t="s">
        <v>274</v>
      </c>
      <c r="BB79">
        <v>0</v>
      </c>
      <c r="BC79">
        <v>0</v>
      </c>
      <c r="BD79">
        <v>0</v>
      </c>
      <c r="BE79">
        <v>0</v>
      </c>
      <c r="BF79" t="s">
        <v>1063</v>
      </c>
      <c r="BG79" t="s">
        <v>1098</v>
      </c>
      <c r="BH79">
        <v>23</v>
      </c>
      <c r="BI79" t="s">
        <v>1247</v>
      </c>
      <c r="BK79">
        <v>1895289</v>
      </c>
    </row>
    <row r="80" spans="1:64">
      <c r="A80" s="1">
        <f>HYPERLINK("https://lsnyc.legalserver.org/matter/dynamic-profile/view/1894523","19-1894523")</f>
        <v>0</v>
      </c>
      <c r="B80" t="s">
        <v>126</v>
      </c>
      <c r="C80" t="s">
        <v>250</v>
      </c>
      <c r="D80" t="s">
        <v>252</v>
      </c>
      <c r="E80" t="s">
        <v>270</v>
      </c>
      <c r="F80" t="s">
        <v>273</v>
      </c>
      <c r="G80" t="s">
        <v>275</v>
      </c>
      <c r="H80">
        <v>0</v>
      </c>
      <c r="I80" t="s">
        <v>274</v>
      </c>
      <c r="K80" t="s">
        <v>329</v>
      </c>
      <c r="L80" t="s">
        <v>454</v>
      </c>
      <c r="M80" t="s">
        <v>472</v>
      </c>
      <c r="N80" t="s">
        <v>300</v>
      </c>
      <c r="O80" t="s">
        <v>275</v>
      </c>
      <c r="P80" t="s">
        <v>493</v>
      </c>
      <c r="Q80" t="s">
        <v>501</v>
      </c>
      <c r="S80" t="s">
        <v>503</v>
      </c>
      <c r="T80" t="s">
        <v>507</v>
      </c>
      <c r="U80" t="s">
        <v>511</v>
      </c>
      <c r="V80">
        <v>11210</v>
      </c>
      <c r="W80" t="s">
        <v>521</v>
      </c>
      <c r="X80" t="s">
        <v>554</v>
      </c>
      <c r="Y80" t="s">
        <v>275</v>
      </c>
      <c r="Z80" t="s">
        <v>617</v>
      </c>
      <c r="AA80" t="s">
        <v>784</v>
      </c>
      <c r="AB80" t="s">
        <v>902</v>
      </c>
      <c r="AC80" t="s">
        <v>911</v>
      </c>
      <c r="AD80" t="s">
        <v>275</v>
      </c>
      <c r="AE80" t="s">
        <v>919</v>
      </c>
      <c r="AF80" t="s">
        <v>923</v>
      </c>
      <c r="AI80">
        <v>63.65</v>
      </c>
      <c r="AJ80" t="s">
        <v>558</v>
      </c>
      <c r="AK80" t="s">
        <v>937</v>
      </c>
      <c r="AL80" t="s">
        <v>274</v>
      </c>
      <c r="AM80" t="s">
        <v>973</v>
      </c>
      <c r="AN80" t="s">
        <v>987</v>
      </c>
      <c r="AQ80" t="s">
        <v>1043</v>
      </c>
      <c r="AR80" t="s">
        <v>1051</v>
      </c>
      <c r="AS80" t="s">
        <v>558</v>
      </c>
      <c r="AT80">
        <v>0</v>
      </c>
      <c r="AU80">
        <v>1</v>
      </c>
      <c r="AV80" t="s">
        <v>273</v>
      </c>
      <c r="AY80" t="s">
        <v>273</v>
      </c>
      <c r="BB80">
        <v>0</v>
      </c>
      <c r="BC80">
        <v>0</v>
      </c>
      <c r="BD80">
        <v>0</v>
      </c>
      <c r="BE80">
        <v>0</v>
      </c>
      <c r="BF80" t="s">
        <v>493</v>
      </c>
      <c r="BG80" t="s">
        <v>1125</v>
      </c>
      <c r="BH80">
        <v>38</v>
      </c>
      <c r="BI80" t="s">
        <v>1247</v>
      </c>
      <c r="BK80">
        <v>1895164</v>
      </c>
    </row>
    <row r="81" spans="1:64">
      <c r="A81" s="1">
        <f>HYPERLINK("https://lsnyc.legalserver.org/matter/dynamic-profile/view/1894601","19-1894601")</f>
        <v>0</v>
      </c>
      <c r="B81" t="s">
        <v>127</v>
      </c>
      <c r="C81" t="s">
        <v>250</v>
      </c>
      <c r="D81" t="s">
        <v>252</v>
      </c>
      <c r="E81" t="s">
        <v>266</v>
      </c>
      <c r="F81" t="s">
        <v>273</v>
      </c>
      <c r="G81" t="s">
        <v>275</v>
      </c>
      <c r="H81">
        <v>19.89</v>
      </c>
      <c r="I81" t="s">
        <v>274</v>
      </c>
      <c r="K81" t="s">
        <v>329</v>
      </c>
      <c r="P81" t="s">
        <v>492</v>
      </c>
      <c r="Q81" t="s">
        <v>501</v>
      </c>
      <c r="S81" t="s">
        <v>503</v>
      </c>
      <c r="T81" t="s">
        <v>507</v>
      </c>
      <c r="U81" t="s">
        <v>511</v>
      </c>
      <c r="V81">
        <v>11225</v>
      </c>
      <c r="W81" t="s">
        <v>518</v>
      </c>
      <c r="X81" t="s">
        <v>549</v>
      </c>
      <c r="Y81" t="s">
        <v>275</v>
      </c>
      <c r="Z81" t="s">
        <v>618</v>
      </c>
      <c r="AA81" t="s">
        <v>785</v>
      </c>
      <c r="AB81" t="s">
        <v>903</v>
      </c>
      <c r="AF81" t="s">
        <v>926</v>
      </c>
      <c r="AI81">
        <v>7.55</v>
      </c>
      <c r="AJ81" t="s">
        <v>558</v>
      </c>
      <c r="AK81" t="s">
        <v>939</v>
      </c>
      <c r="AL81" t="s">
        <v>274</v>
      </c>
      <c r="AT81">
        <v>3</v>
      </c>
      <c r="AU81">
        <v>2</v>
      </c>
      <c r="AV81" t="s">
        <v>273</v>
      </c>
      <c r="AY81" t="s">
        <v>273</v>
      </c>
      <c r="BB81">
        <v>0</v>
      </c>
      <c r="BC81">
        <v>0</v>
      </c>
      <c r="BD81">
        <v>0</v>
      </c>
      <c r="BE81">
        <v>0</v>
      </c>
      <c r="BF81" t="s">
        <v>1063</v>
      </c>
      <c r="BG81" t="s">
        <v>1126</v>
      </c>
      <c r="BH81">
        <v>43</v>
      </c>
      <c r="BI81" t="s">
        <v>1266</v>
      </c>
      <c r="BK81">
        <v>1890263</v>
      </c>
    </row>
    <row r="82" spans="1:64">
      <c r="A82" s="1">
        <f>HYPERLINK("https://lsnyc.legalserver.org/matter/dynamic-profile/view/1894276","19-1894276")</f>
        <v>0</v>
      </c>
      <c r="B82" t="s">
        <v>128</v>
      </c>
      <c r="C82" t="s">
        <v>250</v>
      </c>
      <c r="D82" t="s">
        <v>252</v>
      </c>
      <c r="E82" t="s">
        <v>262</v>
      </c>
      <c r="F82" t="s">
        <v>273</v>
      </c>
      <c r="G82" t="s">
        <v>275</v>
      </c>
      <c r="H82">
        <v>138.38</v>
      </c>
      <c r="I82" t="s">
        <v>274</v>
      </c>
      <c r="K82" t="s">
        <v>330</v>
      </c>
      <c r="L82" t="s">
        <v>294</v>
      </c>
      <c r="M82" t="s">
        <v>472</v>
      </c>
      <c r="N82" t="s">
        <v>294</v>
      </c>
      <c r="P82" t="s">
        <v>493</v>
      </c>
      <c r="Q82" t="s">
        <v>501</v>
      </c>
      <c r="S82" t="s">
        <v>503</v>
      </c>
      <c r="T82" t="s">
        <v>507</v>
      </c>
      <c r="U82" t="s">
        <v>511</v>
      </c>
      <c r="V82">
        <v>11233</v>
      </c>
      <c r="W82" t="s">
        <v>534</v>
      </c>
      <c r="X82" t="s">
        <v>549</v>
      </c>
      <c r="Y82" t="s">
        <v>275</v>
      </c>
      <c r="Z82" t="s">
        <v>619</v>
      </c>
      <c r="AA82" t="s">
        <v>786</v>
      </c>
      <c r="AB82" t="s">
        <v>902</v>
      </c>
      <c r="AC82" t="s">
        <v>904</v>
      </c>
      <c r="AD82" t="s">
        <v>916</v>
      </c>
      <c r="AE82" t="s">
        <v>919</v>
      </c>
      <c r="AF82" t="s">
        <v>923</v>
      </c>
      <c r="AI82">
        <v>2.65</v>
      </c>
      <c r="AJ82" t="s">
        <v>558</v>
      </c>
      <c r="AK82" t="s">
        <v>952</v>
      </c>
      <c r="AL82" t="s">
        <v>274</v>
      </c>
      <c r="AM82" t="s">
        <v>973</v>
      </c>
      <c r="AN82" t="s">
        <v>988</v>
      </c>
      <c r="AO82" t="s">
        <v>976</v>
      </c>
      <c r="AP82" t="s">
        <v>294</v>
      </c>
      <c r="AQ82" t="s">
        <v>1038</v>
      </c>
      <c r="AR82" t="s">
        <v>1051</v>
      </c>
      <c r="AT82">
        <v>0</v>
      </c>
      <c r="AU82">
        <v>2</v>
      </c>
      <c r="AV82" t="s">
        <v>273</v>
      </c>
      <c r="AY82" t="s">
        <v>273</v>
      </c>
      <c r="BB82">
        <v>0</v>
      </c>
      <c r="BC82">
        <v>0</v>
      </c>
      <c r="BD82">
        <v>0</v>
      </c>
      <c r="BE82">
        <v>0</v>
      </c>
      <c r="BF82" t="s">
        <v>493</v>
      </c>
      <c r="BG82" t="s">
        <v>1127</v>
      </c>
      <c r="BH82">
        <v>42</v>
      </c>
      <c r="BI82" t="s">
        <v>1248</v>
      </c>
      <c r="BK82">
        <v>1871030</v>
      </c>
    </row>
    <row r="83" spans="1:64">
      <c r="A83" s="1">
        <f>HYPERLINK("https://lsnyc.legalserver.org/matter/dynamic-profile/view/1894284","19-1894284")</f>
        <v>0</v>
      </c>
      <c r="B83" t="s">
        <v>129</v>
      </c>
      <c r="C83" t="s">
        <v>250</v>
      </c>
      <c r="D83" t="s">
        <v>252</v>
      </c>
      <c r="E83" t="s">
        <v>262</v>
      </c>
      <c r="F83" t="s">
        <v>273</v>
      </c>
      <c r="G83" t="s">
        <v>275</v>
      </c>
      <c r="H83">
        <v>138.38</v>
      </c>
      <c r="I83" t="s">
        <v>274</v>
      </c>
      <c r="K83" t="s">
        <v>330</v>
      </c>
      <c r="L83" t="s">
        <v>294</v>
      </c>
      <c r="M83" t="s">
        <v>472</v>
      </c>
      <c r="N83" t="s">
        <v>294</v>
      </c>
      <c r="P83" t="s">
        <v>493</v>
      </c>
      <c r="Q83" t="s">
        <v>501</v>
      </c>
      <c r="S83" t="s">
        <v>503</v>
      </c>
      <c r="T83" t="s">
        <v>507</v>
      </c>
      <c r="U83" t="s">
        <v>511</v>
      </c>
      <c r="V83">
        <v>11233</v>
      </c>
      <c r="W83" t="s">
        <v>534</v>
      </c>
      <c r="X83" t="s">
        <v>549</v>
      </c>
      <c r="Y83" t="s">
        <v>275</v>
      </c>
      <c r="Z83" t="s">
        <v>620</v>
      </c>
      <c r="AA83" t="s">
        <v>787</v>
      </c>
      <c r="AB83" t="s">
        <v>902</v>
      </c>
      <c r="AC83" t="s">
        <v>910</v>
      </c>
      <c r="AD83" t="s">
        <v>916</v>
      </c>
      <c r="AE83" t="s">
        <v>919</v>
      </c>
      <c r="AF83" t="s">
        <v>923</v>
      </c>
      <c r="AI83">
        <v>1.7</v>
      </c>
      <c r="AJ83" t="s">
        <v>558</v>
      </c>
      <c r="AK83" t="s">
        <v>952</v>
      </c>
      <c r="AL83" t="s">
        <v>274</v>
      </c>
      <c r="AM83" t="s">
        <v>973</v>
      </c>
      <c r="AN83" t="s">
        <v>988</v>
      </c>
      <c r="AO83" t="s">
        <v>976</v>
      </c>
      <c r="AP83" t="s">
        <v>294</v>
      </c>
      <c r="AQ83" t="s">
        <v>1038</v>
      </c>
      <c r="AR83" t="s">
        <v>1051</v>
      </c>
      <c r="AT83">
        <v>0</v>
      </c>
      <c r="AU83">
        <v>2</v>
      </c>
      <c r="AV83" t="s">
        <v>273</v>
      </c>
      <c r="AY83" t="s">
        <v>273</v>
      </c>
      <c r="BB83">
        <v>0</v>
      </c>
      <c r="BC83">
        <v>0</v>
      </c>
      <c r="BD83">
        <v>0</v>
      </c>
      <c r="BE83">
        <v>0</v>
      </c>
      <c r="BF83" t="s">
        <v>493</v>
      </c>
      <c r="BG83" t="s">
        <v>1128</v>
      </c>
      <c r="BH83">
        <v>36</v>
      </c>
      <c r="BI83" t="s">
        <v>1248</v>
      </c>
      <c r="BK83">
        <v>1870621</v>
      </c>
    </row>
    <row r="84" spans="1:64">
      <c r="A84" s="1">
        <f>HYPERLINK("https://lsnyc.legalserver.org/matter/dynamic-profile/view/1894287","19-1894287")</f>
        <v>0</v>
      </c>
      <c r="B84" t="s">
        <v>130</v>
      </c>
      <c r="C84" t="s">
        <v>250</v>
      </c>
      <c r="D84" t="s">
        <v>255</v>
      </c>
      <c r="E84" t="s">
        <v>265</v>
      </c>
      <c r="F84" t="s">
        <v>273</v>
      </c>
      <c r="G84" t="s">
        <v>275</v>
      </c>
      <c r="H84">
        <v>0</v>
      </c>
      <c r="I84" t="s">
        <v>274</v>
      </c>
      <c r="K84" t="s">
        <v>330</v>
      </c>
      <c r="L84" t="s">
        <v>451</v>
      </c>
      <c r="M84" t="s">
        <v>472</v>
      </c>
      <c r="N84" t="s">
        <v>464</v>
      </c>
      <c r="P84" t="s">
        <v>496</v>
      </c>
      <c r="Q84" t="s">
        <v>501</v>
      </c>
      <c r="S84" t="s">
        <v>503</v>
      </c>
      <c r="T84" t="s">
        <v>507</v>
      </c>
      <c r="U84" t="s">
        <v>511</v>
      </c>
      <c r="V84">
        <v>10031</v>
      </c>
      <c r="W84" t="s">
        <v>534</v>
      </c>
      <c r="X84" t="s">
        <v>548</v>
      </c>
      <c r="Y84" t="s">
        <v>275</v>
      </c>
      <c r="Z84" t="s">
        <v>621</v>
      </c>
      <c r="AA84" t="s">
        <v>788</v>
      </c>
      <c r="AB84" t="s">
        <v>902</v>
      </c>
      <c r="AC84" t="s">
        <v>910</v>
      </c>
      <c r="AD84" t="s">
        <v>916</v>
      </c>
      <c r="AE84" t="s">
        <v>919</v>
      </c>
      <c r="AF84" t="s">
        <v>923</v>
      </c>
      <c r="AI84">
        <v>5.85</v>
      </c>
      <c r="AJ84" t="s">
        <v>558</v>
      </c>
      <c r="AK84" t="s">
        <v>945</v>
      </c>
      <c r="AL84" t="s">
        <v>274</v>
      </c>
      <c r="AM84" t="s">
        <v>973</v>
      </c>
      <c r="AN84" t="s">
        <v>988</v>
      </c>
      <c r="AQ84" t="s">
        <v>1038</v>
      </c>
      <c r="AR84" t="s">
        <v>1051</v>
      </c>
      <c r="AT84">
        <v>0</v>
      </c>
      <c r="AU84">
        <v>2</v>
      </c>
      <c r="AV84" t="s">
        <v>273</v>
      </c>
      <c r="AY84" t="s">
        <v>273</v>
      </c>
      <c r="BB84">
        <v>0</v>
      </c>
      <c r="BC84">
        <v>0</v>
      </c>
      <c r="BD84">
        <v>0</v>
      </c>
      <c r="BE84">
        <v>0</v>
      </c>
      <c r="BF84" t="s">
        <v>493</v>
      </c>
      <c r="BG84" t="s">
        <v>1129</v>
      </c>
      <c r="BH84">
        <v>31</v>
      </c>
      <c r="BI84" t="s">
        <v>1247</v>
      </c>
      <c r="BK84">
        <v>809537</v>
      </c>
    </row>
    <row r="85" spans="1:64">
      <c r="A85" s="1">
        <f>HYPERLINK("https://lsnyc.legalserver.org/matter/dynamic-profile/view/1894034","19-1894034")</f>
        <v>0</v>
      </c>
      <c r="B85" t="s">
        <v>131</v>
      </c>
      <c r="C85" t="s">
        <v>250</v>
      </c>
      <c r="D85" t="s">
        <v>259</v>
      </c>
      <c r="E85" t="s">
        <v>261</v>
      </c>
      <c r="F85" t="s">
        <v>273</v>
      </c>
      <c r="G85" t="s">
        <v>275</v>
      </c>
      <c r="H85">
        <v>56.26</v>
      </c>
      <c r="I85" t="s">
        <v>274</v>
      </c>
      <c r="K85" t="s">
        <v>331</v>
      </c>
      <c r="L85" t="s">
        <v>455</v>
      </c>
      <c r="P85" t="s">
        <v>493</v>
      </c>
      <c r="Q85" t="s">
        <v>501</v>
      </c>
      <c r="S85" t="s">
        <v>503</v>
      </c>
      <c r="T85" t="s">
        <v>508</v>
      </c>
      <c r="U85" t="s">
        <v>511</v>
      </c>
      <c r="V85">
        <v>6810</v>
      </c>
      <c r="W85" t="s">
        <v>520</v>
      </c>
      <c r="Y85" t="s">
        <v>275</v>
      </c>
      <c r="Z85" t="s">
        <v>622</v>
      </c>
      <c r="AA85" t="s">
        <v>789</v>
      </c>
      <c r="AB85" t="s">
        <v>902</v>
      </c>
      <c r="AC85" t="s">
        <v>909</v>
      </c>
      <c r="AD85" t="s">
        <v>275</v>
      </c>
      <c r="AE85" t="s">
        <v>919</v>
      </c>
      <c r="AF85" t="s">
        <v>923</v>
      </c>
      <c r="AI85">
        <v>3.2</v>
      </c>
      <c r="AK85" t="s">
        <v>953</v>
      </c>
      <c r="AL85" t="s">
        <v>274</v>
      </c>
      <c r="AM85" t="s">
        <v>973</v>
      </c>
      <c r="AN85" t="s">
        <v>989</v>
      </c>
      <c r="AQ85" t="s">
        <v>1044</v>
      </c>
      <c r="AR85" t="s">
        <v>1051</v>
      </c>
      <c r="AT85">
        <v>0</v>
      </c>
      <c r="AU85">
        <v>3</v>
      </c>
      <c r="AV85" t="s">
        <v>273</v>
      </c>
      <c r="AY85" t="s">
        <v>273</v>
      </c>
      <c r="BB85">
        <v>0</v>
      </c>
      <c r="BC85">
        <v>0</v>
      </c>
      <c r="BD85">
        <v>0</v>
      </c>
      <c r="BE85">
        <v>0</v>
      </c>
      <c r="BF85" t="s">
        <v>493</v>
      </c>
      <c r="BG85" t="s">
        <v>1130</v>
      </c>
      <c r="BH85">
        <v>53</v>
      </c>
      <c r="BI85" t="s">
        <v>1267</v>
      </c>
      <c r="BK85">
        <v>1889045</v>
      </c>
      <c r="BL85" t="s">
        <v>275</v>
      </c>
    </row>
    <row r="86" spans="1:64">
      <c r="A86" s="1">
        <f>HYPERLINK("https://lsnyc.legalserver.org/matter/dynamic-profile/view/1894058","19-1894058")</f>
        <v>0</v>
      </c>
      <c r="B86" t="s">
        <v>132</v>
      </c>
      <c r="C86" t="s">
        <v>250</v>
      </c>
      <c r="D86" t="s">
        <v>255</v>
      </c>
      <c r="E86" t="s">
        <v>269</v>
      </c>
      <c r="F86" t="s">
        <v>273</v>
      </c>
      <c r="G86" t="s">
        <v>275</v>
      </c>
      <c r="H86">
        <v>36.12</v>
      </c>
      <c r="I86" t="s">
        <v>274</v>
      </c>
      <c r="K86" t="s">
        <v>331</v>
      </c>
      <c r="M86" t="s">
        <v>472</v>
      </c>
      <c r="N86" t="s">
        <v>302</v>
      </c>
      <c r="P86" t="s">
        <v>492</v>
      </c>
      <c r="Q86" t="s">
        <v>501</v>
      </c>
      <c r="S86" t="s">
        <v>503</v>
      </c>
      <c r="T86" t="s">
        <v>507</v>
      </c>
      <c r="U86" t="s">
        <v>511</v>
      </c>
      <c r="V86">
        <v>10010</v>
      </c>
      <c r="W86" t="s">
        <v>520</v>
      </c>
      <c r="X86" t="s">
        <v>553</v>
      </c>
      <c r="Y86" t="s">
        <v>275</v>
      </c>
      <c r="Z86" t="s">
        <v>623</v>
      </c>
      <c r="AA86" t="s">
        <v>790</v>
      </c>
      <c r="AB86" t="s">
        <v>902</v>
      </c>
      <c r="AC86" t="s">
        <v>905</v>
      </c>
      <c r="AF86" t="s">
        <v>923</v>
      </c>
      <c r="AI86">
        <v>3.6</v>
      </c>
      <c r="AJ86" t="s">
        <v>558</v>
      </c>
      <c r="AK86" t="s">
        <v>948</v>
      </c>
      <c r="AL86" t="s">
        <v>274</v>
      </c>
      <c r="AM86" t="s">
        <v>973</v>
      </c>
      <c r="AN86" t="s">
        <v>327</v>
      </c>
      <c r="AT86">
        <v>0</v>
      </c>
      <c r="AU86">
        <v>1</v>
      </c>
      <c r="AV86" t="s">
        <v>273</v>
      </c>
      <c r="AY86" t="s">
        <v>273</v>
      </c>
      <c r="BB86">
        <v>0</v>
      </c>
      <c r="BC86">
        <v>0</v>
      </c>
      <c r="BD86">
        <v>0</v>
      </c>
      <c r="BE86">
        <v>0</v>
      </c>
      <c r="BF86" t="s">
        <v>1063</v>
      </c>
      <c r="BG86" t="s">
        <v>1131</v>
      </c>
      <c r="BH86">
        <v>30</v>
      </c>
      <c r="BI86" t="s">
        <v>1257</v>
      </c>
      <c r="BK86">
        <v>809659</v>
      </c>
    </row>
    <row r="87" spans="1:64">
      <c r="A87" s="1">
        <f>HYPERLINK("https://lsnyc.legalserver.org/matter/dynamic-profile/view/1894325","19-1894325")</f>
        <v>0</v>
      </c>
      <c r="B87" t="s">
        <v>104</v>
      </c>
      <c r="C87" t="s">
        <v>250</v>
      </c>
      <c r="D87" t="s">
        <v>252</v>
      </c>
      <c r="E87" t="s">
        <v>265</v>
      </c>
      <c r="F87" t="s">
        <v>273</v>
      </c>
      <c r="G87" t="s">
        <v>275</v>
      </c>
      <c r="H87">
        <v>0</v>
      </c>
      <c r="I87" t="s">
        <v>274</v>
      </c>
      <c r="K87" t="s">
        <v>332</v>
      </c>
      <c r="P87" t="s">
        <v>496</v>
      </c>
      <c r="Q87" t="s">
        <v>502</v>
      </c>
      <c r="S87" t="s">
        <v>503</v>
      </c>
      <c r="T87" t="s">
        <v>507</v>
      </c>
      <c r="U87" t="s">
        <v>511</v>
      </c>
      <c r="V87">
        <v>11214</v>
      </c>
      <c r="W87" t="s">
        <v>529</v>
      </c>
      <c r="X87" t="s">
        <v>548</v>
      </c>
      <c r="Y87" t="s">
        <v>275</v>
      </c>
      <c r="Z87" t="s">
        <v>599</v>
      </c>
      <c r="AA87" t="s">
        <v>766</v>
      </c>
      <c r="AB87" t="s">
        <v>902</v>
      </c>
      <c r="AC87" t="s">
        <v>905</v>
      </c>
      <c r="AF87" t="s">
        <v>923</v>
      </c>
      <c r="AI87">
        <v>3.4</v>
      </c>
      <c r="AJ87" t="s">
        <v>558</v>
      </c>
      <c r="AK87" t="s">
        <v>941</v>
      </c>
      <c r="AL87" t="s">
        <v>274</v>
      </c>
      <c r="AM87" t="s">
        <v>973</v>
      </c>
      <c r="AN87" t="s">
        <v>330</v>
      </c>
      <c r="AT87">
        <v>0</v>
      </c>
      <c r="AU87">
        <v>1</v>
      </c>
      <c r="AV87" t="s">
        <v>273</v>
      </c>
      <c r="AY87" t="s">
        <v>273</v>
      </c>
      <c r="BB87">
        <v>0</v>
      </c>
      <c r="BC87">
        <v>0</v>
      </c>
      <c r="BD87">
        <v>0</v>
      </c>
      <c r="BE87">
        <v>0</v>
      </c>
      <c r="BF87" t="s">
        <v>1063</v>
      </c>
      <c r="BG87" t="s">
        <v>1104</v>
      </c>
      <c r="BH87">
        <v>20</v>
      </c>
      <c r="BI87" t="s">
        <v>1247</v>
      </c>
      <c r="BK87">
        <v>1894964</v>
      </c>
    </row>
    <row r="88" spans="1:64">
      <c r="A88" s="1">
        <f>HYPERLINK("https://lsnyc.legalserver.org/matter/dynamic-profile/view/1893464","19-1893464")</f>
        <v>0</v>
      </c>
      <c r="B88" t="s">
        <v>133</v>
      </c>
      <c r="C88" t="s">
        <v>250</v>
      </c>
      <c r="D88" t="s">
        <v>253</v>
      </c>
      <c r="E88" t="s">
        <v>271</v>
      </c>
      <c r="F88" t="s">
        <v>274</v>
      </c>
      <c r="G88" t="s">
        <v>274</v>
      </c>
      <c r="H88">
        <v>46.88</v>
      </c>
      <c r="I88" t="s">
        <v>274</v>
      </c>
      <c r="K88" t="s">
        <v>333</v>
      </c>
      <c r="L88" t="s">
        <v>450</v>
      </c>
      <c r="M88" t="s">
        <v>474</v>
      </c>
      <c r="N88" t="s">
        <v>482</v>
      </c>
      <c r="P88" t="s">
        <v>492</v>
      </c>
      <c r="Q88" t="s">
        <v>501</v>
      </c>
      <c r="S88" t="s">
        <v>506</v>
      </c>
      <c r="T88" t="s">
        <v>508</v>
      </c>
      <c r="U88" t="s">
        <v>514</v>
      </c>
      <c r="V88">
        <v>11377</v>
      </c>
      <c r="W88" t="s">
        <v>535</v>
      </c>
      <c r="X88" t="s">
        <v>548</v>
      </c>
      <c r="Z88" t="s">
        <v>624</v>
      </c>
      <c r="AA88" t="s">
        <v>791</v>
      </c>
      <c r="AB88" t="s">
        <v>902</v>
      </c>
      <c r="AC88" t="s">
        <v>906</v>
      </c>
      <c r="AD88" t="s">
        <v>275</v>
      </c>
      <c r="AE88" t="s">
        <v>917</v>
      </c>
      <c r="AF88" t="s">
        <v>924</v>
      </c>
      <c r="AI88">
        <v>2.5</v>
      </c>
      <c r="AJ88" t="s">
        <v>558</v>
      </c>
      <c r="AK88" t="s">
        <v>936</v>
      </c>
      <c r="AL88" t="s">
        <v>274</v>
      </c>
      <c r="AM88" t="s">
        <v>975</v>
      </c>
      <c r="AN88" t="s">
        <v>482</v>
      </c>
      <c r="AQ88" t="s">
        <v>1045</v>
      </c>
      <c r="AR88" t="s">
        <v>1051</v>
      </c>
      <c r="AS88" t="s">
        <v>558</v>
      </c>
      <c r="AT88">
        <v>0</v>
      </c>
      <c r="AU88">
        <v>3</v>
      </c>
      <c r="AV88" t="s">
        <v>273</v>
      </c>
      <c r="AY88" t="s">
        <v>273</v>
      </c>
      <c r="BB88">
        <v>0</v>
      </c>
      <c r="BC88">
        <v>0</v>
      </c>
      <c r="BD88">
        <v>0</v>
      </c>
      <c r="BE88">
        <v>0</v>
      </c>
      <c r="BF88" t="s">
        <v>493</v>
      </c>
      <c r="BG88" t="s">
        <v>1132</v>
      </c>
      <c r="BH88">
        <v>38</v>
      </c>
      <c r="BI88" t="s">
        <v>1268</v>
      </c>
      <c r="BK88">
        <v>1894101</v>
      </c>
    </row>
    <row r="89" spans="1:64">
      <c r="A89" s="1">
        <f>HYPERLINK("https://lsnyc.legalserver.org/matter/dynamic-profile/view/1893466","19-1893466")</f>
        <v>0</v>
      </c>
      <c r="B89" t="s">
        <v>134</v>
      </c>
      <c r="C89" t="s">
        <v>250</v>
      </c>
      <c r="D89" t="s">
        <v>253</v>
      </c>
      <c r="E89" t="s">
        <v>271</v>
      </c>
      <c r="F89" t="s">
        <v>274</v>
      </c>
      <c r="G89" t="s">
        <v>274</v>
      </c>
      <c r="H89">
        <v>32.03</v>
      </c>
      <c r="I89" t="s">
        <v>274</v>
      </c>
      <c r="K89" t="s">
        <v>333</v>
      </c>
      <c r="L89" t="s">
        <v>450</v>
      </c>
      <c r="M89" t="s">
        <v>474</v>
      </c>
      <c r="N89" t="s">
        <v>482</v>
      </c>
      <c r="P89" t="s">
        <v>492</v>
      </c>
      <c r="Q89" t="s">
        <v>501</v>
      </c>
      <c r="S89" t="s">
        <v>506</v>
      </c>
      <c r="T89" t="s">
        <v>508</v>
      </c>
      <c r="U89" t="s">
        <v>514</v>
      </c>
      <c r="V89">
        <v>11372</v>
      </c>
      <c r="W89" t="s">
        <v>535</v>
      </c>
      <c r="X89" t="s">
        <v>548</v>
      </c>
      <c r="Z89" t="s">
        <v>625</v>
      </c>
      <c r="AA89" t="s">
        <v>792</v>
      </c>
      <c r="AB89" t="s">
        <v>902</v>
      </c>
      <c r="AC89" t="s">
        <v>905</v>
      </c>
      <c r="AD89" t="s">
        <v>275</v>
      </c>
      <c r="AE89" t="s">
        <v>917</v>
      </c>
      <c r="AF89" t="s">
        <v>924</v>
      </c>
      <c r="AI89">
        <v>3.25</v>
      </c>
      <c r="AJ89" t="s">
        <v>558</v>
      </c>
      <c r="AK89" t="s">
        <v>949</v>
      </c>
      <c r="AL89" t="s">
        <v>274</v>
      </c>
      <c r="AM89" t="s">
        <v>975</v>
      </c>
      <c r="AN89" t="s">
        <v>482</v>
      </c>
      <c r="AQ89" t="s">
        <v>1045</v>
      </c>
      <c r="AR89" t="s">
        <v>1051</v>
      </c>
      <c r="AS89" t="s">
        <v>558</v>
      </c>
      <c r="AT89">
        <v>0</v>
      </c>
      <c r="AU89">
        <v>1</v>
      </c>
      <c r="AV89" t="s">
        <v>273</v>
      </c>
      <c r="AY89" t="s">
        <v>273</v>
      </c>
      <c r="BB89">
        <v>0</v>
      </c>
      <c r="BC89">
        <v>0</v>
      </c>
      <c r="BD89">
        <v>0</v>
      </c>
      <c r="BE89">
        <v>0</v>
      </c>
      <c r="BF89" t="s">
        <v>493</v>
      </c>
      <c r="BG89" t="s">
        <v>1133</v>
      </c>
      <c r="BH89">
        <v>31</v>
      </c>
      <c r="BI89" t="s">
        <v>1269</v>
      </c>
      <c r="BK89">
        <v>1894103</v>
      </c>
    </row>
    <row r="90" spans="1:64">
      <c r="A90" s="1">
        <f>HYPERLINK("https://lsnyc.legalserver.org/matter/dynamic-profile/view/1893453","19-1893453")</f>
        <v>0</v>
      </c>
      <c r="B90" t="s">
        <v>135</v>
      </c>
      <c r="C90" t="s">
        <v>250</v>
      </c>
      <c r="D90" t="s">
        <v>252</v>
      </c>
      <c r="E90" t="s">
        <v>261</v>
      </c>
      <c r="F90" t="s">
        <v>273</v>
      </c>
      <c r="G90" t="s">
        <v>275</v>
      </c>
      <c r="H90">
        <v>92.25</v>
      </c>
      <c r="I90" t="s">
        <v>274</v>
      </c>
      <c r="K90" t="s">
        <v>333</v>
      </c>
      <c r="L90" t="s">
        <v>456</v>
      </c>
      <c r="O90" t="s">
        <v>275</v>
      </c>
      <c r="P90" t="s">
        <v>493</v>
      </c>
      <c r="Q90" t="s">
        <v>501</v>
      </c>
      <c r="S90" t="s">
        <v>503</v>
      </c>
      <c r="T90" t="s">
        <v>508</v>
      </c>
      <c r="U90" t="s">
        <v>511</v>
      </c>
      <c r="V90">
        <v>11230</v>
      </c>
      <c r="W90" t="s">
        <v>536</v>
      </c>
      <c r="X90" t="s">
        <v>549</v>
      </c>
      <c r="Y90" t="s">
        <v>275</v>
      </c>
      <c r="Z90" t="s">
        <v>626</v>
      </c>
      <c r="AA90" t="s">
        <v>793</v>
      </c>
      <c r="AB90" t="s">
        <v>902</v>
      </c>
      <c r="AC90" t="s">
        <v>905</v>
      </c>
      <c r="AD90" t="s">
        <v>274</v>
      </c>
      <c r="AE90" t="s">
        <v>920</v>
      </c>
      <c r="AF90" t="s">
        <v>928</v>
      </c>
      <c r="AI90">
        <v>5.4</v>
      </c>
      <c r="AJ90" t="s">
        <v>558</v>
      </c>
      <c r="AK90" t="s">
        <v>948</v>
      </c>
      <c r="AL90" t="s">
        <v>274</v>
      </c>
      <c r="AM90" t="s">
        <v>975</v>
      </c>
      <c r="AN90" t="s">
        <v>324</v>
      </c>
      <c r="AQ90" t="s">
        <v>1033</v>
      </c>
      <c r="AR90" t="s">
        <v>1053</v>
      </c>
      <c r="AT90">
        <v>1</v>
      </c>
      <c r="AU90">
        <v>1</v>
      </c>
      <c r="AV90" t="s">
        <v>273</v>
      </c>
      <c r="AY90" t="s">
        <v>273</v>
      </c>
      <c r="BB90">
        <v>0</v>
      </c>
      <c r="BC90">
        <v>0</v>
      </c>
      <c r="BD90">
        <v>0</v>
      </c>
      <c r="BE90">
        <v>0</v>
      </c>
      <c r="BF90" t="s">
        <v>493</v>
      </c>
      <c r="BG90" t="s">
        <v>1134</v>
      </c>
      <c r="BH90">
        <v>31</v>
      </c>
      <c r="BI90" t="s">
        <v>1270</v>
      </c>
      <c r="BK90">
        <v>1894090</v>
      </c>
      <c r="BL90" t="s">
        <v>275</v>
      </c>
    </row>
    <row r="91" spans="1:64">
      <c r="A91" s="1">
        <f>HYPERLINK("https://lsnyc.legalserver.org/matter/dynamic-profile/view/1892933","19-1892933")</f>
        <v>0</v>
      </c>
      <c r="B91" t="s">
        <v>119</v>
      </c>
      <c r="C91" t="s">
        <v>250</v>
      </c>
      <c r="D91" t="s">
        <v>253</v>
      </c>
      <c r="E91" t="s">
        <v>265</v>
      </c>
      <c r="F91" t="s">
        <v>273</v>
      </c>
      <c r="G91" t="s">
        <v>275</v>
      </c>
      <c r="H91">
        <v>0</v>
      </c>
      <c r="I91" t="s">
        <v>274</v>
      </c>
      <c r="K91" t="s">
        <v>334</v>
      </c>
      <c r="L91" t="s">
        <v>449</v>
      </c>
      <c r="M91" t="s">
        <v>472</v>
      </c>
      <c r="N91" t="s">
        <v>482</v>
      </c>
      <c r="P91" t="s">
        <v>492</v>
      </c>
      <c r="Q91" t="s">
        <v>502</v>
      </c>
      <c r="S91" t="s">
        <v>503</v>
      </c>
      <c r="T91" t="s">
        <v>508</v>
      </c>
      <c r="U91" t="s">
        <v>511</v>
      </c>
      <c r="V91">
        <v>11355</v>
      </c>
      <c r="W91" t="s">
        <v>537</v>
      </c>
      <c r="X91" t="s">
        <v>555</v>
      </c>
      <c r="Y91" t="s">
        <v>275</v>
      </c>
      <c r="Z91" t="s">
        <v>612</v>
      </c>
      <c r="AA91" t="s">
        <v>778</v>
      </c>
      <c r="AB91" t="s">
        <v>902</v>
      </c>
      <c r="AC91" t="s">
        <v>905</v>
      </c>
      <c r="AD91" t="s">
        <v>274</v>
      </c>
      <c r="AE91" t="s">
        <v>919</v>
      </c>
      <c r="AF91" t="s">
        <v>923</v>
      </c>
      <c r="AI91">
        <v>8.85</v>
      </c>
      <c r="AJ91" t="s">
        <v>558</v>
      </c>
      <c r="AK91" t="s">
        <v>951</v>
      </c>
      <c r="AL91" t="s">
        <v>274</v>
      </c>
      <c r="AQ91" t="s">
        <v>1046</v>
      </c>
      <c r="AR91" t="s">
        <v>1051</v>
      </c>
      <c r="AT91">
        <v>0</v>
      </c>
      <c r="AU91">
        <v>1</v>
      </c>
      <c r="AV91" t="s">
        <v>273</v>
      </c>
      <c r="AY91" t="s">
        <v>273</v>
      </c>
      <c r="BB91">
        <v>0</v>
      </c>
      <c r="BC91">
        <v>0</v>
      </c>
      <c r="BD91">
        <v>0</v>
      </c>
      <c r="BE91">
        <v>0</v>
      </c>
      <c r="BF91" t="s">
        <v>493</v>
      </c>
      <c r="BG91" t="s">
        <v>1118</v>
      </c>
      <c r="BH91">
        <v>22</v>
      </c>
      <c r="BI91" t="s">
        <v>1247</v>
      </c>
      <c r="BK91">
        <v>1893569</v>
      </c>
      <c r="BL91" t="s">
        <v>275</v>
      </c>
    </row>
    <row r="92" spans="1:64">
      <c r="A92" s="1">
        <f>HYPERLINK("https://lsnyc.legalserver.org/matter/dynamic-profile/view/1892925","19-1892925")</f>
        <v>0</v>
      </c>
      <c r="B92" t="s">
        <v>136</v>
      </c>
      <c r="C92" t="s">
        <v>250</v>
      </c>
      <c r="D92" t="s">
        <v>255</v>
      </c>
      <c r="E92" t="s">
        <v>262</v>
      </c>
      <c r="F92" t="s">
        <v>273</v>
      </c>
      <c r="G92" t="s">
        <v>275</v>
      </c>
      <c r="H92">
        <v>0</v>
      </c>
      <c r="I92" t="s">
        <v>274</v>
      </c>
      <c r="K92" t="s">
        <v>334</v>
      </c>
      <c r="P92" t="s">
        <v>496</v>
      </c>
      <c r="Q92" t="s">
        <v>502</v>
      </c>
      <c r="S92" t="s">
        <v>503</v>
      </c>
      <c r="T92" t="s">
        <v>507</v>
      </c>
      <c r="U92" t="s">
        <v>511</v>
      </c>
      <c r="V92">
        <v>10025</v>
      </c>
      <c r="W92" t="s">
        <v>529</v>
      </c>
      <c r="X92" t="s">
        <v>549</v>
      </c>
      <c r="Y92" t="s">
        <v>275</v>
      </c>
      <c r="Z92" t="s">
        <v>627</v>
      </c>
      <c r="AA92" t="s">
        <v>794</v>
      </c>
      <c r="AB92" t="s">
        <v>902</v>
      </c>
      <c r="AC92" t="s">
        <v>905</v>
      </c>
      <c r="AF92" t="s">
        <v>923</v>
      </c>
      <c r="AI92">
        <v>13.55</v>
      </c>
      <c r="AJ92" t="s">
        <v>558</v>
      </c>
      <c r="AK92" t="s">
        <v>954</v>
      </c>
      <c r="AL92" t="s">
        <v>274</v>
      </c>
      <c r="AT92">
        <v>0</v>
      </c>
      <c r="AU92">
        <v>1</v>
      </c>
      <c r="AV92" t="s">
        <v>273</v>
      </c>
      <c r="AY92" t="s">
        <v>273</v>
      </c>
      <c r="BB92">
        <v>0</v>
      </c>
      <c r="BC92">
        <v>0</v>
      </c>
      <c r="BD92">
        <v>0</v>
      </c>
      <c r="BE92">
        <v>0</v>
      </c>
      <c r="BF92" t="s">
        <v>1063</v>
      </c>
      <c r="BG92" t="s">
        <v>1135</v>
      </c>
      <c r="BH92">
        <v>21</v>
      </c>
      <c r="BI92" t="s">
        <v>1247</v>
      </c>
      <c r="BK92">
        <v>1893561</v>
      </c>
    </row>
    <row r="93" spans="1:64">
      <c r="A93" s="1">
        <f>HYPERLINK("https://lsnyc.legalserver.org/matter/dynamic-profile/view/1892928","19-1892928")</f>
        <v>0</v>
      </c>
      <c r="B93" t="s">
        <v>136</v>
      </c>
      <c r="C93" t="s">
        <v>250</v>
      </c>
      <c r="D93" t="s">
        <v>255</v>
      </c>
      <c r="E93" t="s">
        <v>262</v>
      </c>
      <c r="F93" t="s">
        <v>273</v>
      </c>
      <c r="G93" t="s">
        <v>275</v>
      </c>
      <c r="H93">
        <v>0</v>
      </c>
      <c r="I93" t="s">
        <v>274</v>
      </c>
      <c r="K93" t="s">
        <v>334</v>
      </c>
      <c r="P93" t="s">
        <v>492</v>
      </c>
      <c r="Q93" t="s">
        <v>502</v>
      </c>
      <c r="S93" t="s">
        <v>503</v>
      </c>
      <c r="T93" t="s">
        <v>507</v>
      </c>
      <c r="U93" t="s">
        <v>511</v>
      </c>
      <c r="V93">
        <v>10025</v>
      </c>
      <c r="W93" t="s">
        <v>521</v>
      </c>
      <c r="X93" t="s">
        <v>549</v>
      </c>
      <c r="Y93" t="s">
        <v>275</v>
      </c>
      <c r="Z93" t="s">
        <v>627</v>
      </c>
      <c r="AA93" t="s">
        <v>794</v>
      </c>
      <c r="AB93" t="s">
        <v>902</v>
      </c>
      <c r="AC93" t="s">
        <v>905</v>
      </c>
      <c r="AF93" t="s">
        <v>923</v>
      </c>
      <c r="AI93">
        <v>4.85</v>
      </c>
      <c r="AJ93" t="s">
        <v>558</v>
      </c>
      <c r="AK93" t="s">
        <v>954</v>
      </c>
      <c r="AL93" t="s">
        <v>274</v>
      </c>
      <c r="AT93">
        <v>0</v>
      </c>
      <c r="AU93">
        <v>1</v>
      </c>
      <c r="AV93" t="s">
        <v>273</v>
      </c>
      <c r="AY93" t="s">
        <v>273</v>
      </c>
      <c r="BB93">
        <v>0</v>
      </c>
      <c r="BC93">
        <v>0</v>
      </c>
      <c r="BD93">
        <v>0</v>
      </c>
      <c r="BE93">
        <v>0</v>
      </c>
      <c r="BF93" t="s">
        <v>1063</v>
      </c>
      <c r="BG93" t="s">
        <v>1135</v>
      </c>
      <c r="BH93">
        <v>21</v>
      </c>
      <c r="BI93" t="s">
        <v>1247</v>
      </c>
      <c r="BK93">
        <v>1893561</v>
      </c>
    </row>
    <row r="94" spans="1:64">
      <c r="A94" s="1">
        <f>HYPERLINK("https://lsnyc.legalserver.org/matter/dynamic-profile/view/1892935","19-1892935")</f>
        <v>0</v>
      </c>
      <c r="B94" t="s">
        <v>119</v>
      </c>
      <c r="C94" t="s">
        <v>250</v>
      </c>
      <c r="D94" t="s">
        <v>253</v>
      </c>
      <c r="E94" t="s">
        <v>265</v>
      </c>
      <c r="F94" t="s">
        <v>273</v>
      </c>
      <c r="G94" t="s">
        <v>275</v>
      </c>
      <c r="H94">
        <v>0</v>
      </c>
      <c r="I94" t="s">
        <v>274</v>
      </c>
      <c r="K94" t="s">
        <v>334</v>
      </c>
      <c r="M94" t="s">
        <v>473</v>
      </c>
      <c r="N94" t="s">
        <v>460</v>
      </c>
      <c r="P94" t="s">
        <v>492</v>
      </c>
      <c r="Q94" t="s">
        <v>502</v>
      </c>
      <c r="S94" t="s">
        <v>503</v>
      </c>
      <c r="T94" t="s">
        <v>508</v>
      </c>
      <c r="U94" t="s">
        <v>511</v>
      </c>
      <c r="V94">
        <v>11355</v>
      </c>
      <c r="W94" t="s">
        <v>518</v>
      </c>
      <c r="X94" t="s">
        <v>555</v>
      </c>
      <c r="Y94" t="s">
        <v>275</v>
      </c>
      <c r="Z94" t="s">
        <v>612</v>
      </c>
      <c r="AA94" t="s">
        <v>778</v>
      </c>
      <c r="AB94" t="s">
        <v>902</v>
      </c>
      <c r="AC94" t="s">
        <v>905</v>
      </c>
      <c r="AF94" t="s">
        <v>926</v>
      </c>
      <c r="AI94">
        <v>13.45</v>
      </c>
      <c r="AJ94" t="s">
        <v>558</v>
      </c>
      <c r="AK94" t="s">
        <v>951</v>
      </c>
      <c r="AL94" t="s">
        <v>274</v>
      </c>
      <c r="AT94">
        <v>0</v>
      </c>
      <c r="AU94">
        <v>1</v>
      </c>
      <c r="AV94" t="s">
        <v>273</v>
      </c>
      <c r="AY94" t="s">
        <v>273</v>
      </c>
      <c r="BB94">
        <v>0</v>
      </c>
      <c r="BC94">
        <v>0</v>
      </c>
      <c r="BD94">
        <v>0</v>
      </c>
      <c r="BE94">
        <v>0</v>
      </c>
      <c r="BF94" t="s">
        <v>1063</v>
      </c>
      <c r="BG94" t="s">
        <v>1118</v>
      </c>
      <c r="BH94">
        <v>22</v>
      </c>
      <c r="BI94" t="s">
        <v>1247</v>
      </c>
      <c r="BK94">
        <v>1893569</v>
      </c>
      <c r="BL94" t="s">
        <v>275</v>
      </c>
    </row>
    <row r="95" spans="1:64">
      <c r="A95" s="1">
        <f>HYPERLINK("https://lsnyc.legalserver.org/matter/dynamic-profile/view/1892647","19-1892647")</f>
        <v>0</v>
      </c>
      <c r="B95" t="s">
        <v>137</v>
      </c>
      <c r="C95" t="s">
        <v>250</v>
      </c>
      <c r="D95" t="s">
        <v>253</v>
      </c>
      <c r="E95" t="s">
        <v>262</v>
      </c>
      <c r="F95" t="s">
        <v>273</v>
      </c>
      <c r="G95" t="s">
        <v>275</v>
      </c>
      <c r="H95">
        <v>0</v>
      </c>
      <c r="I95" t="s">
        <v>274</v>
      </c>
      <c r="K95" t="s">
        <v>335</v>
      </c>
      <c r="M95" t="s">
        <v>472</v>
      </c>
      <c r="N95" t="s">
        <v>485</v>
      </c>
      <c r="O95" t="s">
        <v>275</v>
      </c>
      <c r="P95" t="s">
        <v>492</v>
      </c>
      <c r="Q95" t="s">
        <v>501</v>
      </c>
      <c r="S95" t="s">
        <v>503</v>
      </c>
      <c r="T95" t="s">
        <v>507</v>
      </c>
      <c r="U95" t="s">
        <v>511</v>
      </c>
      <c r="V95">
        <v>11417</v>
      </c>
      <c r="W95" t="s">
        <v>518</v>
      </c>
      <c r="X95" t="s">
        <v>548</v>
      </c>
      <c r="Y95" t="s">
        <v>275</v>
      </c>
      <c r="Z95" t="s">
        <v>628</v>
      </c>
      <c r="AA95" t="s">
        <v>795</v>
      </c>
      <c r="AB95" t="s">
        <v>902</v>
      </c>
      <c r="AC95" t="s">
        <v>905</v>
      </c>
      <c r="AF95" t="s">
        <v>926</v>
      </c>
      <c r="AI95">
        <v>14.95</v>
      </c>
      <c r="AJ95" t="s">
        <v>558</v>
      </c>
      <c r="AK95" t="s">
        <v>945</v>
      </c>
      <c r="AL95" t="s">
        <v>274</v>
      </c>
      <c r="AT95">
        <v>0</v>
      </c>
      <c r="AU95">
        <v>1</v>
      </c>
      <c r="AV95" t="s">
        <v>273</v>
      </c>
      <c r="AY95" t="s">
        <v>273</v>
      </c>
      <c r="BB95">
        <v>0</v>
      </c>
      <c r="BC95">
        <v>0</v>
      </c>
      <c r="BD95">
        <v>0</v>
      </c>
      <c r="BE95">
        <v>0</v>
      </c>
      <c r="BF95" t="s">
        <v>1063</v>
      </c>
      <c r="BG95" t="s">
        <v>1136</v>
      </c>
      <c r="BH95">
        <v>36</v>
      </c>
      <c r="BI95" t="s">
        <v>1247</v>
      </c>
      <c r="BK95">
        <v>1893283</v>
      </c>
    </row>
    <row r="96" spans="1:64">
      <c r="A96" s="1">
        <f>HYPERLINK("https://lsnyc.legalserver.org/matter/dynamic-profile/view/1892518","19-1892518")</f>
        <v>0</v>
      </c>
      <c r="B96" t="s">
        <v>138</v>
      </c>
      <c r="C96" t="s">
        <v>250</v>
      </c>
      <c r="D96" t="s">
        <v>255</v>
      </c>
      <c r="E96" t="s">
        <v>262</v>
      </c>
      <c r="F96" t="s">
        <v>273</v>
      </c>
      <c r="G96" t="s">
        <v>275</v>
      </c>
      <c r="H96">
        <v>36.12</v>
      </c>
      <c r="I96" t="s">
        <v>274</v>
      </c>
      <c r="K96" t="s">
        <v>336</v>
      </c>
      <c r="L96" t="s">
        <v>296</v>
      </c>
      <c r="M96" t="s">
        <v>472</v>
      </c>
      <c r="N96" t="s">
        <v>486</v>
      </c>
      <c r="P96" t="s">
        <v>493</v>
      </c>
      <c r="Q96" t="s">
        <v>501</v>
      </c>
      <c r="S96" t="s">
        <v>503</v>
      </c>
      <c r="T96" t="s">
        <v>508</v>
      </c>
      <c r="U96" t="s">
        <v>511</v>
      </c>
      <c r="V96">
        <v>10031</v>
      </c>
      <c r="W96" t="s">
        <v>520</v>
      </c>
      <c r="X96" t="s">
        <v>548</v>
      </c>
      <c r="Y96" t="s">
        <v>274</v>
      </c>
      <c r="Z96" t="s">
        <v>629</v>
      </c>
      <c r="AA96" t="s">
        <v>796</v>
      </c>
      <c r="AB96" t="s">
        <v>902</v>
      </c>
      <c r="AC96" t="s">
        <v>910</v>
      </c>
      <c r="AD96" t="s">
        <v>275</v>
      </c>
      <c r="AE96" t="s">
        <v>919</v>
      </c>
      <c r="AF96" t="s">
        <v>923</v>
      </c>
      <c r="AI96">
        <v>4.15</v>
      </c>
      <c r="AJ96" t="s">
        <v>558</v>
      </c>
      <c r="AK96" t="s">
        <v>933</v>
      </c>
      <c r="AL96" t="s">
        <v>274</v>
      </c>
      <c r="AM96" t="s">
        <v>973</v>
      </c>
      <c r="AN96" t="s">
        <v>333</v>
      </c>
      <c r="AO96" t="s">
        <v>976</v>
      </c>
      <c r="AP96" t="s">
        <v>486</v>
      </c>
      <c r="AQ96" t="s">
        <v>1036</v>
      </c>
      <c r="AR96" t="s">
        <v>1051</v>
      </c>
      <c r="AT96">
        <v>0</v>
      </c>
      <c r="AU96">
        <v>1</v>
      </c>
      <c r="AV96" t="s">
        <v>273</v>
      </c>
      <c r="AY96" t="s">
        <v>273</v>
      </c>
      <c r="BB96">
        <v>0</v>
      </c>
      <c r="BC96">
        <v>0</v>
      </c>
      <c r="BD96">
        <v>0</v>
      </c>
      <c r="BE96">
        <v>0</v>
      </c>
      <c r="BF96" t="s">
        <v>493</v>
      </c>
      <c r="BG96" t="s">
        <v>1137</v>
      </c>
      <c r="BH96">
        <v>35</v>
      </c>
      <c r="BI96" t="s">
        <v>1257</v>
      </c>
      <c r="BK96">
        <v>813453</v>
      </c>
    </row>
    <row r="97" spans="1:64">
      <c r="A97" s="1">
        <f>HYPERLINK("https://lsnyc.legalserver.org/matter/dynamic-profile/view/1892555","19-1892555")</f>
        <v>0</v>
      </c>
      <c r="B97" t="s">
        <v>139</v>
      </c>
      <c r="C97" t="s">
        <v>250</v>
      </c>
      <c r="D97" t="s">
        <v>260</v>
      </c>
      <c r="E97" t="s">
        <v>266</v>
      </c>
      <c r="F97" t="s">
        <v>273</v>
      </c>
      <c r="G97" t="s">
        <v>275</v>
      </c>
      <c r="H97">
        <v>0</v>
      </c>
      <c r="I97" t="s">
        <v>274</v>
      </c>
      <c r="K97" t="s">
        <v>336</v>
      </c>
      <c r="O97" t="s">
        <v>275</v>
      </c>
      <c r="Q97" t="s">
        <v>501</v>
      </c>
      <c r="S97" t="s">
        <v>503</v>
      </c>
      <c r="T97" t="s">
        <v>508</v>
      </c>
      <c r="U97" t="s">
        <v>511</v>
      </c>
      <c r="V97">
        <v>7304</v>
      </c>
      <c r="W97" t="s">
        <v>518</v>
      </c>
      <c r="X97" t="s">
        <v>549</v>
      </c>
      <c r="Y97" t="s">
        <v>274</v>
      </c>
      <c r="Z97" t="s">
        <v>630</v>
      </c>
      <c r="AA97" t="s">
        <v>627</v>
      </c>
      <c r="AB97" t="s">
        <v>902</v>
      </c>
      <c r="AC97" t="s">
        <v>904</v>
      </c>
      <c r="AF97" t="s">
        <v>926</v>
      </c>
      <c r="AI97">
        <v>8</v>
      </c>
      <c r="AJ97" t="s">
        <v>558</v>
      </c>
      <c r="AK97" t="s">
        <v>955</v>
      </c>
      <c r="AL97" t="s">
        <v>274</v>
      </c>
      <c r="AM97" t="s">
        <v>975</v>
      </c>
      <c r="AO97" t="s">
        <v>973</v>
      </c>
      <c r="AT97">
        <v>0</v>
      </c>
      <c r="AU97">
        <v>1</v>
      </c>
      <c r="AV97" t="s">
        <v>274</v>
      </c>
      <c r="AY97" t="s">
        <v>274</v>
      </c>
      <c r="BB97">
        <v>0</v>
      </c>
      <c r="BC97">
        <v>0</v>
      </c>
      <c r="BD97">
        <v>0</v>
      </c>
      <c r="BE97">
        <v>0</v>
      </c>
      <c r="BF97" t="s">
        <v>1063</v>
      </c>
      <c r="BG97" t="s">
        <v>1138</v>
      </c>
      <c r="BH97">
        <v>38</v>
      </c>
      <c r="BI97" t="s">
        <v>1247</v>
      </c>
      <c r="BK97">
        <v>1893191</v>
      </c>
    </row>
    <row r="98" spans="1:64">
      <c r="A98" s="1">
        <f>HYPERLINK("https://lsnyc.legalserver.org/matter/dynamic-profile/view/1892073","19-1892073")</f>
        <v>0</v>
      </c>
      <c r="B98" t="s">
        <v>140</v>
      </c>
      <c r="C98" t="s">
        <v>250</v>
      </c>
      <c r="D98" t="s">
        <v>252</v>
      </c>
      <c r="E98" t="s">
        <v>261</v>
      </c>
      <c r="F98" t="s">
        <v>273</v>
      </c>
      <c r="G98" t="s">
        <v>275</v>
      </c>
      <c r="H98">
        <v>60.95</v>
      </c>
      <c r="I98" t="s">
        <v>274</v>
      </c>
      <c r="K98" t="s">
        <v>337</v>
      </c>
      <c r="P98" t="s">
        <v>492</v>
      </c>
      <c r="Q98" t="s">
        <v>501</v>
      </c>
      <c r="S98" t="s">
        <v>503</v>
      </c>
      <c r="T98" t="s">
        <v>507</v>
      </c>
      <c r="U98" t="s">
        <v>511</v>
      </c>
      <c r="V98">
        <v>11230</v>
      </c>
      <c r="W98" t="s">
        <v>517</v>
      </c>
      <c r="X98" t="s">
        <v>549</v>
      </c>
      <c r="Y98" t="s">
        <v>275</v>
      </c>
      <c r="Z98" t="s">
        <v>631</v>
      </c>
      <c r="AA98" t="s">
        <v>797</v>
      </c>
      <c r="AB98" t="s">
        <v>902</v>
      </c>
      <c r="AC98" t="s">
        <v>904</v>
      </c>
      <c r="AF98" t="s">
        <v>923</v>
      </c>
      <c r="AI98">
        <v>6.3</v>
      </c>
      <c r="AK98" t="s">
        <v>956</v>
      </c>
      <c r="AL98" t="s">
        <v>274</v>
      </c>
      <c r="AM98" t="s">
        <v>973</v>
      </c>
      <c r="AN98" t="s">
        <v>990</v>
      </c>
      <c r="AT98">
        <v>0</v>
      </c>
      <c r="AU98">
        <v>3</v>
      </c>
      <c r="AV98" t="s">
        <v>273</v>
      </c>
      <c r="AY98" t="s">
        <v>273</v>
      </c>
      <c r="BB98">
        <v>0</v>
      </c>
      <c r="BC98">
        <v>0</v>
      </c>
      <c r="BD98">
        <v>0</v>
      </c>
      <c r="BE98">
        <v>0</v>
      </c>
      <c r="BF98" t="s">
        <v>1063</v>
      </c>
      <c r="BG98" t="s">
        <v>1139</v>
      </c>
      <c r="BH98">
        <v>29</v>
      </c>
      <c r="BI98" t="s">
        <v>1264</v>
      </c>
      <c r="BK98">
        <v>1892709</v>
      </c>
    </row>
    <row r="99" spans="1:64">
      <c r="A99" s="1">
        <f>HYPERLINK("https://lsnyc.legalserver.org/matter/dynamic-profile/view/1891970","19-1891970")</f>
        <v>0</v>
      </c>
      <c r="B99" t="s">
        <v>89</v>
      </c>
      <c r="C99" t="s">
        <v>250</v>
      </c>
      <c r="D99" t="s">
        <v>257</v>
      </c>
      <c r="E99" t="s">
        <v>262</v>
      </c>
      <c r="F99" t="s">
        <v>273</v>
      </c>
      <c r="G99" t="s">
        <v>275</v>
      </c>
      <c r="H99">
        <v>0</v>
      </c>
      <c r="I99" t="s">
        <v>274</v>
      </c>
      <c r="K99" t="s">
        <v>338</v>
      </c>
      <c r="P99" t="s">
        <v>492</v>
      </c>
      <c r="Q99" t="s">
        <v>502</v>
      </c>
      <c r="S99" t="s">
        <v>503</v>
      </c>
      <c r="T99" t="s">
        <v>508</v>
      </c>
      <c r="U99" t="s">
        <v>511</v>
      </c>
      <c r="V99">
        <v>10458</v>
      </c>
      <c r="W99" t="s">
        <v>519</v>
      </c>
      <c r="X99" t="s">
        <v>548</v>
      </c>
      <c r="Z99" t="s">
        <v>584</v>
      </c>
      <c r="AA99" t="s">
        <v>751</v>
      </c>
      <c r="AB99" t="s">
        <v>902</v>
      </c>
      <c r="AC99" t="s">
        <v>905</v>
      </c>
      <c r="AF99" t="s">
        <v>926</v>
      </c>
      <c r="AI99">
        <v>70.90000000000001</v>
      </c>
      <c r="AJ99" t="s">
        <v>558</v>
      </c>
      <c r="AK99" t="s">
        <v>936</v>
      </c>
      <c r="AL99" t="s">
        <v>274</v>
      </c>
      <c r="AT99">
        <v>1</v>
      </c>
      <c r="AU99">
        <v>3</v>
      </c>
      <c r="AV99" t="s">
        <v>273</v>
      </c>
      <c r="AY99" t="s">
        <v>273</v>
      </c>
      <c r="BB99">
        <v>0</v>
      </c>
      <c r="BC99">
        <v>0</v>
      </c>
      <c r="BD99">
        <v>0</v>
      </c>
      <c r="BE99">
        <v>0</v>
      </c>
      <c r="BF99" t="s">
        <v>1063</v>
      </c>
      <c r="BG99" t="s">
        <v>1089</v>
      </c>
      <c r="BH99">
        <v>22</v>
      </c>
      <c r="BI99" t="s">
        <v>1247</v>
      </c>
      <c r="BK99">
        <v>1892606</v>
      </c>
    </row>
    <row r="100" spans="1:64">
      <c r="A100" s="1">
        <f>HYPERLINK("https://lsnyc.legalserver.org/matter/dynamic-profile/view/1892043","19-1892043")</f>
        <v>0</v>
      </c>
      <c r="B100" t="s">
        <v>120</v>
      </c>
      <c r="C100" t="s">
        <v>250</v>
      </c>
      <c r="D100" t="s">
        <v>257</v>
      </c>
      <c r="E100" t="s">
        <v>265</v>
      </c>
      <c r="F100" t="s">
        <v>273</v>
      </c>
      <c r="G100" t="s">
        <v>275</v>
      </c>
      <c r="H100">
        <v>0</v>
      </c>
      <c r="I100" t="s">
        <v>274</v>
      </c>
      <c r="K100" t="s">
        <v>338</v>
      </c>
      <c r="P100" t="s">
        <v>492</v>
      </c>
      <c r="Q100" t="s">
        <v>502</v>
      </c>
      <c r="S100" t="s">
        <v>503</v>
      </c>
      <c r="T100" t="s">
        <v>507</v>
      </c>
      <c r="U100" t="s">
        <v>511</v>
      </c>
      <c r="V100">
        <v>10454</v>
      </c>
      <c r="W100" t="s">
        <v>518</v>
      </c>
      <c r="X100" t="s">
        <v>548</v>
      </c>
      <c r="Y100" t="s">
        <v>275</v>
      </c>
      <c r="Z100" t="s">
        <v>613</v>
      </c>
      <c r="AA100" t="s">
        <v>779</v>
      </c>
      <c r="AB100" t="s">
        <v>902</v>
      </c>
      <c r="AC100" t="s">
        <v>905</v>
      </c>
      <c r="AF100" t="s">
        <v>926</v>
      </c>
      <c r="AI100">
        <v>58.05</v>
      </c>
      <c r="AJ100" t="s">
        <v>558</v>
      </c>
      <c r="AK100" t="s">
        <v>934</v>
      </c>
      <c r="AL100" t="s">
        <v>274</v>
      </c>
      <c r="AT100">
        <v>0</v>
      </c>
      <c r="AU100">
        <v>1</v>
      </c>
      <c r="AV100" t="s">
        <v>273</v>
      </c>
      <c r="AY100" t="s">
        <v>273</v>
      </c>
      <c r="BB100">
        <v>0</v>
      </c>
      <c r="BC100">
        <v>0</v>
      </c>
      <c r="BD100">
        <v>0</v>
      </c>
      <c r="BE100">
        <v>0</v>
      </c>
      <c r="BF100" t="s">
        <v>1063</v>
      </c>
      <c r="BG100" t="s">
        <v>1119</v>
      </c>
      <c r="BH100">
        <v>22</v>
      </c>
      <c r="BI100" t="s">
        <v>1247</v>
      </c>
      <c r="BK100">
        <v>1892679</v>
      </c>
    </row>
    <row r="101" spans="1:64">
      <c r="A101" s="1">
        <f>HYPERLINK("https://lsnyc.legalserver.org/matter/dynamic-profile/view/1891768","19-1891768")</f>
        <v>0</v>
      </c>
      <c r="B101" t="s">
        <v>141</v>
      </c>
      <c r="C101" t="s">
        <v>250</v>
      </c>
      <c r="D101" t="s">
        <v>252</v>
      </c>
      <c r="E101" t="s">
        <v>261</v>
      </c>
      <c r="F101" t="s">
        <v>273</v>
      </c>
      <c r="G101" t="s">
        <v>275</v>
      </c>
      <c r="H101">
        <v>0</v>
      </c>
      <c r="I101" t="s">
        <v>274</v>
      </c>
      <c r="K101" t="s">
        <v>339</v>
      </c>
      <c r="O101" t="s">
        <v>275</v>
      </c>
      <c r="P101" t="s">
        <v>492</v>
      </c>
      <c r="Q101" t="s">
        <v>501</v>
      </c>
      <c r="S101" t="s">
        <v>503</v>
      </c>
      <c r="T101" t="s">
        <v>507</v>
      </c>
      <c r="U101" t="s">
        <v>511</v>
      </c>
      <c r="V101">
        <v>11219</v>
      </c>
      <c r="W101" t="s">
        <v>525</v>
      </c>
      <c r="X101" t="s">
        <v>549</v>
      </c>
      <c r="Y101" t="s">
        <v>275</v>
      </c>
      <c r="Z101" t="s">
        <v>632</v>
      </c>
      <c r="AA101" t="s">
        <v>798</v>
      </c>
      <c r="AB101" t="s">
        <v>902</v>
      </c>
      <c r="AC101" t="s">
        <v>904</v>
      </c>
      <c r="AF101" t="s">
        <v>928</v>
      </c>
      <c r="AI101">
        <v>15.08</v>
      </c>
      <c r="AJ101" t="s">
        <v>558</v>
      </c>
      <c r="AK101" t="s">
        <v>957</v>
      </c>
      <c r="AL101" t="s">
        <v>274</v>
      </c>
      <c r="AM101" t="s">
        <v>975</v>
      </c>
      <c r="AN101" t="s">
        <v>448</v>
      </c>
      <c r="AT101">
        <v>0</v>
      </c>
      <c r="AU101">
        <v>1</v>
      </c>
      <c r="AV101" t="s">
        <v>273</v>
      </c>
      <c r="AY101" t="s">
        <v>273</v>
      </c>
      <c r="BB101">
        <v>0</v>
      </c>
      <c r="BC101">
        <v>0</v>
      </c>
      <c r="BD101">
        <v>0</v>
      </c>
      <c r="BE101">
        <v>0</v>
      </c>
      <c r="BF101" t="s">
        <v>1063</v>
      </c>
      <c r="BG101" t="s">
        <v>1140</v>
      </c>
      <c r="BH101">
        <v>57</v>
      </c>
      <c r="BI101" t="s">
        <v>1247</v>
      </c>
      <c r="BK101">
        <v>1892389</v>
      </c>
      <c r="BL101" t="s">
        <v>275</v>
      </c>
    </row>
    <row r="102" spans="1:64">
      <c r="A102" s="1">
        <f>HYPERLINK("https://lsnyc.legalserver.org/matter/dynamic-profile/view/1891721","19-1891721")</f>
        <v>0</v>
      </c>
      <c r="B102" t="s">
        <v>142</v>
      </c>
      <c r="C102" t="s">
        <v>250</v>
      </c>
      <c r="D102" t="s">
        <v>252</v>
      </c>
      <c r="E102" t="s">
        <v>265</v>
      </c>
      <c r="F102" t="s">
        <v>273</v>
      </c>
      <c r="G102" t="s">
        <v>275</v>
      </c>
      <c r="H102">
        <v>70.68000000000001</v>
      </c>
      <c r="I102" t="s">
        <v>274</v>
      </c>
      <c r="K102" t="s">
        <v>340</v>
      </c>
      <c r="P102" t="s">
        <v>496</v>
      </c>
      <c r="Q102" t="s">
        <v>502</v>
      </c>
      <c r="S102" t="s">
        <v>503</v>
      </c>
      <c r="T102" t="s">
        <v>507</v>
      </c>
      <c r="U102" t="s">
        <v>511</v>
      </c>
      <c r="V102">
        <v>11214</v>
      </c>
      <c r="W102" t="s">
        <v>538</v>
      </c>
      <c r="X102" t="s">
        <v>548</v>
      </c>
      <c r="Y102" t="s">
        <v>275</v>
      </c>
      <c r="Z102" t="s">
        <v>613</v>
      </c>
      <c r="AA102" t="s">
        <v>799</v>
      </c>
      <c r="AB102" t="s">
        <v>902</v>
      </c>
      <c r="AC102" t="s">
        <v>905</v>
      </c>
      <c r="AF102" t="s">
        <v>923</v>
      </c>
      <c r="AI102">
        <v>0.45</v>
      </c>
      <c r="AJ102" t="s">
        <v>558</v>
      </c>
      <c r="AK102" t="s">
        <v>941</v>
      </c>
      <c r="AL102" t="s">
        <v>274</v>
      </c>
      <c r="AM102" t="s">
        <v>973</v>
      </c>
      <c r="AN102" t="s">
        <v>991</v>
      </c>
      <c r="AT102">
        <v>2</v>
      </c>
      <c r="AU102">
        <v>2</v>
      </c>
      <c r="AV102" t="s">
        <v>273</v>
      </c>
      <c r="AY102" t="s">
        <v>273</v>
      </c>
      <c r="BB102">
        <v>0</v>
      </c>
      <c r="BC102">
        <v>0</v>
      </c>
      <c r="BD102">
        <v>0</v>
      </c>
      <c r="BE102">
        <v>0</v>
      </c>
      <c r="BF102" t="s">
        <v>1063</v>
      </c>
      <c r="BG102" t="s">
        <v>1141</v>
      </c>
      <c r="BH102">
        <v>4</v>
      </c>
      <c r="BI102" t="s">
        <v>1260</v>
      </c>
      <c r="BK102">
        <v>1890105</v>
      </c>
    </row>
    <row r="103" spans="1:64">
      <c r="A103" s="1">
        <f>HYPERLINK("https://lsnyc.legalserver.org/matter/dynamic-profile/view/1891722","19-1891722")</f>
        <v>0</v>
      </c>
      <c r="B103" t="s">
        <v>142</v>
      </c>
      <c r="C103" t="s">
        <v>250</v>
      </c>
      <c r="D103" t="s">
        <v>252</v>
      </c>
      <c r="E103" t="s">
        <v>265</v>
      </c>
      <c r="F103" t="s">
        <v>273</v>
      </c>
      <c r="G103" t="s">
        <v>275</v>
      </c>
      <c r="H103">
        <v>70.68000000000001</v>
      </c>
      <c r="I103" t="s">
        <v>274</v>
      </c>
      <c r="K103" t="s">
        <v>340</v>
      </c>
      <c r="M103" t="s">
        <v>471</v>
      </c>
      <c r="N103" t="s">
        <v>454</v>
      </c>
      <c r="P103" t="s">
        <v>496</v>
      </c>
      <c r="Q103" t="s">
        <v>502</v>
      </c>
      <c r="S103" t="s">
        <v>503</v>
      </c>
      <c r="T103" t="s">
        <v>507</v>
      </c>
      <c r="U103" t="s">
        <v>511</v>
      </c>
      <c r="V103">
        <v>11214</v>
      </c>
      <c r="W103" t="s">
        <v>528</v>
      </c>
      <c r="X103" t="s">
        <v>548</v>
      </c>
      <c r="Y103" t="s">
        <v>275</v>
      </c>
      <c r="Z103" t="s">
        <v>613</v>
      </c>
      <c r="AA103" t="s">
        <v>799</v>
      </c>
      <c r="AB103" t="s">
        <v>902</v>
      </c>
      <c r="AC103" t="s">
        <v>905</v>
      </c>
      <c r="AF103" t="s">
        <v>923</v>
      </c>
      <c r="AI103">
        <v>0.2</v>
      </c>
      <c r="AJ103" t="s">
        <v>558</v>
      </c>
      <c r="AK103" t="s">
        <v>941</v>
      </c>
      <c r="AL103" t="s">
        <v>274</v>
      </c>
      <c r="AM103" t="s">
        <v>973</v>
      </c>
      <c r="AN103" t="s">
        <v>991</v>
      </c>
      <c r="AT103">
        <v>2</v>
      </c>
      <c r="AU103">
        <v>2</v>
      </c>
      <c r="AV103" t="s">
        <v>273</v>
      </c>
      <c r="AY103" t="s">
        <v>273</v>
      </c>
      <c r="BB103">
        <v>0</v>
      </c>
      <c r="BC103">
        <v>0</v>
      </c>
      <c r="BD103">
        <v>0</v>
      </c>
      <c r="BE103">
        <v>0</v>
      </c>
      <c r="BF103" t="s">
        <v>1063</v>
      </c>
      <c r="BG103" t="s">
        <v>1141</v>
      </c>
      <c r="BH103">
        <v>4</v>
      </c>
      <c r="BI103" t="s">
        <v>1260</v>
      </c>
      <c r="BK103">
        <v>1890105</v>
      </c>
    </row>
    <row r="104" spans="1:64">
      <c r="A104" s="1">
        <f>HYPERLINK("https://lsnyc.legalserver.org/matter/dynamic-profile/view/1891723","19-1891723")</f>
        <v>0</v>
      </c>
      <c r="B104" t="s">
        <v>143</v>
      </c>
      <c r="C104" t="s">
        <v>250</v>
      </c>
      <c r="D104" t="s">
        <v>252</v>
      </c>
      <c r="E104" t="s">
        <v>265</v>
      </c>
      <c r="F104" t="s">
        <v>273</v>
      </c>
      <c r="G104" t="s">
        <v>275</v>
      </c>
      <c r="H104">
        <v>70.68000000000001</v>
      </c>
      <c r="I104" t="s">
        <v>274</v>
      </c>
      <c r="K104" t="s">
        <v>340</v>
      </c>
      <c r="P104" t="s">
        <v>496</v>
      </c>
      <c r="Q104" t="s">
        <v>501</v>
      </c>
      <c r="S104" t="s">
        <v>503</v>
      </c>
      <c r="T104" t="s">
        <v>508</v>
      </c>
      <c r="U104" t="s">
        <v>511</v>
      </c>
      <c r="V104">
        <v>11214</v>
      </c>
      <c r="W104" t="s">
        <v>532</v>
      </c>
      <c r="X104" t="s">
        <v>548</v>
      </c>
      <c r="Y104" t="s">
        <v>275</v>
      </c>
      <c r="Z104" t="s">
        <v>633</v>
      </c>
      <c r="AA104" t="s">
        <v>800</v>
      </c>
      <c r="AB104" t="s">
        <v>902</v>
      </c>
      <c r="AC104" t="s">
        <v>905</v>
      </c>
      <c r="AF104" t="s">
        <v>923</v>
      </c>
      <c r="AI104">
        <v>3.3</v>
      </c>
      <c r="AJ104" t="s">
        <v>558</v>
      </c>
      <c r="AK104" t="s">
        <v>941</v>
      </c>
      <c r="AL104" t="s">
        <v>274</v>
      </c>
      <c r="AM104" t="s">
        <v>973</v>
      </c>
      <c r="AN104" t="s">
        <v>991</v>
      </c>
      <c r="AT104">
        <v>2</v>
      </c>
      <c r="AU104">
        <v>2</v>
      </c>
      <c r="AV104" t="s">
        <v>273</v>
      </c>
      <c r="AY104" t="s">
        <v>273</v>
      </c>
      <c r="BB104">
        <v>0</v>
      </c>
      <c r="BC104">
        <v>0</v>
      </c>
      <c r="BD104">
        <v>0</v>
      </c>
      <c r="BE104">
        <v>0</v>
      </c>
      <c r="BF104" t="s">
        <v>1063</v>
      </c>
      <c r="BG104" t="s">
        <v>1142</v>
      </c>
      <c r="BH104">
        <v>26</v>
      </c>
      <c r="BI104" t="s">
        <v>1260</v>
      </c>
      <c r="BK104">
        <v>1884651</v>
      </c>
    </row>
    <row r="105" spans="1:64">
      <c r="A105" s="1">
        <f>HYPERLINK("https://lsnyc.legalserver.org/matter/dynamic-profile/view/1891724","19-1891724")</f>
        <v>0</v>
      </c>
      <c r="B105" t="s">
        <v>143</v>
      </c>
      <c r="C105" t="s">
        <v>250</v>
      </c>
      <c r="D105" t="s">
        <v>252</v>
      </c>
      <c r="E105" t="s">
        <v>265</v>
      </c>
      <c r="F105" t="s">
        <v>273</v>
      </c>
      <c r="G105" t="s">
        <v>275</v>
      </c>
      <c r="H105">
        <v>70.68000000000001</v>
      </c>
      <c r="I105" t="s">
        <v>274</v>
      </c>
      <c r="K105" t="s">
        <v>340</v>
      </c>
      <c r="P105" t="s">
        <v>496</v>
      </c>
      <c r="Q105" t="s">
        <v>501</v>
      </c>
      <c r="S105" t="s">
        <v>503</v>
      </c>
      <c r="T105" t="s">
        <v>508</v>
      </c>
      <c r="U105" t="s">
        <v>511</v>
      </c>
      <c r="V105">
        <v>11214</v>
      </c>
      <c r="W105" t="s">
        <v>528</v>
      </c>
      <c r="X105" t="s">
        <v>548</v>
      </c>
      <c r="Z105" t="s">
        <v>633</v>
      </c>
      <c r="AA105" t="s">
        <v>800</v>
      </c>
      <c r="AB105" t="s">
        <v>902</v>
      </c>
      <c r="AC105" t="s">
        <v>905</v>
      </c>
      <c r="AF105" t="s">
        <v>923</v>
      </c>
      <c r="AI105">
        <v>0.2</v>
      </c>
      <c r="AJ105" t="s">
        <v>558</v>
      </c>
      <c r="AK105" t="s">
        <v>941</v>
      </c>
      <c r="AL105" t="s">
        <v>274</v>
      </c>
      <c r="AM105" t="s">
        <v>973</v>
      </c>
      <c r="AN105" t="s">
        <v>991</v>
      </c>
      <c r="AT105">
        <v>2</v>
      </c>
      <c r="AU105">
        <v>2</v>
      </c>
      <c r="AV105" t="s">
        <v>273</v>
      </c>
      <c r="AY105" t="s">
        <v>273</v>
      </c>
      <c r="BB105">
        <v>0</v>
      </c>
      <c r="BC105">
        <v>0</v>
      </c>
      <c r="BD105">
        <v>0</v>
      </c>
      <c r="BE105">
        <v>0</v>
      </c>
      <c r="BF105" t="s">
        <v>1063</v>
      </c>
      <c r="BG105" t="s">
        <v>1142</v>
      </c>
      <c r="BH105">
        <v>26</v>
      </c>
      <c r="BI105" t="s">
        <v>1260</v>
      </c>
      <c r="BK105">
        <v>1884651</v>
      </c>
    </row>
    <row r="106" spans="1:64">
      <c r="A106" s="1">
        <f>HYPERLINK("https://lsnyc.legalserver.org/matter/dynamic-profile/view/1891725","19-1891725")</f>
        <v>0</v>
      </c>
      <c r="B106" t="s">
        <v>144</v>
      </c>
      <c r="C106" t="s">
        <v>250</v>
      </c>
      <c r="D106" t="s">
        <v>252</v>
      </c>
      <c r="E106" t="s">
        <v>265</v>
      </c>
      <c r="F106" t="s">
        <v>273</v>
      </c>
      <c r="G106" t="s">
        <v>275</v>
      </c>
      <c r="H106">
        <v>70.68000000000001</v>
      </c>
      <c r="I106" t="s">
        <v>274</v>
      </c>
      <c r="K106" t="s">
        <v>340</v>
      </c>
      <c r="P106" t="s">
        <v>496</v>
      </c>
      <c r="Q106" t="s">
        <v>502</v>
      </c>
      <c r="S106" t="s">
        <v>503</v>
      </c>
      <c r="T106" t="s">
        <v>507</v>
      </c>
      <c r="U106" t="s">
        <v>511</v>
      </c>
      <c r="V106">
        <v>11214</v>
      </c>
      <c r="W106" t="s">
        <v>538</v>
      </c>
      <c r="X106" t="s">
        <v>548</v>
      </c>
      <c r="Y106" t="s">
        <v>275</v>
      </c>
      <c r="Z106" t="s">
        <v>634</v>
      </c>
      <c r="AA106" t="s">
        <v>801</v>
      </c>
      <c r="AB106" t="s">
        <v>902</v>
      </c>
      <c r="AC106" t="s">
        <v>906</v>
      </c>
      <c r="AF106" t="s">
        <v>923</v>
      </c>
      <c r="AI106">
        <v>0.3</v>
      </c>
      <c r="AJ106" t="s">
        <v>558</v>
      </c>
      <c r="AK106" t="s">
        <v>941</v>
      </c>
      <c r="AL106" t="s">
        <v>274</v>
      </c>
      <c r="AM106" t="s">
        <v>973</v>
      </c>
      <c r="AN106" t="s">
        <v>991</v>
      </c>
      <c r="AT106">
        <v>2</v>
      </c>
      <c r="AU106">
        <v>2</v>
      </c>
      <c r="AV106" t="s">
        <v>273</v>
      </c>
      <c r="AY106" t="s">
        <v>273</v>
      </c>
      <c r="BB106">
        <v>0</v>
      </c>
      <c r="BC106">
        <v>0</v>
      </c>
      <c r="BD106">
        <v>0</v>
      </c>
      <c r="BE106">
        <v>0</v>
      </c>
      <c r="BF106" t="s">
        <v>1063</v>
      </c>
      <c r="BG106" t="s">
        <v>1143</v>
      </c>
      <c r="BH106">
        <v>8</v>
      </c>
      <c r="BI106" t="s">
        <v>1260</v>
      </c>
      <c r="BK106">
        <v>1890107</v>
      </c>
    </row>
    <row r="107" spans="1:64">
      <c r="A107" s="1">
        <f>HYPERLINK("https://lsnyc.legalserver.org/matter/dynamic-profile/view/1891726","19-1891726")</f>
        <v>0</v>
      </c>
      <c r="B107" t="s">
        <v>144</v>
      </c>
      <c r="C107" t="s">
        <v>250</v>
      </c>
      <c r="D107" t="s">
        <v>252</v>
      </c>
      <c r="E107" t="s">
        <v>265</v>
      </c>
      <c r="F107" t="s">
        <v>273</v>
      </c>
      <c r="G107" t="s">
        <v>275</v>
      </c>
      <c r="H107">
        <v>70.68000000000001</v>
      </c>
      <c r="I107" t="s">
        <v>274</v>
      </c>
      <c r="K107" t="s">
        <v>340</v>
      </c>
      <c r="P107" t="s">
        <v>496</v>
      </c>
      <c r="Q107" t="s">
        <v>502</v>
      </c>
      <c r="S107" t="s">
        <v>503</v>
      </c>
      <c r="T107" t="s">
        <v>507</v>
      </c>
      <c r="U107" t="s">
        <v>511</v>
      </c>
      <c r="V107">
        <v>11214</v>
      </c>
      <c r="W107" t="s">
        <v>528</v>
      </c>
      <c r="X107" t="s">
        <v>548</v>
      </c>
      <c r="Y107" t="s">
        <v>275</v>
      </c>
      <c r="Z107" t="s">
        <v>634</v>
      </c>
      <c r="AA107" t="s">
        <v>801</v>
      </c>
      <c r="AB107" t="s">
        <v>902</v>
      </c>
      <c r="AC107" t="s">
        <v>906</v>
      </c>
      <c r="AF107" t="s">
        <v>923</v>
      </c>
      <c r="AI107">
        <v>0.2</v>
      </c>
      <c r="AJ107" t="s">
        <v>558</v>
      </c>
      <c r="AK107" t="s">
        <v>941</v>
      </c>
      <c r="AL107" t="s">
        <v>274</v>
      </c>
      <c r="AM107" t="s">
        <v>973</v>
      </c>
      <c r="AN107" t="s">
        <v>991</v>
      </c>
      <c r="AT107">
        <v>2</v>
      </c>
      <c r="AU107">
        <v>2</v>
      </c>
      <c r="AV107" t="s">
        <v>273</v>
      </c>
      <c r="AY107" t="s">
        <v>273</v>
      </c>
      <c r="BB107">
        <v>0</v>
      </c>
      <c r="BC107">
        <v>0</v>
      </c>
      <c r="BD107">
        <v>0</v>
      </c>
      <c r="BE107">
        <v>0</v>
      </c>
      <c r="BF107" t="s">
        <v>1063</v>
      </c>
      <c r="BG107" t="s">
        <v>1143</v>
      </c>
      <c r="BH107">
        <v>8</v>
      </c>
      <c r="BI107" t="s">
        <v>1260</v>
      </c>
      <c r="BK107">
        <v>1890107</v>
      </c>
    </row>
    <row r="108" spans="1:64">
      <c r="A108" s="1">
        <f>HYPERLINK("https://lsnyc.legalserver.org/matter/dynamic-profile/view/1891169","19-1891169")</f>
        <v>0</v>
      </c>
      <c r="B108" t="s">
        <v>145</v>
      </c>
      <c r="C108" t="s">
        <v>250</v>
      </c>
      <c r="D108" t="s">
        <v>252</v>
      </c>
      <c r="E108" t="s">
        <v>261</v>
      </c>
      <c r="F108" t="s">
        <v>273</v>
      </c>
      <c r="G108" t="s">
        <v>275</v>
      </c>
      <c r="H108">
        <v>215.45</v>
      </c>
      <c r="I108" t="s">
        <v>274</v>
      </c>
      <c r="K108" t="s">
        <v>341</v>
      </c>
      <c r="P108" t="s">
        <v>492</v>
      </c>
      <c r="Q108" t="s">
        <v>501</v>
      </c>
      <c r="S108" t="s">
        <v>503</v>
      </c>
      <c r="T108" t="s">
        <v>508</v>
      </c>
      <c r="U108" t="s">
        <v>511</v>
      </c>
      <c r="V108">
        <v>11233</v>
      </c>
      <c r="W108" t="s">
        <v>517</v>
      </c>
      <c r="X108" t="s">
        <v>549</v>
      </c>
      <c r="Y108" t="s">
        <v>275</v>
      </c>
      <c r="Z108" t="s">
        <v>635</v>
      </c>
      <c r="AA108" t="s">
        <v>802</v>
      </c>
      <c r="AB108" t="s">
        <v>902</v>
      </c>
      <c r="AC108" t="s">
        <v>904</v>
      </c>
      <c r="AF108" t="s">
        <v>923</v>
      </c>
      <c r="AI108">
        <v>10.1</v>
      </c>
      <c r="AK108" t="s">
        <v>944</v>
      </c>
      <c r="AL108" t="s">
        <v>274</v>
      </c>
      <c r="AM108" t="s">
        <v>973</v>
      </c>
      <c r="AN108" t="s">
        <v>992</v>
      </c>
      <c r="AT108">
        <v>3</v>
      </c>
      <c r="AU108">
        <v>2</v>
      </c>
      <c r="AV108" t="s">
        <v>273</v>
      </c>
      <c r="AY108" t="s">
        <v>273</v>
      </c>
      <c r="BB108">
        <v>0</v>
      </c>
      <c r="BC108">
        <v>0</v>
      </c>
      <c r="BD108">
        <v>0</v>
      </c>
      <c r="BE108">
        <v>0</v>
      </c>
      <c r="BF108" t="s">
        <v>1063</v>
      </c>
      <c r="BG108" t="s">
        <v>1144</v>
      </c>
      <c r="BH108">
        <v>37</v>
      </c>
      <c r="BI108" t="s">
        <v>1271</v>
      </c>
      <c r="BK108">
        <v>1891801</v>
      </c>
      <c r="BL108" t="s">
        <v>275</v>
      </c>
    </row>
    <row r="109" spans="1:64">
      <c r="A109" s="1">
        <f>HYPERLINK("https://lsnyc.legalserver.org/matter/dynamic-profile/view/1890224","19-1890224")</f>
        <v>0</v>
      </c>
      <c r="B109" t="s">
        <v>146</v>
      </c>
      <c r="C109" t="s">
        <v>250</v>
      </c>
      <c r="D109" t="s">
        <v>252</v>
      </c>
      <c r="E109" t="s">
        <v>263</v>
      </c>
      <c r="F109" t="s">
        <v>273</v>
      </c>
      <c r="G109" t="s">
        <v>275</v>
      </c>
      <c r="H109">
        <v>0</v>
      </c>
      <c r="I109" t="s">
        <v>274</v>
      </c>
      <c r="K109" t="s">
        <v>342</v>
      </c>
      <c r="M109" t="s">
        <v>474</v>
      </c>
      <c r="P109" t="s">
        <v>492</v>
      </c>
      <c r="Q109" t="s">
        <v>501</v>
      </c>
      <c r="S109" t="s">
        <v>503</v>
      </c>
      <c r="T109" t="s">
        <v>507</v>
      </c>
      <c r="U109" t="s">
        <v>511</v>
      </c>
      <c r="V109">
        <v>11229</v>
      </c>
      <c r="W109" t="s">
        <v>518</v>
      </c>
      <c r="Y109" t="s">
        <v>275</v>
      </c>
      <c r="Z109" t="s">
        <v>636</v>
      </c>
      <c r="AA109" t="s">
        <v>803</v>
      </c>
      <c r="AB109" t="s">
        <v>902</v>
      </c>
      <c r="AC109" t="s">
        <v>905</v>
      </c>
      <c r="AF109" t="s">
        <v>926</v>
      </c>
      <c r="AI109">
        <v>8.6</v>
      </c>
      <c r="AJ109" t="s">
        <v>931</v>
      </c>
      <c r="AK109" t="s">
        <v>958</v>
      </c>
      <c r="AL109" t="s">
        <v>274</v>
      </c>
      <c r="AT109">
        <v>0</v>
      </c>
      <c r="AU109">
        <v>1</v>
      </c>
      <c r="AV109" t="s">
        <v>273</v>
      </c>
      <c r="AY109" t="s">
        <v>273</v>
      </c>
      <c r="BB109">
        <v>0</v>
      </c>
      <c r="BC109">
        <v>0</v>
      </c>
      <c r="BD109">
        <v>0</v>
      </c>
      <c r="BE109">
        <v>0</v>
      </c>
      <c r="BF109" t="s">
        <v>1063</v>
      </c>
      <c r="BG109" t="s">
        <v>1145</v>
      </c>
      <c r="BH109">
        <v>35</v>
      </c>
      <c r="BI109" t="s">
        <v>1247</v>
      </c>
      <c r="BK109">
        <v>1890856</v>
      </c>
    </row>
    <row r="110" spans="1:64">
      <c r="A110" s="1">
        <f>HYPERLINK("https://lsnyc.legalserver.org/matter/dynamic-profile/view/1890110","19-1890110")</f>
        <v>0</v>
      </c>
      <c r="B110" t="s">
        <v>147</v>
      </c>
      <c r="C110" t="s">
        <v>250</v>
      </c>
      <c r="D110" t="s">
        <v>252</v>
      </c>
      <c r="E110" t="s">
        <v>266</v>
      </c>
      <c r="F110" t="s">
        <v>273</v>
      </c>
      <c r="G110" t="s">
        <v>275</v>
      </c>
      <c r="H110">
        <v>51.71</v>
      </c>
      <c r="I110" t="s">
        <v>274</v>
      </c>
      <c r="K110" t="s">
        <v>343</v>
      </c>
      <c r="O110" t="s">
        <v>275</v>
      </c>
      <c r="Q110" t="s">
        <v>501</v>
      </c>
      <c r="S110" t="s">
        <v>503</v>
      </c>
      <c r="T110" t="s">
        <v>507</v>
      </c>
      <c r="U110" t="s">
        <v>511</v>
      </c>
      <c r="V110">
        <v>11208</v>
      </c>
      <c r="W110" t="s">
        <v>518</v>
      </c>
      <c r="X110" t="s">
        <v>548</v>
      </c>
      <c r="Y110" t="s">
        <v>274</v>
      </c>
      <c r="Z110" t="s">
        <v>637</v>
      </c>
      <c r="AA110" t="s">
        <v>804</v>
      </c>
      <c r="AB110" t="s">
        <v>902</v>
      </c>
      <c r="AC110" t="s">
        <v>904</v>
      </c>
      <c r="AF110" t="s">
        <v>926</v>
      </c>
      <c r="AI110">
        <v>3.8</v>
      </c>
      <c r="AJ110" t="s">
        <v>558</v>
      </c>
      <c r="AK110" t="s">
        <v>950</v>
      </c>
      <c r="AL110" t="s">
        <v>274</v>
      </c>
      <c r="AT110">
        <v>3</v>
      </c>
      <c r="AU110">
        <v>2</v>
      </c>
      <c r="AV110" t="s">
        <v>273</v>
      </c>
      <c r="AY110" t="s">
        <v>273</v>
      </c>
      <c r="BB110">
        <v>0</v>
      </c>
      <c r="BC110">
        <v>0</v>
      </c>
      <c r="BD110">
        <v>0</v>
      </c>
      <c r="BE110">
        <v>0</v>
      </c>
      <c r="BF110" t="s">
        <v>1063</v>
      </c>
      <c r="BG110" t="s">
        <v>1146</v>
      </c>
      <c r="BH110">
        <v>58</v>
      </c>
      <c r="BI110" t="s">
        <v>1270</v>
      </c>
      <c r="BK110">
        <v>1890742</v>
      </c>
    </row>
    <row r="111" spans="1:64">
      <c r="A111" s="1">
        <f>HYPERLINK("https://lsnyc.legalserver.org/matter/dynamic-profile/view/1889990","19-1889990")</f>
        <v>0</v>
      </c>
      <c r="B111" t="s">
        <v>148</v>
      </c>
      <c r="C111" t="s">
        <v>250</v>
      </c>
      <c r="D111" t="s">
        <v>251</v>
      </c>
      <c r="E111" t="s">
        <v>261</v>
      </c>
      <c r="F111" t="s">
        <v>273</v>
      </c>
      <c r="G111" t="s">
        <v>275</v>
      </c>
      <c r="H111">
        <v>0</v>
      </c>
      <c r="I111" t="s">
        <v>274</v>
      </c>
      <c r="K111" t="s">
        <v>344</v>
      </c>
      <c r="P111" t="s">
        <v>492</v>
      </c>
      <c r="Q111" t="s">
        <v>501</v>
      </c>
      <c r="S111" t="s">
        <v>503</v>
      </c>
      <c r="T111" t="s">
        <v>508</v>
      </c>
      <c r="U111" t="s">
        <v>511</v>
      </c>
      <c r="V111">
        <v>11701</v>
      </c>
      <c r="W111" t="s">
        <v>520</v>
      </c>
      <c r="Y111" t="s">
        <v>275</v>
      </c>
      <c r="Z111" t="s">
        <v>638</v>
      </c>
      <c r="AA111" t="s">
        <v>805</v>
      </c>
      <c r="AB111" t="s">
        <v>902</v>
      </c>
      <c r="AC111" t="s">
        <v>905</v>
      </c>
      <c r="AF111" t="s">
        <v>923</v>
      </c>
      <c r="AI111">
        <v>3.5</v>
      </c>
      <c r="AK111" t="s">
        <v>950</v>
      </c>
      <c r="AL111" t="s">
        <v>274</v>
      </c>
      <c r="AM111" t="s">
        <v>973</v>
      </c>
      <c r="AN111" t="s">
        <v>993</v>
      </c>
      <c r="AS111" t="s">
        <v>1058</v>
      </c>
      <c r="AT111">
        <v>2</v>
      </c>
      <c r="AU111">
        <v>2</v>
      </c>
      <c r="AV111" t="s">
        <v>273</v>
      </c>
      <c r="AY111" t="s">
        <v>273</v>
      </c>
      <c r="BB111">
        <v>0</v>
      </c>
      <c r="BC111">
        <v>0</v>
      </c>
      <c r="BD111">
        <v>0</v>
      </c>
      <c r="BE111">
        <v>0</v>
      </c>
      <c r="BF111" t="s">
        <v>1063</v>
      </c>
      <c r="BG111" t="s">
        <v>1147</v>
      </c>
      <c r="BH111">
        <v>25</v>
      </c>
      <c r="BI111" t="s">
        <v>1247</v>
      </c>
      <c r="BK111">
        <v>828177</v>
      </c>
      <c r="BL111" t="s">
        <v>275</v>
      </c>
    </row>
    <row r="112" spans="1:64">
      <c r="A112" s="1">
        <f>HYPERLINK("https://lsnyc.legalserver.org/matter/dynamic-profile/view/1890058","19-1890058")</f>
        <v>0</v>
      </c>
      <c r="B112" t="s">
        <v>101</v>
      </c>
      <c r="C112" t="s">
        <v>250</v>
      </c>
      <c r="D112" t="s">
        <v>252</v>
      </c>
      <c r="E112" t="s">
        <v>266</v>
      </c>
      <c r="F112" t="s">
        <v>273</v>
      </c>
      <c r="G112" t="s">
        <v>275</v>
      </c>
      <c r="H112">
        <v>0</v>
      </c>
      <c r="I112" t="s">
        <v>274</v>
      </c>
      <c r="K112" t="s">
        <v>344</v>
      </c>
      <c r="O112" t="s">
        <v>275</v>
      </c>
      <c r="P112" t="s">
        <v>492</v>
      </c>
      <c r="Q112" t="s">
        <v>502</v>
      </c>
      <c r="S112" t="s">
        <v>503</v>
      </c>
      <c r="T112" t="s">
        <v>507</v>
      </c>
      <c r="U112" t="s">
        <v>511</v>
      </c>
      <c r="V112">
        <v>11220</v>
      </c>
      <c r="W112" t="s">
        <v>518</v>
      </c>
      <c r="X112" t="s">
        <v>548</v>
      </c>
      <c r="Y112" t="s">
        <v>275</v>
      </c>
      <c r="Z112" t="s">
        <v>596</v>
      </c>
      <c r="AA112" t="s">
        <v>763</v>
      </c>
      <c r="AB112" t="s">
        <v>902</v>
      </c>
      <c r="AC112" t="s">
        <v>905</v>
      </c>
      <c r="AF112" t="s">
        <v>926</v>
      </c>
      <c r="AI112">
        <v>16.65</v>
      </c>
      <c r="AJ112" t="s">
        <v>931</v>
      </c>
      <c r="AK112" t="s">
        <v>934</v>
      </c>
      <c r="AL112" t="s">
        <v>274</v>
      </c>
      <c r="AM112" t="s">
        <v>973</v>
      </c>
      <c r="AO112" t="s">
        <v>975</v>
      </c>
      <c r="AT112">
        <v>1</v>
      </c>
      <c r="AU112">
        <v>1</v>
      </c>
      <c r="AV112" t="s">
        <v>274</v>
      </c>
      <c r="AY112" t="s">
        <v>274</v>
      </c>
      <c r="BB112">
        <v>0</v>
      </c>
      <c r="BC112">
        <v>0</v>
      </c>
      <c r="BD112">
        <v>0</v>
      </c>
      <c r="BE112">
        <v>0</v>
      </c>
      <c r="BF112" t="s">
        <v>1063</v>
      </c>
      <c r="BG112" t="s">
        <v>1101</v>
      </c>
      <c r="BH112">
        <v>15</v>
      </c>
      <c r="BI112" t="s">
        <v>1247</v>
      </c>
      <c r="BK112">
        <v>1890690</v>
      </c>
    </row>
    <row r="113" spans="1:64">
      <c r="A113" s="1">
        <f>HYPERLINK("https://lsnyc.legalserver.org/matter/dynamic-profile/view/1889864","19-1889864")</f>
        <v>0</v>
      </c>
      <c r="B113" t="s">
        <v>149</v>
      </c>
      <c r="C113" t="s">
        <v>250</v>
      </c>
      <c r="D113" t="s">
        <v>253</v>
      </c>
      <c r="E113" t="s">
        <v>265</v>
      </c>
      <c r="F113" t="s">
        <v>273</v>
      </c>
      <c r="G113" t="s">
        <v>275</v>
      </c>
      <c r="H113">
        <v>115.29</v>
      </c>
      <c r="I113" t="s">
        <v>274</v>
      </c>
      <c r="K113" t="s">
        <v>345</v>
      </c>
      <c r="M113" t="s">
        <v>475</v>
      </c>
      <c r="N113" t="s">
        <v>487</v>
      </c>
      <c r="P113" t="s">
        <v>492</v>
      </c>
      <c r="Q113" t="s">
        <v>501</v>
      </c>
      <c r="S113" t="s">
        <v>503</v>
      </c>
      <c r="T113" t="s">
        <v>508</v>
      </c>
      <c r="U113" t="s">
        <v>511</v>
      </c>
      <c r="V113">
        <v>11368</v>
      </c>
      <c r="W113" t="s">
        <v>520</v>
      </c>
      <c r="X113" t="s">
        <v>548</v>
      </c>
      <c r="Y113" t="s">
        <v>275</v>
      </c>
      <c r="Z113" t="s">
        <v>639</v>
      </c>
      <c r="AA113" t="s">
        <v>806</v>
      </c>
      <c r="AB113" t="s">
        <v>902</v>
      </c>
      <c r="AC113" t="s">
        <v>905</v>
      </c>
      <c r="AF113" t="s">
        <v>923</v>
      </c>
      <c r="AI113">
        <v>13.45</v>
      </c>
      <c r="AJ113" t="s">
        <v>558</v>
      </c>
      <c r="AK113" t="s">
        <v>959</v>
      </c>
      <c r="AL113" t="s">
        <v>274</v>
      </c>
      <c r="AM113" t="s">
        <v>973</v>
      </c>
      <c r="AN113" t="s">
        <v>988</v>
      </c>
      <c r="AT113">
        <v>0</v>
      </c>
      <c r="AU113">
        <v>1</v>
      </c>
      <c r="AV113" t="s">
        <v>273</v>
      </c>
      <c r="AY113" t="s">
        <v>273</v>
      </c>
      <c r="BB113">
        <v>0</v>
      </c>
      <c r="BC113">
        <v>0</v>
      </c>
      <c r="BD113">
        <v>0</v>
      </c>
      <c r="BE113">
        <v>0</v>
      </c>
      <c r="BF113" t="s">
        <v>1063</v>
      </c>
      <c r="BG113" t="s">
        <v>1148</v>
      </c>
      <c r="BH113">
        <v>47</v>
      </c>
      <c r="BI113" t="s">
        <v>1253</v>
      </c>
      <c r="BK113">
        <v>795931</v>
      </c>
      <c r="BL113" t="s">
        <v>274</v>
      </c>
    </row>
    <row r="114" spans="1:64">
      <c r="A114" s="1">
        <f>HYPERLINK("https://lsnyc.legalserver.org/matter/dynamic-profile/view/1889740","19-1889740")</f>
        <v>0</v>
      </c>
      <c r="B114" t="s">
        <v>150</v>
      </c>
      <c r="C114" t="s">
        <v>250</v>
      </c>
      <c r="D114" t="s">
        <v>252</v>
      </c>
      <c r="E114" t="s">
        <v>262</v>
      </c>
      <c r="F114" t="s">
        <v>273</v>
      </c>
      <c r="G114" t="s">
        <v>275</v>
      </c>
      <c r="H114">
        <v>177.41</v>
      </c>
      <c r="I114" t="s">
        <v>274</v>
      </c>
      <c r="K114" t="s">
        <v>346</v>
      </c>
      <c r="O114" t="s">
        <v>275</v>
      </c>
      <c r="P114" t="s">
        <v>496</v>
      </c>
      <c r="Q114" t="s">
        <v>501</v>
      </c>
      <c r="S114" t="s">
        <v>503</v>
      </c>
      <c r="T114" t="s">
        <v>507</v>
      </c>
      <c r="U114" t="s">
        <v>511</v>
      </c>
      <c r="V114">
        <v>11206</v>
      </c>
      <c r="W114" t="s">
        <v>520</v>
      </c>
      <c r="X114" t="s">
        <v>549</v>
      </c>
      <c r="Y114" t="s">
        <v>275</v>
      </c>
      <c r="Z114" t="s">
        <v>640</v>
      </c>
      <c r="AA114" t="s">
        <v>807</v>
      </c>
      <c r="AB114" t="s">
        <v>903</v>
      </c>
      <c r="AF114" t="s">
        <v>923</v>
      </c>
      <c r="AI114">
        <v>0.45</v>
      </c>
      <c r="AJ114" t="s">
        <v>558</v>
      </c>
      <c r="AK114" t="s">
        <v>960</v>
      </c>
      <c r="AL114" t="s">
        <v>274</v>
      </c>
      <c r="AM114" t="s">
        <v>973</v>
      </c>
      <c r="AN114" t="s">
        <v>325</v>
      </c>
      <c r="AT114">
        <v>0</v>
      </c>
      <c r="AU114">
        <v>2</v>
      </c>
      <c r="AV114" t="s">
        <v>273</v>
      </c>
      <c r="AY114" t="s">
        <v>273</v>
      </c>
      <c r="BB114">
        <v>0</v>
      </c>
      <c r="BC114">
        <v>0</v>
      </c>
      <c r="BD114">
        <v>0</v>
      </c>
      <c r="BE114">
        <v>0</v>
      </c>
      <c r="BF114" t="s">
        <v>1063</v>
      </c>
      <c r="BG114" t="s">
        <v>1149</v>
      </c>
      <c r="BH114">
        <v>27</v>
      </c>
      <c r="BI114" t="s">
        <v>1272</v>
      </c>
      <c r="BK114">
        <v>1883612</v>
      </c>
      <c r="BL114" t="s">
        <v>275</v>
      </c>
    </row>
    <row r="115" spans="1:64">
      <c r="A115" s="1">
        <f>HYPERLINK("https://lsnyc.legalserver.org/matter/dynamic-profile/view/1889739","19-1889739")</f>
        <v>0</v>
      </c>
      <c r="B115" t="s">
        <v>150</v>
      </c>
      <c r="C115" t="s">
        <v>250</v>
      </c>
      <c r="D115" t="s">
        <v>252</v>
      </c>
      <c r="E115" t="s">
        <v>262</v>
      </c>
      <c r="F115" t="s">
        <v>273</v>
      </c>
      <c r="G115" t="s">
        <v>275</v>
      </c>
      <c r="H115">
        <v>177.41</v>
      </c>
      <c r="I115" t="s">
        <v>274</v>
      </c>
      <c r="K115" t="s">
        <v>347</v>
      </c>
      <c r="M115" t="s">
        <v>475</v>
      </c>
      <c r="N115" t="s">
        <v>488</v>
      </c>
      <c r="O115" t="s">
        <v>275</v>
      </c>
      <c r="P115" t="s">
        <v>496</v>
      </c>
      <c r="Q115" t="s">
        <v>501</v>
      </c>
      <c r="S115" t="s">
        <v>503</v>
      </c>
      <c r="T115" t="s">
        <v>507</v>
      </c>
      <c r="U115" t="s">
        <v>511</v>
      </c>
      <c r="V115">
        <v>11206</v>
      </c>
      <c r="W115" t="s">
        <v>524</v>
      </c>
      <c r="X115" t="s">
        <v>549</v>
      </c>
      <c r="Y115" t="s">
        <v>275</v>
      </c>
      <c r="Z115" t="s">
        <v>640</v>
      </c>
      <c r="AA115" t="s">
        <v>807</v>
      </c>
      <c r="AB115" t="s">
        <v>903</v>
      </c>
      <c r="AF115" t="s">
        <v>923</v>
      </c>
      <c r="AI115">
        <v>8.449999999999999</v>
      </c>
      <c r="AJ115" t="s">
        <v>558</v>
      </c>
      <c r="AK115" t="s">
        <v>960</v>
      </c>
      <c r="AL115" t="s">
        <v>274</v>
      </c>
      <c r="AM115" t="s">
        <v>973</v>
      </c>
      <c r="AN115" t="s">
        <v>325</v>
      </c>
      <c r="AT115">
        <v>0</v>
      </c>
      <c r="AU115">
        <v>2</v>
      </c>
      <c r="AV115" t="s">
        <v>273</v>
      </c>
      <c r="AY115" t="s">
        <v>273</v>
      </c>
      <c r="BB115">
        <v>0</v>
      </c>
      <c r="BC115">
        <v>0</v>
      </c>
      <c r="BD115">
        <v>0</v>
      </c>
      <c r="BE115">
        <v>0</v>
      </c>
      <c r="BF115" t="s">
        <v>1063</v>
      </c>
      <c r="BG115" t="s">
        <v>1149</v>
      </c>
      <c r="BH115">
        <v>27</v>
      </c>
      <c r="BI115" t="s">
        <v>1272</v>
      </c>
      <c r="BK115">
        <v>1883612</v>
      </c>
    </row>
    <row r="116" spans="1:64">
      <c r="A116" s="1">
        <f>HYPERLINK("https://lsnyc.legalserver.org/matter/dynamic-profile/view/1890980","19-1890980")</f>
        <v>0</v>
      </c>
      <c r="B116" t="s">
        <v>151</v>
      </c>
      <c r="C116" t="s">
        <v>250</v>
      </c>
      <c r="D116" t="s">
        <v>253</v>
      </c>
      <c r="E116" t="s">
        <v>265</v>
      </c>
      <c r="F116" t="s">
        <v>273</v>
      </c>
      <c r="G116" t="s">
        <v>275</v>
      </c>
      <c r="H116">
        <v>0</v>
      </c>
      <c r="I116" t="s">
        <v>274</v>
      </c>
      <c r="K116" t="s">
        <v>348</v>
      </c>
      <c r="L116" t="s">
        <v>283</v>
      </c>
      <c r="Q116" t="s">
        <v>501</v>
      </c>
      <c r="S116" t="s">
        <v>506</v>
      </c>
      <c r="T116" t="s">
        <v>508</v>
      </c>
      <c r="U116" t="s">
        <v>515</v>
      </c>
      <c r="V116">
        <v>11369</v>
      </c>
      <c r="X116" t="s">
        <v>549</v>
      </c>
      <c r="Y116" t="s">
        <v>275</v>
      </c>
      <c r="Z116" t="s">
        <v>641</v>
      </c>
      <c r="AA116" t="s">
        <v>808</v>
      </c>
      <c r="AB116" t="s">
        <v>902</v>
      </c>
      <c r="AC116" t="s">
        <v>911</v>
      </c>
      <c r="AD116" t="s">
        <v>916</v>
      </c>
      <c r="AE116" t="s">
        <v>922</v>
      </c>
      <c r="AF116" t="s">
        <v>923</v>
      </c>
      <c r="AI116">
        <v>77.05</v>
      </c>
      <c r="AJ116" t="s">
        <v>558</v>
      </c>
      <c r="AK116" t="s">
        <v>961</v>
      </c>
      <c r="AL116" t="s">
        <v>274</v>
      </c>
      <c r="AM116" t="s">
        <v>973</v>
      </c>
      <c r="AQ116" t="s">
        <v>1047</v>
      </c>
      <c r="AR116" t="s">
        <v>1053</v>
      </c>
      <c r="AT116">
        <v>1</v>
      </c>
      <c r="AU116">
        <v>1</v>
      </c>
      <c r="AV116" t="s">
        <v>273</v>
      </c>
      <c r="AY116" t="s">
        <v>273</v>
      </c>
      <c r="BB116">
        <v>0</v>
      </c>
      <c r="BC116">
        <v>0</v>
      </c>
      <c r="BD116">
        <v>0</v>
      </c>
      <c r="BE116">
        <v>0</v>
      </c>
      <c r="BF116" t="s">
        <v>493</v>
      </c>
      <c r="BG116" t="s">
        <v>1150</v>
      </c>
      <c r="BH116">
        <v>41</v>
      </c>
      <c r="BI116" t="s">
        <v>1247</v>
      </c>
      <c r="BK116">
        <v>778059</v>
      </c>
    </row>
    <row r="117" spans="1:64">
      <c r="A117" s="1">
        <f>HYPERLINK("https://lsnyc.legalserver.org/matter/dynamic-profile/view/1889473","19-1889473")</f>
        <v>0</v>
      </c>
      <c r="B117" t="s">
        <v>142</v>
      </c>
      <c r="C117" t="s">
        <v>250</v>
      </c>
      <c r="D117" t="s">
        <v>252</v>
      </c>
      <c r="E117" t="s">
        <v>265</v>
      </c>
      <c r="F117" t="s">
        <v>273</v>
      </c>
      <c r="G117" t="s">
        <v>275</v>
      </c>
      <c r="H117">
        <v>70.68000000000001</v>
      </c>
      <c r="I117" t="s">
        <v>274</v>
      </c>
      <c r="K117" t="s">
        <v>348</v>
      </c>
      <c r="P117" t="s">
        <v>492</v>
      </c>
      <c r="Q117" t="s">
        <v>502</v>
      </c>
      <c r="S117" t="s">
        <v>503</v>
      </c>
      <c r="T117" t="s">
        <v>507</v>
      </c>
      <c r="U117" t="s">
        <v>511</v>
      </c>
      <c r="V117">
        <v>11214</v>
      </c>
      <c r="W117" t="s">
        <v>518</v>
      </c>
      <c r="X117" t="s">
        <v>548</v>
      </c>
      <c r="Y117" t="s">
        <v>275</v>
      </c>
      <c r="Z117" t="s">
        <v>613</v>
      </c>
      <c r="AA117" t="s">
        <v>799</v>
      </c>
      <c r="AB117" t="s">
        <v>902</v>
      </c>
      <c r="AC117" t="s">
        <v>905</v>
      </c>
      <c r="AF117" t="s">
        <v>926</v>
      </c>
      <c r="AI117">
        <v>16.6</v>
      </c>
      <c r="AJ117" t="s">
        <v>558</v>
      </c>
      <c r="AK117" t="s">
        <v>941</v>
      </c>
      <c r="AL117" t="s">
        <v>274</v>
      </c>
      <c r="AT117">
        <v>2</v>
      </c>
      <c r="AU117">
        <v>2</v>
      </c>
      <c r="AV117" t="s">
        <v>273</v>
      </c>
      <c r="AY117" t="s">
        <v>273</v>
      </c>
      <c r="BB117">
        <v>0</v>
      </c>
      <c r="BC117">
        <v>0</v>
      </c>
      <c r="BD117">
        <v>0</v>
      </c>
      <c r="BE117">
        <v>0</v>
      </c>
      <c r="BF117" t="s">
        <v>1063</v>
      </c>
      <c r="BG117" t="s">
        <v>1141</v>
      </c>
      <c r="BH117">
        <v>4</v>
      </c>
      <c r="BI117" t="s">
        <v>1260</v>
      </c>
      <c r="BK117">
        <v>1890105</v>
      </c>
    </row>
    <row r="118" spans="1:64">
      <c r="A118" s="1">
        <f>HYPERLINK("https://lsnyc.legalserver.org/matter/dynamic-profile/view/1889475","19-1889475")</f>
        <v>0</v>
      </c>
      <c r="B118" t="s">
        <v>144</v>
      </c>
      <c r="C118" t="s">
        <v>250</v>
      </c>
      <c r="D118" t="s">
        <v>252</v>
      </c>
      <c r="E118" t="s">
        <v>265</v>
      </c>
      <c r="F118" t="s">
        <v>273</v>
      </c>
      <c r="G118" t="s">
        <v>275</v>
      </c>
      <c r="H118">
        <v>70.68000000000001</v>
      </c>
      <c r="I118" t="s">
        <v>274</v>
      </c>
      <c r="K118" t="s">
        <v>348</v>
      </c>
      <c r="P118" t="s">
        <v>492</v>
      </c>
      <c r="Q118" t="s">
        <v>502</v>
      </c>
      <c r="S118" t="s">
        <v>503</v>
      </c>
      <c r="T118" t="s">
        <v>507</v>
      </c>
      <c r="U118" t="s">
        <v>511</v>
      </c>
      <c r="V118">
        <v>11214</v>
      </c>
      <c r="W118" t="s">
        <v>518</v>
      </c>
      <c r="X118" t="s">
        <v>548</v>
      </c>
      <c r="Y118" t="s">
        <v>275</v>
      </c>
      <c r="Z118" t="s">
        <v>634</v>
      </c>
      <c r="AA118" t="s">
        <v>801</v>
      </c>
      <c r="AB118" t="s">
        <v>902</v>
      </c>
      <c r="AC118" t="s">
        <v>907</v>
      </c>
      <c r="AF118" t="s">
        <v>926</v>
      </c>
      <c r="AI118">
        <v>23</v>
      </c>
      <c r="AJ118" t="s">
        <v>558</v>
      </c>
      <c r="AK118" t="s">
        <v>941</v>
      </c>
      <c r="AL118" t="s">
        <v>274</v>
      </c>
      <c r="AT118">
        <v>2</v>
      </c>
      <c r="AU118">
        <v>2</v>
      </c>
      <c r="AV118" t="s">
        <v>273</v>
      </c>
      <c r="AY118" t="s">
        <v>273</v>
      </c>
      <c r="BB118">
        <v>0</v>
      </c>
      <c r="BC118">
        <v>0</v>
      </c>
      <c r="BD118">
        <v>0</v>
      </c>
      <c r="BE118">
        <v>0</v>
      </c>
      <c r="BF118" t="s">
        <v>1063</v>
      </c>
      <c r="BG118" t="s">
        <v>1143</v>
      </c>
      <c r="BH118">
        <v>8</v>
      </c>
      <c r="BI118" t="s">
        <v>1260</v>
      </c>
      <c r="BK118">
        <v>1890107</v>
      </c>
    </row>
    <row r="119" spans="1:64">
      <c r="A119" s="1">
        <f>HYPERLINK("https://lsnyc.legalserver.org/matter/dynamic-profile/view/1890662","19-1890662")</f>
        <v>0</v>
      </c>
      <c r="B119" t="s">
        <v>152</v>
      </c>
      <c r="C119" t="s">
        <v>250</v>
      </c>
      <c r="D119" t="s">
        <v>253</v>
      </c>
      <c r="E119" t="s">
        <v>265</v>
      </c>
      <c r="F119" t="s">
        <v>273</v>
      </c>
      <c r="G119" t="s">
        <v>275</v>
      </c>
      <c r="H119">
        <v>151.46</v>
      </c>
      <c r="I119" t="s">
        <v>274</v>
      </c>
      <c r="K119" t="s">
        <v>349</v>
      </c>
      <c r="P119" t="s">
        <v>492</v>
      </c>
      <c r="Q119" t="s">
        <v>501</v>
      </c>
      <c r="S119" t="s">
        <v>503</v>
      </c>
      <c r="T119" t="s">
        <v>507</v>
      </c>
      <c r="U119" t="s">
        <v>511</v>
      </c>
      <c r="V119">
        <v>11423</v>
      </c>
      <c r="W119" t="s">
        <v>519</v>
      </c>
      <c r="X119" t="s">
        <v>549</v>
      </c>
      <c r="Y119" t="s">
        <v>274</v>
      </c>
      <c r="Z119" t="s">
        <v>642</v>
      </c>
      <c r="AA119" t="s">
        <v>809</v>
      </c>
      <c r="AB119" t="s">
        <v>902</v>
      </c>
      <c r="AC119" t="s">
        <v>904</v>
      </c>
      <c r="AF119" t="s">
        <v>926</v>
      </c>
      <c r="AI119">
        <v>7.7</v>
      </c>
      <c r="AJ119" t="s">
        <v>558</v>
      </c>
      <c r="AK119" t="s">
        <v>944</v>
      </c>
      <c r="AL119" t="s">
        <v>274</v>
      </c>
      <c r="AM119" t="s">
        <v>973</v>
      </c>
      <c r="AN119" t="s">
        <v>994</v>
      </c>
      <c r="AT119">
        <v>2</v>
      </c>
      <c r="AU119">
        <v>2</v>
      </c>
      <c r="AV119" t="s">
        <v>273</v>
      </c>
      <c r="AY119" t="s">
        <v>273</v>
      </c>
      <c r="BB119">
        <v>0</v>
      </c>
      <c r="BC119">
        <v>0</v>
      </c>
      <c r="BD119">
        <v>0</v>
      </c>
      <c r="BE119">
        <v>0</v>
      </c>
      <c r="BF119" t="s">
        <v>1063</v>
      </c>
      <c r="BG119" t="s">
        <v>1151</v>
      </c>
      <c r="BH119">
        <v>37</v>
      </c>
      <c r="BI119" t="s">
        <v>1273</v>
      </c>
      <c r="BK119">
        <v>829774</v>
      </c>
    </row>
    <row r="120" spans="1:64">
      <c r="A120" s="1">
        <f>HYPERLINK("https://lsnyc.legalserver.org/matter/dynamic-profile/view/1889176","19-1889176")</f>
        <v>0</v>
      </c>
      <c r="B120" t="s">
        <v>153</v>
      </c>
      <c r="C120" t="s">
        <v>250</v>
      </c>
      <c r="D120" t="s">
        <v>252</v>
      </c>
      <c r="E120" t="s">
        <v>266</v>
      </c>
      <c r="F120" t="s">
        <v>273</v>
      </c>
      <c r="G120" t="s">
        <v>275</v>
      </c>
      <c r="H120">
        <v>0</v>
      </c>
      <c r="I120" t="s">
        <v>274</v>
      </c>
      <c r="K120" t="s">
        <v>350</v>
      </c>
      <c r="O120" t="s">
        <v>275</v>
      </c>
      <c r="Q120" t="s">
        <v>501</v>
      </c>
      <c r="S120" t="s">
        <v>503</v>
      </c>
      <c r="T120" t="s">
        <v>508</v>
      </c>
      <c r="U120" t="s">
        <v>511</v>
      </c>
      <c r="V120">
        <v>11226</v>
      </c>
      <c r="W120" t="s">
        <v>519</v>
      </c>
      <c r="X120" t="s">
        <v>548</v>
      </c>
      <c r="Y120" t="s">
        <v>275</v>
      </c>
      <c r="Z120" t="s">
        <v>643</v>
      </c>
      <c r="AA120" t="s">
        <v>810</v>
      </c>
      <c r="AB120" t="s">
        <v>902</v>
      </c>
      <c r="AC120" t="s">
        <v>905</v>
      </c>
      <c r="AF120" t="s">
        <v>923</v>
      </c>
      <c r="AI120">
        <v>30</v>
      </c>
      <c r="AJ120" t="s">
        <v>558</v>
      </c>
      <c r="AK120" t="s">
        <v>934</v>
      </c>
      <c r="AL120" t="s">
        <v>274</v>
      </c>
      <c r="AM120" t="s">
        <v>975</v>
      </c>
      <c r="AO120" t="s">
        <v>973</v>
      </c>
      <c r="AT120">
        <v>3</v>
      </c>
      <c r="AU120">
        <v>1</v>
      </c>
      <c r="AV120" t="s">
        <v>273</v>
      </c>
      <c r="AY120" t="s">
        <v>273</v>
      </c>
      <c r="BB120">
        <v>0</v>
      </c>
      <c r="BC120">
        <v>0</v>
      </c>
      <c r="BD120">
        <v>0</v>
      </c>
      <c r="BE120">
        <v>0</v>
      </c>
      <c r="BF120" t="s">
        <v>1063</v>
      </c>
      <c r="BG120" t="s">
        <v>1152</v>
      </c>
      <c r="BH120">
        <v>26</v>
      </c>
      <c r="BI120" t="s">
        <v>1247</v>
      </c>
      <c r="BK120">
        <v>1889808</v>
      </c>
    </row>
    <row r="121" spans="1:64">
      <c r="A121" s="1">
        <f>HYPERLINK("https://lsnyc.legalserver.org/matter/dynamic-profile/view/1888988","19-1888988")</f>
        <v>0</v>
      </c>
      <c r="B121" t="s">
        <v>154</v>
      </c>
      <c r="C121" t="s">
        <v>250</v>
      </c>
      <c r="D121" t="s">
        <v>252</v>
      </c>
      <c r="E121" t="s">
        <v>266</v>
      </c>
      <c r="F121" t="s">
        <v>273</v>
      </c>
      <c r="G121" t="s">
        <v>275</v>
      </c>
      <c r="H121">
        <v>147.84</v>
      </c>
      <c r="I121" t="s">
        <v>274</v>
      </c>
      <c r="K121" t="s">
        <v>351</v>
      </c>
      <c r="P121" t="s">
        <v>492</v>
      </c>
      <c r="Q121" t="s">
        <v>501</v>
      </c>
      <c r="S121" t="s">
        <v>504</v>
      </c>
      <c r="T121" t="s">
        <v>508</v>
      </c>
      <c r="U121" t="s">
        <v>512</v>
      </c>
      <c r="V121">
        <v>11226</v>
      </c>
      <c r="X121" t="s">
        <v>549</v>
      </c>
      <c r="Y121" t="s">
        <v>275</v>
      </c>
      <c r="Z121" t="s">
        <v>644</v>
      </c>
      <c r="AA121" t="s">
        <v>811</v>
      </c>
      <c r="AB121" t="s">
        <v>902</v>
      </c>
      <c r="AC121" t="s">
        <v>904</v>
      </c>
      <c r="AF121" t="s">
        <v>924</v>
      </c>
      <c r="AI121">
        <v>0</v>
      </c>
      <c r="AJ121" t="s">
        <v>558</v>
      </c>
      <c r="AK121" t="s">
        <v>962</v>
      </c>
      <c r="AL121" t="s">
        <v>274</v>
      </c>
      <c r="AM121" t="s">
        <v>973</v>
      </c>
      <c r="AO121" t="s">
        <v>975</v>
      </c>
      <c r="AT121">
        <v>1</v>
      </c>
      <c r="AU121">
        <v>1</v>
      </c>
      <c r="AV121" t="s">
        <v>274</v>
      </c>
      <c r="AY121" t="s">
        <v>274</v>
      </c>
      <c r="BB121">
        <v>0</v>
      </c>
      <c r="BC121">
        <v>0</v>
      </c>
      <c r="BD121">
        <v>0</v>
      </c>
      <c r="BE121">
        <v>0</v>
      </c>
      <c r="BF121" t="s">
        <v>1063</v>
      </c>
      <c r="BG121" t="s">
        <v>1153</v>
      </c>
      <c r="BH121">
        <v>30</v>
      </c>
      <c r="BI121" t="s">
        <v>1274</v>
      </c>
      <c r="BK121">
        <v>1889620</v>
      </c>
    </row>
    <row r="122" spans="1:64">
      <c r="A122" s="1">
        <f>HYPERLINK("https://lsnyc.legalserver.org/matter/dynamic-profile/view/1888444","19-1888444")</f>
        <v>0</v>
      </c>
      <c r="B122" t="s">
        <v>155</v>
      </c>
      <c r="C122" t="s">
        <v>250</v>
      </c>
      <c r="D122" t="s">
        <v>255</v>
      </c>
      <c r="E122" t="s">
        <v>262</v>
      </c>
      <c r="F122" t="s">
        <v>273</v>
      </c>
      <c r="G122" t="s">
        <v>275</v>
      </c>
      <c r="H122">
        <v>0</v>
      </c>
      <c r="I122" t="s">
        <v>274</v>
      </c>
      <c r="K122" t="s">
        <v>352</v>
      </c>
      <c r="P122" t="s">
        <v>492</v>
      </c>
      <c r="Q122" t="s">
        <v>501</v>
      </c>
      <c r="S122" t="s">
        <v>503</v>
      </c>
      <c r="T122" t="s">
        <v>508</v>
      </c>
      <c r="U122" t="s">
        <v>511</v>
      </c>
      <c r="V122">
        <v>10003</v>
      </c>
      <c r="W122" t="s">
        <v>518</v>
      </c>
      <c r="X122" t="s">
        <v>548</v>
      </c>
      <c r="Y122" t="s">
        <v>275</v>
      </c>
      <c r="Z122" t="s">
        <v>645</v>
      </c>
      <c r="AA122" t="s">
        <v>812</v>
      </c>
      <c r="AB122" t="s">
        <v>902</v>
      </c>
      <c r="AC122" t="s">
        <v>905</v>
      </c>
      <c r="AF122" t="s">
        <v>926</v>
      </c>
      <c r="AI122">
        <v>74.7</v>
      </c>
      <c r="AJ122" t="s">
        <v>558</v>
      </c>
      <c r="AK122" t="s">
        <v>934</v>
      </c>
      <c r="AL122" t="s">
        <v>274</v>
      </c>
      <c r="AM122" t="s">
        <v>973</v>
      </c>
      <c r="AN122" t="s">
        <v>322</v>
      </c>
      <c r="AT122">
        <v>0</v>
      </c>
      <c r="AU122">
        <v>2</v>
      </c>
      <c r="AV122" t="s">
        <v>273</v>
      </c>
      <c r="AY122" t="s">
        <v>273</v>
      </c>
      <c r="BB122">
        <v>0</v>
      </c>
      <c r="BC122">
        <v>0</v>
      </c>
      <c r="BD122">
        <v>0</v>
      </c>
      <c r="BE122">
        <v>0</v>
      </c>
      <c r="BF122" t="s">
        <v>1063</v>
      </c>
      <c r="BG122" t="s">
        <v>1154</v>
      </c>
      <c r="BH122">
        <v>23</v>
      </c>
      <c r="BI122" t="s">
        <v>1247</v>
      </c>
      <c r="BK122">
        <v>1889075</v>
      </c>
    </row>
    <row r="123" spans="1:64">
      <c r="A123" s="1">
        <f>HYPERLINK("https://lsnyc.legalserver.org/matter/dynamic-profile/view/1888344","19-1888344")</f>
        <v>0</v>
      </c>
      <c r="B123" t="s">
        <v>156</v>
      </c>
      <c r="C123" t="s">
        <v>250</v>
      </c>
      <c r="D123" t="s">
        <v>252</v>
      </c>
      <c r="E123" t="s">
        <v>261</v>
      </c>
      <c r="F123" t="s">
        <v>273</v>
      </c>
      <c r="G123" t="s">
        <v>275</v>
      </c>
      <c r="H123">
        <v>72.90000000000001</v>
      </c>
      <c r="I123" t="s">
        <v>274</v>
      </c>
      <c r="K123" t="s">
        <v>353</v>
      </c>
      <c r="P123" t="s">
        <v>492</v>
      </c>
      <c r="Q123" t="s">
        <v>501</v>
      </c>
      <c r="S123" t="s">
        <v>503</v>
      </c>
      <c r="T123" t="s">
        <v>507</v>
      </c>
      <c r="U123" t="s">
        <v>511</v>
      </c>
      <c r="V123">
        <v>11212</v>
      </c>
      <c r="W123" t="s">
        <v>523</v>
      </c>
      <c r="X123" t="s">
        <v>549</v>
      </c>
      <c r="Y123" t="s">
        <v>275</v>
      </c>
      <c r="Z123" t="s">
        <v>646</v>
      </c>
      <c r="AA123" t="s">
        <v>813</v>
      </c>
      <c r="AB123" t="s">
        <v>903</v>
      </c>
      <c r="AF123" t="s">
        <v>923</v>
      </c>
      <c r="AI123">
        <v>11.2</v>
      </c>
      <c r="AK123" t="s">
        <v>963</v>
      </c>
      <c r="AL123" t="s">
        <v>274</v>
      </c>
      <c r="AM123" t="s">
        <v>973</v>
      </c>
      <c r="AN123" t="s">
        <v>288</v>
      </c>
      <c r="AT123">
        <v>0</v>
      </c>
      <c r="AU123">
        <v>2</v>
      </c>
      <c r="AV123" t="s">
        <v>273</v>
      </c>
      <c r="AY123" t="s">
        <v>273</v>
      </c>
      <c r="BB123">
        <v>0</v>
      </c>
      <c r="BC123">
        <v>0</v>
      </c>
      <c r="BD123">
        <v>0</v>
      </c>
      <c r="BE123">
        <v>0</v>
      </c>
      <c r="BF123" t="s">
        <v>1063</v>
      </c>
      <c r="BG123" t="s">
        <v>1155</v>
      </c>
      <c r="BH123">
        <v>69</v>
      </c>
      <c r="BI123" t="s">
        <v>1267</v>
      </c>
      <c r="BK123">
        <v>1888973</v>
      </c>
      <c r="BL123" t="s">
        <v>275</v>
      </c>
    </row>
    <row r="124" spans="1:64">
      <c r="A124" s="1">
        <f>HYPERLINK("https://lsnyc.legalserver.org/matter/dynamic-profile/view/1888352","19-1888352")</f>
        <v>0</v>
      </c>
      <c r="B124" t="s">
        <v>156</v>
      </c>
      <c r="C124" t="s">
        <v>250</v>
      </c>
      <c r="D124" t="s">
        <v>252</v>
      </c>
      <c r="E124" t="s">
        <v>261</v>
      </c>
      <c r="F124" t="s">
        <v>273</v>
      </c>
      <c r="G124" t="s">
        <v>275</v>
      </c>
      <c r="H124">
        <v>72.90000000000001</v>
      </c>
      <c r="I124" t="s">
        <v>274</v>
      </c>
      <c r="K124" t="s">
        <v>353</v>
      </c>
      <c r="P124" t="s">
        <v>492</v>
      </c>
      <c r="Q124" t="s">
        <v>501</v>
      </c>
      <c r="S124" t="s">
        <v>503</v>
      </c>
      <c r="T124" t="s">
        <v>507</v>
      </c>
      <c r="U124" t="s">
        <v>511</v>
      </c>
      <c r="V124">
        <v>11212</v>
      </c>
      <c r="W124" t="s">
        <v>524</v>
      </c>
      <c r="X124" t="s">
        <v>549</v>
      </c>
      <c r="Y124" t="s">
        <v>275</v>
      </c>
      <c r="Z124" t="s">
        <v>646</v>
      </c>
      <c r="AA124" t="s">
        <v>813</v>
      </c>
      <c r="AB124" t="s">
        <v>903</v>
      </c>
      <c r="AF124" t="s">
        <v>923</v>
      </c>
      <c r="AI124">
        <v>8.199999999999999</v>
      </c>
      <c r="AK124" t="s">
        <v>963</v>
      </c>
      <c r="AL124" t="s">
        <v>274</v>
      </c>
      <c r="AM124" t="s">
        <v>973</v>
      </c>
      <c r="AN124" t="s">
        <v>288</v>
      </c>
      <c r="AT124">
        <v>0</v>
      </c>
      <c r="AU124">
        <v>2</v>
      </c>
      <c r="AV124" t="s">
        <v>273</v>
      </c>
      <c r="AY124" t="s">
        <v>273</v>
      </c>
      <c r="BB124">
        <v>0</v>
      </c>
      <c r="BC124">
        <v>0</v>
      </c>
      <c r="BD124">
        <v>0</v>
      </c>
      <c r="BE124">
        <v>0</v>
      </c>
      <c r="BF124" t="s">
        <v>1063</v>
      </c>
      <c r="BG124" t="s">
        <v>1155</v>
      </c>
      <c r="BH124">
        <v>69</v>
      </c>
      <c r="BI124" t="s">
        <v>1267</v>
      </c>
      <c r="BK124">
        <v>1888973</v>
      </c>
      <c r="BL124" t="s">
        <v>275</v>
      </c>
    </row>
    <row r="125" spans="1:64">
      <c r="A125" s="1">
        <f>HYPERLINK("https://lsnyc.legalserver.org/matter/dynamic-profile/view/1888354","19-1888354")</f>
        <v>0</v>
      </c>
      <c r="B125" t="s">
        <v>156</v>
      </c>
      <c r="C125" t="s">
        <v>250</v>
      </c>
      <c r="D125" t="s">
        <v>252</v>
      </c>
      <c r="E125" t="s">
        <v>261</v>
      </c>
      <c r="F125" t="s">
        <v>273</v>
      </c>
      <c r="G125" t="s">
        <v>275</v>
      </c>
      <c r="H125">
        <v>72.90000000000001</v>
      </c>
      <c r="I125" t="s">
        <v>274</v>
      </c>
      <c r="K125" t="s">
        <v>353</v>
      </c>
      <c r="P125" t="s">
        <v>492</v>
      </c>
      <c r="Q125" t="s">
        <v>501</v>
      </c>
      <c r="S125" t="s">
        <v>503</v>
      </c>
      <c r="T125" t="s">
        <v>507</v>
      </c>
      <c r="U125" t="s">
        <v>511</v>
      </c>
      <c r="V125">
        <v>11212</v>
      </c>
      <c r="W125" t="s">
        <v>520</v>
      </c>
      <c r="X125" t="s">
        <v>549</v>
      </c>
      <c r="Y125" t="s">
        <v>275</v>
      </c>
      <c r="Z125" t="s">
        <v>646</v>
      </c>
      <c r="AA125" t="s">
        <v>813</v>
      </c>
      <c r="AB125" t="s">
        <v>903</v>
      </c>
      <c r="AF125" t="s">
        <v>923</v>
      </c>
      <c r="AI125">
        <v>5.3</v>
      </c>
      <c r="AK125" t="s">
        <v>963</v>
      </c>
      <c r="AL125" t="s">
        <v>274</v>
      </c>
      <c r="AM125" t="s">
        <v>973</v>
      </c>
      <c r="AN125" t="s">
        <v>288</v>
      </c>
      <c r="AT125">
        <v>0</v>
      </c>
      <c r="AU125">
        <v>2</v>
      </c>
      <c r="AV125" t="s">
        <v>273</v>
      </c>
      <c r="AY125" t="s">
        <v>273</v>
      </c>
      <c r="BB125">
        <v>0</v>
      </c>
      <c r="BC125">
        <v>0</v>
      </c>
      <c r="BD125">
        <v>0</v>
      </c>
      <c r="BE125">
        <v>0</v>
      </c>
      <c r="BF125" t="s">
        <v>1063</v>
      </c>
      <c r="BG125" t="s">
        <v>1155</v>
      </c>
      <c r="BH125">
        <v>69</v>
      </c>
      <c r="BI125" t="s">
        <v>1267</v>
      </c>
      <c r="BK125">
        <v>1888973</v>
      </c>
      <c r="BL125" t="s">
        <v>275</v>
      </c>
    </row>
    <row r="126" spans="1:64">
      <c r="A126" s="1">
        <f>HYPERLINK("https://lsnyc.legalserver.org/matter/dynamic-profile/view/1888415","19-1888415")</f>
        <v>0</v>
      </c>
      <c r="B126" t="s">
        <v>131</v>
      </c>
      <c r="C126" t="s">
        <v>250</v>
      </c>
      <c r="D126" t="s">
        <v>259</v>
      </c>
      <c r="E126" t="s">
        <v>261</v>
      </c>
      <c r="F126" t="s">
        <v>273</v>
      </c>
      <c r="G126" t="s">
        <v>275</v>
      </c>
      <c r="H126">
        <v>115.5</v>
      </c>
      <c r="I126" t="s">
        <v>274</v>
      </c>
      <c r="K126" t="s">
        <v>354</v>
      </c>
      <c r="L126" t="s">
        <v>455</v>
      </c>
      <c r="P126" t="s">
        <v>493</v>
      </c>
      <c r="Q126" t="s">
        <v>501</v>
      </c>
      <c r="S126" t="s">
        <v>503</v>
      </c>
      <c r="T126" t="s">
        <v>508</v>
      </c>
      <c r="U126" t="s">
        <v>511</v>
      </c>
      <c r="V126">
        <v>6810</v>
      </c>
      <c r="W126" t="s">
        <v>524</v>
      </c>
      <c r="Y126" t="s">
        <v>275</v>
      </c>
      <c r="Z126" t="s">
        <v>622</v>
      </c>
      <c r="AA126" t="s">
        <v>789</v>
      </c>
      <c r="AB126" t="s">
        <v>902</v>
      </c>
      <c r="AC126" t="s">
        <v>909</v>
      </c>
      <c r="AD126" t="s">
        <v>275</v>
      </c>
      <c r="AE126" t="s">
        <v>919</v>
      </c>
      <c r="AF126" t="s">
        <v>923</v>
      </c>
      <c r="AI126">
        <v>17.2</v>
      </c>
      <c r="AK126" t="s">
        <v>953</v>
      </c>
      <c r="AL126" t="s">
        <v>274</v>
      </c>
      <c r="AM126" t="s">
        <v>976</v>
      </c>
      <c r="AN126" t="s">
        <v>455</v>
      </c>
      <c r="AQ126" t="s">
        <v>1044</v>
      </c>
      <c r="AR126" t="s">
        <v>1051</v>
      </c>
      <c r="AT126">
        <v>0</v>
      </c>
      <c r="AU126">
        <v>3</v>
      </c>
      <c r="AV126" t="s">
        <v>273</v>
      </c>
      <c r="AY126" t="s">
        <v>273</v>
      </c>
      <c r="BB126">
        <v>0</v>
      </c>
      <c r="BC126">
        <v>0</v>
      </c>
      <c r="BD126">
        <v>0</v>
      </c>
      <c r="BE126">
        <v>0</v>
      </c>
      <c r="BF126" t="s">
        <v>493</v>
      </c>
      <c r="BG126" t="s">
        <v>1130</v>
      </c>
      <c r="BH126">
        <v>53</v>
      </c>
      <c r="BI126" t="s">
        <v>1259</v>
      </c>
      <c r="BK126">
        <v>1889045</v>
      </c>
      <c r="BL126" t="s">
        <v>275</v>
      </c>
    </row>
    <row r="127" spans="1:64">
      <c r="A127" s="1">
        <f>HYPERLINK("https://lsnyc.legalserver.org/matter/dynamic-profile/view/1887412","19-1887412")</f>
        <v>0</v>
      </c>
      <c r="B127" t="s">
        <v>157</v>
      </c>
      <c r="C127" t="s">
        <v>250</v>
      </c>
      <c r="D127" t="s">
        <v>252</v>
      </c>
      <c r="E127" t="s">
        <v>261</v>
      </c>
      <c r="F127" t="s">
        <v>273</v>
      </c>
      <c r="G127" t="s">
        <v>275</v>
      </c>
      <c r="H127">
        <v>99.15000000000001</v>
      </c>
      <c r="I127" t="s">
        <v>274</v>
      </c>
      <c r="K127" t="s">
        <v>355</v>
      </c>
      <c r="Q127" t="s">
        <v>501</v>
      </c>
      <c r="S127" t="s">
        <v>503</v>
      </c>
      <c r="T127" t="s">
        <v>508</v>
      </c>
      <c r="U127" t="s">
        <v>511</v>
      </c>
      <c r="V127">
        <v>11225</v>
      </c>
      <c r="W127" t="s">
        <v>517</v>
      </c>
      <c r="X127" t="s">
        <v>549</v>
      </c>
      <c r="Y127" t="s">
        <v>275</v>
      </c>
      <c r="Z127" t="s">
        <v>647</v>
      </c>
      <c r="AA127" t="s">
        <v>814</v>
      </c>
      <c r="AB127" t="s">
        <v>902</v>
      </c>
      <c r="AC127" t="s">
        <v>904</v>
      </c>
      <c r="AF127" t="s">
        <v>923</v>
      </c>
      <c r="AI127">
        <v>10.7</v>
      </c>
      <c r="AJ127" t="s">
        <v>558</v>
      </c>
      <c r="AK127" t="s">
        <v>964</v>
      </c>
      <c r="AL127" t="s">
        <v>274</v>
      </c>
      <c r="AM127" t="s">
        <v>973</v>
      </c>
      <c r="AN127" t="s">
        <v>447</v>
      </c>
      <c r="AS127" t="s">
        <v>1057</v>
      </c>
      <c r="AT127">
        <v>0</v>
      </c>
      <c r="AU127">
        <v>2</v>
      </c>
      <c r="AV127" t="s">
        <v>273</v>
      </c>
      <c r="AY127" t="s">
        <v>273</v>
      </c>
      <c r="BB127">
        <v>0</v>
      </c>
      <c r="BC127">
        <v>0</v>
      </c>
      <c r="BD127">
        <v>0</v>
      </c>
      <c r="BE127">
        <v>0</v>
      </c>
      <c r="BF127" t="s">
        <v>1063</v>
      </c>
      <c r="BG127" t="s">
        <v>1156</v>
      </c>
      <c r="BH127">
        <v>55</v>
      </c>
      <c r="BI127" t="s">
        <v>1275</v>
      </c>
      <c r="BK127">
        <v>75381</v>
      </c>
      <c r="BL127" t="s">
        <v>275</v>
      </c>
    </row>
    <row r="128" spans="1:64">
      <c r="A128" s="1">
        <f>HYPERLINK("https://lsnyc.legalserver.org/matter/dynamic-profile/view/1886973","19-1886973")</f>
        <v>0</v>
      </c>
      <c r="B128" t="s">
        <v>158</v>
      </c>
      <c r="C128" t="s">
        <v>250</v>
      </c>
      <c r="D128" t="s">
        <v>252</v>
      </c>
      <c r="E128" t="s">
        <v>261</v>
      </c>
      <c r="F128" t="s">
        <v>273</v>
      </c>
      <c r="G128" t="s">
        <v>275</v>
      </c>
      <c r="H128">
        <v>118.86</v>
      </c>
      <c r="I128" t="s">
        <v>274</v>
      </c>
      <c r="K128" t="s">
        <v>356</v>
      </c>
      <c r="L128" t="s">
        <v>457</v>
      </c>
      <c r="O128" t="s">
        <v>275</v>
      </c>
      <c r="P128" t="s">
        <v>493</v>
      </c>
      <c r="Q128" t="s">
        <v>501</v>
      </c>
      <c r="S128" t="s">
        <v>503</v>
      </c>
      <c r="T128" t="s">
        <v>508</v>
      </c>
      <c r="U128" t="s">
        <v>511</v>
      </c>
      <c r="V128">
        <v>11206</v>
      </c>
      <c r="W128" t="s">
        <v>517</v>
      </c>
      <c r="X128" t="s">
        <v>548</v>
      </c>
      <c r="Y128" t="s">
        <v>275</v>
      </c>
      <c r="Z128" t="s">
        <v>648</v>
      </c>
      <c r="AA128" t="s">
        <v>815</v>
      </c>
      <c r="AB128" t="s">
        <v>902</v>
      </c>
      <c r="AC128" t="s">
        <v>904</v>
      </c>
      <c r="AD128" t="s">
        <v>275</v>
      </c>
      <c r="AE128" t="s">
        <v>920</v>
      </c>
      <c r="AF128" t="s">
        <v>925</v>
      </c>
      <c r="AI128">
        <v>4.9</v>
      </c>
      <c r="AJ128" t="s">
        <v>558</v>
      </c>
      <c r="AK128" t="s">
        <v>950</v>
      </c>
      <c r="AL128" t="s">
        <v>274</v>
      </c>
      <c r="AM128" t="s">
        <v>979</v>
      </c>
      <c r="AN128" t="s">
        <v>457</v>
      </c>
      <c r="AQ128" t="s">
        <v>1033</v>
      </c>
      <c r="AR128" t="s">
        <v>1053</v>
      </c>
      <c r="AT128">
        <v>2</v>
      </c>
      <c r="AU128">
        <v>1</v>
      </c>
      <c r="AV128" t="s">
        <v>273</v>
      </c>
      <c r="AY128" t="s">
        <v>273</v>
      </c>
      <c r="BB128">
        <v>0</v>
      </c>
      <c r="BC128">
        <v>0</v>
      </c>
      <c r="BD128">
        <v>0</v>
      </c>
      <c r="BE128">
        <v>0</v>
      </c>
      <c r="BF128" t="s">
        <v>493</v>
      </c>
      <c r="BG128" t="s">
        <v>1157</v>
      </c>
      <c r="BH128">
        <v>33</v>
      </c>
      <c r="BI128" t="s">
        <v>1276</v>
      </c>
      <c r="BK128">
        <v>1887601</v>
      </c>
      <c r="BL128" t="s">
        <v>275</v>
      </c>
    </row>
    <row r="129" spans="1:64">
      <c r="A129" s="1">
        <f>HYPERLINK("https://lsnyc.legalserver.org/matter/dynamic-profile/view/1902576","19-1902576")</f>
        <v>0</v>
      </c>
      <c r="B129" t="s">
        <v>159</v>
      </c>
      <c r="C129" t="s">
        <v>250</v>
      </c>
      <c r="D129" t="s">
        <v>252</v>
      </c>
      <c r="E129" t="s">
        <v>266</v>
      </c>
      <c r="F129" t="s">
        <v>273</v>
      </c>
      <c r="G129" t="s">
        <v>275</v>
      </c>
      <c r="H129">
        <v>0</v>
      </c>
      <c r="I129" t="s">
        <v>274</v>
      </c>
      <c r="K129" t="s">
        <v>357</v>
      </c>
      <c r="O129" t="s">
        <v>275</v>
      </c>
      <c r="P129" t="s">
        <v>492</v>
      </c>
      <c r="Q129" t="s">
        <v>501</v>
      </c>
      <c r="S129" t="s">
        <v>503</v>
      </c>
      <c r="T129" t="s">
        <v>508</v>
      </c>
      <c r="U129" t="s">
        <v>511</v>
      </c>
      <c r="V129">
        <v>11232</v>
      </c>
      <c r="W129" t="s">
        <v>529</v>
      </c>
      <c r="X129" t="s">
        <v>548</v>
      </c>
      <c r="Y129" t="s">
        <v>275</v>
      </c>
      <c r="Z129" t="s">
        <v>649</v>
      </c>
      <c r="AA129" t="s">
        <v>816</v>
      </c>
      <c r="AB129" t="s">
        <v>902</v>
      </c>
      <c r="AC129" t="s">
        <v>905</v>
      </c>
      <c r="AF129" t="s">
        <v>924</v>
      </c>
      <c r="AI129">
        <v>2.25</v>
      </c>
      <c r="AJ129" t="s">
        <v>931</v>
      </c>
      <c r="AK129" t="s">
        <v>933</v>
      </c>
      <c r="AL129" t="s">
        <v>274</v>
      </c>
      <c r="AM129" t="s">
        <v>973</v>
      </c>
      <c r="AO129" t="s">
        <v>975</v>
      </c>
      <c r="AT129">
        <v>3</v>
      </c>
      <c r="AU129">
        <v>1</v>
      </c>
      <c r="AV129" t="s">
        <v>274</v>
      </c>
      <c r="AY129" t="s">
        <v>274</v>
      </c>
      <c r="BB129">
        <v>0</v>
      </c>
      <c r="BC129">
        <v>0</v>
      </c>
      <c r="BD129">
        <v>0</v>
      </c>
      <c r="BE129">
        <v>0</v>
      </c>
      <c r="BF129" t="s">
        <v>1063</v>
      </c>
      <c r="BG129" t="s">
        <v>1158</v>
      </c>
      <c r="BH129">
        <v>14</v>
      </c>
      <c r="BI129" t="s">
        <v>1247</v>
      </c>
      <c r="BK129">
        <v>1903230</v>
      </c>
    </row>
    <row r="130" spans="1:64">
      <c r="A130" s="1">
        <f>HYPERLINK("https://lsnyc.legalserver.org/matter/dynamic-profile/view/1885786","18-1885786")</f>
        <v>0</v>
      </c>
      <c r="B130" t="s">
        <v>160</v>
      </c>
      <c r="C130" t="s">
        <v>250</v>
      </c>
      <c r="D130" t="s">
        <v>255</v>
      </c>
      <c r="E130" t="s">
        <v>265</v>
      </c>
      <c r="F130" t="s">
        <v>273</v>
      </c>
      <c r="G130" t="s">
        <v>275</v>
      </c>
      <c r="H130">
        <v>0</v>
      </c>
      <c r="I130" t="s">
        <v>274</v>
      </c>
      <c r="K130" t="s">
        <v>358</v>
      </c>
      <c r="L130" t="s">
        <v>458</v>
      </c>
      <c r="M130" t="s">
        <v>471</v>
      </c>
      <c r="N130" t="s">
        <v>294</v>
      </c>
      <c r="Q130" t="s">
        <v>502</v>
      </c>
      <c r="S130" t="s">
        <v>504</v>
      </c>
      <c r="T130" t="s">
        <v>508</v>
      </c>
      <c r="U130" t="s">
        <v>512</v>
      </c>
      <c r="V130">
        <v>10036</v>
      </c>
      <c r="X130" t="s">
        <v>548</v>
      </c>
      <c r="Y130" t="s">
        <v>275</v>
      </c>
      <c r="Z130" t="s">
        <v>650</v>
      </c>
      <c r="AA130" t="s">
        <v>817</v>
      </c>
      <c r="AB130" t="s">
        <v>902</v>
      </c>
      <c r="AC130" t="s">
        <v>905</v>
      </c>
      <c r="AD130" t="s">
        <v>274</v>
      </c>
      <c r="AE130" t="s">
        <v>917</v>
      </c>
      <c r="AF130" t="s">
        <v>924</v>
      </c>
      <c r="AI130">
        <v>11.8</v>
      </c>
      <c r="AJ130" t="s">
        <v>558</v>
      </c>
      <c r="AK130" t="s">
        <v>934</v>
      </c>
      <c r="AL130" t="s">
        <v>274</v>
      </c>
      <c r="AM130" t="s">
        <v>973</v>
      </c>
      <c r="AN130" t="s">
        <v>985</v>
      </c>
      <c r="AO130" t="s">
        <v>978</v>
      </c>
      <c r="AP130" t="s">
        <v>294</v>
      </c>
      <c r="AQ130" t="s">
        <v>1040</v>
      </c>
      <c r="AR130" t="s">
        <v>1051</v>
      </c>
      <c r="AT130">
        <v>2</v>
      </c>
      <c r="AU130">
        <v>1</v>
      </c>
      <c r="AV130" t="s">
        <v>273</v>
      </c>
      <c r="AY130" t="s">
        <v>273</v>
      </c>
      <c r="BB130">
        <v>0</v>
      </c>
      <c r="BC130">
        <v>0</v>
      </c>
      <c r="BD130">
        <v>0</v>
      </c>
      <c r="BE130">
        <v>0</v>
      </c>
      <c r="BF130" t="s">
        <v>493</v>
      </c>
      <c r="BG130" t="s">
        <v>1159</v>
      </c>
      <c r="BH130">
        <v>16</v>
      </c>
      <c r="BI130" t="s">
        <v>1247</v>
      </c>
      <c r="BK130">
        <v>1874069</v>
      </c>
      <c r="BL130" t="s">
        <v>274</v>
      </c>
    </row>
    <row r="131" spans="1:64">
      <c r="A131" s="1">
        <f>HYPERLINK("https://lsnyc.legalserver.org/matter/dynamic-profile/view/1885787","18-1885787")</f>
        <v>0</v>
      </c>
      <c r="B131" t="s">
        <v>161</v>
      </c>
      <c r="C131" t="s">
        <v>250</v>
      </c>
      <c r="D131" t="s">
        <v>255</v>
      </c>
      <c r="E131" t="s">
        <v>265</v>
      </c>
      <c r="F131" t="s">
        <v>273</v>
      </c>
      <c r="G131" t="s">
        <v>275</v>
      </c>
      <c r="H131">
        <v>0</v>
      </c>
      <c r="I131" t="s">
        <v>274</v>
      </c>
      <c r="K131" t="s">
        <v>358</v>
      </c>
      <c r="L131" t="s">
        <v>458</v>
      </c>
      <c r="M131" t="s">
        <v>471</v>
      </c>
      <c r="N131" t="s">
        <v>294</v>
      </c>
      <c r="Q131" t="s">
        <v>502</v>
      </c>
      <c r="S131" t="s">
        <v>504</v>
      </c>
      <c r="T131" t="s">
        <v>508</v>
      </c>
      <c r="U131" t="s">
        <v>512</v>
      </c>
      <c r="V131">
        <v>10036</v>
      </c>
      <c r="X131" t="s">
        <v>548</v>
      </c>
      <c r="Y131" t="s">
        <v>275</v>
      </c>
      <c r="Z131" t="s">
        <v>651</v>
      </c>
      <c r="AA131" t="s">
        <v>817</v>
      </c>
      <c r="AB131" t="s">
        <v>902</v>
      </c>
      <c r="AC131" t="s">
        <v>905</v>
      </c>
      <c r="AD131" t="s">
        <v>274</v>
      </c>
      <c r="AE131" t="s">
        <v>917</v>
      </c>
      <c r="AF131" t="s">
        <v>924</v>
      </c>
      <c r="AI131">
        <v>11.35</v>
      </c>
      <c r="AJ131" t="s">
        <v>558</v>
      </c>
      <c r="AK131" t="s">
        <v>934</v>
      </c>
      <c r="AL131" t="s">
        <v>274</v>
      </c>
      <c r="AM131" t="s">
        <v>977</v>
      </c>
      <c r="AN131" t="s">
        <v>985</v>
      </c>
      <c r="AO131" t="s">
        <v>978</v>
      </c>
      <c r="AP131" t="s">
        <v>294</v>
      </c>
      <c r="AQ131" t="s">
        <v>1040</v>
      </c>
      <c r="AR131" t="s">
        <v>1051</v>
      </c>
      <c r="AT131">
        <v>2</v>
      </c>
      <c r="AU131">
        <v>1</v>
      </c>
      <c r="AV131" t="s">
        <v>273</v>
      </c>
      <c r="AY131" t="s">
        <v>273</v>
      </c>
      <c r="BB131">
        <v>0</v>
      </c>
      <c r="BC131">
        <v>0</v>
      </c>
      <c r="BD131">
        <v>0</v>
      </c>
      <c r="BE131">
        <v>0</v>
      </c>
      <c r="BF131" t="s">
        <v>493</v>
      </c>
      <c r="BG131" t="s">
        <v>1160</v>
      </c>
      <c r="BH131">
        <v>14</v>
      </c>
      <c r="BI131" t="s">
        <v>1247</v>
      </c>
      <c r="BK131">
        <v>1874069</v>
      </c>
    </row>
    <row r="132" spans="1:64">
      <c r="A132" s="1">
        <f>HYPERLINK("https://lsnyc.legalserver.org/matter/dynamic-profile/view/1885784","18-1885784")</f>
        <v>0</v>
      </c>
      <c r="B132" t="s">
        <v>160</v>
      </c>
      <c r="C132" t="s">
        <v>250</v>
      </c>
      <c r="D132" t="s">
        <v>255</v>
      </c>
      <c r="E132" t="s">
        <v>265</v>
      </c>
      <c r="F132" t="s">
        <v>273</v>
      </c>
      <c r="G132" t="s">
        <v>275</v>
      </c>
      <c r="H132">
        <v>0</v>
      </c>
      <c r="I132" t="s">
        <v>274</v>
      </c>
      <c r="K132" t="s">
        <v>358</v>
      </c>
      <c r="M132" t="s">
        <v>474</v>
      </c>
      <c r="N132" t="s">
        <v>451</v>
      </c>
      <c r="P132" t="s">
        <v>496</v>
      </c>
      <c r="Q132" t="s">
        <v>502</v>
      </c>
      <c r="S132" t="s">
        <v>503</v>
      </c>
      <c r="T132" t="s">
        <v>508</v>
      </c>
      <c r="U132" t="s">
        <v>511</v>
      </c>
      <c r="V132">
        <v>10036</v>
      </c>
      <c r="W132" t="s">
        <v>529</v>
      </c>
      <c r="X132" t="s">
        <v>548</v>
      </c>
      <c r="Y132" t="s">
        <v>275</v>
      </c>
      <c r="Z132" t="s">
        <v>650</v>
      </c>
      <c r="AA132" t="s">
        <v>817</v>
      </c>
      <c r="AB132" t="s">
        <v>902</v>
      </c>
      <c r="AC132" t="s">
        <v>905</v>
      </c>
      <c r="AF132" t="s">
        <v>923</v>
      </c>
      <c r="AI132">
        <v>5.9</v>
      </c>
      <c r="AJ132" t="s">
        <v>558</v>
      </c>
      <c r="AK132" t="s">
        <v>934</v>
      </c>
      <c r="AL132" t="s">
        <v>274</v>
      </c>
      <c r="AM132" t="s">
        <v>973</v>
      </c>
      <c r="AN132" t="s">
        <v>457</v>
      </c>
      <c r="AT132">
        <v>2</v>
      </c>
      <c r="AU132">
        <v>1</v>
      </c>
      <c r="AV132" t="s">
        <v>273</v>
      </c>
      <c r="AY132" t="s">
        <v>273</v>
      </c>
      <c r="BB132">
        <v>0</v>
      </c>
      <c r="BC132">
        <v>0</v>
      </c>
      <c r="BD132">
        <v>0</v>
      </c>
      <c r="BE132">
        <v>0</v>
      </c>
      <c r="BF132" t="s">
        <v>1063</v>
      </c>
      <c r="BG132" t="s">
        <v>1159</v>
      </c>
      <c r="BH132">
        <v>16</v>
      </c>
      <c r="BI132" t="s">
        <v>1247</v>
      </c>
      <c r="BK132">
        <v>1874069</v>
      </c>
      <c r="BL132" t="s">
        <v>274</v>
      </c>
    </row>
    <row r="133" spans="1:64">
      <c r="A133" s="1">
        <f>HYPERLINK("https://lsnyc.legalserver.org/matter/dynamic-profile/view/1885785","18-1885785")</f>
        <v>0</v>
      </c>
      <c r="B133" t="s">
        <v>161</v>
      </c>
      <c r="C133" t="s">
        <v>250</v>
      </c>
      <c r="D133" t="s">
        <v>255</v>
      </c>
      <c r="E133" t="s">
        <v>265</v>
      </c>
      <c r="F133" t="s">
        <v>273</v>
      </c>
      <c r="G133" t="s">
        <v>275</v>
      </c>
      <c r="H133">
        <v>0</v>
      </c>
      <c r="I133" t="s">
        <v>274</v>
      </c>
      <c r="K133" t="s">
        <v>358</v>
      </c>
      <c r="M133" t="s">
        <v>472</v>
      </c>
      <c r="N133" t="s">
        <v>457</v>
      </c>
      <c r="P133" t="s">
        <v>496</v>
      </c>
      <c r="Q133" t="s">
        <v>502</v>
      </c>
      <c r="S133" t="s">
        <v>503</v>
      </c>
      <c r="T133" t="s">
        <v>508</v>
      </c>
      <c r="U133" t="s">
        <v>511</v>
      </c>
      <c r="V133">
        <v>10036</v>
      </c>
      <c r="W133" t="s">
        <v>529</v>
      </c>
      <c r="X133" t="s">
        <v>548</v>
      </c>
      <c r="Y133" t="s">
        <v>275</v>
      </c>
      <c r="Z133" t="s">
        <v>651</v>
      </c>
      <c r="AA133" t="s">
        <v>817</v>
      </c>
      <c r="AB133" t="s">
        <v>902</v>
      </c>
      <c r="AC133" t="s">
        <v>905</v>
      </c>
      <c r="AF133" t="s">
        <v>923</v>
      </c>
      <c r="AI133">
        <v>4.7</v>
      </c>
      <c r="AJ133" t="s">
        <v>558</v>
      </c>
      <c r="AK133" t="s">
        <v>934</v>
      </c>
      <c r="AL133" t="s">
        <v>274</v>
      </c>
      <c r="AM133" t="s">
        <v>973</v>
      </c>
      <c r="AN133" t="s">
        <v>457</v>
      </c>
      <c r="AT133">
        <v>2</v>
      </c>
      <c r="AU133">
        <v>1</v>
      </c>
      <c r="AV133" t="s">
        <v>273</v>
      </c>
      <c r="AY133" t="s">
        <v>273</v>
      </c>
      <c r="BB133">
        <v>0</v>
      </c>
      <c r="BC133">
        <v>0</v>
      </c>
      <c r="BD133">
        <v>0</v>
      </c>
      <c r="BE133">
        <v>0</v>
      </c>
      <c r="BF133" t="s">
        <v>1063</v>
      </c>
      <c r="BG133" t="s">
        <v>1160</v>
      </c>
      <c r="BH133">
        <v>14</v>
      </c>
      <c r="BI133" t="s">
        <v>1247</v>
      </c>
      <c r="BK133">
        <v>1874069</v>
      </c>
      <c r="BL133" t="s">
        <v>274</v>
      </c>
    </row>
    <row r="134" spans="1:64">
      <c r="A134" s="1">
        <f>HYPERLINK("https://lsnyc.legalserver.org/matter/dynamic-profile/view/1885354","18-1885354")</f>
        <v>0</v>
      </c>
      <c r="B134" t="s">
        <v>94</v>
      </c>
      <c r="C134" t="s">
        <v>250</v>
      </c>
      <c r="D134" t="s">
        <v>252</v>
      </c>
      <c r="E134" t="s">
        <v>263</v>
      </c>
      <c r="F134" t="s">
        <v>273</v>
      </c>
      <c r="G134" t="s">
        <v>275</v>
      </c>
      <c r="H134">
        <v>17.68</v>
      </c>
      <c r="I134" t="s">
        <v>274</v>
      </c>
      <c r="K134" t="s">
        <v>359</v>
      </c>
      <c r="M134" t="s">
        <v>473</v>
      </c>
      <c r="N134" t="s">
        <v>485</v>
      </c>
      <c r="P134" t="s">
        <v>496</v>
      </c>
      <c r="Q134" t="s">
        <v>501</v>
      </c>
      <c r="S134" t="s">
        <v>503</v>
      </c>
      <c r="T134" t="s">
        <v>508</v>
      </c>
      <c r="U134" t="s">
        <v>511</v>
      </c>
      <c r="V134">
        <v>11230</v>
      </c>
      <c r="W134" t="s">
        <v>532</v>
      </c>
      <c r="X134" t="s">
        <v>549</v>
      </c>
      <c r="Y134" t="s">
        <v>275</v>
      </c>
      <c r="Z134" t="s">
        <v>589</v>
      </c>
      <c r="AA134" t="s">
        <v>756</v>
      </c>
      <c r="AB134" t="s">
        <v>902</v>
      </c>
      <c r="AC134" t="s">
        <v>905</v>
      </c>
      <c r="AF134" t="s">
        <v>923</v>
      </c>
      <c r="AI134">
        <v>17.3</v>
      </c>
      <c r="AJ134" t="s">
        <v>931</v>
      </c>
      <c r="AK134" t="s">
        <v>933</v>
      </c>
      <c r="AL134" t="s">
        <v>274</v>
      </c>
      <c r="AM134" t="s">
        <v>973</v>
      </c>
      <c r="AN134" t="s">
        <v>485</v>
      </c>
      <c r="AT134">
        <v>4</v>
      </c>
      <c r="AU134">
        <v>1</v>
      </c>
      <c r="AV134" t="s">
        <v>273</v>
      </c>
      <c r="AY134" t="s">
        <v>273</v>
      </c>
      <c r="BB134">
        <v>0</v>
      </c>
      <c r="BC134">
        <v>0</v>
      </c>
      <c r="BD134">
        <v>0</v>
      </c>
      <c r="BE134">
        <v>0</v>
      </c>
      <c r="BF134" t="s">
        <v>1063</v>
      </c>
      <c r="BG134" t="s">
        <v>1094</v>
      </c>
      <c r="BH134">
        <v>26</v>
      </c>
      <c r="BI134" t="s">
        <v>1258</v>
      </c>
      <c r="BK134">
        <v>1885981</v>
      </c>
    </row>
    <row r="135" spans="1:64">
      <c r="A135" s="1">
        <f>HYPERLINK("https://lsnyc.legalserver.org/matter/dynamic-profile/view/1884002","18-1884002")</f>
        <v>0</v>
      </c>
      <c r="B135" t="s">
        <v>162</v>
      </c>
      <c r="C135" t="s">
        <v>250</v>
      </c>
      <c r="D135" t="s">
        <v>252</v>
      </c>
      <c r="E135" t="s">
        <v>266</v>
      </c>
      <c r="F135" t="s">
        <v>273</v>
      </c>
      <c r="G135" t="s">
        <v>275</v>
      </c>
      <c r="H135">
        <v>94.78</v>
      </c>
      <c r="I135" t="s">
        <v>274</v>
      </c>
      <c r="K135" t="s">
        <v>360</v>
      </c>
      <c r="L135" t="s">
        <v>284</v>
      </c>
      <c r="O135" t="s">
        <v>275</v>
      </c>
      <c r="P135" t="s">
        <v>493</v>
      </c>
      <c r="Q135" t="s">
        <v>501</v>
      </c>
      <c r="S135" t="s">
        <v>503</v>
      </c>
      <c r="T135" t="s">
        <v>508</v>
      </c>
      <c r="U135" t="s">
        <v>511</v>
      </c>
      <c r="V135">
        <v>11204</v>
      </c>
      <c r="W135" t="s">
        <v>518</v>
      </c>
      <c r="X135" t="s">
        <v>548</v>
      </c>
      <c r="Y135" t="s">
        <v>275</v>
      </c>
      <c r="Z135" t="s">
        <v>652</v>
      </c>
      <c r="AA135" t="s">
        <v>818</v>
      </c>
      <c r="AB135" t="s">
        <v>902</v>
      </c>
      <c r="AC135" t="s">
        <v>905</v>
      </c>
      <c r="AD135" t="s">
        <v>916</v>
      </c>
      <c r="AE135" t="s">
        <v>920</v>
      </c>
      <c r="AF135" t="s">
        <v>927</v>
      </c>
      <c r="AI135">
        <v>3</v>
      </c>
      <c r="AJ135" t="s">
        <v>558</v>
      </c>
      <c r="AK135" t="s">
        <v>941</v>
      </c>
      <c r="AL135" t="s">
        <v>274</v>
      </c>
      <c r="AM135" t="s">
        <v>975</v>
      </c>
      <c r="AN135" t="s">
        <v>321</v>
      </c>
      <c r="AQ135" t="s">
        <v>1033</v>
      </c>
      <c r="AR135" t="s">
        <v>1053</v>
      </c>
      <c r="AT135">
        <v>1</v>
      </c>
      <c r="AU135">
        <v>1</v>
      </c>
      <c r="AV135" t="s">
        <v>273</v>
      </c>
      <c r="AY135" t="s">
        <v>273</v>
      </c>
      <c r="BB135">
        <v>0</v>
      </c>
      <c r="BC135">
        <v>0</v>
      </c>
      <c r="BD135">
        <v>0</v>
      </c>
      <c r="BE135">
        <v>0</v>
      </c>
      <c r="BF135" t="s">
        <v>493</v>
      </c>
      <c r="BG135" t="s">
        <v>1161</v>
      </c>
      <c r="BH135">
        <v>27</v>
      </c>
      <c r="BI135" t="s">
        <v>1270</v>
      </c>
      <c r="BK135">
        <v>1884627</v>
      </c>
    </row>
    <row r="136" spans="1:64">
      <c r="A136" s="1">
        <f>HYPERLINK("https://lsnyc.legalserver.org/matter/dynamic-profile/view/1884026","18-1884026")</f>
        <v>0</v>
      </c>
      <c r="B136" t="s">
        <v>143</v>
      </c>
      <c r="C136" t="s">
        <v>250</v>
      </c>
      <c r="D136" t="s">
        <v>252</v>
      </c>
      <c r="E136" t="s">
        <v>265</v>
      </c>
      <c r="F136" t="s">
        <v>273</v>
      </c>
      <c r="G136" t="s">
        <v>275</v>
      </c>
      <c r="H136">
        <v>72.51000000000001</v>
      </c>
      <c r="I136" t="s">
        <v>274</v>
      </c>
      <c r="K136" t="s">
        <v>360</v>
      </c>
      <c r="M136" t="s">
        <v>471</v>
      </c>
      <c r="N136" t="s">
        <v>454</v>
      </c>
      <c r="O136" t="s">
        <v>275</v>
      </c>
      <c r="P136" t="s">
        <v>492</v>
      </c>
      <c r="Q136" t="s">
        <v>501</v>
      </c>
      <c r="S136" t="s">
        <v>503</v>
      </c>
      <c r="T136" t="s">
        <v>508</v>
      </c>
      <c r="U136" t="s">
        <v>511</v>
      </c>
      <c r="V136">
        <v>11214</v>
      </c>
      <c r="W136" t="s">
        <v>518</v>
      </c>
      <c r="X136" t="s">
        <v>548</v>
      </c>
      <c r="Y136" t="s">
        <v>275</v>
      </c>
      <c r="Z136" t="s">
        <v>633</v>
      </c>
      <c r="AA136" t="s">
        <v>800</v>
      </c>
      <c r="AB136" t="s">
        <v>902</v>
      </c>
      <c r="AC136" t="s">
        <v>905</v>
      </c>
      <c r="AF136" t="s">
        <v>926</v>
      </c>
      <c r="AI136">
        <v>77.05</v>
      </c>
      <c r="AJ136" t="s">
        <v>558</v>
      </c>
      <c r="AK136" t="s">
        <v>941</v>
      </c>
      <c r="AL136" t="s">
        <v>274</v>
      </c>
      <c r="AM136" t="s">
        <v>976</v>
      </c>
      <c r="AN136" t="s">
        <v>454</v>
      </c>
      <c r="AT136">
        <v>2</v>
      </c>
      <c r="AU136">
        <v>2</v>
      </c>
      <c r="AV136" t="s">
        <v>273</v>
      </c>
      <c r="AY136" t="s">
        <v>273</v>
      </c>
      <c r="BB136">
        <v>0</v>
      </c>
      <c r="BC136">
        <v>0</v>
      </c>
      <c r="BD136">
        <v>0</v>
      </c>
      <c r="BE136">
        <v>0</v>
      </c>
      <c r="BF136" t="s">
        <v>1063</v>
      </c>
      <c r="BG136" t="s">
        <v>1142</v>
      </c>
      <c r="BH136">
        <v>26</v>
      </c>
      <c r="BI136" t="s">
        <v>1260</v>
      </c>
      <c r="BK136">
        <v>1884651</v>
      </c>
    </row>
    <row r="137" spans="1:64">
      <c r="A137" s="1">
        <f>HYPERLINK("https://lsnyc.legalserver.org/matter/dynamic-profile/view/1884044","18-1884044")</f>
        <v>0</v>
      </c>
      <c r="B137" t="s">
        <v>163</v>
      </c>
      <c r="C137" t="s">
        <v>250</v>
      </c>
      <c r="D137" t="s">
        <v>257</v>
      </c>
      <c r="E137" t="s">
        <v>265</v>
      </c>
      <c r="F137" t="s">
        <v>273</v>
      </c>
      <c r="G137" t="s">
        <v>275</v>
      </c>
      <c r="H137">
        <v>131.47</v>
      </c>
      <c r="I137" t="s">
        <v>274</v>
      </c>
      <c r="K137" t="s">
        <v>360</v>
      </c>
      <c r="P137" t="s">
        <v>497</v>
      </c>
      <c r="Q137" t="s">
        <v>501</v>
      </c>
      <c r="S137" t="s">
        <v>503</v>
      </c>
      <c r="T137" t="s">
        <v>508</v>
      </c>
      <c r="U137" t="s">
        <v>511</v>
      </c>
      <c r="V137">
        <v>10468</v>
      </c>
      <c r="W137" t="s">
        <v>520</v>
      </c>
      <c r="X137" t="s">
        <v>549</v>
      </c>
      <c r="Y137" t="s">
        <v>275</v>
      </c>
      <c r="Z137" t="s">
        <v>653</v>
      </c>
      <c r="AA137" t="s">
        <v>819</v>
      </c>
      <c r="AB137" t="s">
        <v>902</v>
      </c>
      <c r="AC137" t="s">
        <v>908</v>
      </c>
      <c r="AF137" t="s">
        <v>923</v>
      </c>
      <c r="AI137">
        <v>0.3</v>
      </c>
      <c r="AJ137" t="s">
        <v>558</v>
      </c>
      <c r="AK137" t="s">
        <v>933</v>
      </c>
      <c r="AL137" t="s">
        <v>274</v>
      </c>
      <c r="AM137" t="s">
        <v>973</v>
      </c>
      <c r="AN137" t="s">
        <v>995</v>
      </c>
      <c r="AT137">
        <v>2</v>
      </c>
      <c r="AU137">
        <v>2</v>
      </c>
      <c r="AV137" t="s">
        <v>273</v>
      </c>
      <c r="AY137" t="s">
        <v>273</v>
      </c>
      <c r="BB137">
        <v>0</v>
      </c>
      <c r="BC137">
        <v>0</v>
      </c>
      <c r="BD137">
        <v>0</v>
      </c>
      <c r="BE137">
        <v>0</v>
      </c>
      <c r="BF137" t="s">
        <v>1063</v>
      </c>
      <c r="BG137" t="s">
        <v>1162</v>
      </c>
      <c r="BH137">
        <v>21</v>
      </c>
      <c r="BI137" t="s">
        <v>1277</v>
      </c>
      <c r="BK137">
        <v>785349</v>
      </c>
    </row>
    <row r="138" spans="1:64">
      <c r="A138" s="1">
        <f>HYPERLINK("https://lsnyc.legalserver.org/matter/dynamic-profile/view/1883599","18-1883599")</f>
        <v>0</v>
      </c>
      <c r="B138" t="s">
        <v>164</v>
      </c>
      <c r="C138" t="s">
        <v>250</v>
      </c>
      <c r="D138" t="s">
        <v>257</v>
      </c>
      <c r="E138" t="s">
        <v>262</v>
      </c>
      <c r="F138" t="s">
        <v>274</v>
      </c>
      <c r="G138" t="s">
        <v>274</v>
      </c>
      <c r="H138">
        <v>0</v>
      </c>
      <c r="I138" t="s">
        <v>274</v>
      </c>
      <c r="K138" t="s">
        <v>361</v>
      </c>
      <c r="M138" t="s">
        <v>471</v>
      </c>
      <c r="N138" t="s">
        <v>489</v>
      </c>
      <c r="O138" t="s">
        <v>275</v>
      </c>
      <c r="P138" t="s">
        <v>492</v>
      </c>
      <c r="Q138" t="s">
        <v>501</v>
      </c>
      <c r="S138" t="s">
        <v>503</v>
      </c>
      <c r="T138" t="s">
        <v>508</v>
      </c>
      <c r="U138" t="s">
        <v>511</v>
      </c>
      <c r="V138">
        <v>10463</v>
      </c>
      <c r="W138" t="s">
        <v>518</v>
      </c>
      <c r="X138" t="s">
        <v>548</v>
      </c>
      <c r="Y138" t="s">
        <v>275</v>
      </c>
      <c r="Z138" t="s">
        <v>654</v>
      </c>
      <c r="AA138" t="s">
        <v>820</v>
      </c>
      <c r="AB138" t="s">
        <v>902</v>
      </c>
      <c r="AC138" t="s">
        <v>905</v>
      </c>
      <c r="AF138" t="s">
        <v>926</v>
      </c>
      <c r="AI138">
        <v>98.7</v>
      </c>
      <c r="AJ138" t="s">
        <v>558</v>
      </c>
      <c r="AK138" t="s">
        <v>934</v>
      </c>
      <c r="AL138" t="s">
        <v>274</v>
      </c>
      <c r="AM138" t="s">
        <v>973</v>
      </c>
      <c r="AN138" t="s">
        <v>320</v>
      </c>
      <c r="AT138">
        <v>0</v>
      </c>
      <c r="AU138">
        <v>1</v>
      </c>
      <c r="AV138" t="s">
        <v>273</v>
      </c>
      <c r="AY138" t="s">
        <v>273</v>
      </c>
      <c r="BB138">
        <v>0</v>
      </c>
      <c r="BC138">
        <v>0</v>
      </c>
      <c r="BD138">
        <v>0</v>
      </c>
      <c r="BE138">
        <v>0</v>
      </c>
      <c r="BF138" t="s">
        <v>1063</v>
      </c>
      <c r="BG138" t="s">
        <v>1163</v>
      </c>
      <c r="BH138">
        <v>23</v>
      </c>
      <c r="BI138" t="s">
        <v>1247</v>
      </c>
      <c r="BK138">
        <v>1884224</v>
      </c>
    </row>
    <row r="139" spans="1:64">
      <c r="A139" s="1">
        <f>HYPERLINK("https://lsnyc.legalserver.org/matter/dynamic-profile/view/1883522","18-1883522")</f>
        <v>0</v>
      </c>
      <c r="B139" t="s">
        <v>165</v>
      </c>
      <c r="C139" t="s">
        <v>250</v>
      </c>
      <c r="D139" t="s">
        <v>252</v>
      </c>
      <c r="E139" t="s">
        <v>266</v>
      </c>
      <c r="F139" t="s">
        <v>273</v>
      </c>
      <c r="G139" t="s">
        <v>275</v>
      </c>
      <c r="H139">
        <v>0</v>
      </c>
      <c r="I139" t="s">
        <v>274</v>
      </c>
      <c r="K139" t="s">
        <v>362</v>
      </c>
      <c r="O139" t="s">
        <v>275</v>
      </c>
      <c r="Q139" t="s">
        <v>501</v>
      </c>
      <c r="S139" t="s">
        <v>503</v>
      </c>
      <c r="T139" t="s">
        <v>508</v>
      </c>
      <c r="U139" t="s">
        <v>511</v>
      </c>
      <c r="V139">
        <v>11220</v>
      </c>
      <c r="W139" t="s">
        <v>518</v>
      </c>
      <c r="X139" t="s">
        <v>548</v>
      </c>
      <c r="Y139" t="s">
        <v>275</v>
      </c>
      <c r="Z139" t="s">
        <v>655</v>
      </c>
      <c r="AA139" t="s">
        <v>821</v>
      </c>
      <c r="AB139" t="s">
        <v>902</v>
      </c>
      <c r="AC139" t="s">
        <v>905</v>
      </c>
      <c r="AF139" t="s">
        <v>926</v>
      </c>
      <c r="AI139">
        <v>71.38</v>
      </c>
      <c r="AJ139" t="s">
        <v>558</v>
      </c>
      <c r="AK139" t="s">
        <v>934</v>
      </c>
      <c r="AL139" t="s">
        <v>274</v>
      </c>
      <c r="AM139" t="s">
        <v>973</v>
      </c>
      <c r="AO139" t="s">
        <v>975</v>
      </c>
      <c r="AT139">
        <v>1</v>
      </c>
      <c r="AU139">
        <v>1</v>
      </c>
      <c r="AV139" t="s">
        <v>274</v>
      </c>
      <c r="AY139" t="s">
        <v>274</v>
      </c>
      <c r="BB139">
        <v>0</v>
      </c>
      <c r="BC139">
        <v>0</v>
      </c>
      <c r="BD139">
        <v>0</v>
      </c>
      <c r="BE139">
        <v>0</v>
      </c>
      <c r="BF139" t="s">
        <v>1063</v>
      </c>
      <c r="BG139" t="s">
        <v>1164</v>
      </c>
      <c r="BH139">
        <v>35</v>
      </c>
      <c r="BI139" t="s">
        <v>1247</v>
      </c>
      <c r="BK139">
        <v>1884147</v>
      </c>
    </row>
    <row r="140" spans="1:64">
      <c r="A140" s="1">
        <f>HYPERLINK("https://lsnyc.legalserver.org/matter/dynamic-profile/view/1883285","18-1883285")</f>
        <v>0</v>
      </c>
      <c r="B140" t="s">
        <v>87</v>
      </c>
      <c r="C140" t="s">
        <v>250</v>
      </c>
      <c r="D140" t="s">
        <v>252</v>
      </c>
      <c r="E140" t="s">
        <v>262</v>
      </c>
      <c r="F140" t="s">
        <v>273</v>
      </c>
      <c r="G140" t="s">
        <v>275</v>
      </c>
      <c r="H140">
        <v>0</v>
      </c>
      <c r="I140" t="s">
        <v>274</v>
      </c>
      <c r="K140" t="s">
        <v>363</v>
      </c>
      <c r="L140" t="s">
        <v>459</v>
      </c>
      <c r="O140" t="s">
        <v>275</v>
      </c>
      <c r="P140" t="s">
        <v>493</v>
      </c>
      <c r="Q140" t="s">
        <v>501</v>
      </c>
      <c r="S140" t="s">
        <v>503</v>
      </c>
      <c r="T140" t="s">
        <v>507</v>
      </c>
      <c r="U140" t="s">
        <v>511</v>
      </c>
      <c r="V140">
        <v>11207</v>
      </c>
      <c r="W140" t="s">
        <v>521</v>
      </c>
      <c r="X140" t="s">
        <v>549</v>
      </c>
      <c r="Y140" t="s">
        <v>274</v>
      </c>
      <c r="Z140" t="s">
        <v>582</v>
      </c>
      <c r="AA140" t="s">
        <v>749</v>
      </c>
      <c r="AB140" t="s">
        <v>902</v>
      </c>
      <c r="AC140" t="s">
        <v>905</v>
      </c>
      <c r="AD140" t="s">
        <v>275</v>
      </c>
      <c r="AE140" t="s">
        <v>919</v>
      </c>
      <c r="AF140" t="s">
        <v>923</v>
      </c>
      <c r="AI140">
        <v>78.09999999999999</v>
      </c>
      <c r="AJ140" t="s">
        <v>558</v>
      </c>
      <c r="AK140" t="s">
        <v>943</v>
      </c>
      <c r="AL140" t="s">
        <v>274</v>
      </c>
      <c r="AM140" t="s">
        <v>973</v>
      </c>
      <c r="AN140" t="s">
        <v>347</v>
      </c>
      <c r="AQ140" t="s">
        <v>1039</v>
      </c>
      <c r="AR140" t="s">
        <v>1051</v>
      </c>
      <c r="AT140">
        <v>0</v>
      </c>
      <c r="AU140">
        <v>1</v>
      </c>
      <c r="AV140" t="s">
        <v>273</v>
      </c>
      <c r="AY140" t="s">
        <v>273</v>
      </c>
      <c r="BB140">
        <v>0</v>
      </c>
      <c r="BC140">
        <v>0</v>
      </c>
      <c r="BD140">
        <v>0</v>
      </c>
      <c r="BE140">
        <v>0</v>
      </c>
      <c r="BF140" t="s">
        <v>493</v>
      </c>
      <c r="BG140" t="s">
        <v>1087</v>
      </c>
      <c r="BH140">
        <v>28</v>
      </c>
      <c r="BI140" t="s">
        <v>1247</v>
      </c>
      <c r="BK140">
        <v>1883910</v>
      </c>
      <c r="BL140" t="s">
        <v>274</v>
      </c>
    </row>
    <row r="141" spans="1:64">
      <c r="A141" s="1">
        <f>HYPERLINK("https://lsnyc.legalserver.org/matter/dynamic-profile/view/1881998","18-1881998")</f>
        <v>0</v>
      </c>
      <c r="B141" t="s">
        <v>166</v>
      </c>
      <c r="C141" t="s">
        <v>250</v>
      </c>
      <c r="D141" t="s">
        <v>252</v>
      </c>
      <c r="E141" t="s">
        <v>262</v>
      </c>
      <c r="F141" t="s">
        <v>273</v>
      </c>
      <c r="G141" t="s">
        <v>275</v>
      </c>
      <c r="H141">
        <v>44.48</v>
      </c>
      <c r="I141" t="s">
        <v>274</v>
      </c>
      <c r="K141" t="s">
        <v>364</v>
      </c>
      <c r="L141" t="s">
        <v>460</v>
      </c>
      <c r="M141" t="s">
        <v>471</v>
      </c>
      <c r="N141" t="s">
        <v>293</v>
      </c>
      <c r="P141" t="s">
        <v>493</v>
      </c>
      <c r="Q141" t="s">
        <v>501</v>
      </c>
      <c r="S141" t="s">
        <v>503</v>
      </c>
      <c r="T141" t="s">
        <v>507</v>
      </c>
      <c r="U141" t="s">
        <v>511</v>
      </c>
      <c r="V141">
        <v>11225</v>
      </c>
      <c r="W141" t="s">
        <v>517</v>
      </c>
      <c r="X141" t="s">
        <v>554</v>
      </c>
      <c r="Y141" t="s">
        <v>275</v>
      </c>
      <c r="Z141" t="s">
        <v>656</v>
      </c>
      <c r="AA141" t="s">
        <v>822</v>
      </c>
      <c r="AB141" t="s">
        <v>902</v>
      </c>
      <c r="AC141" t="s">
        <v>904</v>
      </c>
      <c r="AD141" t="s">
        <v>275</v>
      </c>
      <c r="AE141" t="s">
        <v>919</v>
      </c>
      <c r="AF141" t="s">
        <v>923</v>
      </c>
      <c r="AI141">
        <v>8.75</v>
      </c>
      <c r="AJ141" t="s">
        <v>558</v>
      </c>
      <c r="AK141" t="s">
        <v>937</v>
      </c>
      <c r="AL141" t="s">
        <v>274</v>
      </c>
      <c r="AM141" t="s">
        <v>973</v>
      </c>
      <c r="AN141" t="s">
        <v>996</v>
      </c>
      <c r="AO141" t="s">
        <v>976</v>
      </c>
      <c r="AP141" t="s">
        <v>283</v>
      </c>
      <c r="AQ141" t="s">
        <v>1042</v>
      </c>
      <c r="AR141" t="s">
        <v>1051</v>
      </c>
      <c r="AT141">
        <v>0</v>
      </c>
      <c r="AU141">
        <v>1</v>
      </c>
      <c r="AV141" t="s">
        <v>273</v>
      </c>
      <c r="AY141" t="s">
        <v>273</v>
      </c>
      <c r="BB141">
        <v>0</v>
      </c>
      <c r="BC141">
        <v>0</v>
      </c>
      <c r="BD141">
        <v>0</v>
      </c>
      <c r="BE141">
        <v>0</v>
      </c>
      <c r="BF141" t="s">
        <v>493</v>
      </c>
      <c r="BG141" t="s">
        <v>1165</v>
      </c>
      <c r="BH141">
        <v>74</v>
      </c>
      <c r="BI141" t="s">
        <v>1278</v>
      </c>
      <c r="BK141">
        <v>1878529</v>
      </c>
    </row>
    <row r="142" spans="1:64">
      <c r="A142" s="1">
        <f>HYPERLINK("https://lsnyc.legalserver.org/matter/dynamic-profile/view/1881826","18-1881826")</f>
        <v>0</v>
      </c>
      <c r="B142" t="s">
        <v>160</v>
      </c>
      <c r="C142" t="s">
        <v>250</v>
      </c>
      <c r="D142" t="s">
        <v>252</v>
      </c>
      <c r="E142" t="s">
        <v>265</v>
      </c>
      <c r="F142" t="s">
        <v>273</v>
      </c>
      <c r="G142" t="s">
        <v>275</v>
      </c>
      <c r="H142">
        <v>0</v>
      </c>
      <c r="I142" t="s">
        <v>274</v>
      </c>
      <c r="K142" t="s">
        <v>365</v>
      </c>
      <c r="P142" t="s">
        <v>492</v>
      </c>
      <c r="Q142" t="s">
        <v>502</v>
      </c>
      <c r="S142" t="s">
        <v>503</v>
      </c>
      <c r="T142" t="s">
        <v>508</v>
      </c>
      <c r="U142" t="s">
        <v>511</v>
      </c>
      <c r="V142">
        <v>11207</v>
      </c>
      <c r="W142" t="s">
        <v>519</v>
      </c>
      <c r="X142" t="s">
        <v>548</v>
      </c>
      <c r="Y142" t="s">
        <v>275</v>
      </c>
      <c r="Z142" t="s">
        <v>650</v>
      </c>
      <c r="AA142" t="s">
        <v>817</v>
      </c>
      <c r="AB142" t="s">
        <v>902</v>
      </c>
      <c r="AC142" t="s">
        <v>905</v>
      </c>
      <c r="AF142" t="s">
        <v>926</v>
      </c>
      <c r="AI142">
        <v>5.35</v>
      </c>
      <c r="AJ142" t="s">
        <v>558</v>
      </c>
      <c r="AK142" t="s">
        <v>934</v>
      </c>
      <c r="AL142" t="s">
        <v>274</v>
      </c>
      <c r="AM142" t="s">
        <v>973</v>
      </c>
      <c r="AN142" t="s">
        <v>997</v>
      </c>
      <c r="AT142">
        <v>2</v>
      </c>
      <c r="AU142">
        <v>1</v>
      </c>
      <c r="AV142" t="s">
        <v>273</v>
      </c>
      <c r="AY142" t="s">
        <v>273</v>
      </c>
      <c r="BB142">
        <v>0</v>
      </c>
      <c r="BC142">
        <v>0</v>
      </c>
      <c r="BD142">
        <v>0</v>
      </c>
      <c r="BE142">
        <v>0</v>
      </c>
      <c r="BF142" t="s">
        <v>1063</v>
      </c>
      <c r="BG142" t="s">
        <v>1159</v>
      </c>
      <c r="BH142">
        <v>15</v>
      </c>
      <c r="BI142" t="s">
        <v>1247</v>
      </c>
      <c r="BK142">
        <v>1874069</v>
      </c>
    </row>
    <row r="143" spans="1:64">
      <c r="A143" s="1">
        <f>HYPERLINK("https://lsnyc.legalserver.org/matter/dynamic-profile/view/1881828","18-1881828")</f>
        <v>0</v>
      </c>
      <c r="B143" t="s">
        <v>161</v>
      </c>
      <c r="C143" t="s">
        <v>250</v>
      </c>
      <c r="D143" t="s">
        <v>252</v>
      </c>
      <c r="E143" t="s">
        <v>265</v>
      </c>
      <c r="F143" t="s">
        <v>273</v>
      </c>
      <c r="G143" t="s">
        <v>275</v>
      </c>
      <c r="H143">
        <v>0</v>
      </c>
      <c r="I143" t="s">
        <v>274</v>
      </c>
      <c r="K143" t="s">
        <v>365</v>
      </c>
      <c r="P143" t="s">
        <v>492</v>
      </c>
      <c r="Q143" t="s">
        <v>502</v>
      </c>
      <c r="S143" t="s">
        <v>503</v>
      </c>
      <c r="T143" t="s">
        <v>508</v>
      </c>
      <c r="U143" t="s">
        <v>511</v>
      </c>
      <c r="V143">
        <v>11207</v>
      </c>
      <c r="W143" t="s">
        <v>519</v>
      </c>
      <c r="X143" t="s">
        <v>548</v>
      </c>
      <c r="Y143" t="s">
        <v>275</v>
      </c>
      <c r="Z143" t="s">
        <v>651</v>
      </c>
      <c r="AA143" t="s">
        <v>817</v>
      </c>
      <c r="AB143" t="s">
        <v>902</v>
      </c>
      <c r="AC143" t="s">
        <v>905</v>
      </c>
      <c r="AF143" t="s">
        <v>926</v>
      </c>
      <c r="AI143">
        <v>5.45</v>
      </c>
      <c r="AJ143" t="s">
        <v>558</v>
      </c>
      <c r="AK143" t="s">
        <v>934</v>
      </c>
      <c r="AL143" t="s">
        <v>274</v>
      </c>
      <c r="AM143" t="s">
        <v>973</v>
      </c>
      <c r="AN143" t="s">
        <v>997</v>
      </c>
      <c r="AT143">
        <v>2</v>
      </c>
      <c r="AU143">
        <v>1</v>
      </c>
      <c r="AV143" t="s">
        <v>273</v>
      </c>
      <c r="AY143" t="s">
        <v>273</v>
      </c>
      <c r="BB143">
        <v>0</v>
      </c>
      <c r="BC143">
        <v>0</v>
      </c>
      <c r="BD143">
        <v>0</v>
      </c>
      <c r="BE143">
        <v>0</v>
      </c>
      <c r="BF143" t="s">
        <v>1063</v>
      </c>
      <c r="BG143" t="s">
        <v>1160</v>
      </c>
      <c r="BH143">
        <v>14</v>
      </c>
      <c r="BI143" t="s">
        <v>1247</v>
      </c>
      <c r="BK143">
        <v>1874069</v>
      </c>
      <c r="BL143" t="s">
        <v>274</v>
      </c>
    </row>
    <row r="144" spans="1:64">
      <c r="A144" s="1">
        <f>HYPERLINK("https://lsnyc.legalserver.org/matter/dynamic-profile/view/1881130","18-1881130")</f>
        <v>0</v>
      </c>
      <c r="B144" t="s">
        <v>167</v>
      </c>
      <c r="C144" t="s">
        <v>250</v>
      </c>
      <c r="D144" t="s">
        <v>253</v>
      </c>
      <c r="E144" t="s">
        <v>265</v>
      </c>
      <c r="F144" t="s">
        <v>273</v>
      </c>
      <c r="G144" t="s">
        <v>275</v>
      </c>
      <c r="H144">
        <v>125.12</v>
      </c>
      <c r="I144" t="s">
        <v>274</v>
      </c>
      <c r="K144" t="s">
        <v>366</v>
      </c>
      <c r="P144" t="s">
        <v>492</v>
      </c>
      <c r="Q144" t="s">
        <v>501</v>
      </c>
      <c r="S144" t="s">
        <v>503</v>
      </c>
      <c r="T144" t="s">
        <v>507</v>
      </c>
      <c r="U144" t="s">
        <v>511</v>
      </c>
      <c r="V144">
        <v>11104</v>
      </c>
      <c r="W144" t="s">
        <v>518</v>
      </c>
      <c r="X144" t="s">
        <v>548</v>
      </c>
      <c r="Y144" t="s">
        <v>275</v>
      </c>
      <c r="Z144" t="s">
        <v>657</v>
      </c>
      <c r="AA144" t="s">
        <v>823</v>
      </c>
      <c r="AB144" t="s">
        <v>902</v>
      </c>
      <c r="AC144" t="s">
        <v>905</v>
      </c>
      <c r="AF144" t="s">
        <v>930</v>
      </c>
      <c r="AI144">
        <v>58.65</v>
      </c>
      <c r="AJ144" t="s">
        <v>558</v>
      </c>
      <c r="AK144" t="s">
        <v>938</v>
      </c>
      <c r="AL144" t="s">
        <v>274</v>
      </c>
      <c r="AT144">
        <v>1</v>
      </c>
      <c r="AU144">
        <v>2</v>
      </c>
      <c r="AV144" t="s">
        <v>273</v>
      </c>
      <c r="AY144" t="s">
        <v>273</v>
      </c>
      <c r="BB144">
        <v>0</v>
      </c>
      <c r="BC144">
        <v>0</v>
      </c>
      <c r="BD144">
        <v>0</v>
      </c>
      <c r="BE144">
        <v>0</v>
      </c>
      <c r="BF144" t="s">
        <v>1063</v>
      </c>
      <c r="BG144" t="s">
        <v>1166</v>
      </c>
      <c r="BH144">
        <v>52</v>
      </c>
      <c r="BI144" t="s">
        <v>1279</v>
      </c>
      <c r="BK144">
        <v>1881751</v>
      </c>
    </row>
    <row r="145" spans="1:64">
      <c r="A145" s="1">
        <f>HYPERLINK("https://lsnyc.legalserver.org/matter/dynamic-profile/view/1880831","18-1880831")</f>
        <v>0</v>
      </c>
      <c r="B145" t="s">
        <v>168</v>
      </c>
      <c r="C145" t="s">
        <v>250</v>
      </c>
      <c r="D145" t="s">
        <v>252</v>
      </c>
      <c r="E145" t="s">
        <v>272</v>
      </c>
      <c r="F145" t="s">
        <v>274</v>
      </c>
      <c r="G145" t="s">
        <v>274</v>
      </c>
      <c r="H145">
        <v>79.08</v>
      </c>
      <c r="I145" t="s">
        <v>274</v>
      </c>
      <c r="K145" t="s">
        <v>367</v>
      </c>
      <c r="L145" t="s">
        <v>461</v>
      </c>
      <c r="P145" t="s">
        <v>497</v>
      </c>
      <c r="Q145" t="s">
        <v>501</v>
      </c>
      <c r="S145" t="s">
        <v>503</v>
      </c>
      <c r="T145" t="s">
        <v>509</v>
      </c>
      <c r="U145" t="s">
        <v>511</v>
      </c>
      <c r="V145">
        <v>11221</v>
      </c>
      <c r="W145" t="s">
        <v>521</v>
      </c>
      <c r="X145" t="s">
        <v>548</v>
      </c>
      <c r="Y145" t="s">
        <v>275</v>
      </c>
      <c r="Z145" t="s">
        <v>658</v>
      </c>
      <c r="AA145" t="s">
        <v>824</v>
      </c>
      <c r="AB145" t="s">
        <v>902</v>
      </c>
      <c r="AC145" t="s">
        <v>905</v>
      </c>
      <c r="AD145" t="s">
        <v>274</v>
      </c>
      <c r="AE145" t="s">
        <v>919</v>
      </c>
      <c r="AF145" t="s">
        <v>923</v>
      </c>
      <c r="AI145">
        <v>8.949999999999999</v>
      </c>
      <c r="AJ145" t="s">
        <v>558</v>
      </c>
      <c r="AK145" t="s">
        <v>947</v>
      </c>
      <c r="AL145" t="s">
        <v>274</v>
      </c>
      <c r="AM145" t="s">
        <v>973</v>
      </c>
      <c r="AN145" t="s">
        <v>998</v>
      </c>
      <c r="AO145" t="s">
        <v>978</v>
      </c>
      <c r="AP145" t="s">
        <v>482</v>
      </c>
      <c r="AQ145" t="s">
        <v>1039</v>
      </c>
      <c r="AR145" t="s">
        <v>1051</v>
      </c>
      <c r="AS145" t="s">
        <v>558</v>
      </c>
      <c r="AT145">
        <v>0</v>
      </c>
      <c r="AU145">
        <v>1</v>
      </c>
      <c r="AV145" t="s">
        <v>273</v>
      </c>
      <c r="AY145" t="s">
        <v>273</v>
      </c>
      <c r="BB145">
        <v>0</v>
      </c>
      <c r="BC145">
        <v>0</v>
      </c>
      <c r="BD145">
        <v>0</v>
      </c>
      <c r="BE145">
        <v>0</v>
      </c>
      <c r="BF145" t="s">
        <v>493</v>
      </c>
      <c r="BG145" t="s">
        <v>1167</v>
      </c>
      <c r="BH145">
        <v>27</v>
      </c>
      <c r="BI145" t="s">
        <v>1280</v>
      </c>
      <c r="BK145">
        <v>1881450</v>
      </c>
    </row>
    <row r="146" spans="1:64">
      <c r="A146" s="1">
        <f>HYPERLINK("https://lsnyc.legalserver.org/matter/dynamic-profile/view/1881038","18-1881038")</f>
        <v>0</v>
      </c>
      <c r="B146" t="s">
        <v>169</v>
      </c>
      <c r="C146" t="s">
        <v>250</v>
      </c>
      <c r="D146" t="s">
        <v>252</v>
      </c>
      <c r="E146" t="s">
        <v>265</v>
      </c>
      <c r="F146" t="s">
        <v>273</v>
      </c>
      <c r="G146" t="s">
        <v>275</v>
      </c>
      <c r="H146">
        <v>164.74</v>
      </c>
      <c r="I146" t="s">
        <v>274</v>
      </c>
      <c r="K146" t="s">
        <v>368</v>
      </c>
      <c r="L146" t="s">
        <v>462</v>
      </c>
      <c r="Q146" t="s">
        <v>501</v>
      </c>
      <c r="S146" t="s">
        <v>503</v>
      </c>
      <c r="T146" t="s">
        <v>507</v>
      </c>
      <c r="U146" t="s">
        <v>511</v>
      </c>
      <c r="V146">
        <v>11220</v>
      </c>
      <c r="W146" t="s">
        <v>517</v>
      </c>
      <c r="X146" t="s">
        <v>549</v>
      </c>
      <c r="Y146" t="s">
        <v>275</v>
      </c>
      <c r="Z146" t="s">
        <v>659</v>
      </c>
      <c r="AA146" t="s">
        <v>825</v>
      </c>
      <c r="AB146" t="s">
        <v>902</v>
      </c>
      <c r="AC146" t="s">
        <v>904</v>
      </c>
      <c r="AD146" t="s">
        <v>916</v>
      </c>
      <c r="AE146" t="s">
        <v>920</v>
      </c>
      <c r="AF146" t="s">
        <v>928</v>
      </c>
      <c r="AI146">
        <v>1</v>
      </c>
      <c r="AJ146" t="s">
        <v>558</v>
      </c>
      <c r="AK146" t="s">
        <v>952</v>
      </c>
      <c r="AL146" t="s">
        <v>274</v>
      </c>
      <c r="AM146" t="s">
        <v>975</v>
      </c>
      <c r="AN146" t="s">
        <v>368</v>
      </c>
      <c r="AQ146" t="s">
        <v>1033</v>
      </c>
      <c r="AR146" t="s">
        <v>1051</v>
      </c>
      <c r="AT146">
        <v>0</v>
      </c>
      <c r="AU146">
        <v>1</v>
      </c>
      <c r="AV146" t="s">
        <v>273</v>
      </c>
      <c r="AY146" t="s">
        <v>273</v>
      </c>
      <c r="BB146">
        <v>0</v>
      </c>
      <c r="BC146">
        <v>0</v>
      </c>
      <c r="BD146">
        <v>0</v>
      </c>
      <c r="BE146">
        <v>0</v>
      </c>
      <c r="BF146" t="s">
        <v>493</v>
      </c>
      <c r="BG146" t="s">
        <v>1168</v>
      </c>
      <c r="BH146">
        <v>63</v>
      </c>
      <c r="BI146" t="s">
        <v>1251</v>
      </c>
      <c r="BK146">
        <v>1881659</v>
      </c>
    </row>
    <row r="147" spans="1:64">
      <c r="A147" s="1">
        <f>HYPERLINK("https://lsnyc.legalserver.org/matter/dynamic-profile/view/1880412","18-1880412")</f>
        <v>0</v>
      </c>
      <c r="B147" t="s">
        <v>170</v>
      </c>
      <c r="C147" t="s">
        <v>250</v>
      </c>
      <c r="D147" t="s">
        <v>252</v>
      </c>
      <c r="E147" t="s">
        <v>262</v>
      </c>
      <c r="F147" t="s">
        <v>273</v>
      </c>
      <c r="G147" t="s">
        <v>275</v>
      </c>
      <c r="H147">
        <v>198.41</v>
      </c>
      <c r="I147" t="s">
        <v>274</v>
      </c>
      <c r="K147" t="s">
        <v>368</v>
      </c>
      <c r="L147" t="s">
        <v>463</v>
      </c>
      <c r="M147" t="s">
        <v>472</v>
      </c>
      <c r="N147" t="s">
        <v>284</v>
      </c>
      <c r="O147" t="s">
        <v>275</v>
      </c>
      <c r="P147" t="s">
        <v>493</v>
      </c>
      <c r="Q147" t="s">
        <v>501</v>
      </c>
      <c r="S147" t="s">
        <v>503</v>
      </c>
      <c r="T147" t="s">
        <v>507</v>
      </c>
      <c r="U147" t="s">
        <v>511</v>
      </c>
      <c r="V147">
        <v>11211</v>
      </c>
      <c r="W147" t="s">
        <v>525</v>
      </c>
      <c r="X147" t="s">
        <v>548</v>
      </c>
      <c r="Y147" t="s">
        <v>275</v>
      </c>
      <c r="Z147" t="s">
        <v>660</v>
      </c>
      <c r="AA147" t="s">
        <v>826</v>
      </c>
      <c r="AB147" t="s">
        <v>902</v>
      </c>
      <c r="AC147" t="s">
        <v>904</v>
      </c>
      <c r="AD147" t="s">
        <v>275</v>
      </c>
      <c r="AE147" t="s">
        <v>919</v>
      </c>
      <c r="AF147" t="s">
        <v>923</v>
      </c>
      <c r="AI147">
        <v>5.75</v>
      </c>
      <c r="AJ147" t="s">
        <v>558</v>
      </c>
      <c r="AK147" t="s">
        <v>949</v>
      </c>
      <c r="AL147" t="s">
        <v>274</v>
      </c>
      <c r="AM147" t="s">
        <v>973</v>
      </c>
      <c r="AN147" t="s">
        <v>999</v>
      </c>
      <c r="AO147" t="s">
        <v>976</v>
      </c>
      <c r="AP147" t="s">
        <v>284</v>
      </c>
      <c r="AQ147" t="s">
        <v>1038</v>
      </c>
      <c r="AR147" t="s">
        <v>1051</v>
      </c>
      <c r="AT147">
        <v>0</v>
      </c>
      <c r="AU147">
        <v>4</v>
      </c>
      <c r="AV147" t="s">
        <v>273</v>
      </c>
      <c r="AY147" t="s">
        <v>273</v>
      </c>
      <c r="BB147">
        <v>0</v>
      </c>
      <c r="BC147">
        <v>0</v>
      </c>
      <c r="BD147">
        <v>0</v>
      </c>
      <c r="BE147">
        <v>0</v>
      </c>
      <c r="BF147" t="s">
        <v>493</v>
      </c>
      <c r="BG147" t="s">
        <v>1169</v>
      </c>
      <c r="BH147">
        <v>64</v>
      </c>
      <c r="BI147" t="s">
        <v>1281</v>
      </c>
      <c r="BK147">
        <v>1881029</v>
      </c>
    </row>
    <row r="148" spans="1:64">
      <c r="A148" s="1">
        <f>HYPERLINK("https://lsnyc.legalserver.org/matter/dynamic-profile/view/1880506","18-1880506")</f>
        <v>0</v>
      </c>
      <c r="B148" t="s">
        <v>171</v>
      </c>
      <c r="C148" t="s">
        <v>250</v>
      </c>
      <c r="D148" t="s">
        <v>252</v>
      </c>
      <c r="E148" t="s">
        <v>265</v>
      </c>
      <c r="F148" t="s">
        <v>274</v>
      </c>
      <c r="G148" t="s">
        <v>274</v>
      </c>
      <c r="H148">
        <v>0</v>
      </c>
      <c r="I148" t="s">
        <v>274</v>
      </c>
      <c r="K148" t="s">
        <v>368</v>
      </c>
      <c r="O148" t="s">
        <v>275</v>
      </c>
      <c r="P148" t="s">
        <v>497</v>
      </c>
      <c r="Q148" t="s">
        <v>501</v>
      </c>
      <c r="S148" t="s">
        <v>503</v>
      </c>
      <c r="T148" t="s">
        <v>507</v>
      </c>
      <c r="U148" t="s">
        <v>511</v>
      </c>
      <c r="V148">
        <v>11206</v>
      </c>
      <c r="W148" t="s">
        <v>521</v>
      </c>
      <c r="X148" t="s">
        <v>553</v>
      </c>
      <c r="Y148" t="s">
        <v>275</v>
      </c>
      <c r="Z148" t="s">
        <v>661</v>
      </c>
      <c r="AA148" t="s">
        <v>827</v>
      </c>
      <c r="AB148" t="s">
        <v>902</v>
      </c>
      <c r="AC148" t="s">
        <v>905</v>
      </c>
      <c r="AF148" t="s">
        <v>923</v>
      </c>
      <c r="AI148">
        <v>6.25</v>
      </c>
      <c r="AJ148" t="s">
        <v>558</v>
      </c>
      <c r="AK148" t="s">
        <v>948</v>
      </c>
      <c r="AL148" t="s">
        <v>274</v>
      </c>
      <c r="AM148" t="s">
        <v>973</v>
      </c>
      <c r="AN148" t="s">
        <v>1000</v>
      </c>
      <c r="AT148">
        <v>0</v>
      </c>
      <c r="AU148">
        <v>1</v>
      </c>
      <c r="AV148" t="s">
        <v>273</v>
      </c>
      <c r="AY148" t="s">
        <v>273</v>
      </c>
      <c r="BB148">
        <v>0</v>
      </c>
      <c r="BC148">
        <v>0</v>
      </c>
      <c r="BD148">
        <v>0</v>
      </c>
      <c r="BE148">
        <v>0</v>
      </c>
      <c r="BF148" t="s">
        <v>1063</v>
      </c>
      <c r="BG148" t="s">
        <v>1170</v>
      </c>
      <c r="BH148">
        <v>31</v>
      </c>
      <c r="BI148" t="s">
        <v>1247</v>
      </c>
      <c r="BK148">
        <v>1881123</v>
      </c>
    </row>
    <row r="149" spans="1:64">
      <c r="A149" s="1">
        <f>HYPERLINK("https://lsnyc.legalserver.org/matter/dynamic-profile/view/1880296","18-1880296")</f>
        <v>0</v>
      </c>
      <c r="B149" t="s">
        <v>172</v>
      </c>
      <c r="C149" t="s">
        <v>250</v>
      </c>
      <c r="D149" t="s">
        <v>252</v>
      </c>
      <c r="E149" t="s">
        <v>263</v>
      </c>
      <c r="F149" t="s">
        <v>273</v>
      </c>
      <c r="G149" t="s">
        <v>275</v>
      </c>
      <c r="H149">
        <v>9.06</v>
      </c>
      <c r="I149" t="s">
        <v>274</v>
      </c>
      <c r="K149" t="s">
        <v>369</v>
      </c>
      <c r="M149" t="s">
        <v>474</v>
      </c>
      <c r="O149" t="s">
        <v>275</v>
      </c>
      <c r="P149" t="s">
        <v>492</v>
      </c>
      <c r="Q149" t="s">
        <v>501</v>
      </c>
      <c r="S149" t="s">
        <v>503</v>
      </c>
      <c r="T149" t="s">
        <v>507</v>
      </c>
      <c r="U149" t="s">
        <v>511</v>
      </c>
      <c r="V149">
        <v>11220</v>
      </c>
      <c r="W149" t="s">
        <v>518</v>
      </c>
      <c r="X149" t="s">
        <v>548</v>
      </c>
      <c r="Y149" t="s">
        <v>275</v>
      </c>
      <c r="Z149" t="s">
        <v>662</v>
      </c>
      <c r="AA149" t="s">
        <v>828</v>
      </c>
      <c r="AB149" t="s">
        <v>902</v>
      </c>
      <c r="AC149" t="s">
        <v>905</v>
      </c>
      <c r="AF149" t="s">
        <v>926</v>
      </c>
      <c r="AI149">
        <v>14.15</v>
      </c>
      <c r="AJ149" t="s">
        <v>558</v>
      </c>
      <c r="AK149" t="s">
        <v>945</v>
      </c>
      <c r="AL149" t="s">
        <v>274</v>
      </c>
      <c r="AT149">
        <v>0</v>
      </c>
      <c r="AU149">
        <v>1</v>
      </c>
      <c r="AV149" t="s">
        <v>273</v>
      </c>
      <c r="AY149" t="s">
        <v>273</v>
      </c>
      <c r="BB149">
        <v>0</v>
      </c>
      <c r="BC149">
        <v>0</v>
      </c>
      <c r="BD149">
        <v>0</v>
      </c>
      <c r="BE149">
        <v>0</v>
      </c>
      <c r="BF149" t="s">
        <v>1063</v>
      </c>
      <c r="BG149" t="s">
        <v>1171</v>
      </c>
      <c r="BH149">
        <v>35</v>
      </c>
      <c r="BI149" t="s">
        <v>1282</v>
      </c>
      <c r="BK149">
        <v>1880912</v>
      </c>
    </row>
    <row r="150" spans="1:64">
      <c r="A150" s="1">
        <f>HYPERLINK("https://lsnyc.legalserver.org/matter/dynamic-profile/view/1879679","18-1879679")</f>
        <v>0</v>
      </c>
      <c r="B150" t="s">
        <v>163</v>
      </c>
      <c r="C150" t="s">
        <v>250</v>
      </c>
      <c r="D150" t="s">
        <v>257</v>
      </c>
      <c r="E150" t="s">
        <v>265</v>
      </c>
      <c r="F150" t="s">
        <v>274</v>
      </c>
      <c r="G150" t="s">
        <v>274</v>
      </c>
      <c r="H150">
        <v>131.47</v>
      </c>
      <c r="I150" t="s">
        <v>274</v>
      </c>
      <c r="K150" t="s">
        <v>370</v>
      </c>
      <c r="P150" t="s">
        <v>497</v>
      </c>
      <c r="Q150" t="s">
        <v>501</v>
      </c>
      <c r="S150" t="s">
        <v>503</v>
      </c>
      <c r="T150" t="s">
        <v>508</v>
      </c>
      <c r="U150" t="s">
        <v>511</v>
      </c>
      <c r="V150">
        <v>10468</v>
      </c>
      <c r="W150" t="s">
        <v>524</v>
      </c>
      <c r="X150" t="s">
        <v>549</v>
      </c>
      <c r="Y150" t="s">
        <v>275</v>
      </c>
      <c r="Z150" t="s">
        <v>653</v>
      </c>
      <c r="AA150" t="s">
        <v>819</v>
      </c>
      <c r="AB150" t="s">
        <v>902</v>
      </c>
      <c r="AC150" t="s">
        <v>908</v>
      </c>
      <c r="AF150" t="s">
        <v>923</v>
      </c>
      <c r="AI150">
        <v>4.75</v>
      </c>
      <c r="AJ150" t="s">
        <v>558</v>
      </c>
      <c r="AK150" t="s">
        <v>933</v>
      </c>
      <c r="AL150" t="s">
        <v>274</v>
      </c>
      <c r="AM150" t="s">
        <v>973</v>
      </c>
      <c r="AN150" t="s">
        <v>312</v>
      </c>
      <c r="AT150">
        <v>2</v>
      </c>
      <c r="AU150">
        <v>2</v>
      </c>
      <c r="AV150" t="s">
        <v>273</v>
      </c>
      <c r="AY150" t="s">
        <v>273</v>
      </c>
      <c r="BB150">
        <v>0</v>
      </c>
      <c r="BC150">
        <v>0</v>
      </c>
      <c r="BD150">
        <v>0</v>
      </c>
      <c r="BE150">
        <v>0</v>
      </c>
      <c r="BF150" t="s">
        <v>1063</v>
      </c>
      <c r="BG150" t="s">
        <v>1162</v>
      </c>
      <c r="BH150">
        <v>21</v>
      </c>
      <c r="BI150" t="s">
        <v>1277</v>
      </c>
      <c r="BK150">
        <v>785349</v>
      </c>
    </row>
    <row r="151" spans="1:64">
      <c r="A151" s="1">
        <f>HYPERLINK("https://lsnyc.legalserver.org/matter/dynamic-profile/view/1879685","18-1879685")</f>
        <v>0</v>
      </c>
      <c r="B151" t="s">
        <v>92</v>
      </c>
      <c r="C151" t="s">
        <v>250</v>
      </c>
      <c r="D151" t="s">
        <v>253</v>
      </c>
      <c r="E151" t="s">
        <v>265</v>
      </c>
      <c r="F151" t="s">
        <v>274</v>
      </c>
      <c r="G151" t="s">
        <v>274</v>
      </c>
      <c r="H151">
        <v>129.93</v>
      </c>
      <c r="I151" t="s">
        <v>274</v>
      </c>
      <c r="K151" t="s">
        <v>370</v>
      </c>
      <c r="P151" t="s">
        <v>497</v>
      </c>
      <c r="Q151" t="s">
        <v>501</v>
      </c>
      <c r="S151" t="s">
        <v>503</v>
      </c>
      <c r="T151" t="s">
        <v>508</v>
      </c>
      <c r="U151" t="s">
        <v>511</v>
      </c>
      <c r="V151">
        <v>11435</v>
      </c>
      <c r="W151" t="s">
        <v>524</v>
      </c>
      <c r="X151" t="s">
        <v>549</v>
      </c>
      <c r="Y151" t="s">
        <v>275</v>
      </c>
      <c r="Z151" t="s">
        <v>587</v>
      </c>
      <c r="AA151" t="s">
        <v>754</v>
      </c>
      <c r="AB151" t="s">
        <v>902</v>
      </c>
      <c r="AC151" t="s">
        <v>906</v>
      </c>
      <c r="AF151" t="s">
        <v>923</v>
      </c>
      <c r="AI151">
        <v>12.6</v>
      </c>
      <c r="AJ151" t="s">
        <v>558</v>
      </c>
      <c r="AK151" t="s">
        <v>965</v>
      </c>
      <c r="AL151" t="s">
        <v>274</v>
      </c>
      <c r="AT151">
        <v>2</v>
      </c>
      <c r="AU151">
        <v>1</v>
      </c>
      <c r="AV151" t="s">
        <v>273</v>
      </c>
      <c r="AY151" t="s">
        <v>273</v>
      </c>
      <c r="BB151">
        <v>0</v>
      </c>
      <c r="BC151">
        <v>0</v>
      </c>
      <c r="BD151">
        <v>0</v>
      </c>
      <c r="BE151">
        <v>0</v>
      </c>
      <c r="BF151" t="s">
        <v>1063</v>
      </c>
      <c r="BG151" t="s">
        <v>1092</v>
      </c>
      <c r="BH151">
        <v>42</v>
      </c>
      <c r="BI151" t="s">
        <v>1283</v>
      </c>
      <c r="BK151">
        <v>85938</v>
      </c>
    </row>
    <row r="152" spans="1:64">
      <c r="A152" s="1">
        <f>HYPERLINK("https://lsnyc.legalserver.org/matter/dynamic-profile/view/1879499","18-1879499")</f>
        <v>0</v>
      </c>
      <c r="B152" t="s">
        <v>91</v>
      </c>
      <c r="C152" t="s">
        <v>250</v>
      </c>
      <c r="D152" t="s">
        <v>252</v>
      </c>
      <c r="E152" t="s">
        <v>262</v>
      </c>
      <c r="F152" t="s">
        <v>273</v>
      </c>
      <c r="G152" t="s">
        <v>275</v>
      </c>
      <c r="H152">
        <v>1.65</v>
      </c>
      <c r="I152" t="s">
        <v>274</v>
      </c>
      <c r="K152" t="s">
        <v>371</v>
      </c>
      <c r="O152" t="s">
        <v>275</v>
      </c>
      <c r="P152" t="s">
        <v>492</v>
      </c>
      <c r="Q152" t="s">
        <v>501</v>
      </c>
      <c r="S152" t="s">
        <v>503</v>
      </c>
      <c r="T152" t="s">
        <v>507</v>
      </c>
      <c r="U152" t="s">
        <v>511</v>
      </c>
      <c r="V152">
        <v>11236</v>
      </c>
      <c r="W152" t="s">
        <v>517</v>
      </c>
      <c r="X152" t="s">
        <v>549</v>
      </c>
      <c r="Y152" t="s">
        <v>275</v>
      </c>
      <c r="Z152" t="s">
        <v>586</v>
      </c>
      <c r="AA152" t="s">
        <v>753</v>
      </c>
      <c r="AB152" t="s">
        <v>902</v>
      </c>
      <c r="AC152" t="s">
        <v>904</v>
      </c>
      <c r="AF152" t="s">
        <v>923</v>
      </c>
      <c r="AI152">
        <v>12.38</v>
      </c>
      <c r="AJ152" t="s">
        <v>558</v>
      </c>
      <c r="AK152" t="s">
        <v>939</v>
      </c>
      <c r="AL152" t="s">
        <v>274</v>
      </c>
      <c r="AT152">
        <v>0</v>
      </c>
      <c r="AU152">
        <v>1</v>
      </c>
      <c r="AV152" t="s">
        <v>273</v>
      </c>
      <c r="AY152" t="s">
        <v>273</v>
      </c>
      <c r="BB152">
        <v>0</v>
      </c>
      <c r="BC152">
        <v>0</v>
      </c>
      <c r="BD152">
        <v>0</v>
      </c>
      <c r="BE152">
        <v>0</v>
      </c>
      <c r="BF152" t="s">
        <v>1063</v>
      </c>
      <c r="BG152" t="s">
        <v>1091</v>
      </c>
      <c r="BH152">
        <v>63</v>
      </c>
      <c r="BI152" t="s">
        <v>1256</v>
      </c>
      <c r="BK152">
        <v>1880114</v>
      </c>
      <c r="BL152" t="s">
        <v>275</v>
      </c>
    </row>
    <row r="153" spans="1:64">
      <c r="A153" s="1">
        <f>HYPERLINK("https://lsnyc.legalserver.org/matter/dynamic-profile/view/1879575","18-1879575")</f>
        <v>0</v>
      </c>
      <c r="B153" t="s">
        <v>173</v>
      </c>
      <c r="C153" t="s">
        <v>250</v>
      </c>
      <c r="D153" t="s">
        <v>252</v>
      </c>
      <c r="E153" t="s">
        <v>266</v>
      </c>
      <c r="F153" t="s">
        <v>273</v>
      </c>
      <c r="G153" t="s">
        <v>275</v>
      </c>
      <c r="H153">
        <v>149.92</v>
      </c>
      <c r="I153" t="s">
        <v>274</v>
      </c>
      <c r="K153" t="s">
        <v>371</v>
      </c>
      <c r="O153" t="s">
        <v>275</v>
      </c>
      <c r="P153" t="s">
        <v>494</v>
      </c>
      <c r="Q153" t="s">
        <v>501</v>
      </c>
      <c r="S153" t="s">
        <v>503</v>
      </c>
      <c r="T153" t="s">
        <v>508</v>
      </c>
      <c r="U153" t="s">
        <v>511</v>
      </c>
      <c r="V153">
        <v>11207</v>
      </c>
      <c r="W153" t="s">
        <v>518</v>
      </c>
      <c r="X153" t="s">
        <v>549</v>
      </c>
      <c r="Y153" t="s">
        <v>275</v>
      </c>
      <c r="Z153" t="s">
        <v>663</v>
      </c>
      <c r="AA153" t="s">
        <v>829</v>
      </c>
      <c r="AB153" t="s">
        <v>902</v>
      </c>
      <c r="AC153" t="s">
        <v>905</v>
      </c>
      <c r="AF153" t="s">
        <v>926</v>
      </c>
      <c r="AI153">
        <v>6</v>
      </c>
      <c r="AJ153" t="s">
        <v>931</v>
      </c>
      <c r="AK153" t="s">
        <v>965</v>
      </c>
      <c r="AL153" t="s">
        <v>274</v>
      </c>
      <c r="AM153" t="s">
        <v>973</v>
      </c>
      <c r="AT153">
        <v>0</v>
      </c>
      <c r="AU153">
        <v>1</v>
      </c>
      <c r="AV153" t="s">
        <v>273</v>
      </c>
      <c r="AY153" t="s">
        <v>273</v>
      </c>
      <c r="BB153">
        <v>0</v>
      </c>
      <c r="BC153">
        <v>0</v>
      </c>
      <c r="BD153">
        <v>0</v>
      </c>
      <c r="BE153">
        <v>0</v>
      </c>
      <c r="BF153" t="s">
        <v>1063</v>
      </c>
      <c r="BG153" t="s">
        <v>1172</v>
      </c>
      <c r="BH153">
        <v>36</v>
      </c>
      <c r="BI153" t="s">
        <v>1260</v>
      </c>
      <c r="BK153">
        <v>1880190</v>
      </c>
    </row>
    <row r="154" spans="1:64">
      <c r="A154" s="1">
        <f>HYPERLINK("https://lsnyc.legalserver.org/matter/dynamic-profile/view/1879373","18-1879373")</f>
        <v>0</v>
      </c>
      <c r="B154" t="s">
        <v>174</v>
      </c>
      <c r="C154" t="s">
        <v>250</v>
      </c>
      <c r="D154" t="s">
        <v>252</v>
      </c>
      <c r="E154" t="s">
        <v>265</v>
      </c>
      <c r="F154" t="s">
        <v>273</v>
      </c>
      <c r="G154" t="s">
        <v>275</v>
      </c>
      <c r="H154">
        <v>150.72</v>
      </c>
      <c r="I154" t="s">
        <v>274</v>
      </c>
      <c r="K154" t="s">
        <v>372</v>
      </c>
      <c r="L154" t="s">
        <v>460</v>
      </c>
      <c r="Q154" t="s">
        <v>501</v>
      </c>
      <c r="S154" t="s">
        <v>503</v>
      </c>
      <c r="T154" t="s">
        <v>507</v>
      </c>
      <c r="U154" t="s">
        <v>511</v>
      </c>
      <c r="V154">
        <v>11233</v>
      </c>
      <c r="W154" t="s">
        <v>517</v>
      </c>
      <c r="X154" t="s">
        <v>549</v>
      </c>
      <c r="Y154" t="s">
        <v>274</v>
      </c>
      <c r="Z154" t="s">
        <v>664</v>
      </c>
      <c r="AA154" t="s">
        <v>830</v>
      </c>
      <c r="AB154" t="s">
        <v>902</v>
      </c>
      <c r="AC154" t="s">
        <v>905</v>
      </c>
      <c r="AD154" t="s">
        <v>916</v>
      </c>
      <c r="AE154" t="s">
        <v>918</v>
      </c>
      <c r="AF154" t="s">
        <v>923</v>
      </c>
      <c r="AI154">
        <v>3.1</v>
      </c>
      <c r="AJ154" t="s">
        <v>558</v>
      </c>
      <c r="AK154" t="s">
        <v>953</v>
      </c>
      <c r="AL154" t="s">
        <v>274</v>
      </c>
      <c r="AQ154" t="s">
        <v>1033</v>
      </c>
      <c r="AR154" t="s">
        <v>1053</v>
      </c>
      <c r="AT154">
        <v>2</v>
      </c>
      <c r="AU154">
        <v>1</v>
      </c>
      <c r="AV154" t="s">
        <v>273</v>
      </c>
      <c r="AY154" t="s">
        <v>273</v>
      </c>
      <c r="BB154">
        <v>0</v>
      </c>
      <c r="BC154">
        <v>0</v>
      </c>
      <c r="BD154">
        <v>0</v>
      </c>
      <c r="BE154">
        <v>0</v>
      </c>
      <c r="BF154" t="s">
        <v>493</v>
      </c>
      <c r="BG154" t="s">
        <v>1173</v>
      </c>
      <c r="BH154">
        <v>64</v>
      </c>
      <c r="BI154" t="s">
        <v>1284</v>
      </c>
      <c r="BK154">
        <v>760296</v>
      </c>
    </row>
    <row r="155" spans="1:64">
      <c r="A155" s="1">
        <f>HYPERLINK("https://lsnyc.legalserver.org/matter/dynamic-profile/view/1878944","18-1878944")</f>
        <v>0</v>
      </c>
      <c r="B155" t="s">
        <v>175</v>
      </c>
      <c r="C155" t="s">
        <v>250</v>
      </c>
      <c r="D155" t="s">
        <v>252</v>
      </c>
      <c r="E155" t="s">
        <v>266</v>
      </c>
      <c r="F155" t="s">
        <v>273</v>
      </c>
      <c r="G155" t="s">
        <v>275</v>
      </c>
      <c r="H155">
        <v>0</v>
      </c>
      <c r="I155" t="s">
        <v>274</v>
      </c>
      <c r="K155" t="s">
        <v>373</v>
      </c>
      <c r="P155" t="s">
        <v>492</v>
      </c>
      <c r="Q155" t="s">
        <v>501</v>
      </c>
      <c r="S155" t="s">
        <v>503</v>
      </c>
      <c r="T155" t="s">
        <v>507</v>
      </c>
      <c r="U155" t="s">
        <v>511</v>
      </c>
      <c r="V155">
        <v>11218</v>
      </c>
      <c r="W155" t="s">
        <v>528</v>
      </c>
      <c r="X155" t="s">
        <v>549</v>
      </c>
      <c r="Y155" t="s">
        <v>275</v>
      </c>
      <c r="Z155" t="s">
        <v>665</v>
      </c>
      <c r="AA155" t="s">
        <v>831</v>
      </c>
      <c r="AB155" t="s">
        <v>902</v>
      </c>
      <c r="AC155" t="s">
        <v>906</v>
      </c>
      <c r="AF155" t="s">
        <v>923</v>
      </c>
      <c r="AI155">
        <v>0</v>
      </c>
      <c r="AJ155" t="s">
        <v>558</v>
      </c>
      <c r="AK155" t="s">
        <v>943</v>
      </c>
      <c r="AL155" t="s">
        <v>274</v>
      </c>
      <c r="AT155">
        <v>1</v>
      </c>
      <c r="AU155">
        <v>1</v>
      </c>
      <c r="AV155" t="s">
        <v>273</v>
      </c>
      <c r="AY155" t="s">
        <v>273</v>
      </c>
      <c r="BB155">
        <v>0</v>
      </c>
      <c r="BC155">
        <v>0</v>
      </c>
      <c r="BD155">
        <v>0</v>
      </c>
      <c r="BE155">
        <v>0</v>
      </c>
      <c r="BF155" t="s">
        <v>1063</v>
      </c>
      <c r="BG155" t="s">
        <v>1174</v>
      </c>
      <c r="BH155">
        <v>43</v>
      </c>
      <c r="BI155" t="s">
        <v>1247</v>
      </c>
      <c r="BK155">
        <v>1851851</v>
      </c>
    </row>
    <row r="156" spans="1:64">
      <c r="A156" s="1">
        <f>HYPERLINK("https://lsnyc.legalserver.org/matter/dynamic-profile/view/1879095","18-1879095")</f>
        <v>0</v>
      </c>
      <c r="B156" t="s">
        <v>176</v>
      </c>
      <c r="C156" t="s">
        <v>250</v>
      </c>
      <c r="D156" t="s">
        <v>257</v>
      </c>
      <c r="E156" t="s">
        <v>266</v>
      </c>
      <c r="F156" t="s">
        <v>273</v>
      </c>
      <c r="G156" t="s">
        <v>275</v>
      </c>
      <c r="H156">
        <v>51.93</v>
      </c>
      <c r="I156" t="s">
        <v>274</v>
      </c>
      <c r="K156" t="s">
        <v>373</v>
      </c>
      <c r="P156" t="s">
        <v>492</v>
      </c>
      <c r="Q156" t="s">
        <v>501</v>
      </c>
      <c r="S156" t="s">
        <v>503</v>
      </c>
      <c r="T156" t="s">
        <v>508</v>
      </c>
      <c r="U156" t="s">
        <v>511</v>
      </c>
      <c r="V156">
        <v>10474</v>
      </c>
      <c r="W156" t="s">
        <v>528</v>
      </c>
      <c r="X156" t="s">
        <v>548</v>
      </c>
      <c r="Y156" t="s">
        <v>275</v>
      </c>
      <c r="Z156" t="s">
        <v>666</v>
      </c>
      <c r="AA156" t="s">
        <v>770</v>
      </c>
      <c r="AB156" t="s">
        <v>902</v>
      </c>
      <c r="AC156" t="s">
        <v>905</v>
      </c>
      <c r="AF156" t="s">
        <v>923</v>
      </c>
      <c r="AI156">
        <v>0.5</v>
      </c>
      <c r="AJ156" t="s">
        <v>558</v>
      </c>
      <c r="AK156" t="s">
        <v>933</v>
      </c>
      <c r="AL156" t="s">
        <v>274</v>
      </c>
      <c r="AM156" t="s">
        <v>973</v>
      </c>
      <c r="AN156" t="s">
        <v>1001</v>
      </c>
      <c r="AO156" t="s">
        <v>975</v>
      </c>
      <c r="AT156">
        <v>5</v>
      </c>
      <c r="AU156">
        <v>1</v>
      </c>
      <c r="AV156" t="s">
        <v>273</v>
      </c>
      <c r="AY156" t="s">
        <v>273</v>
      </c>
      <c r="BB156">
        <v>0</v>
      </c>
      <c r="BC156">
        <v>0</v>
      </c>
      <c r="BD156">
        <v>0</v>
      </c>
      <c r="BE156">
        <v>0</v>
      </c>
      <c r="BF156" t="s">
        <v>1063</v>
      </c>
      <c r="BG156" t="s">
        <v>1175</v>
      </c>
      <c r="BH156">
        <v>33</v>
      </c>
      <c r="BI156" t="s">
        <v>1285</v>
      </c>
      <c r="BK156">
        <v>825442</v>
      </c>
    </row>
    <row r="157" spans="1:64">
      <c r="A157" s="1">
        <f>HYPERLINK("https://lsnyc.legalserver.org/matter/dynamic-profile/view/1878765","18-1878765")</f>
        <v>0</v>
      </c>
      <c r="B157" t="s">
        <v>177</v>
      </c>
      <c r="C157" t="s">
        <v>250</v>
      </c>
      <c r="D157" t="s">
        <v>252</v>
      </c>
      <c r="E157" t="s">
        <v>262</v>
      </c>
      <c r="F157" t="s">
        <v>273</v>
      </c>
      <c r="G157" t="s">
        <v>275</v>
      </c>
      <c r="H157">
        <v>4.45</v>
      </c>
      <c r="I157" t="s">
        <v>274</v>
      </c>
      <c r="K157" t="s">
        <v>374</v>
      </c>
      <c r="L157" t="s">
        <v>296</v>
      </c>
      <c r="M157" t="s">
        <v>472</v>
      </c>
      <c r="N157" t="s">
        <v>296</v>
      </c>
      <c r="P157" t="s">
        <v>493</v>
      </c>
      <c r="Q157" t="s">
        <v>501</v>
      </c>
      <c r="S157" t="s">
        <v>503</v>
      </c>
      <c r="T157" t="s">
        <v>507</v>
      </c>
      <c r="U157" t="s">
        <v>511</v>
      </c>
      <c r="V157">
        <v>11203</v>
      </c>
      <c r="W157" t="s">
        <v>520</v>
      </c>
      <c r="X157" t="s">
        <v>549</v>
      </c>
      <c r="Y157" t="s">
        <v>274</v>
      </c>
      <c r="Z157" t="s">
        <v>657</v>
      </c>
      <c r="AA157" t="s">
        <v>832</v>
      </c>
      <c r="AB157" t="s">
        <v>902</v>
      </c>
      <c r="AC157" t="s">
        <v>912</v>
      </c>
      <c r="AD157" t="s">
        <v>275</v>
      </c>
      <c r="AE157" t="s">
        <v>919</v>
      </c>
      <c r="AF157" t="s">
        <v>923</v>
      </c>
      <c r="AI157">
        <v>11.5</v>
      </c>
      <c r="AJ157" t="s">
        <v>558</v>
      </c>
      <c r="AK157" t="s">
        <v>966</v>
      </c>
      <c r="AL157" t="s">
        <v>274</v>
      </c>
      <c r="AM157" t="s">
        <v>973</v>
      </c>
      <c r="AN157" t="s">
        <v>344</v>
      </c>
      <c r="AO157" t="s">
        <v>976</v>
      </c>
      <c r="AP157" t="s">
        <v>296</v>
      </c>
      <c r="AQ157" t="s">
        <v>1038</v>
      </c>
      <c r="AR157" t="s">
        <v>1051</v>
      </c>
      <c r="AT157">
        <v>0</v>
      </c>
      <c r="AU157">
        <v>1</v>
      </c>
      <c r="AV157" t="s">
        <v>273</v>
      </c>
      <c r="AY157" t="s">
        <v>273</v>
      </c>
      <c r="BB157">
        <v>0</v>
      </c>
      <c r="BC157">
        <v>0</v>
      </c>
      <c r="BD157">
        <v>0</v>
      </c>
      <c r="BE157">
        <v>0</v>
      </c>
      <c r="BF157" t="s">
        <v>493</v>
      </c>
      <c r="BG157" t="s">
        <v>1176</v>
      </c>
      <c r="BH157">
        <v>71</v>
      </c>
      <c r="BI157" t="s">
        <v>1286</v>
      </c>
      <c r="BK157">
        <v>1877110</v>
      </c>
      <c r="BL157" t="s">
        <v>275</v>
      </c>
    </row>
    <row r="158" spans="1:64">
      <c r="A158" s="1">
        <f>HYPERLINK("https://lsnyc.legalserver.org/matter/dynamic-profile/view/1878774","18-1878774")</f>
        <v>0</v>
      </c>
      <c r="B158" t="s">
        <v>178</v>
      </c>
      <c r="C158" t="s">
        <v>250</v>
      </c>
      <c r="D158" t="s">
        <v>252</v>
      </c>
      <c r="E158" t="s">
        <v>265</v>
      </c>
      <c r="F158" t="s">
        <v>273</v>
      </c>
      <c r="G158" t="s">
        <v>275</v>
      </c>
      <c r="H158">
        <v>84.84</v>
      </c>
      <c r="I158" t="s">
        <v>274</v>
      </c>
      <c r="K158" t="s">
        <v>374</v>
      </c>
      <c r="L158" t="s">
        <v>462</v>
      </c>
      <c r="O158" t="s">
        <v>275</v>
      </c>
      <c r="P158" t="s">
        <v>498</v>
      </c>
      <c r="Q158" t="s">
        <v>501</v>
      </c>
      <c r="S158" t="s">
        <v>503</v>
      </c>
      <c r="T158" t="s">
        <v>508</v>
      </c>
      <c r="U158" t="s">
        <v>511</v>
      </c>
      <c r="V158">
        <v>11224</v>
      </c>
      <c r="W158" t="s">
        <v>533</v>
      </c>
      <c r="X158" t="s">
        <v>549</v>
      </c>
      <c r="Y158" t="s">
        <v>275</v>
      </c>
      <c r="Z158" t="s">
        <v>667</v>
      </c>
      <c r="AA158" t="s">
        <v>833</v>
      </c>
      <c r="AB158" t="s">
        <v>903</v>
      </c>
      <c r="AD158" t="s">
        <v>916</v>
      </c>
      <c r="AE158" t="s">
        <v>922</v>
      </c>
      <c r="AF158" t="s">
        <v>923</v>
      </c>
      <c r="AI158">
        <v>3.4</v>
      </c>
      <c r="AJ158" t="s">
        <v>558</v>
      </c>
      <c r="AK158" t="s">
        <v>937</v>
      </c>
      <c r="AL158" t="s">
        <v>274</v>
      </c>
      <c r="AQ158" t="s">
        <v>1048</v>
      </c>
      <c r="AR158" t="s">
        <v>1053</v>
      </c>
      <c r="AT158">
        <v>3</v>
      </c>
      <c r="AU158">
        <v>1</v>
      </c>
      <c r="AV158" t="s">
        <v>273</v>
      </c>
      <c r="AY158" t="s">
        <v>273</v>
      </c>
      <c r="BB158">
        <v>0</v>
      </c>
      <c r="BC158">
        <v>0</v>
      </c>
      <c r="BD158">
        <v>0</v>
      </c>
      <c r="BE158">
        <v>0</v>
      </c>
      <c r="BF158" t="s">
        <v>493</v>
      </c>
      <c r="BG158" t="s">
        <v>1177</v>
      </c>
      <c r="BH158">
        <v>45</v>
      </c>
      <c r="BI158" t="s">
        <v>1287</v>
      </c>
      <c r="BK158">
        <v>1879389</v>
      </c>
    </row>
    <row r="159" spans="1:64">
      <c r="A159" s="1">
        <f>HYPERLINK("https://lsnyc.legalserver.org/matter/dynamic-profile/view/1878758","18-1878758")</f>
        <v>0</v>
      </c>
      <c r="B159" t="s">
        <v>179</v>
      </c>
      <c r="C159" t="s">
        <v>250</v>
      </c>
      <c r="D159" t="s">
        <v>253</v>
      </c>
      <c r="E159" t="s">
        <v>265</v>
      </c>
      <c r="F159" t="s">
        <v>274</v>
      </c>
      <c r="G159" t="s">
        <v>274</v>
      </c>
      <c r="H159">
        <v>0</v>
      </c>
      <c r="I159" t="s">
        <v>274</v>
      </c>
      <c r="K159" t="s">
        <v>374</v>
      </c>
      <c r="O159" t="s">
        <v>275</v>
      </c>
      <c r="P159" t="s">
        <v>497</v>
      </c>
      <c r="Q159" t="s">
        <v>501</v>
      </c>
      <c r="S159" t="s">
        <v>503</v>
      </c>
      <c r="T159" t="s">
        <v>507</v>
      </c>
      <c r="U159" t="s">
        <v>511</v>
      </c>
      <c r="V159">
        <v>11432</v>
      </c>
      <c r="W159" t="s">
        <v>521</v>
      </c>
      <c r="X159" t="s">
        <v>548</v>
      </c>
      <c r="Z159" t="s">
        <v>664</v>
      </c>
      <c r="AA159" t="s">
        <v>834</v>
      </c>
      <c r="AB159" t="s">
        <v>902</v>
      </c>
      <c r="AC159" t="s">
        <v>905</v>
      </c>
      <c r="AF159" t="s">
        <v>923</v>
      </c>
      <c r="AI159">
        <v>1.7</v>
      </c>
      <c r="AJ159" t="s">
        <v>558</v>
      </c>
      <c r="AK159" t="s">
        <v>949</v>
      </c>
      <c r="AL159" t="s">
        <v>274</v>
      </c>
      <c r="AT159">
        <v>0</v>
      </c>
      <c r="AU159">
        <v>1</v>
      </c>
      <c r="AV159" t="s">
        <v>273</v>
      </c>
      <c r="AY159" t="s">
        <v>273</v>
      </c>
      <c r="BB159">
        <v>0</v>
      </c>
      <c r="BC159">
        <v>0</v>
      </c>
      <c r="BD159">
        <v>0</v>
      </c>
      <c r="BE159">
        <v>0</v>
      </c>
      <c r="BF159" t="s">
        <v>1063</v>
      </c>
      <c r="BG159" t="s">
        <v>1178</v>
      </c>
      <c r="BH159">
        <v>50</v>
      </c>
      <c r="BI159" t="s">
        <v>1247</v>
      </c>
      <c r="BK159">
        <v>1879373</v>
      </c>
    </row>
    <row r="160" spans="1:64">
      <c r="A160" s="1">
        <f>HYPERLINK("https://lsnyc.legalserver.org/matter/dynamic-profile/view/1878190","18-1878190")</f>
        <v>0</v>
      </c>
      <c r="B160" t="s">
        <v>180</v>
      </c>
      <c r="C160" t="s">
        <v>250</v>
      </c>
      <c r="D160" t="s">
        <v>253</v>
      </c>
      <c r="E160" t="s">
        <v>262</v>
      </c>
      <c r="F160" t="s">
        <v>273</v>
      </c>
      <c r="G160" t="s">
        <v>275</v>
      </c>
      <c r="H160">
        <v>0</v>
      </c>
      <c r="I160" t="s">
        <v>274</v>
      </c>
      <c r="K160" t="s">
        <v>375</v>
      </c>
      <c r="P160" t="s">
        <v>492</v>
      </c>
      <c r="Q160" t="s">
        <v>501</v>
      </c>
      <c r="S160" t="s">
        <v>503</v>
      </c>
      <c r="T160" t="s">
        <v>507</v>
      </c>
      <c r="U160" t="s">
        <v>511</v>
      </c>
      <c r="V160">
        <v>11429</v>
      </c>
      <c r="W160" t="s">
        <v>521</v>
      </c>
      <c r="X160" t="s">
        <v>549</v>
      </c>
      <c r="Y160" t="s">
        <v>275</v>
      </c>
      <c r="Z160" t="s">
        <v>668</v>
      </c>
      <c r="AA160" t="s">
        <v>835</v>
      </c>
      <c r="AB160" t="s">
        <v>902</v>
      </c>
      <c r="AC160" t="s">
        <v>905</v>
      </c>
      <c r="AF160" t="s">
        <v>923</v>
      </c>
      <c r="AI160">
        <v>24.5</v>
      </c>
      <c r="AJ160" t="s">
        <v>558</v>
      </c>
      <c r="AK160" t="s">
        <v>939</v>
      </c>
      <c r="AL160" t="s">
        <v>274</v>
      </c>
      <c r="AM160" t="s">
        <v>973</v>
      </c>
      <c r="AN160" t="s">
        <v>1002</v>
      </c>
      <c r="AS160" t="s">
        <v>558</v>
      </c>
      <c r="AT160">
        <v>0</v>
      </c>
      <c r="AU160">
        <v>1</v>
      </c>
      <c r="AV160" t="s">
        <v>273</v>
      </c>
      <c r="AY160" t="s">
        <v>273</v>
      </c>
      <c r="BB160">
        <v>0</v>
      </c>
      <c r="BC160">
        <v>0</v>
      </c>
      <c r="BD160">
        <v>0</v>
      </c>
      <c r="BE160">
        <v>0</v>
      </c>
      <c r="BF160" t="s">
        <v>1063</v>
      </c>
      <c r="BG160" t="s">
        <v>1179</v>
      </c>
      <c r="BH160">
        <v>19</v>
      </c>
      <c r="BI160" t="s">
        <v>1247</v>
      </c>
      <c r="BK160">
        <v>1878805</v>
      </c>
    </row>
    <row r="161" spans="1:64">
      <c r="A161" s="1">
        <f>HYPERLINK("https://lsnyc.legalserver.org/matter/dynamic-profile/view/1878192","18-1878192")</f>
        <v>0</v>
      </c>
      <c r="B161" t="s">
        <v>181</v>
      </c>
      <c r="C161" t="s">
        <v>250</v>
      </c>
      <c r="D161" t="s">
        <v>253</v>
      </c>
      <c r="E161" t="s">
        <v>262</v>
      </c>
      <c r="F161" t="s">
        <v>275</v>
      </c>
      <c r="G161" t="s">
        <v>275</v>
      </c>
      <c r="H161">
        <v>0</v>
      </c>
      <c r="I161" t="s">
        <v>274</v>
      </c>
      <c r="K161" t="s">
        <v>375</v>
      </c>
      <c r="P161" t="s">
        <v>492</v>
      </c>
      <c r="Q161" t="s">
        <v>501</v>
      </c>
      <c r="S161" t="s">
        <v>503</v>
      </c>
      <c r="T161" t="s">
        <v>507</v>
      </c>
      <c r="U161" t="s">
        <v>511</v>
      </c>
      <c r="V161">
        <v>11421</v>
      </c>
      <c r="W161" t="s">
        <v>521</v>
      </c>
      <c r="X161" t="s">
        <v>556</v>
      </c>
      <c r="Y161" t="s">
        <v>275</v>
      </c>
      <c r="Z161" t="s">
        <v>669</v>
      </c>
      <c r="AA161" t="s">
        <v>836</v>
      </c>
      <c r="AB161" t="s">
        <v>902</v>
      </c>
      <c r="AC161" t="s">
        <v>911</v>
      </c>
      <c r="AD161" t="s">
        <v>275</v>
      </c>
      <c r="AF161" t="s">
        <v>923</v>
      </c>
      <c r="AI161">
        <v>9.35</v>
      </c>
      <c r="AJ161" t="s">
        <v>558</v>
      </c>
      <c r="AK161" t="s">
        <v>943</v>
      </c>
      <c r="AL161" t="s">
        <v>274</v>
      </c>
      <c r="AM161" t="s">
        <v>975</v>
      </c>
      <c r="AN161" t="s">
        <v>290</v>
      </c>
      <c r="AQ161" t="s">
        <v>1033</v>
      </c>
      <c r="AR161" t="s">
        <v>1051</v>
      </c>
      <c r="AS161" t="s">
        <v>558</v>
      </c>
      <c r="AT161">
        <v>0</v>
      </c>
      <c r="AU161">
        <v>1</v>
      </c>
      <c r="AV161" t="s">
        <v>273</v>
      </c>
      <c r="AY161" t="s">
        <v>273</v>
      </c>
      <c r="BB161">
        <v>0</v>
      </c>
      <c r="BC161">
        <v>0</v>
      </c>
      <c r="BD161">
        <v>0</v>
      </c>
      <c r="BE161">
        <v>0</v>
      </c>
      <c r="BF161" t="s">
        <v>1063</v>
      </c>
      <c r="BG161" t="s">
        <v>1180</v>
      </c>
      <c r="BH161">
        <v>24</v>
      </c>
      <c r="BI161" t="s">
        <v>1247</v>
      </c>
      <c r="BK161">
        <v>1878807</v>
      </c>
      <c r="BL161" t="s">
        <v>275</v>
      </c>
    </row>
    <row r="162" spans="1:64">
      <c r="A162" s="1">
        <f>HYPERLINK("https://lsnyc.legalserver.org/matter/dynamic-profile/view/1877786","18-1877786")</f>
        <v>0</v>
      </c>
      <c r="B162" t="s">
        <v>182</v>
      </c>
      <c r="C162" t="s">
        <v>250</v>
      </c>
      <c r="D162" t="s">
        <v>252</v>
      </c>
      <c r="E162" t="s">
        <v>266</v>
      </c>
      <c r="F162" t="s">
        <v>273</v>
      </c>
      <c r="G162" t="s">
        <v>275</v>
      </c>
      <c r="H162">
        <v>0</v>
      </c>
      <c r="I162" t="s">
        <v>274</v>
      </c>
      <c r="K162" t="s">
        <v>376</v>
      </c>
      <c r="P162" t="s">
        <v>492</v>
      </c>
      <c r="Q162" t="s">
        <v>501</v>
      </c>
      <c r="S162" t="s">
        <v>503</v>
      </c>
      <c r="T162" t="s">
        <v>508</v>
      </c>
      <c r="U162" t="s">
        <v>511</v>
      </c>
      <c r="V162">
        <v>11230</v>
      </c>
      <c r="W162" t="s">
        <v>523</v>
      </c>
      <c r="X162" t="s">
        <v>556</v>
      </c>
      <c r="Y162" t="s">
        <v>275</v>
      </c>
      <c r="Z162" t="s">
        <v>670</v>
      </c>
      <c r="AA162" t="s">
        <v>837</v>
      </c>
      <c r="AB162" t="s">
        <v>903</v>
      </c>
      <c r="AF162" t="s">
        <v>928</v>
      </c>
      <c r="AI162">
        <v>13</v>
      </c>
      <c r="AJ162" t="s">
        <v>931</v>
      </c>
      <c r="AK162" t="s">
        <v>943</v>
      </c>
      <c r="AL162" t="s">
        <v>274</v>
      </c>
      <c r="AM162" t="s">
        <v>975</v>
      </c>
      <c r="AT162">
        <v>2</v>
      </c>
      <c r="AU162">
        <v>3</v>
      </c>
      <c r="AV162" t="s">
        <v>273</v>
      </c>
      <c r="AY162" t="s">
        <v>273</v>
      </c>
      <c r="BB162">
        <v>0</v>
      </c>
      <c r="BC162">
        <v>0</v>
      </c>
      <c r="BD162">
        <v>0</v>
      </c>
      <c r="BE162">
        <v>0</v>
      </c>
      <c r="BF162" t="s">
        <v>1063</v>
      </c>
      <c r="BG162" t="s">
        <v>1181</v>
      </c>
      <c r="BH162">
        <v>35</v>
      </c>
      <c r="BI162" t="s">
        <v>1247</v>
      </c>
      <c r="BK162">
        <v>1878400</v>
      </c>
    </row>
    <row r="163" spans="1:64">
      <c r="A163" s="1">
        <f>HYPERLINK("https://lsnyc.legalserver.org/matter/dynamic-profile/view/1877797","18-1877797")</f>
        <v>0</v>
      </c>
      <c r="B163" t="s">
        <v>183</v>
      </c>
      <c r="C163" t="s">
        <v>250</v>
      </c>
      <c r="D163" t="s">
        <v>252</v>
      </c>
      <c r="E163" t="s">
        <v>262</v>
      </c>
      <c r="F163" t="s">
        <v>273</v>
      </c>
      <c r="G163" t="s">
        <v>275</v>
      </c>
      <c r="H163">
        <v>0</v>
      </c>
      <c r="I163" t="s">
        <v>274</v>
      </c>
      <c r="K163" t="s">
        <v>376</v>
      </c>
      <c r="M163" t="s">
        <v>471</v>
      </c>
      <c r="N163" t="s">
        <v>290</v>
      </c>
      <c r="O163" t="s">
        <v>275</v>
      </c>
      <c r="P163" t="s">
        <v>492</v>
      </c>
      <c r="Q163" t="s">
        <v>501</v>
      </c>
      <c r="S163" t="s">
        <v>503</v>
      </c>
      <c r="T163" t="s">
        <v>507</v>
      </c>
      <c r="U163" t="s">
        <v>511</v>
      </c>
      <c r="V163">
        <v>11207</v>
      </c>
      <c r="W163" t="s">
        <v>518</v>
      </c>
      <c r="X163" t="s">
        <v>549</v>
      </c>
      <c r="Y163" t="s">
        <v>274</v>
      </c>
      <c r="Z163" t="s">
        <v>671</v>
      </c>
      <c r="AA163" t="s">
        <v>835</v>
      </c>
      <c r="AB163" t="s">
        <v>902</v>
      </c>
      <c r="AC163" t="s">
        <v>905</v>
      </c>
      <c r="AD163" t="s">
        <v>274</v>
      </c>
      <c r="AF163" t="s">
        <v>926</v>
      </c>
      <c r="AI163">
        <v>41.45</v>
      </c>
      <c r="AJ163" t="s">
        <v>558</v>
      </c>
      <c r="AK163" t="s">
        <v>944</v>
      </c>
      <c r="AL163" t="s">
        <v>274</v>
      </c>
      <c r="AM163" t="s">
        <v>973</v>
      </c>
      <c r="AN163" t="s">
        <v>290</v>
      </c>
      <c r="AQ163" t="s">
        <v>1033</v>
      </c>
      <c r="AR163" t="s">
        <v>1053</v>
      </c>
      <c r="AT163">
        <v>0</v>
      </c>
      <c r="AU163">
        <v>1</v>
      </c>
      <c r="AV163" t="s">
        <v>273</v>
      </c>
      <c r="AY163" t="s">
        <v>273</v>
      </c>
      <c r="BB163">
        <v>0</v>
      </c>
      <c r="BC163">
        <v>0</v>
      </c>
      <c r="BD163">
        <v>0</v>
      </c>
      <c r="BE163">
        <v>0</v>
      </c>
      <c r="BF163" t="s">
        <v>1063</v>
      </c>
      <c r="BG163" t="s">
        <v>1182</v>
      </c>
      <c r="BH163">
        <v>46</v>
      </c>
      <c r="BI163" t="s">
        <v>1247</v>
      </c>
      <c r="BK163">
        <v>1878411</v>
      </c>
      <c r="BL163" t="s">
        <v>275</v>
      </c>
    </row>
    <row r="164" spans="1:64">
      <c r="A164" s="1">
        <f>HYPERLINK("https://lsnyc.legalserver.org/matter/dynamic-profile/view/1877286","18-1877286")</f>
        <v>0</v>
      </c>
      <c r="B164" t="s">
        <v>184</v>
      </c>
      <c r="C164" t="s">
        <v>250</v>
      </c>
      <c r="D164" t="s">
        <v>252</v>
      </c>
      <c r="E164" t="s">
        <v>266</v>
      </c>
      <c r="F164" t="s">
        <v>273</v>
      </c>
      <c r="G164" t="s">
        <v>275</v>
      </c>
      <c r="H164">
        <v>0</v>
      </c>
      <c r="I164" t="s">
        <v>274</v>
      </c>
      <c r="K164" t="s">
        <v>377</v>
      </c>
      <c r="Q164" t="s">
        <v>502</v>
      </c>
      <c r="S164" t="s">
        <v>503</v>
      </c>
      <c r="T164" t="s">
        <v>507</v>
      </c>
      <c r="U164" t="s">
        <v>511</v>
      </c>
      <c r="V164">
        <v>11211</v>
      </c>
      <c r="W164" t="s">
        <v>529</v>
      </c>
      <c r="X164" t="s">
        <v>548</v>
      </c>
      <c r="Y164" t="s">
        <v>275</v>
      </c>
      <c r="Z164" t="s">
        <v>672</v>
      </c>
      <c r="AA164" t="s">
        <v>838</v>
      </c>
      <c r="AB164" t="s">
        <v>902</v>
      </c>
      <c r="AC164" t="s">
        <v>905</v>
      </c>
      <c r="AF164" t="s">
        <v>926</v>
      </c>
      <c r="AI164">
        <v>0</v>
      </c>
      <c r="AJ164" t="s">
        <v>558</v>
      </c>
      <c r="AK164" t="s">
        <v>941</v>
      </c>
      <c r="AL164" t="s">
        <v>274</v>
      </c>
      <c r="AM164" t="s">
        <v>973</v>
      </c>
      <c r="AO164" t="s">
        <v>975</v>
      </c>
      <c r="AT164">
        <v>2</v>
      </c>
      <c r="AU164">
        <v>2</v>
      </c>
      <c r="AV164" t="s">
        <v>274</v>
      </c>
      <c r="AY164" t="s">
        <v>274</v>
      </c>
      <c r="BB164">
        <v>0</v>
      </c>
      <c r="BC164">
        <v>0</v>
      </c>
      <c r="BD164">
        <v>0</v>
      </c>
      <c r="BE164">
        <v>0</v>
      </c>
      <c r="BF164" t="s">
        <v>1063</v>
      </c>
      <c r="BG164" t="s">
        <v>1183</v>
      </c>
      <c r="BH164">
        <v>17</v>
      </c>
      <c r="BI164" t="s">
        <v>1247</v>
      </c>
      <c r="BK164">
        <v>1869691</v>
      </c>
    </row>
    <row r="165" spans="1:64">
      <c r="A165" s="1">
        <f>HYPERLINK("https://lsnyc.legalserver.org/matter/dynamic-profile/view/1877609","18-1877609")</f>
        <v>0</v>
      </c>
      <c r="B165" t="s">
        <v>185</v>
      </c>
      <c r="C165" t="s">
        <v>250</v>
      </c>
      <c r="D165" t="s">
        <v>252</v>
      </c>
      <c r="E165" t="s">
        <v>271</v>
      </c>
      <c r="F165" t="s">
        <v>273</v>
      </c>
      <c r="G165" t="s">
        <v>275</v>
      </c>
      <c r="H165">
        <v>41.12</v>
      </c>
      <c r="I165" t="s">
        <v>274</v>
      </c>
      <c r="K165" t="s">
        <v>378</v>
      </c>
      <c r="L165" t="s">
        <v>455</v>
      </c>
      <c r="M165" t="s">
        <v>471</v>
      </c>
      <c r="N165" t="s">
        <v>453</v>
      </c>
      <c r="P165" t="s">
        <v>493</v>
      </c>
      <c r="Q165" t="s">
        <v>501</v>
      </c>
      <c r="S165" t="s">
        <v>503</v>
      </c>
      <c r="T165" t="s">
        <v>507</v>
      </c>
      <c r="U165" t="s">
        <v>511</v>
      </c>
      <c r="V165">
        <v>11208</v>
      </c>
      <c r="W165" t="s">
        <v>525</v>
      </c>
      <c r="X165" t="s">
        <v>549</v>
      </c>
      <c r="Y165" t="s">
        <v>274</v>
      </c>
      <c r="Z165" t="s">
        <v>673</v>
      </c>
      <c r="AA165" t="s">
        <v>839</v>
      </c>
      <c r="AB165" t="s">
        <v>902</v>
      </c>
      <c r="AC165" t="s">
        <v>904</v>
      </c>
      <c r="AD165" t="s">
        <v>275</v>
      </c>
      <c r="AE165" t="s">
        <v>919</v>
      </c>
      <c r="AF165" t="s">
        <v>923</v>
      </c>
      <c r="AI165">
        <v>5.5</v>
      </c>
      <c r="AJ165" t="s">
        <v>558</v>
      </c>
      <c r="AK165" t="s">
        <v>937</v>
      </c>
      <c r="AL165" t="s">
        <v>274</v>
      </c>
      <c r="AM165" t="s">
        <v>975</v>
      </c>
      <c r="AN165" t="s">
        <v>1003</v>
      </c>
      <c r="AQ165" t="s">
        <v>1038</v>
      </c>
      <c r="AR165" t="s">
        <v>1051</v>
      </c>
      <c r="AT165">
        <v>0</v>
      </c>
      <c r="AU165">
        <v>1</v>
      </c>
      <c r="AV165" t="s">
        <v>273</v>
      </c>
      <c r="AY165" t="s">
        <v>273</v>
      </c>
      <c r="BB165">
        <v>0</v>
      </c>
      <c r="BC165">
        <v>0</v>
      </c>
      <c r="BD165">
        <v>0</v>
      </c>
      <c r="BE165">
        <v>0</v>
      </c>
      <c r="BF165" t="s">
        <v>493</v>
      </c>
      <c r="BG165" t="s">
        <v>1184</v>
      </c>
      <c r="BH165">
        <v>43</v>
      </c>
      <c r="BI165" t="s">
        <v>1288</v>
      </c>
      <c r="BK165">
        <v>1855011</v>
      </c>
    </row>
    <row r="166" spans="1:64">
      <c r="A166" s="1">
        <f>HYPERLINK("https://lsnyc.legalserver.org/matter/dynamic-profile/view/1877532","18-1877532")</f>
        <v>0</v>
      </c>
      <c r="B166" t="s">
        <v>186</v>
      </c>
      <c r="C166" t="s">
        <v>250</v>
      </c>
      <c r="D166" t="s">
        <v>252</v>
      </c>
      <c r="E166" t="s">
        <v>261</v>
      </c>
      <c r="F166" t="s">
        <v>273</v>
      </c>
      <c r="G166" t="s">
        <v>275</v>
      </c>
      <c r="H166">
        <v>86.62</v>
      </c>
      <c r="I166" t="s">
        <v>274</v>
      </c>
      <c r="K166" t="s">
        <v>378</v>
      </c>
      <c r="P166" t="s">
        <v>492</v>
      </c>
      <c r="Q166" t="s">
        <v>501</v>
      </c>
      <c r="S166" t="s">
        <v>503</v>
      </c>
      <c r="T166" t="s">
        <v>508</v>
      </c>
      <c r="U166" t="s">
        <v>511</v>
      </c>
      <c r="V166">
        <v>11209</v>
      </c>
      <c r="W166" t="s">
        <v>524</v>
      </c>
      <c r="X166" t="s">
        <v>549</v>
      </c>
      <c r="Y166" t="s">
        <v>275</v>
      </c>
      <c r="Z166" t="s">
        <v>674</v>
      </c>
      <c r="AA166" t="s">
        <v>840</v>
      </c>
      <c r="AB166" t="s">
        <v>903</v>
      </c>
      <c r="AF166" t="s">
        <v>923</v>
      </c>
      <c r="AI166">
        <v>5.35</v>
      </c>
      <c r="AK166" t="s">
        <v>960</v>
      </c>
      <c r="AT166">
        <v>1</v>
      </c>
      <c r="AU166">
        <v>2</v>
      </c>
      <c r="AV166" t="s">
        <v>273</v>
      </c>
      <c r="AY166" t="s">
        <v>273</v>
      </c>
      <c r="BB166">
        <v>0</v>
      </c>
      <c r="BC166">
        <v>0</v>
      </c>
      <c r="BD166">
        <v>0</v>
      </c>
      <c r="BE166">
        <v>0</v>
      </c>
      <c r="BF166" t="s">
        <v>1063</v>
      </c>
      <c r="BG166" t="s">
        <v>1185</v>
      </c>
      <c r="BH166">
        <v>30</v>
      </c>
      <c r="BI166" t="s">
        <v>1289</v>
      </c>
      <c r="BK166">
        <v>1875483</v>
      </c>
      <c r="BL166" t="s">
        <v>275</v>
      </c>
    </row>
    <row r="167" spans="1:64">
      <c r="A167" s="1">
        <f>HYPERLINK("https://lsnyc.legalserver.org/matter/dynamic-profile/view/1876213","18-1876213")</f>
        <v>0</v>
      </c>
      <c r="B167" t="s">
        <v>187</v>
      </c>
      <c r="C167" t="s">
        <v>250</v>
      </c>
      <c r="D167" t="s">
        <v>252</v>
      </c>
      <c r="E167" t="s">
        <v>266</v>
      </c>
      <c r="F167" t="s">
        <v>273</v>
      </c>
      <c r="G167" t="s">
        <v>275</v>
      </c>
      <c r="H167">
        <v>15.01</v>
      </c>
      <c r="I167" t="s">
        <v>274</v>
      </c>
      <c r="K167" t="s">
        <v>379</v>
      </c>
      <c r="O167" t="s">
        <v>275</v>
      </c>
      <c r="Q167" t="s">
        <v>501</v>
      </c>
      <c r="S167" t="s">
        <v>503</v>
      </c>
      <c r="T167" t="s">
        <v>508</v>
      </c>
      <c r="U167" t="s">
        <v>511</v>
      </c>
      <c r="V167">
        <v>11208</v>
      </c>
      <c r="W167" t="s">
        <v>518</v>
      </c>
      <c r="X167" t="s">
        <v>549</v>
      </c>
      <c r="Y167" t="s">
        <v>275</v>
      </c>
      <c r="Z167" t="s">
        <v>675</v>
      </c>
      <c r="AA167" t="s">
        <v>841</v>
      </c>
      <c r="AB167" t="s">
        <v>902</v>
      </c>
      <c r="AC167" t="s">
        <v>904</v>
      </c>
      <c r="AF167" t="s">
        <v>926</v>
      </c>
      <c r="AI167">
        <v>5.9</v>
      </c>
      <c r="AJ167" t="s">
        <v>558</v>
      </c>
      <c r="AK167" t="s">
        <v>961</v>
      </c>
      <c r="AL167" t="s">
        <v>274</v>
      </c>
      <c r="AM167" t="s">
        <v>975</v>
      </c>
      <c r="AT167">
        <v>2</v>
      </c>
      <c r="AU167">
        <v>1</v>
      </c>
      <c r="AV167" t="s">
        <v>273</v>
      </c>
      <c r="AY167" t="s">
        <v>273</v>
      </c>
      <c r="BB167">
        <v>0</v>
      </c>
      <c r="BC167">
        <v>0</v>
      </c>
      <c r="BD167">
        <v>0</v>
      </c>
      <c r="BE167">
        <v>0</v>
      </c>
      <c r="BF167" t="s">
        <v>1063</v>
      </c>
      <c r="BG167" t="s">
        <v>1186</v>
      </c>
      <c r="BH167">
        <v>37</v>
      </c>
      <c r="BI167" t="s">
        <v>1290</v>
      </c>
      <c r="BK167">
        <v>1876822</v>
      </c>
    </row>
    <row r="168" spans="1:64">
      <c r="A168" s="1">
        <f>HYPERLINK("https://lsnyc.legalserver.org/matter/dynamic-profile/view/1875499","18-1875499")</f>
        <v>0</v>
      </c>
      <c r="B168" t="s">
        <v>188</v>
      </c>
      <c r="C168" t="s">
        <v>250</v>
      </c>
      <c r="D168" t="s">
        <v>252</v>
      </c>
      <c r="E168" t="s">
        <v>265</v>
      </c>
      <c r="F168" t="s">
        <v>273</v>
      </c>
      <c r="G168" t="s">
        <v>275</v>
      </c>
      <c r="H168">
        <v>98.84999999999999</v>
      </c>
      <c r="I168" t="s">
        <v>274</v>
      </c>
      <c r="K168" t="s">
        <v>380</v>
      </c>
      <c r="L168" t="s">
        <v>462</v>
      </c>
      <c r="O168" t="s">
        <v>275</v>
      </c>
      <c r="P168" t="s">
        <v>498</v>
      </c>
      <c r="Q168" t="s">
        <v>501</v>
      </c>
      <c r="S168" t="s">
        <v>503</v>
      </c>
      <c r="T168" t="s">
        <v>508</v>
      </c>
      <c r="U168" t="s">
        <v>511</v>
      </c>
      <c r="V168">
        <v>11208</v>
      </c>
      <c r="W168" t="s">
        <v>516</v>
      </c>
      <c r="X168" t="s">
        <v>549</v>
      </c>
      <c r="Y168" t="s">
        <v>275</v>
      </c>
      <c r="Z168" t="s">
        <v>676</v>
      </c>
      <c r="AA168" t="s">
        <v>842</v>
      </c>
      <c r="AB168" t="s">
        <v>902</v>
      </c>
      <c r="AC168" t="s">
        <v>905</v>
      </c>
      <c r="AD168" t="s">
        <v>274</v>
      </c>
      <c r="AE168" t="s">
        <v>920</v>
      </c>
      <c r="AF168" t="s">
        <v>925</v>
      </c>
      <c r="AI168">
        <v>3</v>
      </c>
      <c r="AJ168" t="s">
        <v>558</v>
      </c>
      <c r="AK168" t="s">
        <v>967</v>
      </c>
      <c r="AL168" t="s">
        <v>274</v>
      </c>
      <c r="AM168" t="s">
        <v>975</v>
      </c>
      <c r="AQ168" t="s">
        <v>1033</v>
      </c>
      <c r="AR168" t="s">
        <v>1051</v>
      </c>
      <c r="AT168">
        <v>0</v>
      </c>
      <c r="AU168">
        <v>1</v>
      </c>
      <c r="AV168" t="s">
        <v>273</v>
      </c>
      <c r="AY168" t="s">
        <v>273</v>
      </c>
      <c r="BB168">
        <v>0</v>
      </c>
      <c r="BC168">
        <v>0</v>
      </c>
      <c r="BD168">
        <v>0</v>
      </c>
      <c r="BE168">
        <v>0</v>
      </c>
      <c r="BF168" t="s">
        <v>493</v>
      </c>
      <c r="BG168" t="s">
        <v>1187</v>
      </c>
      <c r="BH168">
        <v>25</v>
      </c>
      <c r="BI168" t="s">
        <v>1267</v>
      </c>
      <c r="BK168">
        <v>1876108</v>
      </c>
    </row>
    <row r="169" spans="1:64">
      <c r="A169" s="1">
        <f>HYPERLINK("https://lsnyc.legalserver.org/matter/dynamic-profile/view/1875135","18-1875135")</f>
        <v>0</v>
      </c>
      <c r="B169" t="s">
        <v>189</v>
      </c>
      <c r="C169" t="s">
        <v>250</v>
      </c>
      <c r="D169" t="s">
        <v>252</v>
      </c>
      <c r="E169" t="s">
        <v>262</v>
      </c>
      <c r="F169" t="s">
        <v>273</v>
      </c>
      <c r="G169" t="s">
        <v>275</v>
      </c>
      <c r="H169">
        <v>0</v>
      </c>
      <c r="I169" t="s">
        <v>274</v>
      </c>
      <c r="K169" t="s">
        <v>381</v>
      </c>
      <c r="O169" t="s">
        <v>275</v>
      </c>
      <c r="P169" t="s">
        <v>492</v>
      </c>
      <c r="Q169" t="s">
        <v>501</v>
      </c>
      <c r="S169" t="s">
        <v>503</v>
      </c>
      <c r="T169" t="s">
        <v>507</v>
      </c>
      <c r="U169" t="s">
        <v>511</v>
      </c>
      <c r="V169">
        <v>11204</v>
      </c>
      <c r="W169" t="s">
        <v>521</v>
      </c>
      <c r="X169" t="s">
        <v>548</v>
      </c>
      <c r="Y169" t="s">
        <v>275</v>
      </c>
      <c r="Z169" t="s">
        <v>677</v>
      </c>
      <c r="AA169" t="s">
        <v>843</v>
      </c>
      <c r="AB169" t="s">
        <v>902</v>
      </c>
      <c r="AC169" t="s">
        <v>905</v>
      </c>
      <c r="AF169" t="s">
        <v>923</v>
      </c>
      <c r="AI169">
        <v>48.8</v>
      </c>
      <c r="AJ169" t="s">
        <v>558</v>
      </c>
      <c r="AK169" t="s">
        <v>945</v>
      </c>
      <c r="AL169" t="s">
        <v>274</v>
      </c>
      <c r="AM169" t="s">
        <v>973</v>
      </c>
      <c r="AN169" t="s">
        <v>317</v>
      </c>
      <c r="AT169">
        <v>0</v>
      </c>
      <c r="AU169">
        <v>1</v>
      </c>
      <c r="AV169" t="s">
        <v>273</v>
      </c>
      <c r="AY169" t="s">
        <v>273</v>
      </c>
      <c r="BB169">
        <v>0</v>
      </c>
      <c r="BC169">
        <v>0</v>
      </c>
      <c r="BD169">
        <v>0</v>
      </c>
      <c r="BE169">
        <v>0</v>
      </c>
      <c r="BF169" t="s">
        <v>1063</v>
      </c>
      <c r="BG169" t="s">
        <v>1188</v>
      </c>
      <c r="BH169">
        <v>35</v>
      </c>
      <c r="BI169" t="s">
        <v>1247</v>
      </c>
      <c r="BK169">
        <v>1875741</v>
      </c>
      <c r="BL169" t="s">
        <v>275</v>
      </c>
    </row>
    <row r="170" spans="1:64">
      <c r="A170" s="1">
        <f>HYPERLINK("https://lsnyc.legalserver.org/matter/dynamic-profile/view/1875094","18-1875094")</f>
        <v>0</v>
      </c>
      <c r="B170" t="s">
        <v>190</v>
      </c>
      <c r="C170" t="s">
        <v>250</v>
      </c>
      <c r="D170" t="s">
        <v>252</v>
      </c>
      <c r="E170" t="s">
        <v>262</v>
      </c>
      <c r="F170" t="s">
        <v>273</v>
      </c>
      <c r="G170" t="s">
        <v>275</v>
      </c>
      <c r="H170">
        <v>19.77</v>
      </c>
      <c r="I170" t="s">
        <v>274</v>
      </c>
      <c r="K170" t="s">
        <v>382</v>
      </c>
      <c r="P170" t="s">
        <v>496</v>
      </c>
      <c r="Q170" t="s">
        <v>501</v>
      </c>
      <c r="S170" t="s">
        <v>503</v>
      </c>
      <c r="T170" t="s">
        <v>508</v>
      </c>
      <c r="U170" t="s">
        <v>511</v>
      </c>
      <c r="V170">
        <v>11220</v>
      </c>
      <c r="W170" t="s">
        <v>539</v>
      </c>
      <c r="X170" t="s">
        <v>548</v>
      </c>
      <c r="Y170" t="s">
        <v>275</v>
      </c>
      <c r="Z170" t="s">
        <v>678</v>
      </c>
      <c r="AA170" t="s">
        <v>844</v>
      </c>
      <c r="AB170" t="s">
        <v>902</v>
      </c>
      <c r="AC170" t="s">
        <v>904</v>
      </c>
      <c r="AF170" t="s">
        <v>923</v>
      </c>
      <c r="AI170">
        <v>14.75</v>
      </c>
      <c r="AK170" t="s">
        <v>950</v>
      </c>
      <c r="AL170" t="s">
        <v>274</v>
      </c>
      <c r="AM170" t="s">
        <v>973</v>
      </c>
      <c r="AN170" t="s">
        <v>364</v>
      </c>
      <c r="AT170">
        <v>0</v>
      </c>
      <c r="AU170">
        <v>1</v>
      </c>
      <c r="AV170" t="s">
        <v>273</v>
      </c>
      <c r="AY170" t="s">
        <v>273</v>
      </c>
      <c r="BB170">
        <v>0</v>
      </c>
      <c r="BC170">
        <v>0</v>
      </c>
      <c r="BD170">
        <v>0</v>
      </c>
      <c r="BE170">
        <v>0</v>
      </c>
      <c r="BF170" t="s">
        <v>1063</v>
      </c>
      <c r="BG170" t="s">
        <v>1189</v>
      </c>
      <c r="BH170">
        <v>52</v>
      </c>
      <c r="BI170" t="s">
        <v>1291</v>
      </c>
      <c r="BK170">
        <v>802120</v>
      </c>
      <c r="BL170" t="s">
        <v>275</v>
      </c>
    </row>
    <row r="171" spans="1:64">
      <c r="A171" s="1">
        <f>HYPERLINK("https://lsnyc.legalserver.org/matter/dynamic-profile/view/1874877","18-1874877")</f>
        <v>0</v>
      </c>
      <c r="B171" t="s">
        <v>186</v>
      </c>
      <c r="C171" t="s">
        <v>250</v>
      </c>
      <c r="D171" t="s">
        <v>252</v>
      </c>
      <c r="E171" t="s">
        <v>261</v>
      </c>
      <c r="F171" t="s">
        <v>273</v>
      </c>
      <c r="G171" t="s">
        <v>275</v>
      </c>
      <c r="H171">
        <v>86.62</v>
      </c>
      <c r="I171" t="s">
        <v>274</v>
      </c>
      <c r="K171" t="s">
        <v>383</v>
      </c>
      <c r="O171" t="s">
        <v>275</v>
      </c>
      <c r="P171" t="s">
        <v>492</v>
      </c>
      <c r="Q171" t="s">
        <v>501</v>
      </c>
      <c r="R171" t="s">
        <v>501</v>
      </c>
      <c r="S171" t="s">
        <v>503</v>
      </c>
      <c r="T171" t="s">
        <v>508</v>
      </c>
      <c r="U171" t="s">
        <v>511</v>
      </c>
      <c r="V171">
        <v>11209</v>
      </c>
      <c r="W171" t="s">
        <v>540</v>
      </c>
      <c r="X171" t="s">
        <v>549</v>
      </c>
      <c r="Y171" t="s">
        <v>275</v>
      </c>
      <c r="Z171" t="s">
        <v>674</v>
      </c>
      <c r="AA171" t="s">
        <v>840</v>
      </c>
      <c r="AB171" t="s">
        <v>903</v>
      </c>
      <c r="AF171" t="s">
        <v>923</v>
      </c>
      <c r="AI171">
        <v>12.25</v>
      </c>
      <c r="AJ171" t="s">
        <v>558</v>
      </c>
      <c r="AK171" t="s">
        <v>960</v>
      </c>
      <c r="AT171">
        <v>1</v>
      </c>
      <c r="AU171">
        <v>2</v>
      </c>
      <c r="AV171" t="s">
        <v>273</v>
      </c>
      <c r="AY171" t="s">
        <v>273</v>
      </c>
      <c r="BB171">
        <v>0</v>
      </c>
      <c r="BC171">
        <v>0</v>
      </c>
      <c r="BD171">
        <v>0</v>
      </c>
      <c r="BE171">
        <v>0</v>
      </c>
      <c r="BF171" t="s">
        <v>1063</v>
      </c>
      <c r="BG171" t="s">
        <v>1185</v>
      </c>
      <c r="BH171">
        <v>30</v>
      </c>
      <c r="BI171" t="s">
        <v>1289</v>
      </c>
      <c r="BK171">
        <v>1875483</v>
      </c>
      <c r="BL171" t="s">
        <v>275</v>
      </c>
    </row>
    <row r="172" spans="1:64">
      <c r="A172" s="1">
        <f>HYPERLINK("https://lsnyc.legalserver.org/matter/dynamic-profile/view/1874677","18-1874677")</f>
        <v>0</v>
      </c>
      <c r="B172" t="s">
        <v>191</v>
      </c>
      <c r="C172" t="s">
        <v>250</v>
      </c>
      <c r="D172" t="s">
        <v>252</v>
      </c>
      <c r="E172" t="s">
        <v>265</v>
      </c>
      <c r="F172" t="s">
        <v>273</v>
      </c>
      <c r="G172" t="s">
        <v>275</v>
      </c>
      <c r="H172">
        <v>40.26</v>
      </c>
      <c r="I172" t="s">
        <v>274</v>
      </c>
      <c r="K172" t="s">
        <v>384</v>
      </c>
      <c r="L172" t="s">
        <v>449</v>
      </c>
      <c r="P172" t="s">
        <v>492</v>
      </c>
      <c r="Q172" t="s">
        <v>501</v>
      </c>
      <c r="S172" t="s">
        <v>503</v>
      </c>
      <c r="T172" t="s">
        <v>507</v>
      </c>
      <c r="U172" t="s">
        <v>511</v>
      </c>
      <c r="V172">
        <v>11208</v>
      </c>
      <c r="W172" t="s">
        <v>519</v>
      </c>
      <c r="X172" t="s">
        <v>548</v>
      </c>
      <c r="Z172" t="s">
        <v>597</v>
      </c>
      <c r="AA172" t="s">
        <v>845</v>
      </c>
      <c r="AB172" t="s">
        <v>902</v>
      </c>
      <c r="AC172" t="s">
        <v>905</v>
      </c>
      <c r="AD172" t="s">
        <v>916</v>
      </c>
      <c r="AE172" t="s">
        <v>921</v>
      </c>
      <c r="AF172" t="s">
        <v>926</v>
      </c>
      <c r="AI172">
        <v>2.7</v>
      </c>
      <c r="AJ172" t="s">
        <v>558</v>
      </c>
      <c r="AK172" t="s">
        <v>945</v>
      </c>
      <c r="AL172" t="s">
        <v>274</v>
      </c>
      <c r="AM172" t="s">
        <v>978</v>
      </c>
      <c r="AN172" t="s">
        <v>1004</v>
      </c>
      <c r="AQ172" t="s">
        <v>1039</v>
      </c>
      <c r="AR172" t="s">
        <v>1051</v>
      </c>
      <c r="AS172" t="s">
        <v>558</v>
      </c>
      <c r="AT172">
        <v>0</v>
      </c>
      <c r="AU172">
        <v>1</v>
      </c>
      <c r="AV172" t="s">
        <v>273</v>
      </c>
      <c r="AY172" t="s">
        <v>273</v>
      </c>
      <c r="BB172">
        <v>0</v>
      </c>
      <c r="BC172">
        <v>0</v>
      </c>
      <c r="BD172">
        <v>0</v>
      </c>
      <c r="BE172">
        <v>0</v>
      </c>
      <c r="BF172" t="s">
        <v>493</v>
      </c>
      <c r="BG172" t="s">
        <v>1190</v>
      </c>
      <c r="BH172">
        <v>32</v>
      </c>
      <c r="BI172" t="s">
        <v>1292</v>
      </c>
      <c r="BK172">
        <v>1875262</v>
      </c>
    </row>
    <row r="173" spans="1:64">
      <c r="A173" s="1">
        <f>HYPERLINK("https://lsnyc.legalserver.org/matter/dynamic-profile/view/1874657","18-1874657")</f>
        <v>0</v>
      </c>
      <c r="B173" t="s">
        <v>191</v>
      </c>
      <c r="C173" t="s">
        <v>250</v>
      </c>
      <c r="D173" t="s">
        <v>252</v>
      </c>
      <c r="E173" t="s">
        <v>265</v>
      </c>
      <c r="F173" t="s">
        <v>273</v>
      </c>
      <c r="G173" t="s">
        <v>275</v>
      </c>
      <c r="H173">
        <v>40.26</v>
      </c>
      <c r="I173" t="s">
        <v>274</v>
      </c>
      <c r="K173" t="s">
        <v>385</v>
      </c>
      <c r="L173" t="s">
        <v>449</v>
      </c>
      <c r="P173" t="s">
        <v>492</v>
      </c>
      <c r="Q173" t="s">
        <v>501</v>
      </c>
      <c r="S173" t="s">
        <v>503</v>
      </c>
      <c r="T173" t="s">
        <v>507</v>
      </c>
      <c r="U173" t="s">
        <v>511</v>
      </c>
      <c r="V173">
        <v>11208</v>
      </c>
      <c r="W173" t="s">
        <v>518</v>
      </c>
      <c r="X173" t="s">
        <v>548</v>
      </c>
      <c r="Y173" t="s">
        <v>275</v>
      </c>
      <c r="Z173" t="s">
        <v>597</v>
      </c>
      <c r="AA173" t="s">
        <v>845</v>
      </c>
      <c r="AB173" t="s">
        <v>902</v>
      </c>
      <c r="AC173" t="s">
        <v>905</v>
      </c>
      <c r="AD173" t="s">
        <v>916</v>
      </c>
      <c r="AE173" t="s">
        <v>921</v>
      </c>
      <c r="AF173" t="s">
        <v>926</v>
      </c>
      <c r="AI173">
        <v>109.5</v>
      </c>
      <c r="AJ173" t="s">
        <v>558</v>
      </c>
      <c r="AK173" t="s">
        <v>945</v>
      </c>
      <c r="AL173" t="s">
        <v>274</v>
      </c>
      <c r="AM173" t="s">
        <v>973</v>
      </c>
      <c r="AN173" t="s">
        <v>1005</v>
      </c>
      <c r="AQ173" t="s">
        <v>1049</v>
      </c>
      <c r="AR173" t="s">
        <v>1051</v>
      </c>
      <c r="AS173" t="s">
        <v>558</v>
      </c>
      <c r="AT173">
        <v>0</v>
      </c>
      <c r="AU173">
        <v>1</v>
      </c>
      <c r="AV173" t="s">
        <v>273</v>
      </c>
      <c r="AY173" t="s">
        <v>273</v>
      </c>
      <c r="BB173">
        <v>0</v>
      </c>
      <c r="BC173">
        <v>0</v>
      </c>
      <c r="BD173">
        <v>0</v>
      </c>
      <c r="BE173">
        <v>0</v>
      </c>
      <c r="BF173" t="s">
        <v>493</v>
      </c>
      <c r="BG173" t="s">
        <v>1190</v>
      </c>
      <c r="BH173">
        <v>32</v>
      </c>
      <c r="BI173" t="s">
        <v>1292</v>
      </c>
      <c r="BK173">
        <v>1875262</v>
      </c>
    </row>
    <row r="174" spans="1:64">
      <c r="A174" s="1">
        <f>HYPERLINK("https://lsnyc.legalserver.org/matter/dynamic-profile/view/1873922","18-1873922")</f>
        <v>0</v>
      </c>
      <c r="B174" t="s">
        <v>192</v>
      </c>
      <c r="C174" t="s">
        <v>250</v>
      </c>
      <c r="D174" t="s">
        <v>252</v>
      </c>
      <c r="E174" t="s">
        <v>262</v>
      </c>
      <c r="F174" t="s">
        <v>273</v>
      </c>
      <c r="G174" t="s">
        <v>275</v>
      </c>
      <c r="H174">
        <v>49.57</v>
      </c>
      <c r="I174" t="s">
        <v>274</v>
      </c>
      <c r="K174" t="s">
        <v>386</v>
      </c>
      <c r="M174" t="s">
        <v>471</v>
      </c>
      <c r="N174" t="s">
        <v>298</v>
      </c>
      <c r="O174" t="s">
        <v>275</v>
      </c>
      <c r="P174" t="s">
        <v>492</v>
      </c>
      <c r="Q174" t="s">
        <v>501</v>
      </c>
      <c r="S174" t="s">
        <v>503</v>
      </c>
      <c r="T174" t="s">
        <v>508</v>
      </c>
      <c r="U174" t="s">
        <v>511</v>
      </c>
      <c r="V174">
        <v>11212</v>
      </c>
      <c r="W174" t="s">
        <v>518</v>
      </c>
      <c r="X174" t="s">
        <v>549</v>
      </c>
      <c r="Y174" t="s">
        <v>274</v>
      </c>
      <c r="Z174" t="s">
        <v>679</v>
      </c>
      <c r="AA174" t="s">
        <v>846</v>
      </c>
      <c r="AB174" t="s">
        <v>902</v>
      </c>
      <c r="AC174" t="s">
        <v>904</v>
      </c>
      <c r="AF174" t="s">
        <v>926</v>
      </c>
      <c r="AI174">
        <v>21.8</v>
      </c>
      <c r="AJ174" t="s">
        <v>558</v>
      </c>
      <c r="AK174" t="s">
        <v>965</v>
      </c>
      <c r="AL174" t="s">
        <v>274</v>
      </c>
      <c r="AM174" t="s">
        <v>974</v>
      </c>
      <c r="AN174" t="s">
        <v>298</v>
      </c>
      <c r="AT174">
        <v>1</v>
      </c>
      <c r="AU174">
        <v>2</v>
      </c>
      <c r="AV174" t="s">
        <v>273</v>
      </c>
      <c r="AY174" t="s">
        <v>273</v>
      </c>
      <c r="BB174">
        <v>0</v>
      </c>
      <c r="BC174">
        <v>0</v>
      </c>
      <c r="BD174">
        <v>0</v>
      </c>
      <c r="BE174">
        <v>0</v>
      </c>
      <c r="BF174" t="s">
        <v>1063</v>
      </c>
      <c r="BG174" t="s">
        <v>1191</v>
      </c>
      <c r="BH174">
        <v>56</v>
      </c>
      <c r="BI174" t="s">
        <v>1293</v>
      </c>
      <c r="BK174">
        <v>1874525</v>
      </c>
    </row>
    <row r="175" spans="1:64">
      <c r="A175" s="1">
        <f>HYPERLINK("https://lsnyc.legalserver.org/matter/dynamic-profile/view/1873684","18-1873684")</f>
        <v>0</v>
      </c>
      <c r="B175" t="s">
        <v>193</v>
      </c>
      <c r="C175" t="s">
        <v>250</v>
      </c>
      <c r="D175" t="s">
        <v>253</v>
      </c>
      <c r="E175" t="s">
        <v>263</v>
      </c>
      <c r="F175" t="s">
        <v>273</v>
      </c>
      <c r="G175" t="s">
        <v>275</v>
      </c>
      <c r="H175">
        <v>128.5</v>
      </c>
      <c r="I175" t="s">
        <v>274</v>
      </c>
      <c r="K175" t="s">
        <v>387</v>
      </c>
      <c r="P175" t="s">
        <v>492</v>
      </c>
      <c r="Q175" t="s">
        <v>501</v>
      </c>
      <c r="S175" t="s">
        <v>503</v>
      </c>
      <c r="T175" t="s">
        <v>507</v>
      </c>
      <c r="U175" t="s">
        <v>511</v>
      </c>
      <c r="V175">
        <v>11370</v>
      </c>
      <c r="W175" t="s">
        <v>518</v>
      </c>
      <c r="X175" t="s">
        <v>548</v>
      </c>
      <c r="Y175" t="s">
        <v>275</v>
      </c>
      <c r="Z175" t="s">
        <v>680</v>
      </c>
      <c r="AA175" t="s">
        <v>847</v>
      </c>
      <c r="AB175" t="s">
        <v>902</v>
      </c>
      <c r="AC175" t="s">
        <v>905</v>
      </c>
      <c r="AF175" t="s">
        <v>926</v>
      </c>
      <c r="AI175">
        <v>11.9</v>
      </c>
      <c r="AJ175" t="s">
        <v>558</v>
      </c>
      <c r="AK175" t="s">
        <v>945</v>
      </c>
      <c r="AL175" t="s">
        <v>274</v>
      </c>
      <c r="AT175">
        <v>0</v>
      </c>
      <c r="AU175">
        <v>1</v>
      </c>
      <c r="AV175" t="s">
        <v>273</v>
      </c>
      <c r="AY175" t="s">
        <v>273</v>
      </c>
      <c r="BB175">
        <v>0</v>
      </c>
      <c r="BC175">
        <v>0</v>
      </c>
      <c r="BD175">
        <v>0</v>
      </c>
      <c r="BE175">
        <v>0</v>
      </c>
      <c r="BF175" t="s">
        <v>1063</v>
      </c>
      <c r="BG175" t="s">
        <v>1192</v>
      </c>
      <c r="BH175">
        <v>27</v>
      </c>
      <c r="BI175" t="s">
        <v>1270</v>
      </c>
      <c r="BK175">
        <v>1866094</v>
      </c>
    </row>
    <row r="176" spans="1:64">
      <c r="A176" s="1">
        <f>HYPERLINK("https://lsnyc.legalserver.org/matter/dynamic-profile/view/1873686","18-1873686")</f>
        <v>0</v>
      </c>
      <c r="B176" t="s">
        <v>193</v>
      </c>
      <c r="C176" t="s">
        <v>250</v>
      </c>
      <c r="D176" t="s">
        <v>253</v>
      </c>
      <c r="E176" t="s">
        <v>263</v>
      </c>
      <c r="F176" t="s">
        <v>273</v>
      </c>
      <c r="G176" t="s">
        <v>275</v>
      </c>
      <c r="H176">
        <v>128.5</v>
      </c>
      <c r="I176" t="s">
        <v>274</v>
      </c>
      <c r="K176" t="s">
        <v>387</v>
      </c>
      <c r="M176" t="s">
        <v>474</v>
      </c>
      <c r="P176" t="s">
        <v>492</v>
      </c>
      <c r="Q176" t="s">
        <v>501</v>
      </c>
      <c r="S176" t="s">
        <v>503</v>
      </c>
      <c r="T176" t="s">
        <v>507</v>
      </c>
      <c r="U176" t="s">
        <v>511</v>
      </c>
      <c r="V176">
        <v>11370</v>
      </c>
      <c r="W176" t="s">
        <v>519</v>
      </c>
      <c r="X176" t="s">
        <v>548</v>
      </c>
      <c r="Y176" t="s">
        <v>275</v>
      </c>
      <c r="Z176" t="s">
        <v>680</v>
      </c>
      <c r="AA176" t="s">
        <v>847</v>
      </c>
      <c r="AB176" t="s">
        <v>902</v>
      </c>
      <c r="AC176" t="s">
        <v>905</v>
      </c>
      <c r="AF176" t="s">
        <v>926</v>
      </c>
      <c r="AI176">
        <v>4.45</v>
      </c>
      <c r="AJ176" t="s">
        <v>558</v>
      </c>
      <c r="AK176" t="s">
        <v>945</v>
      </c>
      <c r="AL176" t="s">
        <v>274</v>
      </c>
      <c r="AT176">
        <v>0</v>
      </c>
      <c r="AU176">
        <v>1</v>
      </c>
      <c r="AV176" t="s">
        <v>273</v>
      </c>
      <c r="AY176" t="s">
        <v>273</v>
      </c>
      <c r="BB176">
        <v>0</v>
      </c>
      <c r="BC176">
        <v>0</v>
      </c>
      <c r="BD176">
        <v>0</v>
      </c>
      <c r="BE176">
        <v>0</v>
      </c>
      <c r="BF176" t="s">
        <v>1063</v>
      </c>
      <c r="BG176" t="s">
        <v>1192</v>
      </c>
      <c r="BH176">
        <v>27</v>
      </c>
      <c r="BI176" t="s">
        <v>1270</v>
      </c>
      <c r="BK176">
        <v>1866094</v>
      </c>
    </row>
    <row r="177" spans="1:64">
      <c r="A177" s="1">
        <f>HYPERLINK("https://lsnyc.legalserver.org/matter/dynamic-profile/view/1873496","18-1873496")</f>
        <v>0</v>
      </c>
      <c r="B177" t="s">
        <v>194</v>
      </c>
      <c r="C177" t="s">
        <v>250</v>
      </c>
      <c r="D177" t="s">
        <v>253</v>
      </c>
      <c r="E177" t="s">
        <v>272</v>
      </c>
      <c r="F177" t="s">
        <v>274</v>
      </c>
      <c r="G177" t="s">
        <v>274</v>
      </c>
      <c r="H177">
        <v>0</v>
      </c>
      <c r="I177" t="s">
        <v>274</v>
      </c>
      <c r="K177" t="s">
        <v>388</v>
      </c>
      <c r="L177" t="s">
        <v>464</v>
      </c>
      <c r="O177" t="s">
        <v>275</v>
      </c>
      <c r="P177" t="s">
        <v>495</v>
      </c>
      <c r="Q177" t="s">
        <v>501</v>
      </c>
      <c r="S177" t="s">
        <v>503</v>
      </c>
      <c r="T177" t="s">
        <v>507</v>
      </c>
      <c r="U177" t="s">
        <v>511</v>
      </c>
      <c r="V177">
        <v>11103</v>
      </c>
      <c r="W177" t="s">
        <v>521</v>
      </c>
      <c r="X177" t="s">
        <v>553</v>
      </c>
      <c r="Y177" t="s">
        <v>274</v>
      </c>
      <c r="Z177" t="s">
        <v>681</v>
      </c>
      <c r="AA177" t="s">
        <v>848</v>
      </c>
      <c r="AB177" t="s">
        <v>902</v>
      </c>
      <c r="AC177" t="s">
        <v>905</v>
      </c>
      <c r="AD177" t="s">
        <v>275</v>
      </c>
      <c r="AE177" t="s">
        <v>919</v>
      </c>
      <c r="AF177" t="s">
        <v>923</v>
      </c>
      <c r="AI177">
        <v>12.45</v>
      </c>
      <c r="AJ177" t="s">
        <v>558</v>
      </c>
      <c r="AK177" t="s">
        <v>968</v>
      </c>
      <c r="AL177" t="s">
        <v>274</v>
      </c>
      <c r="AM177" t="s">
        <v>973</v>
      </c>
      <c r="AN177" t="s">
        <v>1006</v>
      </c>
      <c r="AQ177" t="s">
        <v>1039</v>
      </c>
      <c r="AR177" t="s">
        <v>1051</v>
      </c>
      <c r="AT177">
        <v>0</v>
      </c>
      <c r="AU177">
        <v>1</v>
      </c>
      <c r="AV177" t="s">
        <v>273</v>
      </c>
      <c r="AY177" t="s">
        <v>273</v>
      </c>
      <c r="BB177">
        <v>0</v>
      </c>
      <c r="BC177">
        <v>0</v>
      </c>
      <c r="BD177">
        <v>0</v>
      </c>
      <c r="BE177">
        <v>0</v>
      </c>
      <c r="BF177" t="s">
        <v>493</v>
      </c>
      <c r="BG177" t="s">
        <v>1193</v>
      </c>
      <c r="BH177">
        <v>31</v>
      </c>
      <c r="BI177" t="s">
        <v>1247</v>
      </c>
      <c r="BK177">
        <v>1874099</v>
      </c>
    </row>
    <row r="178" spans="1:64">
      <c r="A178" s="1">
        <f>HYPERLINK("https://lsnyc.legalserver.org/matter/dynamic-profile/view/1873053","18-1873053")</f>
        <v>0</v>
      </c>
      <c r="B178" t="s">
        <v>129</v>
      </c>
      <c r="C178" t="s">
        <v>250</v>
      </c>
      <c r="D178" t="s">
        <v>252</v>
      </c>
      <c r="E178" t="s">
        <v>262</v>
      </c>
      <c r="F178" t="s">
        <v>273</v>
      </c>
      <c r="G178" t="s">
        <v>275</v>
      </c>
      <c r="H178">
        <v>291.34</v>
      </c>
      <c r="I178" t="s">
        <v>274</v>
      </c>
      <c r="J178" t="s">
        <v>276</v>
      </c>
      <c r="K178" t="s">
        <v>389</v>
      </c>
      <c r="M178" t="s">
        <v>472</v>
      </c>
      <c r="N178" t="s">
        <v>490</v>
      </c>
      <c r="P178" t="s">
        <v>496</v>
      </c>
      <c r="Q178" t="s">
        <v>501</v>
      </c>
      <c r="S178" t="s">
        <v>503</v>
      </c>
      <c r="T178" t="s">
        <v>507</v>
      </c>
      <c r="U178" t="s">
        <v>511</v>
      </c>
      <c r="V178">
        <v>11233</v>
      </c>
      <c r="W178" t="s">
        <v>541</v>
      </c>
      <c r="X178" t="s">
        <v>549</v>
      </c>
      <c r="Y178" t="s">
        <v>275</v>
      </c>
      <c r="Z178" t="s">
        <v>620</v>
      </c>
      <c r="AA178" t="s">
        <v>787</v>
      </c>
      <c r="AB178" t="s">
        <v>902</v>
      </c>
      <c r="AC178" t="s">
        <v>910</v>
      </c>
      <c r="AF178" t="s">
        <v>923</v>
      </c>
      <c r="AI178">
        <v>7.15</v>
      </c>
      <c r="AJ178" t="s">
        <v>558</v>
      </c>
      <c r="AK178" t="s">
        <v>952</v>
      </c>
      <c r="AL178" t="s">
        <v>274</v>
      </c>
      <c r="AM178" t="s">
        <v>973</v>
      </c>
      <c r="AN178" t="s">
        <v>371</v>
      </c>
      <c r="AO178" t="s">
        <v>976</v>
      </c>
      <c r="AP178" t="s">
        <v>490</v>
      </c>
      <c r="AT178">
        <v>0</v>
      </c>
      <c r="AU178">
        <v>2</v>
      </c>
      <c r="AV178" t="s">
        <v>273</v>
      </c>
      <c r="AY178" t="s">
        <v>273</v>
      </c>
      <c r="BB178">
        <v>0</v>
      </c>
      <c r="BC178">
        <v>0</v>
      </c>
      <c r="BD178">
        <v>0</v>
      </c>
      <c r="BE178">
        <v>0</v>
      </c>
      <c r="BF178" t="s">
        <v>1063</v>
      </c>
      <c r="BG178" t="s">
        <v>1128</v>
      </c>
      <c r="BH178">
        <v>36</v>
      </c>
      <c r="BI178" t="s">
        <v>1294</v>
      </c>
      <c r="BK178">
        <v>1870621</v>
      </c>
    </row>
    <row r="179" spans="1:64">
      <c r="A179" s="1">
        <f>HYPERLINK("https://lsnyc.legalserver.org/matter/dynamic-profile/view/1873055","18-1873055")</f>
        <v>0</v>
      </c>
      <c r="B179" t="s">
        <v>129</v>
      </c>
      <c r="C179" t="s">
        <v>250</v>
      </c>
      <c r="D179" t="s">
        <v>252</v>
      </c>
      <c r="E179" t="s">
        <v>262</v>
      </c>
      <c r="F179" t="s">
        <v>273</v>
      </c>
      <c r="G179" t="s">
        <v>275</v>
      </c>
      <c r="H179">
        <v>291.34</v>
      </c>
      <c r="I179" t="s">
        <v>274</v>
      </c>
      <c r="J179" t="s">
        <v>276</v>
      </c>
      <c r="K179" t="s">
        <v>389</v>
      </c>
      <c r="M179" t="s">
        <v>472</v>
      </c>
      <c r="N179" t="s">
        <v>490</v>
      </c>
      <c r="P179" t="s">
        <v>496</v>
      </c>
      <c r="Q179" t="s">
        <v>501</v>
      </c>
      <c r="S179" t="s">
        <v>503</v>
      </c>
      <c r="T179" t="s">
        <v>507</v>
      </c>
      <c r="U179" t="s">
        <v>511</v>
      </c>
      <c r="V179">
        <v>11233</v>
      </c>
      <c r="W179" t="s">
        <v>541</v>
      </c>
      <c r="X179" t="s">
        <v>549</v>
      </c>
      <c r="Y179" t="s">
        <v>275</v>
      </c>
      <c r="Z179" t="s">
        <v>620</v>
      </c>
      <c r="AA179" t="s">
        <v>787</v>
      </c>
      <c r="AB179" t="s">
        <v>902</v>
      </c>
      <c r="AC179" t="s">
        <v>910</v>
      </c>
      <c r="AF179" t="s">
        <v>923</v>
      </c>
      <c r="AI179">
        <v>7.2</v>
      </c>
      <c r="AJ179" t="s">
        <v>558</v>
      </c>
      <c r="AK179" t="s">
        <v>952</v>
      </c>
      <c r="AL179" t="s">
        <v>274</v>
      </c>
      <c r="AM179" t="s">
        <v>973</v>
      </c>
      <c r="AN179" t="s">
        <v>371</v>
      </c>
      <c r="AO179" t="s">
        <v>976</v>
      </c>
      <c r="AP179" t="s">
        <v>490</v>
      </c>
      <c r="AT179">
        <v>0</v>
      </c>
      <c r="AU179">
        <v>2</v>
      </c>
      <c r="AV179" t="s">
        <v>273</v>
      </c>
      <c r="AY179" t="s">
        <v>273</v>
      </c>
      <c r="BB179">
        <v>0</v>
      </c>
      <c r="BC179">
        <v>0</v>
      </c>
      <c r="BD179">
        <v>0</v>
      </c>
      <c r="BE179">
        <v>0</v>
      </c>
      <c r="BF179" t="s">
        <v>1063</v>
      </c>
      <c r="BG179" t="s">
        <v>1128</v>
      </c>
      <c r="BH179">
        <v>36</v>
      </c>
      <c r="BI179" t="s">
        <v>1294</v>
      </c>
      <c r="BK179">
        <v>1870621</v>
      </c>
    </row>
    <row r="180" spans="1:64">
      <c r="A180" s="1">
        <f>HYPERLINK("https://lsnyc.legalserver.org/matter/dynamic-profile/view/1872960","18-1872960")</f>
        <v>0</v>
      </c>
      <c r="B180" t="s">
        <v>195</v>
      </c>
      <c r="C180" t="s">
        <v>250</v>
      </c>
      <c r="D180" t="s">
        <v>252</v>
      </c>
      <c r="E180" t="s">
        <v>265</v>
      </c>
      <c r="F180" t="s">
        <v>274</v>
      </c>
      <c r="G180" t="s">
        <v>274</v>
      </c>
      <c r="H180">
        <v>0</v>
      </c>
      <c r="I180" t="s">
        <v>274</v>
      </c>
      <c r="K180" t="s">
        <v>390</v>
      </c>
      <c r="O180" t="s">
        <v>275</v>
      </c>
      <c r="P180" t="s">
        <v>497</v>
      </c>
      <c r="Q180" t="s">
        <v>501</v>
      </c>
      <c r="S180" t="s">
        <v>503</v>
      </c>
      <c r="T180" t="s">
        <v>507</v>
      </c>
      <c r="U180" t="s">
        <v>511</v>
      </c>
      <c r="V180">
        <v>11207</v>
      </c>
      <c r="W180" t="s">
        <v>521</v>
      </c>
      <c r="X180" t="s">
        <v>553</v>
      </c>
      <c r="Y180" t="s">
        <v>275</v>
      </c>
      <c r="Z180" t="s">
        <v>682</v>
      </c>
      <c r="AA180" t="s">
        <v>849</v>
      </c>
      <c r="AB180" t="s">
        <v>902</v>
      </c>
      <c r="AC180" t="s">
        <v>905</v>
      </c>
      <c r="AF180" t="s">
        <v>923</v>
      </c>
      <c r="AI180">
        <v>12.95</v>
      </c>
      <c r="AJ180" t="s">
        <v>558</v>
      </c>
      <c r="AK180" t="s">
        <v>948</v>
      </c>
      <c r="AL180" t="s">
        <v>274</v>
      </c>
      <c r="AT180">
        <v>0</v>
      </c>
      <c r="AU180">
        <v>1</v>
      </c>
      <c r="AV180" t="s">
        <v>273</v>
      </c>
      <c r="AY180" t="s">
        <v>273</v>
      </c>
      <c r="BB180">
        <v>0</v>
      </c>
      <c r="BC180">
        <v>0</v>
      </c>
      <c r="BD180">
        <v>0</v>
      </c>
      <c r="BE180">
        <v>0</v>
      </c>
      <c r="BF180" t="s">
        <v>1063</v>
      </c>
      <c r="BG180" t="s">
        <v>1194</v>
      </c>
      <c r="BH180">
        <v>26</v>
      </c>
      <c r="BI180" t="s">
        <v>1247</v>
      </c>
      <c r="BK180">
        <v>1873562</v>
      </c>
    </row>
    <row r="181" spans="1:64">
      <c r="A181" s="1">
        <f>HYPERLINK("https://lsnyc.legalserver.org/matter/dynamic-profile/view/1872689","18-1872689")</f>
        <v>0</v>
      </c>
      <c r="B181" t="s">
        <v>196</v>
      </c>
      <c r="C181" t="s">
        <v>250</v>
      </c>
      <c r="D181" t="s">
        <v>252</v>
      </c>
      <c r="E181" t="s">
        <v>272</v>
      </c>
      <c r="F181" t="s">
        <v>274</v>
      </c>
      <c r="G181" t="s">
        <v>274</v>
      </c>
      <c r="H181">
        <v>148.27</v>
      </c>
      <c r="I181" t="s">
        <v>274</v>
      </c>
      <c r="K181" t="s">
        <v>391</v>
      </c>
      <c r="L181" t="s">
        <v>465</v>
      </c>
      <c r="M181" t="s">
        <v>471</v>
      </c>
      <c r="N181" t="s">
        <v>482</v>
      </c>
      <c r="O181" t="s">
        <v>275</v>
      </c>
      <c r="P181" t="s">
        <v>497</v>
      </c>
      <c r="Q181" t="s">
        <v>501</v>
      </c>
      <c r="S181" t="s">
        <v>503</v>
      </c>
      <c r="T181" t="s">
        <v>508</v>
      </c>
      <c r="U181" t="s">
        <v>511</v>
      </c>
      <c r="V181">
        <v>11235</v>
      </c>
      <c r="W181" t="s">
        <v>521</v>
      </c>
      <c r="X181" t="s">
        <v>553</v>
      </c>
      <c r="Y181" t="s">
        <v>275</v>
      </c>
      <c r="Z181" t="s">
        <v>683</v>
      </c>
      <c r="AA181" t="s">
        <v>850</v>
      </c>
      <c r="AB181" t="s">
        <v>902</v>
      </c>
      <c r="AC181" t="s">
        <v>905</v>
      </c>
      <c r="AD181" t="s">
        <v>275</v>
      </c>
      <c r="AE181" t="s">
        <v>919</v>
      </c>
      <c r="AF181" t="s">
        <v>923</v>
      </c>
      <c r="AI181">
        <v>9.4</v>
      </c>
      <c r="AJ181" t="s">
        <v>558</v>
      </c>
      <c r="AK181" t="s">
        <v>968</v>
      </c>
      <c r="AL181" t="s">
        <v>274</v>
      </c>
      <c r="AM181" t="s">
        <v>978</v>
      </c>
      <c r="AN181" t="s">
        <v>302</v>
      </c>
      <c r="AQ181" t="s">
        <v>1039</v>
      </c>
      <c r="AR181" t="s">
        <v>1051</v>
      </c>
      <c r="AT181">
        <v>0</v>
      </c>
      <c r="AU181">
        <v>1</v>
      </c>
      <c r="AV181" t="s">
        <v>273</v>
      </c>
      <c r="AY181" t="s">
        <v>273</v>
      </c>
      <c r="BB181">
        <v>0</v>
      </c>
      <c r="BC181">
        <v>0</v>
      </c>
      <c r="BD181">
        <v>0</v>
      </c>
      <c r="BE181">
        <v>0</v>
      </c>
      <c r="BF181" t="s">
        <v>493</v>
      </c>
      <c r="BG181" t="s">
        <v>1195</v>
      </c>
      <c r="BH181">
        <v>24</v>
      </c>
      <c r="BI181" t="s">
        <v>1289</v>
      </c>
      <c r="BK181">
        <v>1873291</v>
      </c>
    </row>
    <row r="182" spans="1:64">
      <c r="A182" s="1">
        <f>HYPERLINK("https://lsnyc.legalserver.org/matter/dynamic-profile/view/1873466","18-1873466")</f>
        <v>0</v>
      </c>
      <c r="B182" t="s">
        <v>197</v>
      </c>
      <c r="C182" t="s">
        <v>250</v>
      </c>
      <c r="D182" t="s">
        <v>252</v>
      </c>
      <c r="E182" t="s">
        <v>265</v>
      </c>
      <c r="F182" t="s">
        <v>273</v>
      </c>
      <c r="G182" t="s">
        <v>275</v>
      </c>
      <c r="H182">
        <v>0</v>
      </c>
      <c r="I182" t="s">
        <v>274</v>
      </c>
      <c r="K182" t="s">
        <v>392</v>
      </c>
      <c r="M182" t="s">
        <v>474</v>
      </c>
      <c r="N182" t="s">
        <v>467</v>
      </c>
      <c r="O182" t="s">
        <v>274</v>
      </c>
      <c r="P182" t="s">
        <v>492</v>
      </c>
      <c r="Q182" t="s">
        <v>501</v>
      </c>
      <c r="S182" t="s">
        <v>503</v>
      </c>
      <c r="T182" t="s">
        <v>508</v>
      </c>
      <c r="U182" t="s">
        <v>511</v>
      </c>
      <c r="V182">
        <v>11207</v>
      </c>
      <c r="W182" t="s">
        <v>519</v>
      </c>
      <c r="X182" t="s">
        <v>548</v>
      </c>
      <c r="Y182" t="s">
        <v>275</v>
      </c>
      <c r="Z182" t="s">
        <v>584</v>
      </c>
      <c r="AA182" t="s">
        <v>851</v>
      </c>
      <c r="AB182" t="s">
        <v>902</v>
      </c>
      <c r="AC182" t="s">
        <v>905</v>
      </c>
      <c r="AF182" t="s">
        <v>926</v>
      </c>
      <c r="AI182">
        <v>40.7</v>
      </c>
      <c r="AJ182" t="s">
        <v>558</v>
      </c>
      <c r="AK182" t="s">
        <v>934</v>
      </c>
      <c r="AL182" t="s">
        <v>274</v>
      </c>
      <c r="AM182" t="s">
        <v>973</v>
      </c>
      <c r="AN182" t="s">
        <v>997</v>
      </c>
      <c r="AS182" t="s">
        <v>1059</v>
      </c>
      <c r="AT182">
        <v>1</v>
      </c>
      <c r="AU182">
        <v>1</v>
      </c>
      <c r="AV182" t="s">
        <v>273</v>
      </c>
      <c r="AY182" t="s">
        <v>273</v>
      </c>
      <c r="BB182">
        <v>0</v>
      </c>
      <c r="BC182">
        <v>0</v>
      </c>
      <c r="BD182">
        <v>0</v>
      </c>
      <c r="BE182">
        <v>0</v>
      </c>
      <c r="BF182" t="s">
        <v>1063</v>
      </c>
      <c r="BG182" t="s">
        <v>1196</v>
      </c>
      <c r="BH182">
        <v>38</v>
      </c>
      <c r="BI182" t="s">
        <v>1247</v>
      </c>
      <c r="BK182">
        <v>1874069</v>
      </c>
      <c r="BL182" t="s">
        <v>274</v>
      </c>
    </row>
    <row r="183" spans="1:64">
      <c r="A183" s="1">
        <f>HYPERLINK("https://lsnyc.legalserver.org/matter/dynamic-profile/view/1871999","18-1871999")</f>
        <v>0</v>
      </c>
      <c r="B183" t="s">
        <v>198</v>
      </c>
      <c r="C183" t="s">
        <v>250</v>
      </c>
      <c r="D183" t="s">
        <v>252</v>
      </c>
      <c r="E183" t="s">
        <v>261</v>
      </c>
      <c r="F183" t="s">
        <v>273</v>
      </c>
      <c r="G183" t="s">
        <v>275</v>
      </c>
      <c r="H183">
        <v>0</v>
      </c>
      <c r="I183" t="s">
        <v>274</v>
      </c>
      <c r="K183" t="s">
        <v>393</v>
      </c>
      <c r="L183" t="s">
        <v>466</v>
      </c>
      <c r="O183" t="s">
        <v>274</v>
      </c>
      <c r="P183" t="s">
        <v>493</v>
      </c>
      <c r="Q183" t="s">
        <v>501</v>
      </c>
      <c r="S183" t="s">
        <v>503</v>
      </c>
      <c r="T183" t="s">
        <v>507</v>
      </c>
      <c r="U183" t="s">
        <v>511</v>
      </c>
      <c r="V183">
        <v>11208</v>
      </c>
      <c r="W183" t="s">
        <v>517</v>
      </c>
      <c r="X183" t="s">
        <v>549</v>
      </c>
      <c r="Z183" t="s">
        <v>684</v>
      </c>
      <c r="AA183" t="s">
        <v>852</v>
      </c>
      <c r="AB183" t="s">
        <v>902</v>
      </c>
      <c r="AC183" t="s">
        <v>904</v>
      </c>
      <c r="AD183" t="s">
        <v>275</v>
      </c>
      <c r="AE183" t="s">
        <v>919</v>
      </c>
      <c r="AF183" t="s">
        <v>923</v>
      </c>
      <c r="AI183">
        <v>8.6</v>
      </c>
      <c r="AJ183" t="s">
        <v>558</v>
      </c>
      <c r="AK183" t="s">
        <v>939</v>
      </c>
      <c r="AM183" t="s">
        <v>980</v>
      </c>
      <c r="AN183" t="s">
        <v>466</v>
      </c>
      <c r="AQ183" t="s">
        <v>1048</v>
      </c>
      <c r="AR183" t="s">
        <v>1054</v>
      </c>
      <c r="AT183">
        <v>0</v>
      </c>
      <c r="AU183">
        <v>1</v>
      </c>
      <c r="AV183" t="s">
        <v>273</v>
      </c>
      <c r="AY183" t="s">
        <v>273</v>
      </c>
      <c r="BB183">
        <v>0</v>
      </c>
      <c r="BC183">
        <v>0</v>
      </c>
      <c r="BD183">
        <v>0</v>
      </c>
      <c r="BE183">
        <v>0</v>
      </c>
      <c r="BF183" t="s">
        <v>493</v>
      </c>
      <c r="BG183" t="s">
        <v>1197</v>
      </c>
      <c r="BH183">
        <v>35</v>
      </c>
      <c r="BI183" t="s">
        <v>1247</v>
      </c>
      <c r="BK183">
        <v>1855348</v>
      </c>
      <c r="BL183" t="s">
        <v>275</v>
      </c>
    </row>
    <row r="184" spans="1:64">
      <c r="A184" s="1">
        <f>HYPERLINK("https://lsnyc.legalserver.org/matter/dynamic-profile/view/1871941","18-1871941")</f>
        <v>0</v>
      </c>
      <c r="B184" t="s">
        <v>199</v>
      </c>
      <c r="C184" t="s">
        <v>250</v>
      </c>
      <c r="D184" t="s">
        <v>252</v>
      </c>
      <c r="E184" t="s">
        <v>266</v>
      </c>
      <c r="F184" t="s">
        <v>273</v>
      </c>
      <c r="G184" t="s">
        <v>275</v>
      </c>
      <c r="H184">
        <v>79.08</v>
      </c>
      <c r="I184" t="s">
        <v>274</v>
      </c>
      <c r="K184" t="s">
        <v>393</v>
      </c>
      <c r="O184" t="s">
        <v>275</v>
      </c>
      <c r="Q184" t="s">
        <v>501</v>
      </c>
      <c r="S184" t="s">
        <v>503</v>
      </c>
      <c r="T184" t="s">
        <v>508</v>
      </c>
      <c r="U184" t="s">
        <v>511</v>
      </c>
      <c r="V184">
        <v>11237</v>
      </c>
      <c r="W184" t="s">
        <v>529</v>
      </c>
      <c r="X184" t="s">
        <v>549</v>
      </c>
      <c r="Y184" t="s">
        <v>275</v>
      </c>
      <c r="Z184" t="s">
        <v>685</v>
      </c>
      <c r="AA184" t="s">
        <v>853</v>
      </c>
      <c r="AB184" t="s">
        <v>902</v>
      </c>
      <c r="AC184" t="s">
        <v>905</v>
      </c>
      <c r="AF184" t="s">
        <v>924</v>
      </c>
      <c r="AI184">
        <v>18.4</v>
      </c>
      <c r="AJ184" t="s">
        <v>558</v>
      </c>
      <c r="AK184" t="s">
        <v>949</v>
      </c>
      <c r="AL184" t="s">
        <v>274</v>
      </c>
      <c r="AM184" t="s">
        <v>975</v>
      </c>
      <c r="AT184">
        <v>1</v>
      </c>
      <c r="AU184">
        <v>0</v>
      </c>
      <c r="AV184" t="s">
        <v>274</v>
      </c>
      <c r="AY184" t="s">
        <v>274</v>
      </c>
      <c r="BB184">
        <v>0</v>
      </c>
      <c r="BC184">
        <v>0</v>
      </c>
      <c r="BD184">
        <v>0</v>
      </c>
      <c r="BE184">
        <v>0</v>
      </c>
      <c r="BF184" t="s">
        <v>1063</v>
      </c>
      <c r="BG184" t="s">
        <v>1198</v>
      </c>
      <c r="BH184">
        <v>14</v>
      </c>
      <c r="BI184" t="s">
        <v>1280</v>
      </c>
      <c r="BK184">
        <v>1872542</v>
      </c>
    </row>
    <row r="185" spans="1:64">
      <c r="A185" s="1">
        <f>HYPERLINK("https://lsnyc.legalserver.org/matter/dynamic-profile/view/1871648","18-1871648")</f>
        <v>0</v>
      </c>
      <c r="B185" t="s">
        <v>200</v>
      </c>
      <c r="C185" t="s">
        <v>250</v>
      </c>
      <c r="D185" t="s">
        <v>252</v>
      </c>
      <c r="E185" t="s">
        <v>265</v>
      </c>
      <c r="F185" t="s">
        <v>274</v>
      </c>
      <c r="G185" t="s">
        <v>274</v>
      </c>
      <c r="H185">
        <v>0</v>
      </c>
      <c r="I185" t="s">
        <v>274</v>
      </c>
      <c r="K185" t="s">
        <v>394</v>
      </c>
      <c r="O185" t="s">
        <v>275</v>
      </c>
      <c r="P185" t="s">
        <v>497</v>
      </c>
      <c r="Q185" t="s">
        <v>501</v>
      </c>
      <c r="S185" t="s">
        <v>503</v>
      </c>
      <c r="T185" t="s">
        <v>507</v>
      </c>
      <c r="U185" t="s">
        <v>511</v>
      </c>
      <c r="V185">
        <v>11238</v>
      </c>
      <c r="W185" t="s">
        <v>521</v>
      </c>
      <c r="X185" t="s">
        <v>548</v>
      </c>
      <c r="Y185" t="s">
        <v>275</v>
      </c>
      <c r="Z185" t="s">
        <v>686</v>
      </c>
      <c r="AA185" t="s">
        <v>854</v>
      </c>
      <c r="AB185" t="s">
        <v>902</v>
      </c>
      <c r="AC185" t="s">
        <v>905</v>
      </c>
      <c r="AF185" t="s">
        <v>923</v>
      </c>
      <c r="AI185">
        <v>15.3</v>
      </c>
      <c r="AJ185" t="s">
        <v>558</v>
      </c>
      <c r="AK185" t="s">
        <v>947</v>
      </c>
      <c r="AL185" t="s">
        <v>274</v>
      </c>
      <c r="AT185">
        <v>0</v>
      </c>
      <c r="AU185">
        <v>2</v>
      </c>
      <c r="AV185" t="s">
        <v>273</v>
      </c>
      <c r="AY185" t="s">
        <v>273</v>
      </c>
      <c r="BB185">
        <v>0</v>
      </c>
      <c r="BC185">
        <v>0</v>
      </c>
      <c r="BD185">
        <v>0</v>
      </c>
      <c r="BE185">
        <v>0</v>
      </c>
      <c r="BF185" t="s">
        <v>1063</v>
      </c>
      <c r="BG185" t="s">
        <v>1199</v>
      </c>
      <c r="BH185">
        <v>39</v>
      </c>
      <c r="BI185" t="s">
        <v>1247</v>
      </c>
      <c r="BK185">
        <v>1872249</v>
      </c>
    </row>
    <row r="186" spans="1:64">
      <c r="A186" s="1">
        <f>HYPERLINK("https://lsnyc.legalserver.org/matter/dynamic-profile/view/1871662","18-1871662")</f>
        <v>0</v>
      </c>
      <c r="B186" t="s">
        <v>201</v>
      </c>
      <c r="C186" t="s">
        <v>250</v>
      </c>
      <c r="D186" t="s">
        <v>252</v>
      </c>
      <c r="E186" t="s">
        <v>265</v>
      </c>
      <c r="F186" t="s">
        <v>274</v>
      </c>
      <c r="G186" t="s">
        <v>274</v>
      </c>
      <c r="H186">
        <v>7.29</v>
      </c>
      <c r="I186" t="s">
        <v>274</v>
      </c>
      <c r="K186" t="s">
        <v>394</v>
      </c>
      <c r="O186" t="s">
        <v>275</v>
      </c>
      <c r="P186" t="s">
        <v>497</v>
      </c>
      <c r="Q186" t="s">
        <v>501</v>
      </c>
      <c r="S186" t="s">
        <v>503</v>
      </c>
      <c r="T186" t="s">
        <v>507</v>
      </c>
      <c r="U186" t="s">
        <v>511</v>
      </c>
      <c r="V186">
        <v>11238</v>
      </c>
      <c r="W186" t="s">
        <v>521</v>
      </c>
      <c r="X186" t="s">
        <v>548</v>
      </c>
      <c r="Y186" t="s">
        <v>275</v>
      </c>
      <c r="Z186" t="s">
        <v>687</v>
      </c>
      <c r="AA186" t="s">
        <v>855</v>
      </c>
      <c r="AB186" t="s">
        <v>902</v>
      </c>
      <c r="AC186" t="s">
        <v>905</v>
      </c>
      <c r="AF186" t="s">
        <v>923</v>
      </c>
      <c r="AI186">
        <v>10.65</v>
      </c>
      <c r="AJ186" t="s">
        <v>558</v>
      </c>
      <c r="AK186" t="s">
        <v>947</v>
      </c>
      <c r="AL186" t="s">
        <v>274</v>
      </c>
      <c r="AT186">
        <v>0</v>
      </c>
      <c r="AU186">
        <v>2</v>
      </c>
      <c r="AV186" t="s">
        <v>273</v>
      </c>
      <c r="AY186" t="s">
        <v>273</v>
      </c>
      <c r="BB186">
        <v>0</v>
      </c>
      <c r="BC186">
        <v>0</v>
      </c>
      <c r="BD186">
        <v>0</v>
      </c>
      <c r="BE186">
        <v>0</v>
      </c>
      <c r="BF186" t="s">
        <v>1063</v>
      </c>
      <c r="BG186" t="s">
        <v>1200</v>
      </c>
      <c r="BH186">
        <v>35</v>
      </c>
      <c r="BI186" t="s">
        <v>1295</v>
      </c>
      <c r="BK186">
        <v>1872263</v>
      </c>
    </row>
    <row r="187" spans="1:64">
      <c r="A187" s="1">
        <f>HYPERLINK("https://lsnyc.legalserver.org/matter/dynamic-profile/view/1870168","18-1870168")</f>
        <v>0</v>
      </c>
      <c r="B187" t="s">
        <v>202</v>
      </c>
      <c r="C187" t="s">
        <v>250</v>
      </c>
      <c r="D187" t="s">
        <v>252</v>
      </c>
      <c r="E187" t="s">
        <v>265</v>
      </c>
      <c r="F187" t="s">
        <v>274</v>
      </c>
      <c r="G187" t="s">
        <v>274</v>
      </c>
      <c r="H187">
        <v>0</v>
      </c>
      <c r="I187" t="s">
        <v>274</v>
      </c>
      <c r="K187" t="s">
        <v>395</v>
      </c>
      <c r="O187" t="s">
        <v>275</v>
      </c>
      <c r="P187" t="s">
        <v>497</v>
      </c>
      <c r="Q187" t="s">
        <v>501</v>
      </c>
      <c r="S187" t="s">
        <v>503</v>
      </c>
      <c r="T187" t="s">
        <v>507</v>
      </c>
      <c r="U187" t="s">
        <v>511</v>
      </c>
      <c r="V187">
        <v>11212</v>
      </c>
      <c r="W187" t="s">
        <v>521</v>
      </c>
      <c r="X187" t="s">
        <v>549</v>
      </c>
      <c r="Y187" t="s">
        <v>275</v>
      </c>
      <c r="Z187" t="s">
        <v>688</v>
      </c>
      <c r="AA187" t="s">
        <v>856</v>
      </c>
      <c r="AB187" t="s">
        <v>902</v>
      </c>
      <c r="AC187" t="s">
        <v>905</v>
      </c>
      <c r="AF187" t="s">
        <v>923</v>
      </c>
      <c r="AI187">
        <v>15.2</v>
      </c>
      <c r="AJ187" t="s">
        <v>558</v>
      </c>
      <c r="AK187" t="s">
        <v>944</v>
      </c>
      <c r="AL187" t="s">
        <v>274</v>
      </c>
      <c r="AM187" t="s">
        <v>973</v>
      </c>
      <c r="AN187" t="s">
        <v>322</v>
      </c>
      <c r="AT187">
        <v>0</v>
      </c>
      <c r="AU187">
        <v>1</v>
      </c>
      <c r="AV187" t="s">
        <v>273</v>
      </c>
      <c r="AY187" t="s">
        <v>273</v>
      </c>
      <c r="BB187">
        <v>0</v>
      </c>
      <c r="BC187">
        <v>0</v>
      </c>
      <c r="BD187">
        <v>0</v>
      </c>
      <c r="BE187">
        <v>0</v>
      </c>
      <c r="BF187" t="s">
        <v>1063</v>
      </c>
      <c r="BG187" t="s">
        <v>1201</v>
      </c>
      <c r="BH187">
        <v>50</v>
      </c>
      <c r="BI187" t="s">
        <v>1247</v>
      </c>
      <c r="BK187">
        <v>1870768</v>
      </c>
    </row>
    <row r="188" spans="1:64">
      <c r="A188" s="1">
        <f>HYPERLINK("https://lsnyc.legalserver.org/matter/dynamic-profile/view/1869360","18-1869360")</f>
        <v>0</v>
      </c>
      <c r="B188" t="s">
        <v>203</v>
      </c>
      <c r="C188" t="s">
        <v>250</v>
      </c>
      <c r="D188" t="s">
        <v>255</v>
      </c>
      <c r="E188" t="s">
        <v>262</v>
      </c>
      <c r="F188" t="s">
        <v>273</v>
      </c>
      <c r="G188" t="s">
        <v>275</v>
      </c>
      <c r="H188">
        <v>90.67</v>
      </c>
      <c r="I188" t="s">
        <v>274</v>
      </c>
      <c r="K188" t="s">
        <v>396</v>
      </c>
      <c r="L188" t="s">
        <v>467</v>
      </c>
      <c r="O188" t="s">
        <v>274</v>
      </c>
      <c r="P188" t="s">
        <v>493</v>
      </c>
      <c r="Q188" t="s">
        <v>501</v>
      </c>
      <c r="S188" t="s">
        <v>503</v>
      </c>
      <c r="T188" t="s">
        <v>508</v>
      </c>
      <c r="U188" t="s">
        <v>511</v>
      </c>
      <c r="V188">
        <v>10031</v>
      </c>
      <c r="W188" t="s">
        <v>542</v>
      </c>
      <c r="X188" t="s">
        <v>549</v>
      </c>
      <c r="Y188" t="s">
        <v>275</v>
      </c>
      <c r="Z188" t="s">
        <v>581</v>
      </c>
      <c r="AA188" t="s">
        <v>857</v>
      </c>
      <c r="AB188" t="s">
        <v>902</v>
      </c>
      <c r="AC188" t="s">
        <v>906</v>
      </c>
      <c r="AD188" t="s">
        <v>275</v>
      </c>
      <c r="AE188" t="s">
        <v>919</v>
      </c>
      <c r="AF188" t="s">
        <v>923</v>
      </c>
      <c r="AI188">
        <v>25.55</v>
      </c>
      <c r="AJ188" t="s">
        <v>558</v>
      </c>
      <c r="AK188" t="s">
        <v>952</v>
      </c>
      <c r="AL188" t="s">
        <v>274</v>
      </c>
      <c r="AM188" t="s">
        <v>973</v>
      </c>
      <c r="AN188" t="s">
        <v>1007</v>
      </c>
      <c r="AO188" t="s">
        <v>976</v>
      </c>
      <c r="AP188" t="s">
        <v>1030</v>
      </c>
      <c r="AQ188" t="s">
        <v>1035</v>
      </c>
      <c r="AR188" t="s">
        <v>1051</v>
      </c>
      <c r="AT188">
        <v>1</v>
      </c>
      <c r="AU188">
        <v>1</v>
      </c>
      <c r="AV188" t="s">
        <v>273</v>
      </c>
      <c r="AY188" t="s">
        <v>273</v>
      </c>
      <c r="BB188">
        <v>0</v>
      </c>
      <c r="BC188">
        <v>0</v>
      </c>
      <c r="BD188">
        <v>0</v>
      </c>
      <c r="BE188">
        <v>0</v>
      </c>
      <c r="BF188" t="s">
        <v>493</v>
      </c>
      <c r="BG188" t="s">
        <v>1202</v>
      </c>
      <c r="BH188">
        <v>35</v>
      </c>
      <c r="BI188" t="s">
        <v>1296</v>
      </c>
      <c r="BK188">
        <v>1875417</v>
      </c>
      <c r="BL188" t="s">
        <v>275</v>
      </c>
    </row>
    <row r="189" spans="1:64">
      <c r="A189" s="1">
        <f>HYPERLINK("https://lsnyc.legalserver.org/matter/dynamic-profile/view/1869363","18-1869363")</f>
        <v>0</v>
      </c>
      <c r="B189" t="s">
        <v>204</v>
      </c>
      <c r="C189" t="s">
        <v>250</v>
      </c>
      <c r="D189" t="s">
        <v>255</v>
      </c>
      <c r="E189" t="s">
        <v>262</v>
      </c>
      <c r="F189" t="s">
        <v>273</v>
      </c>
      <c r="G189" t="s">
        <v>275</v>
      </c>
      <c r="H189">
        <v>113.57</v>
      </c>
      <c r="I189" t="s">
        <v>274</v>
      </c>
      <c r="K189" t="s">
        <v>396</v>
      </c>
      <c r="L189" t="s">
        <v>467</v>
      </c>
      <c r="O189" t="s">
        <v>274</v>
      </c>
      <c r="P189" t="s">
        <v>495</v>
      </c>
      <c r="Q189" t="s">
        <v>501</v>
      </c>
      <c r="S189" t="s">
        <v>503</v>
      </c>
      <c r="T189" t="s">
        <v>508</v>
      </c>
      <c r="U189" t="s">
        <v>511</v>
      </c>
      <c r="V189">
        <v>10031</v>
      </c>
      <c r="W189" t="s">
        <v>542</v>
      </c>
      <c r="X189" t="s">
        <v>549</v>
      </c>
      <c r="Y189" t="s">
        <v>275</v>
      </c>
      <c r="Z189" t="s">
        <v>581</v>
      </c>
      <c r="AA189" t="s">
        <v>858</v>
      </c>
      <c r="AB189" t="s">
        <v>902</v>
      </c>
      <c r="AC189" t="s">
        <v>906</v>
      </c>
      <c r="AD189" t="s">
        <v>275</v>
      </c>
      <c r="AE189" t="s">
        <v>919</v>
      </c>
      <c r="AF189" t="s">
        <v>923</v>
      </c>
      <c r="AI189">
        <v>2.55</v>
      </c>
      <c r="AJ189" t="s">
        <v>558</v>
      </c>
      <c r="AK189" t="s">
        <v>952</v>
      </c>
      <c r="AL189" t="s">
        <v>274</v>
      </c>
      <c r="AM189" t="s">
        <v>973</v>
      </c>
      <c r="AN189" t="s">
        <v>1007</v>
      </c>
      <c r="AO189" t="s">
        <v>976</v>
      </c>
      <c r="AP189" t="s">
        <v>1030</v>
      </c>
      <c r="AQ189" t="s">
        <v>1050</v>
      </c>
      <c r="AR189" t="s">
        <v>1051</v>
      </c>
      <c r="AT189">
        <v>1</v>
      </c>
      <c r="AU189">
        <v>1</v>
      </c>
      <c r="AV189" t="s">
        <v>273</v>
      </c>
      <c r="AY189" t="s">
        <v>273</v>
      </c>
      <c r="BB189">
        <v>0</v>
      </c>
      <c r="BC189">
        <v>0</v>
      </c>
      <c r="BD189">
        <v>0</v>
      </c>
      <c r="BE189">
        <v>0</v>
      </c>
      <c r="BF189" t="s">
        <v>493</v>
      </c>
      <c r="BG189" t="s">
        <v>1202</v>
      </c>
      <c r="BH189">
        <v>35</v>
      </c>
      <c r="BI189" t="s">
        <v>1297</v>
      </c>
      <c r="BK189">
        <v>1875417</v>
      </c>
      <c r="BL189" t="s">
        <v>275</v>
      </c>
    </row>
    <row r="190" spans="1:64">
      <c r="A190" s="1">
        <f>HYPERLINK("https://lsnyc.legalserver.org/matter/dynamic-profile/view/1869365","18-1869365")</f>
        <v>0</v>
      </c>
      <c r="B190" t="s">
        <v>205</v>
      </c>
      <c r="C190" t="s">
        <v>250</v>
      </c>
      <c r="D190" t="s">
        <v>255</v>
      </c>
      <c r="E190" t="s">
        <v>262</v>
      </c>
      <c r="F190" t="s">
        <v>273</v>
      </c>
      <c r="G190" t="s">
        <v>275</v>
      </c>
      <c r="H190">
        <v>90.67</v>
      </c>
      <c r="I190" t="s">
        <v>274</v>
      </c>
      <c r="K190" t="s">
        <v>396</v>
      </c>
      <c r="L190" t="s">
        <v>467</v>
      </c>
      <c r="P190" t="s">
        <v>493</v>
      </c>
      <c r="Q190" t="s">
        <v>501</v>
      </c>
      <c r="S190" t="s">
        <v>503</v>
      </c>
      <c r="T190" t="s">
        <v>508</v>
      </c>
      <c r="U190" t="s">
        <v>511</v>
      </c>
      <c r="V190">
        <v>10031</v>
      </c>
      <c r="W190" t="s">
        <v>542</v>
      </c>
      <c r="X190" t="s">
        <v>549</v>
      </c>
      <c r="Y190" t="s">
        <v>275</v>
      </c>
      <c r="Z190" t="s">
        <v>581</v>
      </c>
      <c r="AA190" t="s">
        <v>859</v>
      </c>
      <c r="AB190" t="s">
        <v>902</v>
      </c>
      <c r="AC190" t="s">
        <v>906</v>
      </c>
      <c r="AD190" t="s">
        <v>275</v>
      </c>
      <c r="AE190" t="s">
        <v>919</v>
      </c>
      <c r="AF190" t="s">
        <v>923</v>
      </c>
      <c r="AI190">
        <v>3.55</v>
      </c>
      <c r="AK190" t="s">
        <v>944</v>
      </c>
      <c r="AL190" t="s">
        <v>274</v>
      </c>
      <c r="AM190" t="s">
        <v>973</v>
      </c>
      <c r="AN190" t="s">
        <v>1007</v>
      </c>
      <c r="AO190" t="s">
        <v>976</v>
      </c>
      <c r="AP190" t="s">
        <v>1030</v>
      </c>
      <c r="AQ190" t="s">
        <v>1050</v>
      </c>
      <c r="AR190" t="s">
        <v>1051</v>
      </c>
      <c r="AT190">
        <v>1</v>
      </c>
      <c r="AU190">
        <v>1</v>
      </c>
      <c r="AV190" t="s">
        <v>273</v>
      </c>
      <c r="AY190" t="s">
        <v>273</v>
      </c>
      <c r="BB190">
        <v>0</v>
      </c>
      <c r="BC190">
        <v>0</v>
      </c>
      <c r="BD190">
        <v>0</v>
      </c>
      <c r="BE190">
        <v>0</v>
      </c>
      <c r="BF190" t="s">
        <v>493</v>
      </c>
      <c r="BG190" t="s">
        <v>1202</v>
      </c>
      <c r="BH190">
        <v>35</v>
      </c>
      <c r="BI190" t="s">
        <v>1296</v>
      </c>
      <c r="BK190">
        <v>1875417</v>
      </c>
      <c r="BL190" t="s">
        <v>275</v>
      </c>
    </row>
    <row r="191" spans="1:64">
      <c r="A191" s="1">
        <f>HYPERLINK("https://lsnyc.legalserver.org/matter/dynamic-profile/view/1869092","18-1869092")</f>
        <v>0</v>
      </c>
      <c r="B191" t="s">
        <v>184</v>
      </c>
      <c r="C191" t="s">
        <v>250</v>
      </c>
      <c r="D191" t="s">
        <v>252</v>
      </c>
      <c r="E191" t="s">
        <v>266</v>
      </c>
      <c r="F191" t="s">
        <v>273</v>
      </c>
      <c r="G191" t="s">
        <v>275</v>
      </c>
      <c r="H191">
        <v>0</v>
      </c>
      <c r="I191" t="s">
        <v>274</v>
      </c>
      <c r="K191" t="s">
        <v>397</v>
      </c>
      <c r="O191" t="s">
        <v>275</v>
      </c>
      <c r="Q191" t="s">
        <v>502</v>
      </c>
      <c r="S191" t="s">
        <v>503</v>
      </c>
      <c r="T191" t="s">
        <v>507</v>
      </c>
      <c r="U191" t="s">
        <v>511</v>
      </c>
      <c r="V191">
        <v>11211</v>
      </c>
      <c r="W191" t="s">
        <v>518</v>
      </c>
      <c r="X191" t="s">
        <v>548</v>
      </c>
      <c r="Y191" t="s">
        <v>275</v>
      </c>
      <c r="Z191" t="s">
        <v>672</v>
      </c>
      <c r="AA191" t="s">
        <v>838</v>
      </c>
      <c r="AB191" t="s">
        <v>902</v>
      </c>
      <c r="AC191" t="s">
        <v>905</v>
      </c>
      <c r="AF191" t="s">
        <v>926</v>
      </c>
      <c r="AI191">
        <v>14.85</v>
      </c>
      <c r="AJ191" t="s">
        <v>558</v>
      </c>
      <c r="AK191" t="s">
        <v>941</v>
      </c>
      <c r="AL191" t="s">
        <v>274</v>
      </c>
      <c r="AM191" t="s">
        <v>973</v>
      </c>
      <c r="AO191" t="s">
        <v>975</v>
      </c>
      <c r="AT191">
        <v>2</v>
      </c>
      <c r="AU191">
        <v>2</v>
      </c>
      <c r="AV191" t="s">
        <v>274</v>
      </c>
      <c r="AY191" t="s">
        <v>274</v>
      </c>
      <c r="BB191">
        <v>0</v>
      </c>
      <c r="BC191">
        <v>0</v>
      </c>
      <c r="BD191">
        <v>0</v>
      </c>
      <c r="BE191">
        <v>0</v>
      </c>
      <c r="BF191" t="s">
        <v>1063</v>
      </c>
      <c r="BG191" t="s">
        <v>1183</v>
      </c>
      <c r="BH191">
        <v>17</v>
      </c>
      <c r="BI191" t="s">
        <v>1247</v>
      </c>
      <c r="BK191">
        <v>1869691</v>
      </c>
    </row>
    <row r="192" spans="1:64">
      <c r="A192" s="1">
        <f>HYPERLINK("https://lsnyc.legalserver.org/matter/dynamic-profile/view/1869104","18-1869104")</f>
        <v>0</v>
      </c>
      <c r="B192" t="s">
        <v>124</v>
      </c>
      <c r="C192" t="s">
        <v>250</v>
      </c>
      <c r="D192" t="s">
        <v>252</v>
      </c>
      <c r="E192" t="s">
        <v>266</v>
      </c>
      <c r="F192" t="s">
        <v>273</v>
      </c>
      <c r="G192" t="s">
        <v>275</v>
      </c>
      <c r="H192">
        <v>0</v>
      </c>
      <c r="I192" t="s">
        <v>274</v>
      </c>
      <c r="K192" t="s">
        <v>397</v>
      </c>
      <c r="O192" t="s">
        <v>275</v>
      </c>
      <c r="Q192" t="s">
        <v>502</v>
      </c>
      <c r="S192" t="s">
        <v>503</v>
      </c>
      <c r="T192" t="s">
        <v>507</v>
      </c>
      <c r="U192" t="s">
        <v>511</v>
      </c>
      <c r="V192">
        <v>11211</v>
      </c>
      <c r="W192" t="s">
        <v>529</v>
      </c>
      <c r="X192" t="s">
        <v>548</v>
      </c>
      <c r="Y192" t="s">
        <v>275</v>
      </c>
      <c r="Z192" t="s">
        <v>597</v>
      </c>
      <c r="AA192" t="s">
        <v>782</v>
      </c>
      <c r="AB192" t="s">
        <v>902</v>
      </c>
      <c r="AC192" t="s">
        <v>905</v>
      </c>
      <c r="AF192" t="s">
        <v>926</v>
      </c>
      <c r="AI192">
        <v>7.2</v>
      </c>
      <c r="AJ192" t="s">
        <v>558</v>
      </c>
      <c r="AK192" t="s">
        <v>941</v>
      </c>
      <c r="AL192" t="s">
        <v>274</v>
      </c>
      <c r="AM192" t="s">
        <v>973</v>
      </c>
      <c r="AO192" t="s">
        <v>975</v>
      </c>
      <c r="AT192">
        <v>2</v>
      </c>
      <c r="AU192">
        <v>2</v>
      </c>
      <c r="AV192" t="s">
        <v>274</v>
      </c>
      <c r="AY192" t="s">
        <v>274</v>
      </c>
      <c r="BB192">
        <v>0</v>
      </c>
      <c r="BC192">
        <v>0</v>
      </c>
      <c r="BD192">
        <v>0</v>
      </c>
      <c r="BE192">
        <v>0</v>
      </c>
      <c r="BF192" t="s">
        <v>1063</v>
      </c>
      <c r="BG192" t="s">
        <v>1123</v>
      </c>
      <c r="BH192">
        <v>17</v>
      </c>
      <c r="BI192" t="s">
        <v>1247</v>
      </c>
      <c r="BK192">
        <v>1869691</v>
      </c>
    </row>
    <row r="193" spans="1:64">
      <c r="A193" s="1">
        <f>HYPERLINK("https://lsnyc.legalserver.org/matter/dynamic-profile/view/1868597","18-1868597")</f>
        <v>0</v>
      </c>
      <c r="B193" t="s">
        <v>206</v>
      </c>
      <c r="C193" t="s">
        <v>250</v>
      </c>
      <c r="D193" t="s">
        <v>255</v>
      </c>
      <c r="E193" t="s">
        <v>266</v>
      </c>
      <c r="F193" t="s">
        <v>273</v>
      </c>
      <c r="G193" t="s">
        <v>275</v>
      </c>
      <c r="H193">
        <v>0</v>
      </c>
      <c r="I193" t="s">
        <v>274</v>
      </c>
      <c r="K193" t="s">
        <v>398</v>
      </c>
      <c r="P193" t="s">
        <v>492</v>
      </c>
      <c r="Q193" t="s">
        <v>502</v>
      </c>
      <c r="S193" t="s">
        <v>503</v>
      </c>
      <c r="T193" t="s">
        <v>507</v>
      </c>
      <c r="U193" t="s">
        <v>511</v>
      </c>
      <c r="V193">
        <v>11207</v>
      </c>
      <c r="W193" t="s">
        <v>529</v>
      </c>
      <c r="X193" t="s">
        <v>548</v>
      </c>
      <c r="Y193" t="s">
        <v>275</v>
      </c>
      <c r="Z193" t="s">
        <v>689</v>
      </c>
      <c r="AA193" t="s">
        <v>860</v>
      </c>
      <c r="AB193" t="s">
        <v>902</v>
      </c>
      <c r="AC193" t="s">
        <v>905</v>
      </c>
      <c r="AF193" t="s">
        <v>926</v>
      </c>
      <c r="AI193">
        <v>0.1</v>
      </c>
      <c r="AJ193" t="s">
        <v>558</v>
      </c>
      <c r="AK193" t="s">
        <v>941</v>
      </c>
      <c r="AL193" t="s">
        <v>274</v>
      </c>
      <c r="AM193" t="s">
        <v>973</v>
      </c>
      <c r="AO193" t="s">
        <v>975</v>
      </c>
      <c r="AT193">
        <v>2</v>
      </c>
      <c r="AU193">
        <v>1</v>
      </c>
      <c r="AV193" t="s">
        <v>274</v>
      </c>
      <c r="AY193" t="s">
        <v>274</v>
      </c>
      <c r="BB193">
        <v>0</v>
      </c>
      <c r="BC193">
        <v>0</v>
      </c>
      <c r="BD193">
        <v>0</v>
      </c>
      <c r="BE193">
        <v>0</v>
      </c>
      <c r="BF193" t="s">
        <v>1063</v>
      </c>
      <c r="BG193" t="s">
        <v>1203</v>
      </c>
      <c r="BH193">
        <v>17</v>
      </c>
      <c r="BI193" t="s">
        <v>1247</v>
      </c>
      <c r="BK193">
        <v>1846656</v>
      </c>
    </row>
    <row r="194" spans="1:64">
      <c r="A194" s="1">
        <f>HYPERLINK("https://lsnyc.legalserver.org/matter/dynamic-profile/view/1868601","18-1868601")</f>
        <v>0</v>
      </c>
      <c r="B194" t="s">
        <v>207</v>
      </c>
      <c r="C194" t="s">
        <v>250</v>
      </c>
      <c r="D194" t="s">
        <v>252</v>
      </c>
      <c r="E194" t="s">
        <v>266</v>
      </c>
      <c r="F194" t="s">
        <v>273</v>
      </c>
      <c r="G194" t="s">
        <v>275</v>
      </c>
      <c r="H194">
        <v>0</v>
      </c>
      <c r="I194" t="s">
        <v>274</v>
      </c>
      <c r="K194" t="s">
        <v>398</v>
      </c>
      <c r="P194" t="s">
        <v>492</v>
      </c>
      <c r="Q194" t="s">
        <v>502</v>
      </c>
      <c r="S194" t="s">
        <v>503</v>
      </c>
      <c r="T194" t="s">
        <v>507</v>
      </c>
      <c r="U194" t="s">
        <v>511</v>
      </c>
      <c r="V194">
        <v>11207</v>
      </c>
      <c r="W194" t="s">
        <v>529</v>
      </c>
      <c r="X194" t="s">
        <v>548</v>
      </c>
      <c r="Y194" t="s">
        <v>275</v>
      </c>
      <c r="Z194" t="s">
        <v>657</v>
      </c>
      <c r="AA194" t="s">
        <v>860</v>
      </c>
      <c r="AB194" t="s">
        <v>902</v>
      </c>
      <c r="AC194" t="s">
        <v>905</v>
      </c>
      <c r="AF194" t="s">
        <v>924</v>
      </c>
      <c r="AI194">
        <v>0</v>
      </c>
      <c r="AJ194" t="s">
        <v>558</v>
      </c>
      <c r="AK194" t="s">
        <v>941</v>
      </c>
      <c r="AL194" t="s">
        <v>274</v>
      </c>
      <c r="AM194" t="s">
        <v>973</v>
      </c>
      <c r="AO194" t="s">
        <v>975</v>
      </c>
      <c r="AT194">
        <v>2</v>
      </c>
      <c r="AU194">
        <v>1</v>
      </c>
      <c r="AV194" t="s">
        <v>274</v>
      </c>
      <c r="AY194" t="s">
        <v>274</v>
      </c>
      <c r="BB194">
        <v>0</v>
      </c>
      <c r="BC194">
        <v>0</v>
      </c>
      <c r="BD194">
        <v>0</v>
      </c>
      <c r="BE194">
        <v>0</v>
      </c>
      <c r="BF194" t="s">
        <v>1063</v>
      </c>
      <c r="BG194" t="s">
        <v>1204</v>
      </c>
      <c r="BH194">
        <v>15</v>
      </c>
      <c r="BI194" t="s">
        <v>1247</v>
      </c>
      <c r="BK194">
        <v>1846657</v>
      </c>
    </row>
    <row r="195" spans="1:64">
      <c r="A195" s="1">
        <f>HYPERLINK("https://lsnyc.legalserver.org/matter/dynamic-profile/view/1868609","18-1868609")</f>
        <v>0</v>
      </c>
      <c r="B195" t="s">
        <v>208</v>
      </c>
      <c r="C195" t="s">
        <v>250</v>
      </c>
      <c r="D195" t="s">
        <v>252</v>
      </c>
      <c r="E195" t="s">
        <v>266</v>
      </c>
      <c r="F195" t="s">
        <v>273</v>
      </c>
      <c r="G195" t="s">
        <v>275</v>
      </c>
      <c r="H195">
        <v>63.52</v>
      </c>
      <c r="I195" t="s">
        <v>274</v>
      </c>
      <c r="K195" t="s">
        <v>398</v>
      </c>
      <c r="O195" t="s">
        <v>274</v>
      </c>
      <c r="P195" t="s">
        <v>492</v>
      </c>
      <c r="Q195" t="s">
        <v>501</v>
      </c>
      <c r="S195" t="s">
        <v>503</v>
      </c>
      <c r="T195" t="s">
        <v>508</v>
      </c>
      <c r="U195" t="s">
        <v>511</v>
      </c>
      <c r="V195">
        <v>11233</v>
      </c>
      <c r="W195" t="s">
        <v>518</v>
      </c>
      <c r="X195" t="s">
        <v>549</v>
      </c>
      <c r="Y195" t="s">
        <v>275</v>
      </c>
      <c r="Z195" t="s">
        <v>690</v>
      </c>
      <c r="AA195" t="s">
        <v>861</v>
      </c>
      <c r="AB195" t="s">
        <v>902</v>
      </c>
      <c r="AC195" t="s">
        <v>913</v>
      </c>
      <c r="AF195" t="s">
        <v>926</v>
      </c>
      <c r="AI195">
        <v>0</v>
      </c>
      <c r="AJ195" t="s">
        <v>558</v>
      </c>
      <c r="AK195" t="s">
        <v>952</v>
      </c>
      <c r="AL195" t="s">
        <v>274</v>
      </c>
      <c r="AT195">
        <v>0</v>
      </c>
      <c r="AU195">
        <v>3</v>
      </c>
      <c r="AV195" t="s">
        <v>273</v>
      </c>
      <c r="AY195" t="s">
        <v>273</v>
      </c>
      <c r="BB195">
        <v>0</v>
      </c>
      <c r="BC195">
        <v>0</v>
      </c>
      <c r="BD195">
        <v>0</v>
      </c>
      <c r="BE195">
        <v>0</v>
      </c>
      <c r="BF195" t="s">
        <v>1063</v>
      </c>
      <c r="BG195" t="s">
        <v>1205</v>
      </c>
      <c r="BH195">
        <v>50</v>
      </c>
      <c r="BI195" t="s">
        <v>1298</v>
      </c>
      <c r="BK195">
        <v>1836007</v>
      </c>
    </row>
    <row r="196" spans="1:64">
      <c r="A196" s="1">
        <f>HYPERLINK("https://lsnyc.legalserver.org/matter/dynamic-profile/view/1868621","18-1868621")</f>
        <v>0</v>
      </c>
      <c r="B196" t="s">
        <v>209</v>
      </c>
      <c r="C196" t="s">
        <v>250</v>
      </c>
      <c r="D196" t="s">
        <v>252</v>
      </c>
      <c r="E196" t="s">
        <v>266</v>
      </c>
      <c r="F196" t="s">
        <v>273</v>
      </c>
      <c r="G196" t="s">
        <v>275</v>
      </c>
      <c r="H196">
        <v>18.44</v>
      </c>
      <c r="I196" t="s">
        <v>274</v>
      </c>
      <c r="K196" t="s">
        <v>398</v>
      </c>
      <c r="P196" t="s">
        <v>492</v>
      </c>
      <c r="Q196" t="s">
        <v>501</v>
      </c>
      <c r="S196" t="s">
        <v>503</v>
      </c>
      <c r="T196" t="s">
        <v>508</v>
      </c>
      <c r="U196" t="s">
        <v>511</v>
      </c>
      <c r="V196">
        <v>11213</v>
      </c>
      <c r="W196" t="s">
        <v>520</v>
      </c>
      <c r="X196" t="s">
        <v>549</v>
      </c>
      <c r="Y196" t="s">
        <v>275</v>
      </c>
      <c r="Z196" t="s">
        <v>691</v>
      </c>
      <c r="AA196" t="s">
        <v>862</v>
      </c>
      <c r="AB196" t="s">
        <v>902</v>
      </c>
      <c r="AC196" t="s">
        <v>905</v>
      </c>
      <c r="AF196" t="s">
        <v>923</v>
      </c>
      <c r="AI196">
        <v>1</v>
      </c>
      <c r="AJ196" t="s">
        <v>558</v>
      </c>
      <c r="AK196" t="s">
        <v>942</v>
      </c>
      <c r="AL196" t="s">
        <v>274</v>
      </c>
      <c r="AM196" t="s">
        <v>973</v>
      </c>
      <c r="AO196" t="s">
        <v>973</v>
      </c>
      <c r="AT196">
        <v>2</v>
      </c>
      <c r="AU196">
        <v>2</v>
      </c>
      <c r="AV196" t="s">
        <v>273</v>
      </c>
      <c r="AY196" t="s">
        <v>273</v>
      </c>
      <c r="BB196">
        <v>0</v>
      </c>
      <c r="BC196">
        <v>0</v>
      </c>
      <c r="BD196">
        <v>0</v>
      </c>
      <c r="BE196">
        <v>0</v>
      </c>
      <c r="BF196" t="s">
        <v>1063</v>
      </c>
      <c r="BG196" t="s">
        <v>1206</v>
      </c>
      <c r="BH196">
        <v>40</v>
      </c>
      <c r="BI196" t="s">
        <v>1299</v>
      </c>
      <c r="BK196">
        <v>822013</v>
      </c>
    </row>
    <row r="197" spans="1:64">
      <c r="A197" s="1">
        <f>HYPERLINK("https://lsnyc.legalserver.org/matter/dynamic-profile/view/1867538","18-1867538")</f>
        <v>0</v>
      </c>
      <c r="B197" t="s">
        <v>148</v>
      </c>
      <c r="C197" t="s">
        <v>250</v>
      </c>
      <c r="D197" t="s">
        <v>251</v>
      </c>
      <c r="E197" t="s">
        <v>261</v>
      </c>
      <c r="F197" t="s">
        <v>273</v>
      </c>
      <c r="G197" t="s">
        <v>275</v>
      </c>
      <c r="H197">
        <v>0</v>
      </c>
      <c r="I197" t="s">
        <v>274</v>
      </c>
      <c r="K197" t="s">
        <v>399</v>
      </c>
      <c r="P197" t="s">
        <v>492</v>
      </c>
      <c r="Q197" t="s">
        <v>501</v>
      </c>
      <c r="S197" t="s">
        <v>503</v>
      </c>
      <c r="T197" t="s">
        <v>508</v>
      </c>
      <c r="U197" t="s">
        <v>511</v>
      </c>
      <c r="V197">
        <v>11701</v>
      </c>
      <c r="W197" t="s">
        <v>536</v>
      </c>
      <c r="Y197" t="s">
        <v>275</v>
      </c>
      <c r="Z197" t="s">
        <v>638</v>
      </c>
      <c r="AA197" t="s">
        <v>805</v>
      </c>
      <c r="AB197" t="s">
        <v>902</v>
      </c>
      <c r="AC197" t="s">
        <v>905</v>
      </c>
      <c r="AF197" t="s">
        <v>923</v>
      </c>
      <c r="AI197">
        <v>26.7</v>
      </c>
      <c r="AK197" t="s">
        <v>950</v>
      </c>
      <c r="AL197" t="s">
        <v>274</v>
      </c>
      <c r="AM197" t="s">
        <v>973</v>
      </c>
      <c r="AN197" t="s">
        <v>1008</v>
      </c>
      <c r="AT197">
        <v>2</v>
      </c>
      <c r="AU197">
        <v>2</v>
      </c>
      <c r="AV197" t="s">
        <v>273</v>
      </c>
      <c r="AY197" t="s">
        <v>273</v>
      </c>
      <c r="BB197">
        <v>0</v>
      </c>
      <c r="BC197">
        <v>0</v>
      </c>
      <c r="BD197">
        <v>0</v>
      </c>
      <c r="BE197">
        <v>0</v>
      </c>
      <c r="BF197" t="s">
        <v>1063</v>
      </c>
      <c r="BG197" t="s">
        <v>1147</v>
      </c>
      <c r="BH197">
        <v>24</v>
      </c>
      <c r="BI197" t="s">
        <v>1247</v>
      </c>
      <c r="BK197">
        <v>828177</v>
      </c>
      <c r="BL197" t="s">
        <v>275</v>
      </c>
    </row>
    <row r="198" spans="1:64">
      <c r="A198" s="1">
        <f>HYPERLINK("https://lsnyc.legalserver.org/matter/dynamic-profile/view/1865824","18-1865824")</f>
        <v>0</v>
      </c>
      <c r="B198" t="s">
        <v>210</v>
      </c>
      <c r="C198" t="s">
        <v>250</v>
      </c>
      <c r="D198" t="s">
        <v>252</v>
      </c>
      <c r="E198" t="s">
        <v>272</v>
      </c>
      <c r="F198" t="s">
        <v>273</v>
      </c>
      <c r="G198" t="s">
        <v>275</v>
      </c>
      <c r="H198">
        <v>169.19</v>
      </c>
      <c r="I198" t="s">
        <v>274</v>
      </c>
      <c r="K198" t="s">
        <v>400</v>
      </c>
      <c r="L198" t="s">
        <v>464</v>
      </c>
      <c r="P198" t="s">
        <v>495</v>
      </c>
      <c r="Q198" t="s">
        <v>501</v>
      </c>
      <c r="S198" t="s">
        <v>503</v>
      </c>
      <c r="T198" t="s">
        <v>508</v>
      </c>
      <c r="U198" t="s">
        <v>511</v>
      </c>
      <c r="V198">
        <v>11226</v>
      </c>
      <c r="W198" t="s">
        <v>517</v>
      </c>
      <c r="X198" t="s">
        <v>549</v>
      </c>
      <c r="Y198" t="s">
        <v>275</v>
      </c>
      <c r="Z198" t="s">
        <v>692</v>
      </c>
      <c r="AA198" t="s">
        <v>863</v>
      </c>
      <c r="AB198" t="s">
        <v>902</v>
      </c>
      <c r="AC198" t="s">
        <v>904</v>
      </c>
      <c r="AD198" t="s">
        <v>275</v>
      </c>
      <c r="AE198" t="s">
        <v>919</v>
      </c>
      <c r="AF198" t="s">
        <v>923</v>
      </c>
      <c r="AI198">
        <v>18.8</v>
      </c>
      <c r="AJ198" t="s">
        <v>558</v>
      </c>
      <c r="AK198" t="s">
        <v>939</v>
      </c>
      <c r="AL198" t="s">
        <v>274</v>
      </c>
      <c r="AM198" t="s">
        <v>973</v>
      </c>
      <c r="AN198" t="s">
        <v>1009</v>
      </c>
      <c r="AQ198" t="s">
        <v>1042</v>
      </c>
      <c r="AR198" t="s">
        <v>1051</v>
      </c>
      <c r="AS198" t="s">
        <v>1060</v>
      </c>
      <c r="AT198">
        <v>0</v>
      </c>
      <c r="AU198">
        <v>1</v>
      </c>
      <c r="AV198" t="s">
        <v>273</v>
      </c>
      <c r="AY198" t="s">
        <v>273</v>
      </c>
      <c r="BB198">
        <v>0</v>
      </c>
      <c r="BC198">
        <v>0</v>
      </c>
      <c r="BD198">
        <v>0</v>
      </c>
      <c r="BE198">
        <v>0</v>
      </c>
      <c r="BF198" t="s">
        <v>493</v>
      </c>
      <c r="BG198" t="s">
        <v>1207</v>
      </c>
      <c r="BH198">
        <v>62</v>
      </c>
      <c r="BI198" t="s">
        <v>1300</v>
      </c>
      <c r="BK198">
        <v>1866411</v>
      </c>
    </row>
    <row r="199" spans="1:64">
      <c r="A199" s="1">
        <f>HYPERLINK("https://lsnyc.legalserver.org/matter/dynamic-profile/view/1864935","18-1864935")</f>
        <v>0</v>
      </c>
      <c r="B199" t="s">
        <v>211</v>
      </c>
      <c r="C199" t="s">
        <v>250</v>
      </c>
      <c r="D199" t="s">
        <v>252</v>
      </c>
      <c r="E199" t="s">
        <v>265</v>
      </c>
      <c r="F199" t="s">
        <v>273</v>
      </c>
      <c r="G199" t="s">
        <v>275</v>
      </c>
      <c r="H199">
        <v>63.18</v>
      </c>
      <c r="I199" t="s">
        <v>274</v>
      </c>
      <c r="K199" t="s">
        <v>401</v>
      </c>
      <c r="O199" t="s">
        <v>275</v>
      </c>
      <c r="P199" t="s">
        <v>492</v>
      </c>
      <c r="Q199" t="s">
        <v>502</v>
      </c>
      <c r="S199" t="s">
        <v>503</v>
      </c>
      <c r="T199" t="s">
        <v>508</v>
      </c>
      <c r="U199" t="s">
        <v>511</v>
      </c>
      <c r="V199">
        <v>11214</v>
      </c>
      <c r="W199" t="s">
        <v>519</v>
      </c>
      <c r="X199" t="s">
        <v>548</v>
      </c>
      <c r="Y199" t="s">
        <v>275</v>
      </c>
      <c r="Z199" t="s">
        <v>693</v>
      </c>
      <c r="AA199" t="s">
        <v>864</v>
      </c>
      <c r="AB199" t="s">
        <v>902</v>
      </c>
      <c r="AC199" t="s">
        <v>905</v>
      </c>
      <c r="AF199" t="s">
        <v>926</v>
      </c>
      <c r="AI199">
        <v>2.33</v>
      </c>
      <c r="AJ199" t="s">
        <v>558</v>
      </c>
      <c r="AK199" t="s">
        <v>941</v>
      </c>
      <c r="AL199" t="s">
        <v>274</v>
      </c>
      <c r="AM199" t="s">
        <v>973</v>
      </c>
      <c r="AN199" t="s">
        <v>1010</v>
      </c>
      <c r="AT199">
        <v>1</v>
      </c>
      <c r="AU199">
        <v>1</v>
      </c>
      <c r="AV199" t="s">
        <v>273</v>
      </c>
      <c r="AY199" t="s">
        <v>273</v>
      </c>
      <c r="BB199">
        <v>0</v>
      </c>
      <c r="BC199">
        <v>0</v>
      </c>
      <c r="BD199">
        <v>0</v>
      </c>
      <c r="BE199">
        <v>0</v>
      </c>
      <c r="BF199" t="s">
        <v>1063</v>
      </c>
      <c r="BG199" t="s">
        <v>1208</v>
      </c>
      <c r="BH199">
        <v>6</v>
      </c>
      <c r="BI199" t="s">
        <v>1301</v>
      </c>
      <c r="BK199">
        <v>1864316</v>
      </c>
    </row>
    <row r="200" spans="1:64">
      <c r="A200" s="1">
        <f>HYPERLINK("https://lsnyc.legalserver.org/matter/dynamic-profile/view/1864718","18-1864718")</f>
        <v>0</v>
      </c>
      <c r="B200" t="s">
        <v>212</v>
      </c>
      <c r="C200" t="s">
        <v>250</v>
      </c>
      <c r="D200" t="s">
        <v>252</v>
      </c>
      <c r="E200" t="s">
        <v>262</v>
      </c>
      <c r="F200" t="s">
        <v>273</v>
      </c>
      <c r="G200" t="s">
        <v>275</v>
      </c>
      <c r="H200">
        <v>117.21</v>
      </c>
      <c r="I200" t="s">
        <v>274</v>
      </c>
      <c r="K200" t="s">
        <v>402</v>
      </c>
      <c r="M200" t="s">
        <v>472</v>
      </c>
      <c r="N200" t="s">
        <v>491</v>
      </c>
      <c r="O200" t="s">
        <v>274</v>
      </c>
      <c r="P200" t="s">
        <v>496</v>
      </c>
      <c r="Q200" t="s">
        <v>501</v>
      </c>
      <c r="S200" t="s">
        <v>503</v>
      </c>
      <c r="T200" t="s">
        <v>508</v>
      </c>
      <c r="U200" t="s">
        <v>511</v>
      </c>
      <c r="V200">
        <v>11234</v>
      </c>
      <c r="W200" t="s">
        <v>523</v>
      </c>
      <c r="X200" t="s">
        <v>549</v>
      </c>
      <c r="Y200" t="s">
        <v>275</v>
      </c>
      <c r="Z200" t="s">
        <v>694</v>
      </c>
      <c r="AA200" t="s">
        <v>865</v>
      </c>
      <c r="AB200" t="s">
        <v>902</v>
      </c>
      <c r="AC200" t="s">
        <v>904</v>
      </c>
      <c r="AF200" t="s">
        <v>923</v>
      </c>
      <c r="AI200">
        <v>1.85</v>
      </c>
      <c r="AJ200" t="s">
        <v>558</v>
      </c>
      <c r="AK200" t="s">
        <v>939</v>
      </c>
      <c r="AL200" t="s">
        <v>274</v>
      </c>
      <c r="AM200" t="s">
        <v>973</v>
      </c>
      <c r="AN200" t="s">
        <v>1011</v>
      </c>
      <c r="AO200" t="s">
        <v>976</v>
      </c>
      <c r="AP200" t="s">
        <v>491</v>
      </c>
      <c r="AS200" t="s">
        <v>1058</v>
      </c>
      <c r="AT200">
        <v>1</v>
      </c>
      <c r="AU200">
        <v>1</v>
      </c>
      <c r="AV200" t="s">
        <v>273</v>
      </c>
      <c r="AY200" t="s">
        <v>273</v>
      </c>
      <c r="BB200">
        <v>0</v>
      </c>
      <c r="BC200">
        <v>0</v>
      </c>
      <c r="BD200">
        <v>0</v>
      </c>
      <c r="BE200">
        <v>0</v>
      </c>
      <c r="BF200" t="s">
        <v>1063</v>
      </c>
      <c r="BG200" t="s">
        <v>1209</v>
      </c>
      <c r="BH200">
        <v>34</v>
      </c>
      <c r="BI200" t="s">
        <v>1302</v>
      </c>
      <c r="BK200">
        <v>1857417</v>
      </c>
      <c r="BL200" t="s">
        <v>275</v>
      </c>
    </row>
    <row r="201" spans="1:64">
      <c r="A201" s="1">
        <f>HYPERLINK("https://lsnyc.legalserver.org/matter/dynamic-profile/view/1864721","18-1864721")</f>
        <v>0</v>
      </c>
      <c r="B201" t="s">
        <v>212</v>
      </c>
      <c r="C201" t="s">
        <v>250</v>
      </c>
      <c r="D201" t="s">
        <v>252</v>
      </c>
      <c r="E201" t="s">
        <v>262</v>
      </c>
      <c r="F201" t="s">
        <v>273</v>
      </c>
      <c r="G201" t="s">
        <v>275</v>
      </c>
      <c r="H201">
        <v>117.21</v>
      </c>
      <c r="I201" t="s">
        <v>274</v>
      </c>
      <c r="K201" t="s">
        <v>402</v>
      </c>
      <c r="M201" t="s">
        <v>472</v>
      </c>
      <c r="N201" t="s">
        <v>491</v>
      </c>
      <c r="P201" t="s">
        <v>496</v>
      </c>
      <c r="Q201" t="s">
        <v>501</v>
      </c>
      <c r="S201" t="s">
        <v>503</v>
      </c>
      <c r="T201" t="s">
        <v>508</v>
      </c>
      <c r="U201" t="s">
        <v>511</v>
      </c>
      <c r="V201">
        <v>11234</v>
      </c>
      <c r="W201" t="s">
        <v>523</v>
      </c>
      <c r="X201" t="s">
        <v>549</v>
      </c>
      <c r="Y201" t="s">
        <v>275</v>
      </c>
      <c r="Z201" t="s">
        <v>694</v>
      </c>
      <c r="AA201" t="s">
        <v>865</v>
      </c>
      <c r="AB201" t="s">
        <v>902</v>
      </c>
      <c r="AC201" t="s">
        <v>904</v>
      </c>
      <c r="AF201" t="s">
        <v>923</v>
      </c>
      <c r="AI201">
        <v>2</v>
      </c>
      <c r="AJ201" t="s">
        <v>558</v>
      </c>
      <c r="AK201" t="s">
        <v>939</v>
      </c>
      <c r="AL201" t="s">
        <v>274</v>
      </c>
      <c r="AM201" t="s">
        <v>973</v>
      </c>
      <c r="AN201" t="s">
        <v>1011</v>
      </c>
      <c r="AO201" t="s">
        <v>976</v>
      </c>
      <c r="AP201" t="s">
        <v>491</v>
      </c>
      <c r="AT201">
        <v>1</v>
      </c>
      <c r="AU201">
        <v>1</v>
      </c>
      <c r="AV201" t="s">
        <v>273</v>
      </c>
      <c r="AY201" t="s">
        <v>273</v>
      </c>
      <c r="BB201">
        <v>0</v>
      </c>
      <c r="BC201">
        <v>0</v>
      </c>
      <c r="BD201">
        <v>0</v>
      </c>
      <c r="BE201">
        <v>0</v>
      </c>
      <c r="BF201" t="s">
        <v>1063</v>
      </c>
      <c r="BG201" t="s">
        <v>1209</v>
      </c>
      <c r="BH201">
        <v>34</v>
      </c>
      <c r="BI201" t="s">
        <v>1302</v>
      </c>
      <c r="BK201">
        <v>1857417</v>
      </c>
      <c r="BL201" t="s">
        <v>275</v>
      </c>
    </row>
    <row r="202" spans="1:64">
      <c r="A202" s="1">
        <f>HYPERLINK("https://lsnyc.legalserver.org/matter/dynamic-profile/view/1863665","18-1863665")</f>
        <v>0</v>
      </c>
      <c r="B202" t="s">
        <v>213</v>
      </c>
      <c r="C202" t="s">
        <v>250</v>
      </c>
      <c r="D202" t="s">
        <v>252</v>
      </c>
      <c r="E202" t="s">
        <v>261</v>
      </c>
      <c r="F202" t="s">
        <v>273</v>
      </c>
      <c r="G202" t="s">
        <v>275</v>
      </c>
      <c r="H202">
        <v>249.09</v>
      </c>
      <c r="I202" t="s">
        <v>274</v>
      </c>
      <c r="K202" t="s">
        <v>403</v>
      </c>
      <c r="L202" t="s">
        <v>468</v>
      </c>
      <c r="O202" t="s">
        <v>275</v>
      </c>
      <c r="P202" t="s">
        <v>493</v>
      </c>
      <c r="Q202" t="s">
        <v>501</v>
      </c>
      <c r="S202" t="s">
        <v>503</v>
      </c>
      <c r="T202" t="s">
        <v>508</v>
      </c>
      <c r="U202" t="s">
        <v>511</v>
      </c>
      <c r="V202">
        <v>11230</v>
      </c>
      <c r="W202" t="s">
        <v>523</v>
      </c>
      <c r="X202" t="s">
        <v>548</v>
      </c>
      <c r="Y202" t="s">
        <v>275</v>
      </c>
      <c r="Z202" t="s">
        <v>695</v>
      </c>
      <c r="AA202" t="s">
        <v>866</v>
      </c>
      <c r="AB202" t="s">
        <v>903</v>
      </c>
      <c r="AD202" t="s">
        <v>275</v>
      </c>
      <c r="AE202" t="s">
        <v>919</v>
      </c>
      <c r="AF202" t="s">
        <v>923</v>
      </c>
      <c r="AI202">
        <v>12.9</v>
      </c>
      <c r="AK202" t="s">
        <v>947</v>
      </c>
      <c r="AM202" t="s">
        <v>976</v>
      </c>
      <c r="AN202" t="s">
        <v>330</v>
      </c>
      <c r="AQ202" t="s">
        <v>1044</v>
      </c>
      <c r="AR202" t="s">
        <v>1051</v>
      </c>
      <c r="AT202">
        <v>0</v>
      </c>
      <c r="AU202">
        <v>2</v>
      </c>
      <c r="AV202" t="s">
        <v>273</v>
      </c>
      <c r="AY202" t="s">
        <v>273</v>
      </c>
      <c r="BB202">
        <v>0</v>
      </c>
      <c r="BC202">
        <v>0</v>
      </c>
      <c r="BD202">
        <v>0</v>
      </c>
      <c r="BE202">
        <v>0</v>
      </c>
      <c r="BF202" t="s">
        <v>493</v>
      </c>
      <c r="BG202" t="s">
        <v>1210</v>
      </c>
      <c r="BH202">
        <v>61</v>
      </c>
      <c r="BI202" t="s">
        <v>1303</v>
      </c>
      <c r="BK202">
        <v>1864247</v>
      </c>
    </row>
    <row r="203" spans="1:64">
      <c r="A203" s="1">
        <f>HYPERLINK("https://lsnyc.legalserver.org/matter/dynamic-profile/view/1863632","18-1863632")</f>
        <v>0</v>
      </c>
      <c r="B203" t="s">
        <v>214</v>
      </c>
      <c r="C203" t="s">
        <v>250</v>
      </c>
      <c r="D203" t="s">
        <v>252</v>
      </c>
      <c r="E203" t="s">
        <v>262</v>
      </c>
      <c r="F203" t="s">
        <v>273</v>
      </c>
      <c r="G203" t="s">
        <v>275</v>
      </c>
      <c r="H203">
        <v>79.87</v>
      </c>
      <c r="I203" t="s">
        <v>274</v>
      </c>
      <c r="K203" t="s">
        <v>403</v>
      </c>
      <c r="O203" t="s">
        <v>275</v>
      </c>
      <c r="P203" t="s">
        <v>492</v>
      </c>
      <c r="Q203" t="s">
        <v>501</v>
      </c>
      <c r="S203" t="s">
        <v>503</v>
      </c>
      <c r="T203" t="s">
        <v>508</v>
      </c>
      <c r="U203" t="s">
        <v>511</v>
      </c>
      <c r="V203">
        <v>11207</v>
      </c>
      <c r="W203" t="s">
        <v>524</v>
      </c>
      <c r="X203" t="s">
        <v>549</v>
      </c>
      <c r="Y203" t="s">
        <v>275</v>
      </c>
      <c r="Z203" t="s">
        <v>696</v>
      </c>
      <c r="AA203" t="s">
        <v>867</v>
      </c>
      <c r="AB203" t="s">
        <v>902</v>
      </c>
      <c r="AC203" t="s">
        <v>905</v>
      </c>
      <c r="AF203" t="s">
        <v>928</v>
      </c>
      <c r="AI203">
        <v>13.15</v>
      </c>
      <c r="AJ203" t="s">
        <v>558</v>
      </c>
      <c r="AK203" t="s">
        <v>933</v>
      </c>
      <c r="AL203" t="s">
        <v>274</v>
      </c>
      <c r="AT203">
        <v>0</v>
      </c>
      <c r="AU203">
        <v>3</v>
      </c>
      <c r="AV203" t="s">
        <v>273</v>
      </c>
      <c r="AY203" t="s">
        <v>273</v>
      </c>
      <c r="BB203">
        <v>0</v>
      </c>
      <c r="BC203">
        <v>0</v>
      </c>
      <c r="BD203">
        <v>0</v>
      </c>
      <c r="BE203">
        <v>0</v>
      </c>
      <c r="BF203" t="s">
        <v>1063</v>
      </c>
      <c r="BG203" t="s">
        <v>1211</v>
      </c>
      <c r="BH203">
        <v>53</v>
      </c>
      <c r="BI203" t="s">
        <v>1304</v>
      </c>
      <c r="BK203">
        <v>1864214</v>
      </c>
    </row>
    <row r="204" spans="1:64">
      <c r="A204" s="1">
        <f>HYPERLINK("https://lsnyc.legalserver.org/matter/dynamic-profile/view/1863734","18-1863734")</f>
        <v>0</v>
      </c>
      <c r="B204" t="s">
        <v>82</v>
      </c>
      <c r="C204" t="s">
        <v>250</v>
      </c>
      <c r="D204" t="s">
        <v>252</v>
      </c>
      <c r="E204" t="s">
        <v>265</v>
      </c>
      <c r="F204" t="s">
        <v>273</v>
      </c>
      <c r="G204" t="s">
        <v>275</v>
      </c>
      <c r="H204">
        <v>37.91</v>
      </c>
      <c r="I204" t="s">
        <v>274</v>
      </c>
      <c r="K204" t="s">
        <v>403</v>
      </c>
      <c r="O204" t="s">
        <v>275</v>
      </c>
      <c r="P204" t="s">
        <v>492</v>
      </c>
      <c r="Q204" t="s">
        <v>501</v>
      </c>
      <c r="S204" t="s">
        <v>503</v>
      </c>
      <c r="T204" t="s">
        <v>508</v>
      </c>
      <c r="U204" t="s">
        <v>511</v>
      </c>
      <c r="V204">
        <v>11214</v>
      </c>
      <c r="W204" t="s">
        <v>519</v>
      </c>
      <c r="X204" t="s">
        <v>548</v>
      </c>
      <c r="Y204" t="s">
        <v>275</v>
      </c>
      <c r="Z204" t="s">
        <v>577</v>
      </c>
      <c r="AA204" t="s">
        <v>744</v>
      </c>
      <c r="AB204" t="s">
        <v>902</v>
      </c>
      <c r="AC204" t="s">
        <v>905</v>
      </c>
      <c r="AF204" t="s">
        <v>926</v>
      </c>
      <c r="AI204">
        <v>55.5</v>
      </c>
      <c r="AJ204" t="s">
        <v>558</v>
      </c>
      <c r="AK204" t="s">
        <v>941</v>
      </c>
      <c r="AM204" t="s">
        <v>973</v>
      </c>
      <c r="AN204" t="s">
        <v>1010</v>
      </c>
      <c r="AT204">
        <v>1</v>
      </c>
      <c r="AU204">
        <v>1</v>
      </c>
      <c r="AV204" t="s">
        <v>273</v>
      </c>
      <c r="AY204" t="s">
        <v>273</v>
      </c>
      <c r="BB204">
        <v>0</v>
      </c>
      <c r="BC204">
        <v>0</v>
      </c>
      <c r="BD204">
        <v>0</v>
      </c>
      <c r="BE204">
        <v>0</v>
      </c>
      <c r="BF204" t="s">
        <v>1063</v>
      </c>
      <c r="BG204" t="s">
        <v>1082</v>
      </c>
      <c r="BH204">
        <v>21</v>
      </c>
      <c r="BI204" t="s">
        <v>1305</v>
      </c>
      <c r="BK204">
        <v>1864316</v>
      </c>
    </row>
    <row r="205" spans="1:64">
      <c r="A205" s="1">
        <f>HYPERLINK("https://lsnyc.legalserver.org/matter/dynamic-profile/view/1862936","18-1862936")</f>
        <v>0</v>
      </c>
      <c r="B205" t="s">
        <v>215</v>
      </c>
      <c r="C205" t="s">
        <v>250</v>
      </c>
      <c r="D205" t="s">
        <v>252</v>
      </c>
      <c r="E205" t="s">
        <v>261</v>
      </c>
      <c r="F205" t="s">
        <v>273</v>
      </c>
      <c r="G205" t="s">
        <v>275</v>
      </c>
      <c r="H205">
        <v>69.3</v>
      </c>
      <c r="I205" t="s">
        <v>274</v>
      </c>
      <c r="K205" t="s">
        <v>404</v>
      </c>
      <c r="P205" t="s">
        <v>492</v>
      </c>
      <c r="Q205" t="s">
        <v>501</v>
      </c>
      <c r="S205" t="s">
        <v>503</v>
      </c>
      <c r="T205" t="s">
        <v>508</v>
      </c>
      <c r="U205" t="s">
        <v>511</v>
      </c>
      <c r="V205">
        <v>11226</v>
      </c>
      <c r="W205" t="s">
        <v>524</v>
      </c>
      <c r="X205" t="s">
        <v>549</v>
      </c>
      <c r="Y205" t="s">
        <v>275</v>
      </c>
      <c r="Z205" t="s">
        <v>697</v>
      </c>
      <c r="AA205" t="s">
        <v>868</v>
      </c>
      <c r="AB205" t="s">
        <v>903</v>
      </c>
      <c r="AF205" t="s">
        <v>923</v>
      </c>
      <c r="AI205">
        <v>12</v>
      </c>
      <c r="AK205" t="s">
        <v>969</v>
      </c>
      <c r="AM205" t="s">
        <v>973</v>
      </c>
      <c r="AN205" t="s">
        <v>287</v>
      </c>
      <c r="AT205">
        <v>0</v>
      </c>
      <c r="AU205">
        <v>3</v>
      </c>
      <c r="AV205" t="s">
        <v>273</v>
      </c>
      <c r="AY205" t="s">
        <v>273</v>
      </c>
      <c r="BB205">
        <v>0</v>
      </c>
      <c r="BC205">
        <v>0</v>
      </c>
      <c r="BD205">
        <v>0</v>
      </c>
      <c r="BE205">
        <v>0</v>
      </c>
      <c r="BF205" t="s">
        <v>1063</v>
      </c>
      <c r="BG205" t="s">
        <v>1212</v>
      </c>
      <c r="BH205">
        <v>47</v>
      </c>
      <c r="BI205" t="s">
        <v>1253</v>
      </c>
      <c r="BK205">
        <v>1861540</v>
      </c>
    </row>
    <row r="206" spans="1:64">
      <c r="A206" s="1">
        <f>HYPERLINK("https://lsnyc.legalserver.org/matter/dynamic-profile/view/1862939","18-1862939")</f>
        <v>0</v>
      </c>
      <c r="B206" t="s">
        <v>215</v>
      </c>
      <c r="C206" t="s">
        <v>250</v>
      </c>
      <c r="D206" t="s">
        <v>252</v>
      </c>
      <c r="E206" t="s">
        <v>261</v>
      </c>
      <c r="F206" t="s">
        <v>273</v>
      </c>
      <c r="G206" t="s">
        <v>275</v>
      </c>
      <c r="H206">
        <v>69.3</v>
      </c>
      <c r="I206" t="s">
        <v>274</v>
      </c>
      <c r="K206" t="s">
        <v>404</v>
      </c>
      <c r="P206" t="s">
        <v>492</v>
      </c>
      <c r="Q206" t="s">
        <v>501</v>
      </c>
      <c r="S206" t="s">
        <v>503</v>
      </c>
      <c r="T206" t="s">
        <v>508</v>
      </c>
      <c r="U206" t="s">
        <v>511</v>
      </c>
      <c r="V206">
        <v>11226</v>
      </c>
      <c r="W206" t="s">
        <v>520</v>
      </c>
      <c r="X206" t="s">
        <v>549</v>
      </c>
      <c r="Y206" t="s">
        <v>275</v>
      </c>
      <c r="Z206" t="s">
        <v>697</v>
      </c>
      <c r="AA206" t="s">
        <v>868</v>
      </c>
      <c r="AB206" t="s">
        <v>903</v>
      </c>
      <c r="AF206" t="s">
        <v>923</v>
      </c>
      <c r="AI206">
        <v>9.199999999999999</v>
      </c>
      <c r="AK206" t="s">
        <v>969</v>
      </c>
      <c r="AM206" t="s">
        <v>973</v>
      </c>
      <c r="AN206" t="s">
        <v>287</v>
      </c>
      <c r="AT206">
        <v>0</v>
      </c>
      <c r="AU206">
        <v>3</v>
      </c>
      <c r="AV206" t="s">
        <v>273</v>
      </c>
      <c r="AY206" t="s">
        <v>273</v>
      </c>
      <c r="BB206">
        <v>0</v>
      </c>
      <c r="BC206">
        <v>0</v>
      </c>
      <c r="BD206">
        <v>0</v>
      </c>
      <c r="BE206">
        <v>0</v>
      </c>
      <c r="BF206" t="s">
        <v>1063</v>
      </c>
      <c r="BG206" t="s">
        <v>1212</v>
      </c>
      <c r="BH206">
        <v>47</v>
      </c>
      <c r="BI206" t="s">
        <v>1253</v>
      </c>
      <c r="BK206">
        <v>1861540</v>
      </c>
    </row>
    <row r="207" spans="1:64">
      <c r="A207" s="1">
        <f>HYPERLINK("https://lsnyc.legalserver.org/matter/dynamic-profile/view/1862941","18-1862941")</f>
        <v>0</v>
      </c>
      <c r="B207" t="s">
        <v>215</v>
      </c>
      <c r="C207" t="s">
        <v>250</v>
      </c>
      <c r="D207" t="s">
        <v>252</v>
      </c>
      <c r="E207" t="s">
        <v>261</v>
      </c>
      <c r="F207" t="s">
        <v>273</v>
      </c>
      <c r="G207" t="s">
        <v>275</v>
      </c>
      <c r="H207">
        <v>69.3</v>
      </c>
      <c r="I207" t="s">
        <v>274</v>
      </c>
      <c r="K207" t="s">
        <v>404</v>
      </c>
      <c r="P207" t="s">
        <v>492</v>
      </c>
      <c r="Q207" t="s">
        <v>501</v>
      </c>
      <c r="S207" t="s">
        <v>503</v>
      </c>
      <c r="T207" t="s">
        <v>508</v>
      </c>
      <c r="U207" t="s">
        <v>511</v>
      </c>
      <c r="V207">
        <v>11226</v>
      </c>
      <c r="W207" t="s">
        <v>543</v>
      </c>
      <c r="X207" t="s">
        <v>549</v>
      </c>
      <c r="Y207" t="s">
        <v>275</v>
      </c>
      <c r="Z207" t="s">
        <v>697</v>
      </c>
      <c r="AA207" t="s">
        <v>868</v>
      </c>
      <c r="AB207" t="s">
        <v>903</v>
      </c>
      <c r="AF207" t="s">
        <v>923</v>
      </c>
      <c r="AI207">
        <v>10.4</v>
      </c>
      <c r="AK207" t="s">
        <v>969</v>
      </c>
      <c r="AM207" t="s">
        <v>973</v>
      </c>
      <c r="AN207" t="s">
        <v>287</v>
      </c>
      <c r="AT207">
        <v>0</v>
      </c>
      <c r="AU207">
        <v>3</v>
      </c>
      <c r="AV207" t="s">
        <v>273</v>
      </c>
      <c r="AY207" t="s">
        <v>273</v>
      </c>
      <c r="BB207">
        <v>0</v>
      </c>
      <c r="BC207">
        <v>0</v>
      </c>
      <c r="BD207">
        <v>0</v>
      </c>
      <c r="BE207">
        <v>0</v>
      </c>
      <c r="BF207" t="s">
        <v>1063</v>
      </c>
      <c r="BG207" t="s">
        <v>1212</v>
      </c>
      <c r="BH207">
        <v>47</v>
      </c>
      <c r="BI207" t="s">
        <v>1253</v>
      </c>
      <c r="BK207">
        <v>1861540</v>
      </c>
    </row>
    <row r="208" spans="1:64">
      <c r="A208" s="1">
        <f>HYPERLINK("https://lsnyc.legalserver.org/matter/dynamic-profile/view/1861608","18-1861608")</f>
        <v>0</v>
      </c>
      <c r="B208" t="s">
        <v>216</v>
      </c>
      <c r="C208" t="s">
        <v>250</v>
      </c>
      <c r="D208" t="s">
        <v>252</v>
      </c>
      <c r="E208" t="s">
        <v>265</v>
      </c>
      <c r="F208" t="s">
        <v>273</v>
      </c>
      <c r="G208" t="s">
        <v>275</v>
      </c>
      <c r="H208">
        <v>11</v>
      </c>
      <c r="I208" t="s">
        <v>274</v>
      </c>
      <c r="K208" t="s">
        <v>405</v>
      </c>
      <c r="M208" t="s">
        <v>474</v>
      </c>
      <c r="O208" t="s">
        <v>275</v>
      </c>
      <c r="P208" t="s">
        <v>492</v>
      </c>
      <c r="Q208" t="s">
        <v>501</v>
      </c>
      <c r="S208" t="s">
        <v>503</v>
      </c>
      <c r="T208" t="s">
        <v>508</v>
      </c>
      <c r="U208" t="s">
        <v>511</v>
      </c>
      <c r="V208">
        <v>11234</v>
      </c>
      <c r="W208" t="s">
        <v>518</v>
      </c>
      <c r="X208" t="s">
        <v>549</v>
      </c>
      <c r="Y208" t="s">
        <v>274</v>
      </c>
      <c r="Z208" t="s">
        <v>698</v>
      </c>
      <c r="AA208" t="s">
        <v>869</v>
      </c>
      <c r="AB208" t="s">
        <v>902</v>
      </c>
      <c r="AC208" t="s">
        <v>906</v>
      </c>
      <c r="AF208" t="s">
        <v>926</v>
      </c>
      <c r="AI208">
        <v>102.48</v>
      </c>
      <c r="AJ208" t="s">
        <v>558</v>
      </c>
      <c r="AK208" t="s">
        <v>937</v>
      </c>
      <c r="AL208" t="s">
        <v>274</v>
      </c>
      <c r="AM208" t="s">
        <v>973</v>
      </c>
      <c r="AN208" t="s">
        <v>1012</v>
      </c>
      <c r="AT208">
        <v>3</v>
      </c>
      <c r="AU208">
        <v>1</v>
      </c>
      <c r="AV208" t="s">
        <v>273</v>
      </c>
      <c r="AY208" t="s">
        <v>273</v>
      </c>
      <c r="BB208">
        <v>0</v>
      </c>
      <c r="BC208">
        <v>0</v>
      </c>
      <c r="BD208">
        <v>0</v>
      </c>
      <c r="BE208">
        <v>0</v>
      </c>
      <c r="BF208" t="s">
        <v>1063</v>
      </c>
      <c r="BG208" t="s">
        <v>1213</v>
      </c>
      <c r="BH208">
        <v>32</v>
      </c>
      <c r="BI208" t="s">
        <v>1306</v>
      </c>
      <c r="BK208">
        <v>1862186</v>
      </c>
    </row>
    <row r="209" spans="1:64">
      <c r="A209" s="1">
        <f>HYPERLINK("https://lsnyc.legalserver.org/matter/dynamic-profile/view/1861709","18-1861709")</f>
        <v>0</v>
      </c>
      <c r="B209" t="s">
        <v>217</v>
      </c>
      <c r="C209" t="s">
        <v>250</v>
      </c>
      <c r="D209" t="s">
        <v>253</v>
      </c>
      <c r="E209" t="s">
        <v>266</v>
      </c>
      <c r="F209" t="s">
        <v>273</v>
      </c>
      <c r="G209" t="s">
        <v>275</v>
      </c>
      <c r="H209">
        <v>0</v>
      </c>
      <c r="I209" t="s">
        <v>274</v>
      </c>
      <c r="K209" t="s">
        <v>405</v>
      </c>
      <c r="Q209" t="s">
        <v>501</v>
      </c>
      <c r="S209" t="s">
        <v>503</v>
      </c>
      <c r="T209" t="s">
        <v>507</v>
      </c>
      <c r="U209" t="s">
        <v>511</v>
      </c>
      <c r="V209">
        <v>11105</v>
      </c>
      <c r="W209" t="s">
        <v>518</v>
      </c>
      <c r="X209" t="s">
        <v>556</v>
      </c>
      <c r="Y209" t="s">
        <v>275</v>
      </c>
      <c r="Z209" t="s">
        <v>699</v>
      </c>
      <c r="AA209" t="s">
        <v>870</v>
      </c>
      <c r="AB209" t="s">
        <v>902</v>
      </c>
      <c r="AC209" t="s">
        <v>905</v>
      </c>
      <c r="AF209" t="s">
        <v>926</v>
      </c>
      <c r="AI209">
        <v>4</v>
      </c>
      <c r="AJ209" t="s">
        <v>558</v>
      </c>
      <c r="AK209" t="s">
        <v>943</v>
      </c>
      <c r="AL209" t="s">
        <v>274</v>
      </c>
      <c r="AT209">
        <v>0</v>
      </c>
      <c r="AU209">
        <v>1</v>
      </c>
      <c r="AV209" t="s">
        <v>273</v>
      </c>
      <c r="AY209" t="s">
        <v>273</v>
      </c>
      <c r="BB209">
        <v>0</v>
      </c>
      <c r="BC209">
        <v>0</v>
      </c>
      <c r="BD209">
        <v>0</v>
      </c>
      <c r="BE209">
        <v>0</v>
      </c>
      <c r="BF209" t="s">
        <v>1063</v>
      </c>
      <c r="BG209" t="s">
        <v>1214</v>
      </c>
      <c r="BH209">
        <v>32</v>
      </c>
      <c r="BI209" t="s">
        <v>1247</v>
      </c>
      <c r="BK209">
        <v>1862287</v>
      </c>
    </row>
    <row r="210" spans="1:64">
      <c r="A210" s="1">
        <f>HYPERLINK("https://lsnyc.legalserver.org/matter/dynamic-profile/view/1861530","18-1861530")</f>
        <v>0</v>
      </c>
      <c r="B210" t="s">
        <v>218</v>
      </c>
      <c r="C210" t="s">
        <v>250</v>
      </c>
      <c r="D210" t="s">
        <v>252</v>
      </c>
      <c r="E210" t="s">
        <v>261</v>
      </c>
      <c r="F210" t="s">
        <v>273</v>
      </c>
      <c r="G210" t="s">
        <v>275</v>
      </c>
      <c r="H210">
        <v>128.5</v>
      </c>
      <c r="I210" t="s">
        <v>274</v>
      </c>
      <c r="K210" t="s">
        <v>406</v>
      </c>
      <c r="O210" t="s">
        <v>275</v>
      </c>
      <c r="Q210" t="s">
        <v>501</v>
      </c>
      <c r="S210" t="s">
        <v>503</v>
      </c>
      <c r="T210" t="s">
        <v>507</v>
      </c>
      <c r="U210" t="s">
        <v>511</v>
      </c>
      <c r="V210">
        <v>11234</v>
      </c>
      <c r="W210" t="s">
        <v>516</v>
      </c>
      <c r="X210" t="s">
        <v>549</v>
      </c>
      <c r="Y210" t="s">
        <v>275</v>
      </c>
      <c r="Z210" t="s">
        <v>700</v>
      </c>
      <c r="AA210" t="s">
        <v>862</v>
      </c>
      <c r="AB210" t="s">
        <v>902</v>
      </c>
      <c r="AC210" t="s">
        <v>904</v>
      </c>
      <c r="AF210" t="s">
        <v>923</v>
      </c>
      <c r="AI210">
        <v>24.6</v>
      </c>
      <c r="AJ210" t="s">
        <v>558</v>
      </c>
      <c r="AK210" t="s">
        <v>965</v>
      </c>
      <c r="AM210" t="s">
        <v>973</v>
      </c>
      <c r="AN210" t="s">
        <v>1013</v>
      </c>
      <c r="AT210">
        <v>0</v>
      </c>
      <c r="AU210">
        <v>1</v>
      </c>
      <c r="AV210" t="s">
        <v>273</v>
      </c>
      <c r="AY210" t="s">
        <v>273</v>
      </c>
      <c r="BB210">
        <v>0</v>
      </c>
      <c r="BC210">
        <v>0</v>
      </c>
      <c r="BD210">
        <v>0</v>
      </c>
      <c r="BE210">
        <v>0</v>
      </c>
      <c r="BF210" t="s">
        <v>1063</v>
      </c>
      <c r="BG210" t="s">
        <v>1215</v>
      </c>
      <c r="BH210">
        <v>60</v>
      </c>
      <c r="BI210" t="s">
        <v>1270</v>
      </c>
      <c r="BK210">
        <v>1853135</v>
      </c>
    </row>
    <row r="211" spans="1:64">
      <c r="A211" s="1">
        <f>HYPERLINK("https://lsnyc.legalserver.org/matter/dynamic-profile/view/1861376","18-1861376")</f>
        <v>0</v>
      </c>
      <c r="B211" t="s">
        <v>219</v>
      </c>
      <c r="C211" t="s">
        <v>250</v>
      </c>
      <c r="D211" t="s">
        <v>252</v>
      </c>
      <c r="E211" t="s">
        <v>261</v>
      </c>
      <c r="F211" t="s">
        <v>273</v>
      </c>
      <c r="G211" t="s">
        <v>275</v>
      </c>
      <c r="H211">
        <v>38.86</v>
      </c>
      <c r="I211" t="s">
        <v>274</v>
      </c>
      <c r="K211" t="s">
        <v>407</v>
      </c>
      <c r="P211" t="s">
        <v>492</v>
      </c>
      <c r="Q211" t="s">
        <v>501</v>
      </c>
      <c r="S211" t="s">
        <v>503</v>
      </c>
      <c r="T211" t="s">
        <v>507</v>
      </c>
      <c r="U211" t="s">
        <v>511</v>
      </c>
      <c r="V211">
        <v>11236</v>
      </c>
      <c r="W211" t="s">
        <v>517</v>
      </c>
      <c r="X211" t="s">
        <v>549</v>
      </c>
      <c r="Y211" t="s">
        <v>275</v>
      </c>
      <c r="Z211" t="s">
        <v>701</v>
      </c>
      <c r="AA211" t="s">
        <v>871</v>
      </c>
      <c r="AB211" t="s">
        <v>902</v>
      </c>
      <c r="AC211" t="s">
        <v>904</v>
      </c>
      <c r="AF211" t="s">
        <v>923</v>
      </c>
      <c r="AI211">
        <v>5.3</v>
      </c>
      <c r="AK211" t="s">
        <v>939</v>
      </c>
      <c r="AT211">
        <v>0</v>
      </c>
      <c r="AU211">
        <v>2</v>
      </c>
      <c r="AV211" t="s">
        <v>273</v>
      </c>
      <c r="AY211" t="s">
        <v>273</v>
      </c>
      <c r="BB211">
        <v>0</v>
      </c>
      <c r="BC211">
        <v>0</v>
      </c>
      <c r="BD211">
        <v>0</v>
      </c>
      <c r="BE211">
        <v>0</v>
      </c>
      <c r="BF211" t="s">
        <v>1063</v>
      </c>
      <c r="BG211" t="s">
        <v>1216</v>
      </c>
      <c r="BH211">
        <v>41</v>
      </c>
      <c r="BI211" t="s">
        <v>1307</v>
      </c>
      <c r="BK211">
        <v>822114</v>
      </c>
    </row>
    <row r="212" spans="1:64">
      <c r="A212" s="1">
        <f>HYPERLINK("https://lsnyc.legalserver.org/matter/dynamic-profile/view/1861380","18-1861380")</f>
        <v>0</v>
      </c>
      <c r="B212" t="s">
        <v>219</v>
      </c>
      <c r="C212" t="s">
        <v>250</v>
      </c>
      <c r="D212" t="s">
        <v>252</v>
      </c>
      <c r="E212" t="s">
        <v>261</v>
      </c>
      <c r="F212" t="s">
        <v>273</v>
      </c>
      <c r="G212" t="s">
        <v>275</v>
      </c>
      <c r="H212">
        <v>38.86</v>
      </c>
      <c r="I212" t="s">
        <v>274</v>
      </c>
      <c r="K212" t="s">
        <v>407</v>
      </c>
      <c r="P212" t="s">
        <v>492</v>
      </c>
      <c r="Q212" t="s">
        <v>501</v>
      </c>
      <c r="S212" t="s">
        <v>503</v>
      </c>
      <c r="T212" t="s">
        <v>507</v>
      </c>
      <c r="U212" t="s">
        <v>511</v>
      </c>
      <c r="V212">
        <v>11236</v>
      </c>
      <c r="W212" t="s">
        <v>544</v>
      </c>
      <c r="X212" t="s">
        <v>549</v>
      </c>
      <c r="Y212" t="s">
        <v>275</v>
      </c>
      <c r="Z212" t="s">
        <v>701</v>
      </c>
      <c r="AA212" t="s">
        <v>871</v>
      </c>
      <c r="AB212" t="s">
        <v>902</v>
      </c>
      <c r="AC212" t="s">
        <v>904</v>
      </c>
      <c r="AF212" t="s">
        <v>923</v>
      </c>
      <c r="AI212">
        <v>2.2</v>
      </c>
      <c r="AK212" t="s">
        <v>939</v>
      </c>
      <c r="AT212">
        <v>0</v>
      </c>
      <c r="AU212">
        <v>2</v>
      </c>
      <c r="AV212" t="s">
        <v>273</v>
      </c>
      <c r="AY212" t="s">
        <v>273</v>
      </c>
      <c r="BB212">
        <v>0</v>
      </c>
      <c r="BC212">
        <v>0</v>
      </c>
      <c r="BD212">
        <v>0</v>
      </c>
      <c r="BE212">
        <v>0</v>
      </c>
      <c r="BF212" t="s">
        <v>1063</v>
      </c>
      <c r="BG212" t="s">
        <v>1216</v>
      </c>
      <c r="BH212">
        <v>41</v>
      </c>
      <c r="BI212" t="s">
        <v>1307</v>
      </c>
      <c r="BK212">
        <v>822114</v>
      </c>
    </row>
    <row r="213" spans="1:64">
      <c r="A213" s="1">
        <f>HYPERLINK("https://lsnyc.legalserver.org/matter/dynamic-profile/view/1860963","18-1860963")</f>
        <v>0</v>
      </c>
      <c r="B213" t="s">
        <v>215</v>
      </c>
      <c r="C213" t="s">
        <v>250</v>
      </c>
      <c r="D213" t="s">
        <v>252</v>
      </c>
      <c r="E213" t="s">
        <v>261</v>
      </c>
      <c r="F213" t="s">
        <v>273</v>
      </c>
      <c r="G213" t="s">
        <v>275</v>
      </c>
      <c r="H213">
        <v>17.5</v>
      </c>
      <c r="I213" t="s">
        <v>274</v>
      </c>
      <c r="K213" t="s">
        <v>408</v>
      </c>
      <c r="O213" t="s">
        <v>275</v>
      </c>
      <c r="P213" t="s">
        <v>498</v>
      </c>
      <c r="Q213" t="s">
        <v>501</v>
      </c>
      <c r="S213" t="s">
        <v>503</v>
      </c>
      <c r="T213" t="s">
        <v>508</v>
      </c>
      <c r="U213" t="s">
        <v>511</v>
      </c>
      <c r="V213">
        <v>11226</v>
      </c>
      <c r="W213" t="s">
        <v>523</v>
      </c>
      <c r="X213" t="s">
        <v>549</v>
      </c>
      <c r="Y213" t="s">
        <v>275</v>
      </c>
      <c r="Z213" t="s">
        <v>697</v>
      </c>
      <c r="AA213" t="s">
        <v>868</v>
      </c>
      <c r="AB213" t="s">
        <v>903</v>
      </c>
      <c r="AF213" t="s">
        <v>923</v>
      </c>
      <c r="AI213">
        <v>11.1</v>
      </c>
      <c r="AK213" t="s">
        <v>939</v>
      </c>
      <c r="AM213" t="s">
        <v>973</v>
      </c>
      <c r="AN213" t="s">
        <v>287</v>
      </c>
      <c r="AT213">
        <v>0</v>
      </c>
      <c r="AU213">
        <v>2</v>
      </c>
      <c r="AV213" t="s">
        <v>273</v>
      </c>
      <c r="AY213" t="s">
        <v>273</v>
      </c>
      <c r="BB213">
        <v>0</v>
      </c>
      <c r="BC213">
        <v>0</v>
      </c>
      <c r="BD213">
        <v>0</v>
      </c>
      <c r="BE213">
        <v>0</v>
      </c>
      <c r="BF213" t="s">
        <v>1063</v>
      </c>
      <c r="BG213" t="s">
        <v>1212</v>
      </c>
      <c r="BH213">
        <v>47</v>
      </c>
      <c r="BI213" t="s">
        <v>1308</v>
      </c>
      <c r="BK213">
        <v>1861540</v>
      </c>
    </row>
    <row r="214" spans="1:64">
      <c r="A214" s="1">
        <f>HYPERLINK("https://lsnyc.legalserver.org/matter/dynamic-profile/view/1860053","18-1860053")</f>
        <v>0</v>
      </c>
      <c r="B214" t="s">
        <v>220</v>
      </c>
      <c r="C214" t="s">
        <v>250</v>
      </c>
      <c r="D214" t="s">
        <v>252</v>
      </c>
      <c r="E214" t="s">
        <v>262</v>
      </c>
      <c r="F214" t="s">
        <v>273</v>
      </c>
      <c r="G214" t="s">
        <v>275</v>
      </c>
      <c r="H214">
        <v>145.81</v>
      </c>
      <c r="I214" t="s">
        <v>274</v>
      </c>
      <c r="K214" t="s">
        <v>409</v>
      </c>
      <c r="M214" t="s">
        <v>472</v>
      </c>
      <c r="N214" t="s">
        <v>479</v>
      </c>
      <c r="O214" t="s">
        <v>274</v>
      </c>
      <c r="P214" t="s">
        <v>496</v>
      </c>
      <c r="Q214" t="s">
        <v>501</v>
      </c>
      <c r="S214" t="s">
        <v>503</v>
      </c>
      <c r="T214" t="s">
        <v>508</v>
      </c>
      <c r="U214" t="s">
        <v>511</v>
      </c>
      <c r="V214">
        <v>11213</v>
      </c>
      <c r="W214" t="s">
        <v>516</v>
      </c>
      <c r="X214" t="s">
        <v>549</v>
      </c>
      <c r="Y214" t="s">
        <v>275</v>
      </c>
      <c r="Z214" t="s">
        <v>702</v>
      </c>
      <c r="AA214" t="s">
        <v>872</v>
      </c>
      <c r="AB214" t="s">
        <v>902</v>
      </c>
      <c r="AC214" t="s">
        <v>904</v>
      </c>
      <c r="AF214" t="s">
        <v>923</v>
      </c>
      <c r="AI214">
        <v>20.1</v>
      </c>
      <c r="AJ214" t="s">
        <v>558</v>
      </c>
      <c r="AK214" t="s">
        <v>939</v>
      </c>
      <c r="AL214" t="s">
        <v>274</v>
      </c>
      <c r="AM214" t="s">
        <v>973</v>
      </c>
      <c r="AN214" t="s">
        <v>1014</v>
      </c>
      <c r="AO214" t="s">
        <v>974</v>
      </c>
      <c r="AP214" t="s">
        <v>479</v>
      </c>
      <c r="AS214" t="s">
        <v>1058</v>
      </c>
      <c r="AT214">
        <v>1</v>
      </c>
      <c r="AU214">
        <v>1</v>
      </c>
      <c r="AV214" t="s">
        <v>273</v>
      </c>
      <c r="AY214" t="s">
        <v>273</v>
      </c>
      <c r="BB214">
        <v>0</v>
      </c>
      <c r="BC214">
        <v>0</v>
      </c>
      <c r="BD214">
        <v>0</v>
      </c>
      <c r="BE214">
        <v>0</v>
      </c>
      <c r="BF214" t="s">
        <v>1063</v>
      </c>
      <c r="BG214" t="s">
        <v>1217</v>
      </c>
      <c r="BH214">
        <v>30</v>
      </c>
      <c r="BI214" t="s">
        <v>1259</v>
      </c>
      <c r="BK214">
        <v>797948</v>
      </c>
      <c r="BL214" t="s">
        <v>275</v>
      </c>
    </row>
    <row r="215" spans="1:64">
      <c r="A215" s="1">
        <f>HYPERLINK("https://lsnyc.legalserver.org/matter/dynamic-profile/view/1859334","18-1859334")</f>
        <v>0</v>
      </c>
      <c r="B215" t="s">
        <v>221</v>
      </c>
      <c r="C215" t="s">
        <v>250</v>
      </c>
      <c r="D215" t="s">
        <v>253</v>
      </c>
      <c r="E215" t="s">
        <v>261</v>
      </c>
      <c r="F215" t="s">
        <v>273</v>
      </c>
      <c r="G215" t="s">
        <v>275</v>
      </c>
      <c r="H215">
        <v>117.53</v>
      </c>
      <c r="K215" t="s">
        <v>410</v>
      </c>
      <c r="L215" t="s">
        <v>301</v>
      </c>
      <c r="P215" t="s">
        <v>493</v>
      </c>
      <c r="Q215" t="s">
        <v>501</v>
      </c>
      <c r="S215" t="s">
        <v>503</v>
      </c>
      <c r="T215" t="s">
        <v>507</v>
      </c>
      <c r="U215" t="s">
        <v>511</v>
      </c>
      <c r="V215">
        <v>11412</v>
      </c>
      <c r="W215" t="s">
        <v>524</v>
      </c>
      <c r="Y215" t="s">
        <v>275</v>
      </c>
      <c r="Z215" t="s">
        <v>703</v>
      </c>
      <c r="AA215" t="s">
        <v>873</v>
      </c>
      <c r="AB215" t="s">
        <v>903</v>
      </c>
      <c r="AD215" t="s">
        <v>275</v>
      </c>
      <c r="AE215" t="s">
        <v>919</v>
      </c>
      <c r="AF215" t="s">
        <v>923</v>
      </c>
      <c r="AI215">
        <v>7.4</v>
      </c>
      <c r="AK215" t="s">
        <v>960</v>
      </c>
      <c r="AM215" t="s">
        <v>973</v>
      </c>
      <c r="AN215" t="s">
        <v>1015</v>
      </c>
      <c r="AQ215" t="s">
        <v>1044</v>
      </c>
      <c r="AR215" t="s">
        <v>1051</v>
      </c>
      <c r="AT215">
        <v>1</v>
      </c>
      <c r="AU215">
        <v>2</v>
      </c>
      <c r="AV215" t="s">
        <v>273</v>
      </c>
      <c r="AY215" t="s">
        <v>273</v>
      </c>
      <c r="BB215">
        <v>0</v>
      </c>
      <c r="BC215">
        <v>0</v>
      </c>
      <c r="BD215">
        <v>0</v>
      </c>
      <c r="BE215">
        <v>0</v>
      </c>
      <c r="BF215" t="s">
        <v>493</v>
      </c>
      <c r="BG215" t="s">
        <v>1218</v>
      </c>
      <c r="BH215">
        <v>27</v>
      </c>
      <c r="BI215" t="s">
        <v>1259</v>
      </c>
      <c r="BK215">
        <v>1853381</v>
      </c>
    </row>
    <row r="216" spans="1:64">
      <c r="A216" s="1">
        <f>HYPERLINK("https://lsnyc.legalserver.org/matter/dynamic-profile/view/1859338","18-1859338")</f>
        <v>0</v>
      </c>
      <c r="B216" t="s">
        <v>221</v>
      </c>
      <c r="C216" t="s">
        <v>250</v>
      </c>
      <c r="D216" t="s">
        <v>253</v>
      </c>
      <c r="E216" t="s">
        <v>261</v>
      </c>
      <c r="F216" t="s">
        <v>273</v>
      </c>
      <c r="G216" t="s">
        <v>275</v>
      </c>
      <c r="H216">
        <v>117.53</v>
      </c>
      <c r="K216" t="s">
        <v>410</v>
      </c>
      <c r="L216" t="s">
        <v>301</v>
      </c>
      <c r="P216" t="s">
        <v>493</v>
      </c>
      <c r="Q216" t="s">
        <v>501</v>
      </c>
      <c r="S216" t="s">
        <v>503</v>
      </c>
      <c r="T216" t="s">
        <v>507</v>
      </c>
      <c r="U216" t="s">
        <v>511</v>
      </c>
      <c r="V216">
        <v>11412</v>
      </c>
      <c r="W216" t="s">
        <v>524</v>
      </c>
      <c r="Y216" t="s">
        <v>275</v>
      </c>
      <c r="Z216" t="s">
        <v>703</v>
      </c>
      <c r="AA216" t="s">
        <v>873</v>
      </c>
      <c r="AB216" t="s">
        <v>903</v>
      </c>
      <c r="AD216" t="s">
        <v>275</v>
      </c>
      <c r="AE216" t="s">
        <v>919</v>
      </c>
      <c r="AF216" t="s">
        <v>923</v>
      </c>
      <c r="AI216">
        <v>7.6</v>
      </c>
      <c r="AK216" t="s">
        <v>960</v>
      </c>
      <c r="AM216" t="s">
        <v>973</v>
      </c>
      <c r="AN216" t="s">
        <v>1015</v>
      </c>
      <c r="AQ216" t="s">
        <v>1044</v>
      </c>
      <c r="AR216" t="s">
        <v>1051</v>
      </c>
      <c r="AT216">
        <v>1</v>
      </c>
      <c r="AU216">
        <v>2</v>
      </c>
      <c r="AV216" t="s">
        <v>273</v>
      </c>
      <c r="AY216" t="s">
        <v>273</v>
      </c>
      <c r="BB216">
        <v>0</v>
      </c>
      <c r="BC216">
        <v>0</v>
      </c>
      <c r="BD216">
        <v>0</v>
      </c>
      <c r="BE216">
        <v>0</v>
      </c>
      <c r="BF216" t="s">
        <v>493</v>
      </c>
      <c r="BG216" t="s">
        <v>1218</v>
      </c>
      <c r="BH216">
        <v>27</v>
      </c>
      <c r="BI216" t="s">
        <v>1259</v>
      </c>
      <c r="BK216">
        <v>1853381</v>
      </c>
    </row>
    <row r="217" spans="1:64">
      <c r="A217" s="1">
        <f>HYPERLINK("https://lsnyc.legalserver.org/matter/dynamic-profile/view/1857777","18-1857777")</f>
        <v>0</v>
      </c>
      <c r="B217" t="s">
        <v>88</v>
      </c>
      <c r="C217" t="s">
        <v>250</v>
      </c>
      <c r="D217" t="s">
        <v>252</v>
      </c>
      <c r="E217" t="s">
        <v>262</v>
      </c>
      <c r="F217" t="s">
        <v>273</v>
      </c>
      <c r="G217" t="s">
        <v>275</v>
      </c>
      <c r="H217">
        <v>0</v>
      </c>
      <c r="I217" t="s">
        <v>274</v>
      </c>
      <c r="K217" t="s">
        <v>411</v>
      </c>
      <c r="P217" t="s">
        <v>492</v>
      </c>
      <c r="Q217" t="s">
        <v>501</v>
      </c>
      <c r="S217" t="s">
        <v>503</v>
      </c>
      <c r="T217" t="s">
        <v>508</v>
      </c>
      <c r="U217" t="s">
        <v>511</v>
      </c>
      <c r="V217">
        <v>11207</v>
      </c>
      <c r="W217" t="s">
        <v>532</v>
      </c>
      <c r="X217" t="s">
        <v>552</v>
      </c>
      <c r="Y217" t="s">
        <v>274</v>
      </c>
      <c r="Z217" t="s">
        <v>583</v>
      </c>
      <c r="AA217" t="s">
        <v>750</v>
      </c>
      <c r="AB217" t="s">
        <v>902</v>
      </c>
      <c r="AC217" t="s">
        <v>906</v>
      </c>
      <c r="AF217" t="s">
        <v>923</v>
      </c>
      <c r="AI217">
        <v>46.2</v>
      </c>
      <c r="AK217" t="s">
        <v>937</v>
      </c>
      <c r="AL217" t="s">
        <v>274</v>
      </c>
      <c r="AM217" t="s">
        <v>973</v>
      </c>
      <c r="AN217" t="s">
        <v>1016</v>
      </c>
      <c r="AT217">
        <v>1</v>
      </c>
      <c r="AU217">
        <v>1</v>
      </c>
      <c r="AV217" t="s">
        <v>273</v>
      </c>
      <c r="AY217" t="s">
        <v>273</v>
      </c>
      <c r="BB217">
        <v>0</v>
      </c>
      <c r="BC217">
        <v>0</v>
      </c>
      <c r="BD217">
        <v>0</v>
      </c>
      <c r="BE217">
        <v>0</v>
      </c>
      <c r="BF217" t="s">
        <v>1063</v>
      </c>
      <c r="BG217" t="s">
        <v>1088</v>
      </c>
      <c r="BH217">
        <v>50</v>
      </c>
      <c r="BI217" t="s">
        <v>1247</v>
      </c>
      <c r="BK217">
        <v>739287</v>
      </c>
    </row>
    <row r="218" spans="1:64">
      <c r="A218" s="1">
        <f>HYPERLINK("https://lsnyc.legalserver.org/matter/dynamic-profile/view/1857633","18-1857633")</f>
        <v>0</v>
      </c>
      <c r="B218" t="s">
        <v>222</v>
      </c>
      <c r="C218" t="s">
        <v>250</v>
      </c>
      <c r="D218" t="s">
        <v>252</v>
      </c>
      <c r="E218" t="s">
        <v>262</v>
      </c>
      <c r="F218" t="s">
        <v>273</v>
      </c>
      <c r="G218" t="s">
        <v>275</v>
      </c>
      <c r="H218">
        <v>56.05</v>
      </c>
      <c r="I218" t="s">
        <v>274</v>
      </c>
      <c r="K218" t="s">
        <v>412</v>
      </c>
      <c r="L218" t="s">
        <v>286</v>
      </c>
      <c r="M218" t="s">
        <v>472</v>
      </c>
      <c r="N218" t="s">
        <v>458</v>
      </c>
      <c r="O218" t="s">
        <v>275</v>
      </c>
      <c r="P218" t="s">
        <v>493</v>
      </c>
      <c r="Q218" t="s">
        <v>501</v>
      </c>
      <c r="S218" t="s">
        <v>503</v>
      </c>
      <c r="T218" t="s">
        <v>508</v>
      </c>
      <c r="U218" t="s">
        <v>511</v>
      </c>
      <c r="V218">
        <v>11226</v>
      </c>
      <c r="W218" t="s">
        <v>516</v>
      </c>
      <c r="X218" t="s">
        <v>549</v>
      </c>
      <c r="Y218" t="s">
        <v>275</v>
      </c>
      <c r="Z218" t="s">
        <v>704</v>
      </c>
      <c r="AA218" t="s">
        <v>874</v>
      </c>
      <c r="AB218" t="s">
        <v>902</v>
      </c>
      <c r="AC218" t="s">
        <v>904</v>
      </c>
      <c r="AD218" t="s">
        <v>275</v>
      </c>
      <c r="AE218" t="s">
        <v>919</v>
      </c>
      <c r="AF218" t="s">
        <v>923</v>
      </c>
      <c r="AI218">
        <v>20.45</v>
      </c>
      <c r="AJ218" t="s">
        <v>558</v>
      </c>
      <c r="AK218" t="s">
        <v>939</v>
      </c>
      <c r="AL218" t="s">
        <v>274</v>
      </c>
      <c r="AM218" t="s">
        <v>973</v>
      </c>
      <c r="AN218" t="s">
        <v>1017</v>
      </c>
      <c r="AO218" t="s">
        <v>976</v>
      </c>
      <c r="AP218" t="s">
        <v>458</v>
      </c>
      <c r="AQ218" t="s">
        <v>1044</v>
      </c>
      <c r="AR218" t="s">
        <v>1051</v>
      </c>
      <c r="AT218">
        <v>0</v>
      </c>
      <c r="AU218">
        <v>1</v>
      </c>
      <c r="AV218" t="s">
        <v>273</v>
      </c>
      <c r="AY218" t="s">
        <v>273</v>
      </c>
      <c r="BB218">
        <v>0</v>
      </c>
      <c r="BC218">
        <v>0</v>
      </c>
      <c r="BD218">
        <v>0</v>
      </c>
      <c r="BE218">
        <v>0</v>
      </c>
      <c r="BF218" t="s">
        <v>493</v>
      </c>
      <c r="BG218" t="s">
        <v>1219</v>
      </c>
      <c r="BH218">
        <v>18</v>
      </c>
      <c r="BI218" t="s">
        <v>1309</v>
      </c>
      <c r="BK218">
        <v>1858199</v>
      </c>
    </row>
    <row r="219" spans="1:64">
      <c r="A219" s="1">
        <f>HYPERLINK("https://lsnyc.legalserver.org/matter/dynamic-profile/view/1856851","18-1856851")</f>
        <v>0</v>
      </c>
      <c r="B219" t="s">
        <v>212</v>
      </c>
      <c r="C219" t="s">
        <v>250</v>
      </c>
      <c r="D219" t="s">
        <v>252</v>
      </c>
      <c r="E219" t="s">
        <v>262</v>
      </c>
      <c r="F219" t="s">
        <v>273</v>
      </c>
      <c r="G219" t="s">
        <v>275</v>
      </c>
      <c r="H219">
        <v>118.79</v>
      </c>
      <c r="I219" t="s">
        <v>274</v>
      </c>
      <c r="K219" t="s">
        <v>413</v>
      </c>
      <c r="O219" t="s">
        <v>275</v>
      </c>
      <c r="P219" t="s">
        <v>496</v>
      </c>
      <c r="Q219" t="s">
        <v>501</v>
      </c>
      <c r="S219" t="s">
        <v>503</v>
      </c>
      <c r="T219" t="s">
        <v>508</v>
      </c>
      <c r="U219" t="s">
        <v>511</v>
      </c>
      <c r="V219">
        <v>11234</v>
      </c>
      <c r="W219" t="s">
        <v>516</v>
      </c>
      <c r="X219" t="s">
        <v>549</v>
      </c>
      <c r="Y219" t="s">
        <v>275</v>
      </c>
      <c r="Z219" t="s">
        <v>694</v>
      </c>
      <c r="AA219" t="s">
        <v>865</v>
      </c>
      <c r="AB219" t="s">
        <v>902</v>
      </c>
      <c r="AC219" t="s">
        <v>905</v>
      </c>
      <c r="AD219" t="s">
        <v>274</v>
      </c>
      <c r="AF219" t="s">
        <v>923</v>
      </c>
      <c r="AI219">
        <v>41.9</v>
      </c>
      <c r="AJ219" t="s">
        <v>558</v>
      </c>
      <c r="AK219" t="s">
        <v>939</v>
      </c>
      <c r="AL219" t="s">
        <v>274</v>
      </c>
      <c r="AM219" t="s">
        <v>973</v>
      </c>
      <c r="AN219" t="s">
        <v>1018</v>
      </c>
      <c r="AT219">
        <v>1</v>
      </c>
      <c r="AU219">
        <v>1</v>
      </c>
      <c r="AV219" t="s">
        <v>273</v>
      </c>
      <c r="AY219" t="s">
        <v>273</v>
      </c>
      <c r="BB219">
        <v>0</v>
      </c>
      <c r="BC219">
        <v>0</v>
      </c>
      <c r="BD219">
        <v>0</v>
      </c>
      <c r="BE219">
        <v>0</v>
      </c>
      <c r="BF219" t="s">
        <v>1063</v>
      </c>
      <c r="BG219" t="s">
        <v>1209</v>
      </c>
      <c r="BH219">
        <v>34</v>
      </c>
      <c r="BI219" t="s">
        <v>1302</v>
      </c>
      <c r="BK219">
        <v>1857417</v>
      </c>
    </row>
    <row r="220" spans="1:64">
      <c r="A220" s="1">
        <f>HYPERLINK("https://lsnyc.legalserver.org/matter/dynamic-profile/view/1856590","18-1856590")</f>
        <v>0</v>
      </c>
      <c r="B220" t="s">
        <v>223</v>
      </c>
      <c r="C220" t="s">
        <v>250</v>
      </c>
      <c r="D220" t="s">
        <v>253</v>
      </c>
      <c r="E220" t="s">
        <v>265</v>
      </c>
      <c r="F220" t="s">
        <v>273</v>
      </c>
      <c r="G220" t="s">
        <v>275</v>
      </c>
      <c r="H220">
        <v>69.78</v>
      </c>
      <c r="I220" t="s">
        <v>274</v>
      </c>
      <c r="K220" t="s">
        <v>414</v>
      </c>
      <c r="L220" t="s">
        <v>462</v>
      </c>
      <c r="Q220" t="s">
        <v>501</v>
      </c>
      <c r="S220" t="s">
        <v>503</v>
      </c>
      <c r="T220" t="s">
        <v>508</v>
      </c>
      <c r="U220" t="s">
        <v>511</v>
      </c>
      <c r="V220">
        <v>11354</v>
      </c>
      <c r="W220" t="s">
        <v>545</v>
      </c>
      <c r="X220" t="s">
        <v>548</v>
      </c>
      <c r="Y220" t="s">
        <v>275</v>
      </c>
      <c r="Z220" t="s">
        <v>705</v>
      </c>
      <c r="AA220" t="s">
        <v>875</v>
      </c>
      <c r="AB220" t="s">
        <v>902</v>
      </c>
      <c r="AC220" t="s">
        <v>914</v>
      </c>
      <c r="AD220" t="s">
        <v>274</v>
      </c>
      <c r="AE220" t="s">
        <v>919</v>
      </c>
      <c r="AF220" t="s">
        <v>923</v>
      </c>
      <c r="AI220">
        <v>47.08</v>
      </c>
      <c r="AJ220" t="s">
        <v>558</v>
      </c>
      <c r="AK220" t="s">
        <v>933</v>
      </c>
      <c r="AM220" t="s">
        <v>973</v>
      </c>
      <c r="AN220" t="s">
        <v>1019</v>
      </c>
      <c r="AQ220" t="s">
        <v>1048</v>
      </c>
      <c r="AR220" t="s">
        <v>1053</v>
      </c>
      <c r="AT220">
        <v>4</v>
      </c>
      <c r="AU220">
        <v>2</v>
      </c>
      <c r="AV220" t="s">
        <v>273</v>
      </c>
      <c r="AY220" t="s">
        <v>273</v>
      </c>
      <c r="BB220">
        <v>0</v>
      </c>
      <c r="BC220">
        <v>0</v>
      </c>
      <c r="BD220">
        <v>0</v>
      </c>
      <c r="BE220">
        <v>0</v>
      </c>
      <c r="BF220" t="s">
        <v>493</v>
      </c>
      <c r="BG220" t="s">
        <v>1220</v>
      </c>
      <c r="BH220">
        <v>33</v>
      </c>
      <c r="BI220" t="s">
        <v>1310</v>
      </c>
      <c r="BK220">
        <v>793290</v>
      </c>
    </row>
    <row r="221" spans="1:64">
      <c r="A221" s="1">
        <f>HYPERLINK("https://lsnyc.legalserver.org/matter/dynamic-profile/view/1856514","18-1856514")</f>
        <v>0</v>
      </c>
      <c r="B221" t="s">
        <v>224</v>
      </c>
      <c r="C221" t="s">
        <v>250</v>
      </c>
      <c r="D221" t="s">
        <v>252</v>
      </c>
      <c r="E221" t="s">
        <v>262</v>
      </c>
      <c r="F221" t="s">
        <v>273</v>
      </c>
      <c r="G221" t="s">
        <v>275</v>
      </c>
      <c r="H221">
        <v>118.61</v>
      </c>
      <c r="I221" t="s">
        <v>274</v>
      </c>
      <c r="K221" t="s">
        <v>414</v>
      </c>
      <c r="O221" t="s">
        <v>275</v>
      </c>
      <c r="P221" t="s">
        <v>492</v>
      </c>
      <c r="Q221" t="s">
        <v>501</v>
      </c>
      <c r="S221" t="s">
        <v>503</v>
      </c>
      <c r="T221" t="s">
        <v>508</v>
      </c>
      <c r="U221" t="s">
        <v>511</v>
      </c>
      <c r="V221">
        <v>11220</v>
      </c>
      <c r="W221" t="s">
        <v>532</v>
      </c>
      <c r="X221" t="s">
        <v>548</v>
      </c>
      <c r="Y221" t="s">
        <v>274</v>
      </c>
      <c r="Z221" t="s">
        <v>706</v>
      </c>
      <c r="AA221" t="s">
        <v>876</v>
      </c>
      <c r="AB221" t="s">
        <v>902</v>
      </c>
      <c r="AC221" t="s">
        <v>905</v>
      </c>
      <c r="AF221" t="s">
        <v>928</v>
      </c>
      <c r="AI221">
        <v>13.6</v>
      </c>
      <c r="AJ221" t="s">
        <v>558</v>
      </c>
      <c r="AK221" t="s">
        <v>933</v>
      </c>
      <c r="AL221" t="s">
        <v>274</v>
      </c>
      <c r="AT221">
        <v>0</v>
      </c>
      <c r="AU221">
        <v>1</v>
      </c>
      <c r="AV221" t="s">
        <v>273</v>
      </c>
      <c r="AY221" t="s">
        <v>273</v>
      </c>
      <c r="BB221">
        <v>0</v>
      </c>
      <c r="BC221">
        <v>0</v>
      </c>
      <c r="BD221">
        <v>0</v>
      </c>
      <c r="BE221">
        <v>0</v>
      </c>
      <c r="BF221" t="s">
        <v>1063</v>
      </c>
      <c r="BG221" t="s">
        <v>1221</v>
      </c>
      <c r="BH221">
        <v>66</v>
      </c>
      <c r="BI221" t="s">
        <v>1311</v>
      </c>
      <c r="BK221">
        <v>1857077</v>
      </c>
    </row>
    <row r="222" spans="1:64">
      <c r="A222" s="1">
        <f>HYPERLINK("https://lsnyc.legalserver.org/matter/dynamic-profile/view/1855291","18-1855291")</f>
        <v>0</v>
      </c>
      <c r="B222" t="s">
        <v>152</v>
      </c>
      <c r="C222" t="s">
        <v>250</v>
      </c>
      <c r="D222" t="s">
        <v>253</v>
      </c>
      <c r="E222" t="s">
        <v>265</v>
      </c>
      <c r="F222" t="s">
        <v>273</v>
      </c>
      <c r="G222" t="s">
        <v>275</v>
      </c>
      <c r="H222">
        <v>45.71</v>
      </c>
      <c r="I222" t="s">
        <v>274</v>
      </c>
      <c r="K222" t="s">
        <v>415</v>
      </c>
      <c r="P222" t="s">
        <v>492</v>
      </c>
      <c r="Q222" t="s">
        <v>501</v>
      </c>
      <c r="S222" t="s">
        <v>503</v>
      </c>
      <c r="T222" t="s">
        <v>507</v>
      </c>
      <c r="U222" t="s">
        <v>511</v>
      </c>
      <c r="V222">
        <v>11423</v>
      </c>
      <c r="W222" t="s">
        <v>518</v>
      </c>
      <c r="X222" t="s">
        <v>549</v>
      </c>
      <c r="Y222" t="s">
        <v>274</v>
      </c>
      <c r="Z222" t="s">
        <v>642</v>
      </c>
      <c r="AA222" t="s">
        <v>809</v>
      </c>
      <c r="AB222" t="s">
        <v>902</v>
      </c>
      <c r="AC222" t="s">
        <v>904</v>
      </c>
      <c r="AF222" t="s">
        <v>926</v>
      </c>
      <c r="AI222">
        <v>69.15000000000001</v>
      </c>
      <c r="AJ222" t="s">
        <v>558</v>
      </c>
      <c r="AK222" t="s">
        <v>952</v>
      </c>
      <c r="AL222" t="s">
        <v>274</v>
      </c>
      <c r="AT222">
        <v>6</v>
      </c>
      <c r="AU222">
        <v>3</v>
      </c>
      <c r="AV222" t="s">
        <v>273</v>
      </c>
      <c r="AY222" t="s">
        <v>273</v>
      </c>
      <c r="BB222">
        <v>0</v>
      </c>
      <c r="BC222">
        <v>0</v>
      </c>
      <c r="BD222">
        <v>0</v>
      </c>
      <c r="BE222">
        <v>0</v>
      </c>
      <c r="BF222" t="s">
        <v>1063</v>
      </c>
      <c r="BG222" t="s">
        <v>1151</v>
      </c>
      <c r="BH222">
        <v>36</v>
      </c>
      <c r="BI222" t="s">
        <v>1261</v>
      </c>
      <c r="BK222">
        <v>829774</v>
      </c>
    </row>
    <row r="223" spans="1:64">
      <c r="A223" s="1">
        <f>HYPERLINK("https://lsnyc.legalserver.org/matter/dynamic-profile/view/1854957","18-1854957")</f>
        <v>0</v>
      </c>
      <c r="B223" t="s">
        <v>225</v>
      </c>
      <c r="C223" t="s">
        <v>250</v>
      </c>
      <c r="D223" t="s">
        <v>252</v>
      </c>
      <c r="E223" t="s">
        <v>261</v>
      </c>
      <c r="F223" t="s">
        <v>273</v>
      </c>
      <c r="G223" t="s">
        <v>275</v>
      </c>
      <c r="H223">
        <v>75.45999999999999</v>
      </c>
      <c r="I223" t="s">
        <v>274</v>
      </c>
      <c r="K223" t="s">
        <v>416</v>
      </c>
      <c r="L223" t="s">
        <v>469</v>
      </c>
      <c r="O223" t="s">
        <v>275</v>
      </c>
      <c r="P223" t="s">
        <v>493</v>
      </c>
      <c r="Q223" t="s">
        <v>501</v>
      </c>
      <c r="S223" t="s">
        <v>503</v>
      </c>
      <c r="T223" t="s">
        <v>508</v>
      </c>
      <c r="U223" t="s">
        <v>511</v>
      </c>
      <c r="V223">
        <v>11213</v>
      </c>
      <c r="W223" t="s">
        <v>517</v>
      </c>
      <c r="X223" t="s">
        <v>549</v>
      </c>
      <c r="Y223" t="s">
        <v>275</v>
      </c>
      <c r="Z223" t="s">
        <v>707</v>
      </c>
      <c r="AA223" t="s">
        <v>877</v>
      </c>
      <c r="AB223" t="s">
        <v>902</v>
      </c>
      <c r="AC223" t="s">
        <v>904</v>
      </c>
      <c r="AD223" t="s">
        <v>275</v>
      </c>
      <c r="AE223" t="s">
        <v>919</v>
      </c>
      <c r="AF223" t="s">
        <v>923</v>
      </c>
      <c r="AI223">
        <v>11.2</v>
      </c>
      <c r="AJ223" t="s">
        <v>558</v>
      </c>
      <c r="AK223" t="s">
        <v>942</v>
      </c>
      <c r="AM223" t="s">
        <v>976</v>
      </c>
      <c r="AN223" t="s">
        <v>469</v>
      </c>
      <c r="AQ223" t="s">
        <v>1042</v>
      </c>
      <c r="AR223" t="s">
        <v>1051</v>
      </c>
      <c r="AT223">
        <v>0</v>
      </c>
      <c r="AU223">
        <v>1</v>
      </c>
      <c r="AV223" t="s">
        <v>273</v>
      </c>
      <c r="AY223" t="s">
        <v>273</v>
      </c>
      <c r="BB223">
        <v>0</v>
      </c>
      <c r="BC223">
        <v>0</v>
      </c>
      <c r="BD223">
        <v>0</v>
      </c>
      <c r="BE223">
        <v>0</v>
      </c>
      <c r="BF223" t="s">
        <v>493</v>
      </c>
      <c r="BG223" t="s">
        <v>1222</v>
      </c>
      <c r="BH223">
        <v>69</v>
      </c>
      <c r="BI223" t="s">
        <v>1312</v>
      </c>
      <c r="BK223">
        <v>1855514</v>
      </c>
    </row>
    <row r="224" spans="1:64">
      <c r="A224" s="1">
        <f>HYPERLINK("https://lsnyc.legalserver.org/matter/dynamic-profile/view/1853979","17-1853979")</f>
        <v>0</v>
      </c>
      <c r="B224" t="s">
        <v>226</v>
      </c>
      <c r="C224" t="s">
        <v>250</v>
      </c>
      <c r="D224" t="s">
        <v>252</v>
      </c>
      <c r="E224" t="s">
        <v>261</v>
      </c>
      <c r="F224" t="s">
        <v>273</v>
      </c>
      <c r="G224" t="s">
        <v>275</v>
      </c>
      <c r="H224">
        <v>103.45</v>
      </c>
      <c r="K224" t="s">
        <v>417</v>
      </c>
      <c r="P224" t="s">
        <v>492</v>
      </c>
      <c r="Q224" t="s">
        <v>501</v>
      </c>
      <c r="S224" t="s">
        <v>503</v>
      </c>
      <c r="T224" t="s">
        <v>508</v>
      </c>
      <c r="U224" t="s">
        <v>511</v>
      </c>
      <c r="V224">
        <v>11226</v>
      </c>
      <c r="W224" t="s">
        <v>523</v>
      </c>
      <c r="Y224" t="s">
        <v>275</v>
      </c>
      <c r="Z224" t="s">
        <v>708</v>
      </c>
      <c r="AA224" t="s">
        <v>878</v>
      </c>
      <c r="AB224" t="s">
        <v>903</v>
      </c>
      <c r="AF224" t="s">
        <v>923</v>
      </c>
      <c r="AI224">
        <v>11.4</v>
      </c>
      <c r="AK224" t="s">
        <v>957</v>
      </c>
      <c r="AM224" t="s">
        <v>973</v>
      </c>
      <c r="AN224" t="s">
        <v>1020</v>
      </c>
      <c r="AT224">
        <v>0</v>
      </c>
      <c r="AU224">
        <v>2</v>
      </c>
      <c r="AV224" t="s">
        <v>273</v>
      </c>
      <c r="AY224" t="s">
        <v>273</v>
      </c>
      <c r="BB224">
        <v>0</v>
      </c>
      <c r="BC224">
        <v>0</v>
      </c>
      <c r="BD224">
        <v>0</v>
      </c>
      <c r="BE224">
        <v>0</v>
      </c>
      <c r="BF224" t="s">
        <v>1063</v>
      </c>
      <c r="BG224" t="s">
        <v>1223</v>
      </c>
      <c r="BH224">
        <v>72</v>
      </c>
      <c r="BI224" t="s">
        <v>1313</v>
      </c>
      <c r="BK224">
        <v>1854528</v>
      </c>
      <c r="BL224" t="s">
        <v>275</v>
      </c>
    </row>
    <row r="225" spans="1:63">
      <c r="A225" s="1">
        <f>HYPERLINK("https://lsnyc.legalserver.org/matter/dynamic-profile/view/1849046","17-1849046")</f>
        <v>0</v>
      </c>
      <c r="B225" t="s">
        <v>227</v>
      </c>
      <c r="C225" t="s">
        <v>250</v>
      </c>
      <c r="D225" t="s">
        <v>255</v>
      </c>
      <c r="E225" t="s">
        <v>265</v>
      </c>
      <c r="F225" t="s">
        <v>273</v>
      </c>
      <c r="G225" t="s">
        <v>275</v>
      </c>
      <c r="H225">
        <v>69.11</v>
      </c>
      <c r="I225" t="s">
        <v>274</v>
      </c>
      <c r="K225" t="s">
        <v>418</v>
      </c>
      <c r="L225" t="s">
        <v>462</v>
      </c>
      <c r="O225" t="s">
        <v>274</v>
      </c>
      <c r="P225" t="s">
        <v>492</v>
      </c>
      <c r="Q225" t="s">
        <v>501</v>
      </c>
      <c r="S225" t="s">
        <v>503</v>
      </c>
      <c r="T225" t="s">
        <v>508</v>
      </c>
      <c r="U225" t="s">
        <v>511</v>
      </c>
      <c r="V225">
        <v>11368</v>
      </c>
      <c r="W225" t="s">
        <v>546</v>
      </c>
      <c r="X225" t="s">
        <v>548</v>
      </c>
      <c r="Y225" t="s">
        <v>274</v>
      </c>
      <c r="Z225" t="s">
        <v>709</v>
      </c>
      <c r="AA225" t="s">
        <v>879</v>
      </c>
      <c r="AB225" t="s">
        <v>902</v>
      </c>
      <c r="AC225" t="s">
        <v>904</v>
      </c>
      <c r="AD225" t="s">
        <v>274</v>
      </c>
      <c r="AE225" t="s">
        <v>919</v>
      </c>
      <c r="AF225" t="s">
        <v>923</v>
      </c>
      <c r="AI225">
        <v>16.15</v>
      </c>
      <c r="AJ225" t="s">
        <v>558</v>
      </c>
      <c r="AK225" t="s">
        <v>934</v>
      </c>
      <c r="AL225" t="s">
        <v>274</v>
      </c>
      <c r="AM225" t="s">
        <v>978</v>
      </c>
      <c r="AN225" t="s">
        <v>1021</v>
      </c>
      <c r="AQ225" t="s">
        <v>1035</v>
      </c>
      <c r="AR225" t="s">
        <v>1051</v>
      </c>
      <c r="AS225" t="s">
        <v>1061</v>
      </c>
      <c r="AT225">
        <v>2</v>
      </c>
      <c r="AU225">
        <v>2</v>
      </c>
      <c r="AV225" t="s">
        <v>273</v>
      </c>
      <c r="AY225" t="s">
        <v>273</v>
      </c>
      <c r="BB225">
        <v>0</v>
      </c>
      <c r="BC225">
        <v>0</v>
      </c>
      <c r="BD225">
        <v>0</v>
      </c>
      <c r="BE225">
        <v>0</v>
      </c>
      <c r="BF225" t="s">
        <v>493</v>
      </c>
      <c r="BG225" t="s">
        <v>1224</v>
      </c>
      <c r="BH225">
        <v>27</v>
      </c>
      <c r="BI225" t="s">
        <v>1314</v>
      </c>
      <c r="BK225">
        <v>85198</v>
      </c>
    </row>
    <row r="226" spans="1:63">
      <c r="A226" s="1">
        <f>HYPERLINK("https://lsnyc.legalserver.org/matter/dynamic-profile/view/1848446","17-1848446")</f>
        <v>0</v>
      </c>
      <c r="B226" t="s">
        <v>228</v>
      </c>
      <c r="C226" t="s">
        <v>250</v>
      </c>
      <c r="D226" t="s">
        <v>252</v>
      </c>
      <c r="E226" t="s">
        <v>262</v>
      </c>
      <c r="F226" t="s">
        <v>273</v>
      </c>
      <c r="G226" t="s">
        <v>275</v>
      </c>
      <c r="H226">
        <v>99.5</v>
      </c>
      <c r="I226" t="s">
        <v>274</v>
      </c>
      <c r="K226" t="s">
        <v>419</v>
      </c>
      <c r="O226" t="s">
        <v>274</v>
      </c>
      <c r="P226" t="s">
        <v>496</v>
      </c>
      <c r="Q226" t="s">
        <v>501</v>
      </c>
      <c r="S226" t="s">
        <v>503</v>
      </c>
      <c r="T226" t="s">
        <v>508</v>
      </c>
      <c r="U226" t="s">
        <v>511</v>
      </c>
      <c r="V226">
        <v>11214</v>
      </c>
      <c r="W226" t="s">
        <v>523</v>
      </c>
      <c r="X226" t="s">
        <v>553</v>
      </c>
      <c r="Y226" t="s">
        <v>275</v>
      </c>
      <c r="Z226" t="s">
        <v>710</v>
      </c>
      <c r="AA226" t="s">
        <v>880</v>
      </c>
      <c r="AB226" t="s">
        <v>903</v>
      </c>
      <c r="AC226" t="s">
        <v>904</v>
      </c>
      <c r="AF226" t="s">
        <v>923</v>
      </c>
      <c r="AI226">
        <v>5.9</v>
      </c>
      <c r="AJ226" t="s">
        <v>558</v>
      </c>
      <c r="AK226" t="s">
        <v>956</v>
      </c>
      <c r="AL226" t="s">
        <v>274</v>
      </c>
      <c r="AM226" t="s">
        <v>973</v>
      </c>
      <c r="AN226" t="s">
        <v>1022</v>
      </c>
      <c r="AT226">
        <v>0</v>
      </c>
      <c r="AU226">
        <v>1</v>
      </c>
      <c r="AV226" t="s">
        <v>273</v>
      </c>
      <c r="AY226" t="s">
        <v>273</v>
      </c>
      <c r="BB226">
        <v>0</v>
      </c>
      <c r="BC226">
        <v>0</v>
      </c>
      <c r="BD226">
        <v>0</v>
      </c>
      <c r="BE226">
        <v>0</v>
      </c>
      <c r="BF226" t="s">
        <v>1063</v>
      </c>
      <c r="BG226" t="s">
        <v>1225</v>
      </c>
      <c r="BH226">
        <v>31</v>
      </c>
      <c r="BI226" t="s">
        <v>1267</v>
      </c>
      <c r="BK226">
        <v>785159</v>
      </c>
    </row>
    <row r="227" spans="1:63">
      <c r="A227" s="1">
        <f>HYPERLINK("https://lsnyc.legalserver.org/matter/dynamic-profile/view/1846134","17-1846134")</f>
        <v>0</v>
      </c>
      <c r="B227" t="s">
        <v>206</v>
      </c>
      <c r="C227" t="s">
        <v>250</v>
      </c>
      <c r="D227" t="s">
        <v>255</v>
      </c>
      <c r="E227" t="s">
        <v>266</v>
      </c>
      <c r="F227" t="s">
        <v>273</v>
      </c>
      <c r="G227" t="s">
        <v>275</v>
      </c>
      <c r="H227">
        <v>0</v>
      </c>
      <c r="I227" t="s">
        <v>274</v>
      </c>
      <c r="K227" t="s">
        <v>420</v>
      </c>
      <c r="P227" t="s">
        <v>492</v>
      </c>
      <c r="Q227" t="s">
        <v>502</v>
      </c>
      <c r="S227" t="s">
        <v>503</v>
      </c>
      <c r="T227" t="s">
        <v>507</v>
      </c>
      <c r="U227" t="s">
        <v>511</v>
      </c>
      <c r="V227">
        <v>11207</v>
      </c>
      <c r="W227" t="s">
        <v>518</v>
      </c>
      <c r="X227" t="s">
        <v>548</v>
      </c>
      <c r="Y227" t="s">
        <v>275</v>
      </c>
      <c r="Z227" t="s">
        <v>689</v>
      </c>
      <c r="AA227" t="s">
        <v>860</v>
      </c>
      <c r="AB227" t="s">
        <v>902</v>
      </c>
      <c r="AC227" t="s">
        <v>905</v>
      </c>
      <c r="AF227" t="s">
        <v>926</v>
      </c>
      <c r="AI227">
        <v>11.05</v>
      </c>
      <c r="AJ227" t="s">
        <v>558</v>
      </c>
      <c r="AK227" t="s">
        <v>941</v>
      </c>
      <c r="AL227" t="s">
        <v>274</v>
      </c>
      <c r="AM227" t="s">
        <v>973</v>
      </c>
      <c r="AO227" t="s">
        <v>975</v>
      </c>
      <c r="AS227" t="s">
        <v>1060</v>
      </c>
      <c r="AT227">
        <v>2</v>
      </c>
      <c r="AU227">
        <v>1</v>
      </c>
      <c r="AV227" t="s">
        <v>274</v>
      </c>
      <c r="AY227" t="s">
        <v>274</v>
      </c>
      <c r="BB227">
        <v>0</v>
      </c>
      <c r="BC227">
        <v>0</v>
      </c>
      <c r="BD227">
        <v>0</v>
      </c>
      <c r="BE227">
        <v>0</v>
      </c>
      <c r="BF227" t="s">
        <v>1063</v>
      </c>
      <c r="BG227" t="s">
        <v>1203</v>
      </c>
      <c r="BH227">
        <v>16</v>
      </c>
      <c r="BI227" t="s">
        <v>1247</v>
      </c>
      <c r="BK227">
        <v>1846656</v>
      </c>
    </row>
    <row r="228" spans="1:63">
      <c r="A228" s="1">
        <f>HYPERLINK("https://lsnyc.legalserver.org/matter/dynamic-profile/view/1846135","17-1846135")</f>
        <v>0</v>
      </c>
      <c r="B228" t="s">
        <v>207</v>
      </c>
      <c r="C228" t="s">
        <v>250</v>
      </c>
      <c r="D228" t="s">
        <v>252</v>
      </c>
      <c r="E228" t="s">
        <v>266</v>
      </c>
      <c r="F228" t="s">
        <v>273</v>
      </c>
      <c r="G228" t="s">
        <v>275</v>
      </c>
      <c r="H228">
        <v>0</v>
      </c>
      <c r="I228" t="s">
        <v>274</v>
      </c>
      <c r="K228" t="s">
        <v>420</v>
      </c>
      <c r="P228" t="s">
        <v>492</v>
      </c>
      <c r="Q228" t="s">
        <v>502</v>
      </c>
      <c r="S228" t="s">
        <v>503</v>
      </c>
      <c r="T228" t="s">
        <v>507</v>
      </c>
      <c r="U228" t="s">
        <v>511</v>
      </c>
      <c r="V228">
        <v>11207</v>
      </c>
      <c r="W228" t="s">
        <v>518</v>
      </c>
      <c r="X228" t="s">
        <v>548</v>
      </c>
      <c r="Y228" t="s">
        <v>275</v>
      </c>
      <c r="Z228" t="s">
        <v>657</v>
      </c>
      <c r="AA228" t="s">
        <v>860</v>
      </c>
      <c r="AB228" t="s">
        <v>902</v>
      </c>
      <c r="AC228" t="s">
        <v>905</v>
      </c>
      <c r="AF228" t="s">
        <v>926</v>
      </c>
      <c r="AI228">
        <v>0.1</v>
      </c>
      <c r="AJ228" t="s">
        <v>558</v>
      </c>
      <c r="AK228" t="s">
        <v>941</v>
      </c>
      <c r="AL228" t="s">
        <v>274</v>
      </c>
      <c r="AM228" t="s">
        <v>973</v>
      </c>
      <c r="AO228" t="s">
        <v>975</v>
      </c>
      <c r="AS228" t="s">
        <v>1060</v>
      </c>
      <c r="AT228">
        <v>2</v>
      </c>
      <c r="AU228">
        <v>1</v>
      </c>
      <c r="AV228" t="s">
        <v>274</v>
      </c>
      <c r="AY228" t="s">
        <v>274</v>
      </c>
      <c r="BB228">
        <v>0</v>
      </c>
      <c r="BC228">
        <v>0</v>
      </c>
      <c r="BD228">
        <v>0</v>
      </c>
      <c r="BE228">
        <v>0</v>
      </c>
      <c r="BF228" t="s">
        <v>1063</v>
      </c>
      <c r="BG228" t="s">
        <v>1204</v>
      </c>
      <c r="BH228">
        <v>14</v>
      </c>
      <c r="BI228" t="s">
        <v>1247</v>
      </c>
      <c r="BK228">
        <v>1846657</v>
      </c>
    </row>
    <row r="229" spans="1:63">
      <c r="A229" s="1">
        <f>HYPERLINK("https://lsnyc.legalserver.org/matter/dynamic-profile/view/1845702","17-1845702")</f>
        <v>0</v>
      </c>
      <c r="B229" t="s">
        <v>229</v>
      </c>
      <c r="C229" t="s">
        <v>250</v>
      </c>
      <c r="D229" t="s">
        <v>252</v>
      </c>
      <c r="E229" t="s">
        <v>265</v>
      </c>
      <c r="F229" t="s">
        <v>274</v>
      </c>
      <c r="G229" t="s">
        <v>274</v>
      </c>
      <c r="H229">
        <v>0</v>
      </c>
      <c r="I229" t="s">
        <v>274</v>
      </c>
      <c r="K229" t="s">
        <v>421</v>
      </c>
      <c r="O229" t="s">
        <v>275</v>
      </c>
      <c r="P229" t="s">
        <v>497</v>
      </c>
      <c r="Q229" t="s">
        <v>501</v>
      </c>
      <c r="S229" t="s">
        <v>503</v>
      </c>
      <c r="T229" t="s">
        <v>507</v>
      </c>
      <c r="U229" t="s">
        <v>511</v>
      </c>
      <c r="V229">
        <v>11207</v>
      </c>
      <c r="W229" t="s">
        <v>521</v>
      </c>
      <c r="X229" t="s">
        <v>549</v>
      </c>
      <c r="Y229" t="s">
        <v>275</v>
      </c>
      <c r="Z229" t="s">
        <v>711</v>
      </c>
      <c r="AA229" t="s">
        <v>881</v>
      </c>
      <c r="AB229" t="s">
        <v>902</v>
      </c>
      <c r="AC229" t="s">
        <v>905</v>
      </c>
      <c r="AF229" t="s">
        <v>923</v>
      </c>
      <c r="AI229">
        <v>10.35</v>
      </c>
      <c r="AJ229" t="s">
        <v>558</v>
      </c>
      <c r="AK229" t="s">
        <v>965</v>
      </c>
      <c r="AM229" t="s">
        <v>973</v>
      </c>
      <c r="AN229" t="s">
        <v>417</v>
      </c>
      <c r="AT229">
        <v>0</v>
      </c>
      <c r="AU229">
        <v>1</v>
      </c>
      <c r="AV229" t="s">
        <v>273</v>
      </c>
      <c r="AY229" t="s">
        <v>273</v>
      </c>
      <c r="BB229">
        <v>0</v>
      </c>
      <c r="BC229">
        <v>0</v>
      </c>
      <c r="BD229">
        <v>0</v>
      </c>
      <c r="BE229">
        <v>0</v>
      </c>
      <c r="BF229" t="s">
        <v>1063</v>
      </c>
      <c r="BG229" t="s">
        <v>1226</v>
      </c>
      <c r="BH229">
        <v>23</v>
      </c>
      <c r="BI229" t="s">
        <v>1247</v>
      </c>
      <c r="BK229">
        <v>1846221</v>
      </c>
    </row>
    <row r="230" spans="1:63">
      <c r="A230" s="1">
        <f>HYPERLINK("https://lsnyc.legalserver.org/matter/dynamic-profile/view/1845509","17-1845509")</f>
        <v>0</v>
      </c>
      <c r="B230" t="s">
        <v>230</v>
      </c>
      <c r="C230" t="s">
        <v>250</v>
      </c>
      <c r="D230" t="s">
        <v>252</v>
      </c>
      <c r="E230" t="s">
        <v>265</v>
      </c>
      <c r="F230" t="s">
        <v>274</v>
      </c>
      <c r="G230" t="s">
        <v>274</v>
      </c>
      <c r="H230">
        <v>0</v>
      </c>
      <c r="I230" t="s">
        <v>274</v>
      </c>
      <c r="K230" t="s">
        <v>422</v>
      </c>
      <c r="O230" t="s">
        <v>275</v>
      </c>
      <c r="P230" t="s">
        <v>497</v>
      </c>
      <c r="Q230" t="s">
        <v>501</v>
      </c>
      <c r="S230" t="s">
        <v>503</v>
      </c>
      <c r="T230" t="s">
        <v>507</v>
      </c>
      <c r="U230" t="s">
        <v>511</v>
      </c>
      <c r="V230">
        <v>11230</v>
      </c>
      <c r="W230" t="s">
        <v>521</v>
      </c>
      <c r="X230" t="s">
        <v>553</v>
      </c>
      <c r="Y230" t="s">
        <v>275</v>
      </c>
      <c r="Z230" t="s">
        <v>712</v>
      </c>
      <c r="AA230" t="s">
        <v>882</v>
      </c>
      <c r="AB230" t="s">
        <v>902</v>
      </c>
      <c r="AC230" t="s">
        <v>905</v>
      </c>
      <c r="AF230" t="s">
        <v>923</v>
      </c>
      <c r="AI230">
        <v>8.550000000000001</v>
      </c>
      <c r="AJ230" t="s">
        <v>558</v>
      </c>
      <c r="AK230" t="s">
        <v>948</v>
      </c>
      <c r="AM230" t="s">
        <v>973</v>
      </c>
      <c r="AN230" t="s">
        <v>417</v>
      </c>
      <c r="AT230">
        <v>0</v>
      </c>
      <c r="AU230">
        <v>2</v>
      </c>
      <c r="AV230" t="s">
        <v>273</v>
      </c>
      <c r="AY230" t="s">
        <v>273</v>
      </c>
      <c r="BB230">
        <v>0</v>
      </c>
      <c r="BC230">
        <v>0</v>
      </c>
      <c r="BD230">
        <v>0</v>
      </c>
      <c r="BE230">
        <v>0</v>
      </c>
      <c r="BF230" t="s">
        <v>1063</v>
      </c>
      <c r="BG230" t="s">
        <v>1227</v>
      </c>
      <c r="BH230">
        <v>26</v>
      </c>
      <c r="BI230" t="s">
        <v>1247</v>
      </c>
      <c r="BK230">
        <v>1846025</v>
      </c>
    </row>
    <row r="231" spans="1:63">
      <c r="A231" s="1">
        <f>HYPERLINK("https://lsnyc.legalserver.org/matter/dynamic-profile/view/1845017","17-1845017")</f>
        <v>0</v>
      </c>
      <c r="B231" t="s">
        <v>231</v>
      </c>
      <c r="C231" t="s">
        <v>250</v>
      </c>
      <c r="D231" t="s">
        <v>254</v>
      </c>
      <c r="E231" t="s">
        <v>266</v>
      </c>
      <c r="F231" t="s">
        <v>273</v>
      </c>
      <c r="G231" t="s">
        <v>275</v>
      </c>
      <c r="H231">
        <v>227.55</v>
      </c>
      <c r="I231" t="s">
        <v>274</v>
      </c>
      <c r="K231" t="s">
        <v>423</v>
      </c>
      <c r="P231" t="s">
        <v>492</v>
      </c>
      <c r="Q231" t="s">
        <v>501</v>
      </c>
      <c r="S231" t="s">
        <v>503</v>
      </c>
      <c r="T231" t="s">
        <v>507</v>
      </c>
      <c r="U231" t="s">
        <v>511</v>
      </c>
      <c r="V231">
        <v>10304</v>
      </c>
      <c r="W231" t="s">
        <v>518</v>
      </c>
      <c r="X231" t="s">
        <v>549</v>
      </c>
      <c r="Y231" t="s">
        <v>274</v>
      </c>
      <c r="Z231" t="s">
        <v>713</v>
      </c>
      <c r="AA231" t="s">
        <v>883</v>
      </c>
      <c r="AB231" t="s">
        <v>902</v>
      </c>
      <c r="AC231" t="s">
        <v>904</v>
      </c>
      <c r="AF231" t="s">
        <v>926</v>
      </c>
      <c r="AI231">
        <v>60.3</v>
      </c>
      <c r="AJ231" t="s">
        <v>558</v>
      </c>
      <c r="AK231" t="s">
        <v>953</v>
      </c>
      <c r="AL231" t="s">
        <v>274</v>
      </c>
      <c r="AM231" t="s">
        <v>978</v>
      </c>
      <c r="AO231" t="s">
        <v>973</v>
      </c>
      <c r="AT231">
        <v>2</v>
      </c>
      <c r="AU231">
        <v>4</v>
      </c>
      <c r="AV231" t="s">
        <v>273</v>
      </c>
      <c r="AY231" t="s">
        <v>274</v>
      </c>
      <c r="BB231">
        <v>0</v>
      </c>
      <c r="BC231">
        <v>0</v>
      </c>
      <c r="BD231">
        <v>0</v>
      </c>
      <c r="BE231">
        <v>0</v>
      </c>
      <c r="BF231" t="s">
        <v>1063</v>
      </c>
      <c r="BG231" t="s">
        <v>1228</v>
      </c>
      <c r="BH231">
        <v>56</v>
      </c>
      <c r="BI231" t="s">
        <v>1315</v>
      </c>
      <c r="BK231">
        <v>1845529</v>
      </c>
    </row>
    <row r="232" spans="1:63">
      <c r="A232" s="1">
        <f>HYPERLINK("https://lsnyc.legalserver.org/matter/dynamic-profile/view/1844486","17-1844486")</f>
        <v>0</v>
      </c>
      <c r="B232" t="s">
        <v>232</v>
      </c>
      <c r="C232" t="s">
        <v>250</v>
      </c>
      <c r="D232" t="s">
        <v>252</v>
      </c>
      <c r="E232" t="s">
        <v>265</v>
      </c>
      <c r="F232" t="s">
        <v>274</v>
      </c>
      <c r="G232" t="s">
        <v>274</v>
      </c>
      <c r="H232">
        <v>155.98</v>
      </c>
      <c r="I232" t="s">
        <v>274</v>
      </c>
      <c r="K232" t="s">
        <v>424</v>
      </c>
      <c r="O232" t="s">
        <v>274</v>
      </c>
      <c r="P232" t="s">
        <v>497</v>
      </c>
      <c r="Q232" t="s">
        <v>501</v>
      </c>
      <c r="S232" t="s">
        <v>503</v>
      </c>
      <c r="T232" t="s">
        <v>508</v>
      </c>
      <c r="U232" t="s">
        <v>511</v>
      </c>
      <c r="V232">
        <v>11219</v>
      </c>
      <c r="W232" t="s">
        <v>517</v>
      </c>
      <c r="X232" t="s">
        <v>548</v>
      </c>
      <c r="Y232" t="s">
        <v>275</v>
      </c>
      <c r="Z232" t="s">
        <v>714</v>
      </c>
      <c r="AA232" t="s">
        <v>884</v>
      </c>
      <c r="AB232" t="s">
        <v>902</v>
      </c>
      <c r="AC232" t="s">
        <v>904</v>
      </c>
      <c r="AF232" t="s">
        <v>923</v>
      </c>
      <c r="AI232">
        <v>5.75</v>
      </c>
      <c r="AJ232" t="s">
        <v>558</v>
      </c>
      <c r="AK232" t="s">
        <v>941</v>
      </c>
      <c r="AL232" t="s">
        <v>274</v>
      </c>
      <c r="AM232" t="s">
        <v>973</v>
      </c>
      <c r="AN232" t="s">
        <v>1023</v>
      </c>
      <c r="AT232">
        <v>0</v>
      </c>
      <c r="AU232">
        <v>3</v>
      </c>
      <c r="AV232" t="s">
        <v>273</v>
      </c>
      <c r="AY232" t="s">
        <v>273</v>
      </c>
      <c r="BB232">
        <v>0</v>
      </c>
      <c r="BC232">
        <v>0</v>
      </c>
      <c r="BD232">
        <v>0</v>
      </c>
      <c r="BE232">
        <v>0</v>
      </c>
      <c r="BF232" t="s">
        <v>1063</v>
      </c>
      <c r="BG232" t="s">
        <v>1229</v>
      </c>
      <c r="BH232">
        <v>65</v>
      </c>
      <c r="BI232" t="s">
        <v>1316</v>
      </c>
      <c r="BK232">
        <v>829330</v>
      </c>
    </row>
    <row r="233" spans="1:63">
      <c r="A233" s="1">
        <f>HYPERLINK("https://lsnyc.legalserver.org/matter/dynamic-profile/view/1843109","17-1843109")</f>
        <v>0</v>
      </c>
      <c r="B233" t="s">
        <v>233</v>
      </c>
      <c r="C233" t="s">
        <v>250</v>
      </c>
      <c r="D233" t="s">
        <v>252</v>
      </c>
      <c r="E233" t="s">
        <v>266</v>
      </c>
      <c r="F233" t="s">
        <v>275</v>
      </c>
      <c r="G233" t="s">
        <v>275</v>
      </c>
      <c r="H233">
        <v>172.47</v>
      </c>
      <c r="I233" t="s">
        <v>274</v>
      </c>
      <c r="K233" t="s">
        <v>425</v>
      </c>
      <c r="L233" t="s">
        <v>284</v>
      </c>
      <c r="O233" t="s">
        <v>275</v>
      </c>
      <c r="P233" t="s">
        <v>493</v>
      </c>
      <c r="Q233" t="s">
        <v>501</v>
      </c>
      <c r="S233" t="s">
        <v>503</v>
      </c>
      <c r="T233" t="s">
        <v>507</v>
      </c>
      <c r="U233" t="s">
        <v>511</v>
      </c>
      <c r="V233">
        <v>11212</v>
      </c>
      <c r="W233" t="s">
        <v>518</v>
      </c>
      <c r="X233" t="s">
        <v>557</v>
      </c>
      <c r="Z233" t="s">
        <v>715</v>
      </c>
      <c r="AA233" t="s">
        <v>885</v>
      </c>
      <c r="AB233" t="s">
        <v>902</v>
      </c>
      <c r="AC233" t="s">
        <v>906</v>
      </c>
      <c r="AD233" t="s">
        <v>275</v>
      </c>
      <c r="AE233" t="s">
        <v>920</v>
      </c>
      <c r="AF233" t="s">
        <v>926</v>
      </c>
      <c r="AI233">
        <v>8.699999999999999</v>
      </c>
      <c r="AJ233" t="s">
        <v>558</v>
      </c>
      <c r="AK233" t="s">
        <v>970</v>
      </c>
      <c r="AL233" t="s">
        <v>274</v>
      </c>
      <c r="AQ233" t="s">
        <v>1033</v>
      </c>
      <c r="AR233" t="s">
        <v>1052</v>
      </c>
      <c r="AT233">
        <v>0</v>
      </c>
      <c r="AU233">
        <v>1</v>
      </c>
      <c r="AV233" t="s">
        <v>273</v>
      </c>
      <c r="AY233" t="s">
        <v>273</v>
      </c>
      <c r="BB233">
        <v>0</v>
      </c>
      <c r="BC233">
        <v>0</v>
      </c>
      <c r="BD233">
        <v>0</v>
      </c>
      <c r="BE233">
        <v>0</v>
      </c>
      <c r="BF233" t="s">
        <v>493</v>
      </c>
      <c r="BG233" t="s">
        <v>1230</v>
      </c>
      <c r="BH233">
        <v>47</v>
      </c>
      <c r="BI233" t="s">
        <v>1261</v>
      </c>
      <c r="BK233">
        <v>1843618</v>
      </c>
    </row>
    <row r="234" spans="1:63">
      <c r="A234" s="1">
        <f>HYPERLINK("https://lsnyc.legalserver.org/matter/dynamic-profile/view/1842643","17-1842643")</f>
        <v>0</v>
      </c>
      <c r="B234" t="s">
        <v>234</v>
      </c>
      <c r="C234" t="s">
        <v>250</v>
      </c>
      <c r="D234" t="s">
        <v>252</v>
      </c>
      <c r="E234" t="s">
        <v>266</v>
      </c>
      <c r="F234" t="s">
        <v>273</v>
      </c>
      <c r="G234" t="s">
        <v>275</v>
      </c>
      <c r="H234">
        <v>96.06</v>
      </c>
      <c r="I234" t="s">
        <v>274</v>
      </c>
      <c r="K234" t="s">
        <v>426</v>
      </c>
      <c r="O234" t="s">
        <v>275</v>
      </c>
      <c r="P234" t="s">
        <v>499</v>
      </c>
      <c r="Q234" t="s">
        <v>501</v>
      </c>
      <c r="S234" t="s">
        <v>503</v>
      </c>
      <c r="T234" t="s">
        <v>508</v>
      </c>
      <c r="U234" t="s">
        <v>511</v>
      </c>
      <c r="V234">
        <v>11216</v>
      </c>
      <c r="W234" t="s">
        <v>518</v>
      </c>
      <c r="X234" t="s">
        <v>548</v>
      </c>
      <c r="Y234" t="s">
        <v>275</v>
      </c>
      <c r="Z234" t="s">
        <v>584</v>
      </c>
      <c r="AA234" t="s">
        <v>886</v>
      </c>
      <c r="AB234" t="s">
        <v>902</v>
      </c>
      <c r="AC234" t="s">
        <v>906</v>
      </c>
      <c r="AF234" t="s">
        <v>926</v>
      </c>
      <c r="AI234">
        <v>60.1</v>
      </c>
      <c r="AJ234" t="s">
        <v>558</v>
      </c>
      <c r="AK234" t="s">
        <v>949</v>
      </c>
      <c r="AL234" t="s">
        <v>274</v>
      </c>
      <c r="AT234">
        <v>1</v>
      </c>
      <c r="AU234">
        <v>1</v>
      </c>
      <c r="AV234" t="s">
        <v>273</v>
      </c>
      <c r="AY234" t="s">
        <v>273</v>
      </c>
      <c r="BB234">
        <v>0</v>
      </c>
      <c r="BC234">
        <v>0</v>
      </c>
      <c r="BD234">
        <v>0</v>
      </c>
      <c r="BE234">
        <v>0</v>
      </c>
      <c r="BF234" t="s">
        <v>1063</v>
      </c>
      <c r="BG234" t="s">
        <v>1231</v>
      </c>
      <c r="BH234">
        <v>24</v>
      </c>
      <c r="BI234" t="s">
        <v>1270</v>
      </c>
      <c r="BK234">
        <v>1843152</v>
      </c>
    </row>
    <row r="235" spans="1:63">
      <c r="A235" s="1">
        <f>HYPERLINK("https://lsnyc.legalserver.org/matter/dynamic-profile/view/1856260","17-1856260")</f>
        <v>0</v>
      </c>
      <c r="B235" t="s">
        <v>235</v>
      </c>
      <c r="C235" t="s">
        <v>250</v>
      </c>
      <c r="D235" t="s">
        <v>252</v>
      </c>
      <c r="E235" t="s">
        <v>266</v>
      </c>
      <c r="F235" t="s">
        <v>273</v>
      </c>
      <c r="G235" t="s">
        <v>275</v>
      </c>
      <c r="H235">
        <v>12.32</v>
      </c>
      <c r="I235" t="s">
        <v>274</v>
      </c>
      <c r="K235" t="s">
        <v>427</v>
      </c>
      <c r="O235" t="s">
        <v>274</v>
      </c>
      <c r="P235" t="s">
        <v>492</v>
      </c>
      <c r="Q235" t="s">
        <v>501</v>
      </c>
      <c r="S235" t="s">
        <v>503</v>
      </c>
      <c r="T235" t="s">
        <v>508</v>
      </c>
      <c r="U235" t="s">
        <v>511</v>
      </c>
      <c r="V235">
        <v>11203</v>
      </c>
      <c r="W235" t="s">
        <v>518</v>
      </c>
      <c r="X235" t="s">
        <v>549</v>
      </c>
      <c r="Y235" t="s">
        <v>275</v>
      </c>
      <c r="Z235" t="s">
        <v>716</v>
      </c>
      <c r="AA235" t="s">
        <v>887</v>
      </c>
      <c r="AB235" t="s">
        <v>902</v>
      </c>
      <c r="AC235" t="s">
        <v>909</v>
      </c>
      <c r="AF235" t="s">
        <v>926</v>
      </c>
      <c r="AI235">
        <v>0</v>
      </c>
      <c r="AJ235" t="s">
        <v>558</v>
      </c>
      <c r="AK235" t="s">
        <v>952</v>
      </c>
      <c r="AL235" t="s">
        <v>274</v>
      </c>
      <c r="AT235">
        <v>0</v>
      </c>
      <c r="AU235">
        <v>2</v>
      </c>
      <c r="AV235" t="s">
        <v>273</v>
      </c>
      <c r="AY235" t="s">
        <v>273</v>
      </c>
      <c r="BB235">
        <v>0</v>
      </c>
      <c r="BC235">
        <v>0</v>
      </c>
      <c r="BD235">
        <v>0</v>
      </c>
      <c r="BE235">
        <v>0</v>
      </c>
      <c r="BF235" t="s">
        <v>1063</v>
      </c>
      <c r="BG235" t="s">
        <v>1232</v>
      </c>
      <c r="BH235">
        <v>28</v>
      </c>
      <c r="BI235" t="s">
        <v>1263</v>
      </c>
      <c r="BK235">
        <v>1856823</v>
      </c>
    </row>
    <row r="236" spans="1:63">
      <c r="A236" s="1">
        <f>HYPERLINK("https://lsnyc.legalserver.org/matter/dynamic-profile/view/1837667","17-1837667")</f>
        <v>0</v>
      </c>
      <c r="B236" t="s">
        <v>236</v>
      </c>
      <c r="C236" t="s">
        <v>250</v>
      </c>
      <c r="D236" t="s">
        <v>253</v>
      </c>
      <c r="E236" t="s">
        <v>266</v>
      </c>
      <c r="F236" t="s">
        <v>275</v>
      </c>
      <c r="G236" t="s">
        <v>275</v>
      </c>
      <c r="H236">
        <v>0</v>
      </c>
      <c r="I236" t="s">
        <v>274</v>
      </c>
      <c r="K236" t="s">
        <v>428</v>
      </c>
      <c r="O236" t="s">
        <v>275</v>
      </c>
      <c r="Q236" t="s">
        <v>501</v>
      </c>
      <c r="S236" t="s">
        <v>503</v>
      </c>
      <c r="T236" t="s">
        <v>508</v>
      </c>
      <c r="U236" t="s">
        <v>511</v>
      </c>
      <c r="V236">
        <v>11368</v>
      </c>
      <c r="W236" t="s">
        <v>518</v>
      </c>
      <c r="X236" t="s">
        <v>558</v>
      </c>
      <c r="Y236" t="s">
        <v>275</v>
      </c>
      <c r="Z236" t="s">
        <v>717</v>
      </c>
      <c r="AA236" t="s">
        <v>888</v>
      </c>
      <c r="AB236" t="s">
        <v>902</v>
      </c>
      <c r="AC236" t="s">
        <v>910</v>
      </c>
      <c r="AD236" t="s">
        <v>275</v>
      </c>
      <c r="AF236" t="s">
        <v>926</v>
      </c>
      <c r="AI236">
        <v>216.5</v>
      </c>
      <c r="AJ236" t="s">
        <v>558</v>
      </c>
      <c r="AK236" t="s">
        <v>971</v>
      </c>
      <c r="AL236" t="s">
        <v>274</v>
      </c>
      <c r="AQ236" t="s">
        <v>1033</v>
      </c>
      <c r="AR236" t="s">
        <v>1053</v>
      </c>
      <c r="AT236">
        <v>0</v>
      </c>
      <c r="AU236">
        <v>1</v>
      </c>
      <c r="AV236" t="s">
        <v>273</v>
      </c>
      <c r="AY236" t="s">
        <v>273</v>
      </c>
      <c r="BB236">
        <v>0</v>
      </c>
      <c r="BC236">
        <v>0</v>
      </c>
      <c r="BD236">
        <v>0</v>
      </c>
      <c r="BE236">
        <v>0</v>
      </c>
      <c r="BF236" t="s">
        <v>1063</v>
      </c>
      <c r="BG236" t="s">
        <v>1233</v>
      </c>
      <c r="BH236">
        <v>60</v>
      </c>
      <c r="BI236" t="s">
        <v>1247</v>
      </c>
      <c r="BK236">
        <v>1838163</v>
      </c>
    </row>
    <row r="237" spans="1:63">
      <c r="A237" s="1">
        <f>HYPERLINK("https://lsnyc.legalserver.org/matter/dynamic-profile/view/1837539","17-1837539")</f>
        <v>0</v>
      </c>
      <c r="B237" t="s">
        <v>237</v>
      </c>
      <c r="C237" t="s">
        <v>250</v>
      </c>
      <c r="D237" t="s">
        <v>252</v>
      </c>
      <c r="E237" t="s">
        <v>265</v>
      </c>
      <c r="F237" t="s">
        <v>274</v>
      </c>
      <c r="G237" t="s">
        <v>274</v>
      </c>
      <c r="H237">
        <v>0</v>
      </c>
      <c r="I237" t="s">
        <v>275</v>
      </c>
      <c r="K237" t="s">
        <v>429</v>
      </c>
      <c r="O237" t="s">
        <v>275</v>
      </c>
      <c r="P237" t="s">
        <v>497</v>
      </c>
      <c r="Q237" t="s">
        <v>501</v>
      </c>
      <c r="S237" t="s">
        <v>503</v>
      </c>
      <c r="T237" t="s">
        <v>507</v>
      </c>
      <c r="U237" t="s">
        <v>511</v>
      </c>
      <c r="V237">
        <v>11237</v>
      </c>
      <c r="W237" t="s">
        <v>521</v>
      </c>
      <c r="X237" t="s">
        <v>549</v>
      </c>
      <c r="Y237" t="s">
        <v>275</v>
      </c>
      <c r="Z237" t="s">
        <v>718</v>
      </c>
      <c r="AA237" t="s">
        <v>889</v>
      </c>
      <c r="AB237" t="s">
        <v>902</v>
      </c>
      <c r="AC237" t="s">
        <v>905</v>
      </c>
      <c r="AF237" t="s">
        <v>923</v>
      </c>
      <c r="AI237">
        <v>33.46</v>
      </c>
      <c r="AJ237" t="s">
        <v>558</v>
      </c>
      <c r="AK237" t="s">
        <v>972</v>
      </c>
      <c r="AM237" t="s">
        <v>973</v>
      </c>
      <c r="AN237" t="s">
        <v>1024</v>
      </c>
      <c r="AT237">
        <v>0</v>
      </c>
      <c r="AU237">
        <v>1</v>
      </c>
      <c r="AV237" t="s">
        <v>273</v>
      </c>
      <c r="AY237" t="s">
        <v>273</v>
      </c>
      <c r="BB237">
        <v>0</v>
      </c>
      <c r="BC237">
        <v>0</v>
      </c>
      <c r="BD237">
        <v>0</v>
      </c>
      <c r="BE237">
        <v>0</v>
      </c>
      <c r="BF237" t="s">
        <v>1063</v>
      </c>
      <c r="BG237" t="s">
        <v>1234</v>
      </c>
      <c r="BH237">
        <v>22</v>
      </c>
      <c r="BI237" t="s">
        <v>1247</v>
      </c>
      <c r="BK237">
        <v>1838034</v>
      </c>
    </row>
    <row r="238" spans="1:63">
      <c r="A238" s="1">
        <f>HYPERLINK("https://lsnyc.legalserver.org/matter/dynamic-profile/view/1835752","17-1835752")</f>
        <v>0</v>
      </c>
      <c r="B238" t="s">
        <v>238</v>
      </c>
      <c r="C238" t="s">
        <v>250</v>
      </c>
      <c r="D238" t="s">
        <v>252</v>
      </c>
      <c r="E238" t="s">
        <v>265</v>
      </c>
      <c r="F238" t="s">
        <v>273</v>
      </c>
      <c r="G238" t="s">
        <v>275</v>
      </c>
      <c r="H238">
        <v>0</v>
      </c>
      <c r="I238" t="s">
        <v>275</v>
      </c>
      <c r="K238" t="s">
        <v>430</v>
      </c>
      <c r="O238" t="s">
        <v>275</v>
      </c>
      <c r="P238" t="s">
        <v>497</v>
      </c>
      <c r="Q238" t="s">
        <v>501</v>
      </c>
      <c r="S238" t="s">
        <v>503</v>
      </c>
      <c r="T238" t="s">
        <v>507</v>
      </c>
      <c r="U238" t="s">
        <v>511</v>
      </c>
      <c r="V238">
        <v>11235</v>
      </c>
      <c r="W238" t="s">
        <v>521</v>
      </c>
      <c r="X238" t="s">
        <v>553</v>
      </c>
      <c r="Y238" t="s">
        <v>275</v>
      </c>
      <c r="Z238" t="s">
        <v>719</v>
      </c>
      <c r="AA238" t="s">
        <v>890</v>
      </c>
      <c r="AB238" t="s">
        <v>902</v>
      </c>
      <c r="AC238" t="s">
        <v>905</v>
      </c>
      <c r="AF238" t="s">
        <v>923</v>
      </c>
      <c r="AI238">
        <v>8</v>
      </c>
      <c r="AJ238" t="s">
        <v>558</v>
      </c>
      <c r="AK238" t="s">
        <v>968</v>
      </c>
      <c r="AT238">
        <v>0</v>
      </c>
      <c r="AU238">
        <v>1</v>
      </c>
      <c r="AV238" t="s">
        <v>273</v>
      </c>
      <c r="AY238" t="s">
        <v>273</v>
      </c>
      <c r="BB238">
        <v>0</v>
      </c>
      <c r="BC238">
        <v>0</v>
      </c>
      <c r="BD238">
        <v>0</v>
      </c>
      <c r="BE238">
        <v>0</v>
      </c>
      <c r="BF238" t="s">
        <v>1063</v>
      </c>
      <c r="BG238" t="s">
        <v>1235</v>
      </c>
      <c r="BH238">
        <v>30</v>
      </c>
      <c r="BI238" t="s">
        <v>1247</v>
      </c>
      <c r="BK238">
        <v>1836241</v>
      </c>
    </row>
    <row r="239" spans="1:63">
      <c r="A239" s="1">
        <f>HYPERLINK("https://lsnyc.legalserver.org/matter/dynamic-profile/view/1835510","17-1835510")</f>
        <v>0</v>
      </c>
      <c r="B239" t="s">
        <v>239</v>
      </c>
      <c r="C239" t="s">
        <v>250</v>
      </c>
      <c r="D239" t="s">
        <v>252</v>
      </c>
      <c r="E239" t="s">
        <v>265</v>
      </c>
      <c r="F239" t="s">
        <v>274</v>
      </c>
      <c r="G239" t="s">
        <v>274</v>
      </c>
      <c r="H239">
        <v>224.14</v>
      </c>
      <c r="I239" t="s">
        <v>275</v>
      </c>
      <c r="J239" t="s">
        <v>277</v>
      </c>
      <c r="K239" t="s">
        <v>431</v>
      </c>
      <c r="O239" t="s">
        <v>275</v>
      </c>
      <c r="P239" t="s">
        <v>497</v>
      </c>
      <c r="Q239" t="s">
        <v>501</v>
      </c>
      <c r="S239" t="s">
        <v>503</v>
      </c>
      <c r="T239" t="s">
        <v>507</v>
      </c>
      <c r="U239" t="s">
        <v>511</v>
      </c>
      <c r="V239">
        <v>11235</v>
      </c>
      <c r="W239" t="s">
        <v>521</v>
      </c>
      <c r="X239" t="s">
        <v>553</v>
      </c>
      <c r="Y239" t="s">
        <v>275</v>
      </c>
      <c r="Z239" t="s">
        <v>720</v>
      </c>
      <c r="AA239" t="s">
        <v>891</v>
      </c>
      <c r="AB239" t="s">
        <v>902</v>
      </c>
      <c r="AC239" t="s">
        <v>905</v>
      </c>
      <c r="AF239" t="s">
        <v>923</v>
      </c>
      <c r="AI239">
        <v>7.3</v>
      </c>
      <c r="AJ239" t="s">
        <v>558</v>
      </c>
      <c r="AK239" t="s">
        <v>948</v>
      </c>
      <c r="AM239" t="s">
        <v>973</v>
      </c>
      <c r="AN239" t="s">
        <v>1025</v>
      </c>
      <c r="AT239">
        <v>0</v>
      </c>
      <c r="AU239">
        <v>2</v>
      </c>
      <c r="AV239" t="s">
        <v>273</v>
      </c>
      <c r="AY239" t="s">
        <v>273</v>
      </c>
      <c r="BB239">
        <v>0</v>
      </c>
      <c r="BC239">
        <v>0</v>
      </c>
      <c r="BD239">
        <v>0</v>
      </c>
      <c r="BE239">
        <v>0</v>
      </c>
      <c r="BF239" t="s">
        <v>1063</v>
      </c>
      <c r="BG239" t="s">
        <v>1236</v>
      </c>
      <c r="BH239">
        <v>28</v>
      </c>
      <c r="BI239" t="s">
        <v>1317</v>
      </c>
      <c r="BK239">
        <v>1835996</v>
      </c>
    </row>
    <row r="240" spans="1:63">
      <c r="A240" s="1">
        <f>HYPERLINK("https://lsnyc.legalserver.org/matter/dynamic-profile/view/1835521","17-1835521")</f>
        <v>0</v>
      </c>
      <c r="B240" t="s">
        <v>208</v>
      </c>
      <c r="C240" t="s">
        <v>250</v>
      </c>
      <c r="D240" t="s">
        <v>252</v>
      </c>
      <c r="E240" t="s">
        <v>266</v>
      </c>
      <c r="F240" t="s">
        <v>273</v>
      </c>
      <c r="G240" t="s">
        <v>275</v>
      </c>
      <c r="H240">
        <v>199</v>
      </c>
      <c r="I240" t="s">
        <v>274</v>
      </c>
      <c r="K240" t="s">
        <v>431</v>
      </c>
      <c r="O240" t="s">
        <v>275</v>
      </c>
      <c r="P240" t="s">
        <v>492</v>
      </c>
      <c r="Q240" t="s">
        <v>501</v>
      </c>
      <c r="S240" t="s">
        <v>503</v>
      </c>
      <c r="T240" t="s">
        <v>508</v>
      </c>
      <c r="U240" t="s">
        <v>511</v>
      </c>
      <c r="V240">
        <v>11233</v>
      </c>
      <c r="W240" t="s">
        <v>516</v>
      </c>
      <c r="X240" t="s">
        <v>549</v>
      </c>
      <c r="Y240" t="s">
        <v>275</v>
      </c>
      <c r="Z240" t="s">
        <v>690</v>
      </c>
      <c r="AA240" t="s">
        <v>861</v>
      </c>
      <c r="AB240" t="s">
        <v>902</v>
      </c>
      <c r="AC240" t="s">
        <v>913</v>
      </c>
      <c r="AF240" t="s">
        <v>923</v>
      </c>
      <c r="AI240">
        <v>6.65</v>
      </c>
      <c r="AJ240" t="s">
        <v>558</v>
      </c>
      <c r="AK240" t="s">
        <v>952</v>
      </c>
      <c r="AL240" t="s">
        <v>274</v>
      </c>
      <c r="AM240" t="s">
        <v>973</v>
      </c>
      <c r="AT240">
        <v>0</v>
      </c>
      <c r="AU240">
        <v>1</v>
      </c>
      <c r="AV240" t="s">
        <v>273</v>
      </c>
      <c r="AY240" t="s">
        <v>273</v>
      </c>
      <c r="BB240">
        <v>0</v>
      </c>
      <c r="BC240">
        <v>0</v>
      </c>
      <c r="BD240">
        <v>0</v>
      </c>
      <c r="BE240">
        <v>0</v>
      </c>
      <c r="BF240" t="s">
        <v>1063</v>
      </c>
      <c r="BG240" t="s">
        <v>1205</v>
      </c>
      <c r="BH240">
        <v>49</v>
      </c>
      <c r="BI240" t="s">
        <v>1259</v>
      </c>
      <c r="BK240">
        <v>1836007</v>
      </c>
    </row>
    <row r="241" spans="1:64">
      <c r="A241" s="1">
        <f>HYPERLINK("https://lsnyc.legalserver.org/matter/dynamic-profile/view/1834651","17-1834651")</f>
        <v>0</v>
      </c>
      <c r="B241" t="s">
        <v>240</v>
      </c>
      <c r="C241" t="s">
        <v>250</v>
      </c>
      <c r="D241" t="s">
        <v>252</v>
      </c>
      <c r="E241" t="s">
        <v>265</v>
      </c>
      <c r="F241" t="s">
        <v>274</v>
      </c>
      <c r="G241" t="s">
        <v>274</v>
      </c>
      <c r="H241">
        <v>0</v>
      </c>
      <c r="I241" t="s">
        <v>275</v>
      </c>
      <c r="K241" t="s">
        <v>432</v>
      </c>
      <c r="O241" t="s">
        <v>275</v>
      </c>
      <c r="P241" t="s">
        <v>497</v>
      </c>
      <c r="Q241" t="s">
        <v>501</v>
      </c>
      <c r="S241" t="s">
        <v>503</v>
      </c>
      <c r="T241" t="s">
        <v>507</v>
      </c>
      <c r="U241" t="s">
        <v>511</v>
      </c>
      <c r="V241">
        <v>11209</v>
      </c>
      <c r="W241" t="s">
        <v>521</v>
      </c>
      <c r="X241" t="s">
        <v>553</v>
      </c>
      <c r="Y241" t="s">
        <v>275</v>
      </c>
      <c r="Z241" t="s">
        <v>721</v>
      </c>
      <c r="AA241" t="s">
        <v>892</v>
      </c>
      <c r="AB241" t="s">
        <v>902</v>
      </c>
      <c r="AC241" t="s">
        <v>905</v>
      </c>
      <c r="AF241" t="s">
        <v>923</v>
      </c>
      <c r="AI241">
        <v>14.8</v>
      </c>
      <c r="AJ241" t="s">
        <v>558</v>
      </c>
      <c r="AK241" t="s">
        <v>948</v>
      </c>
      <c r="AT241">
        <v>0</v>
      </c>
      <c r="AU241">
        <v>1</v>
      </c>
      <c r="AV241" t="s">
        <v>273</v>
      </c>
      <c r="AY241" t="s">
        <v>273</v>
      </c>
      <c r="BB241">
        <v>0</v>
      </c>
      <c r="BC241">
        <v>0</v>
      </c>
      <c r="BD241">
        <v>0</v>
      </c>
      <c r="BE241">
        <v>0</v>
      </c>
      <c r="BF241" t="s">
        <v>1063</v>
      </c>
      <c r="BG241" t="s">
        <v>1237</v>
      </c>
      <c r="BH241">
        <v>32</v>
      </c>
      <c r="BI241" t="s">
        <v>1247</v>
      </c>
      <c r="BK241">
        <v>1835137</v>
      </c>
    </row>
    <row r="242" spans="1:64">
      <c r="A242" s="1">
        <f>HYPERLINK("https://lsnyc.legalserver.org/matter/dynamic-profile/view/1833321","17-1833321")</f>
        <v>0</v>
      </c>
      <c r="B242" t="s">
        <v>241</v>
      </c>
      <c r="C242" t="s">
        <v>250</v>
      </c>
      <c r="D242" t="s">
        <v>252</v>
      </c>
      <c r="E242" t="s">
        <v>265</v>
      </c>
      <c r="F242" t="s">
        <v>274</v>
      </c>
      <c r="G242" t="s">
        <v>274</v>
      </c>
      <c r="H242">
        <v>0</v>
      </c>
      <c r="I242" t="s">
        <v>275</v>
      </c>
      <c r="K242" t="s">
        <v>433</v>
      </c>
      <c r="P242" t="s">
        <v>497</v>
      </c>
      <c r="Q242" t="s">
        <v>501</v>
      </c>
      <c r="S242" t="s">
        <v>503</v>
      </c>
      <c r="T242" t="s">
        <v>507</v>
      </c>
      <c r="U242" t="s">
        <v>511</v>
      </c>
      <c r="V242">
        <v>11210</v>
      </c>
      <c r="W242" t="s">
        <v>521</v>
      </c>
      <c r="Y242" t="s">
        <v>275</v>
      </c>
      <c r="Z242" t="s">
        <v>722</v>
      </c>
      <c r="AA242" t="s">
        <v>893</v>
      </c>
      <c r="AB242" t="s">
        <v>902</v>
      </c>
      <c r="AC242" t="s">
        <v>905</v>
      </c>
      <c r="AF242" t="s">
        <v>923</v>
      </c>
      <c r="AI242">
        <v>20.85</v>
      </c>
      <c r="AJ242" t="s">
        <v>558</v>
      </c>
      <c r="AK242" t="s">
        <v>948</v>
      </c>
      <c r="AS242" t="s">
        <v>1062</v>
      </c>
      <c r="AT242">
        <v>0</v>
      </c>
      <c r="AU242">
        <v>1</v>
      </c>
      <c r="AV242" t="s">
        <v>273</v>
      </c>
      <c r="AY242" t="s">
        <v>273</v>
      </c>
      <c r="BB242">
        <v>0</v>
      </c>
      <c r="BC242">
        <v>0</v>
      </c>
      <c r="BD242">
        <v>0</v>
      </c>
      <c r="BE242">
        <v>0</v>
      </c>
      <c r="BF242" t="s">
        <v>1063</v>
      </c>
      <c r="BG242" t="s">
        <v>1238</v>
      </c>
      <c r="BH242">
        <v>26</v>
      </c>
      <c r="BI242" t="s">
        <v>1247</v>
      </c>
      <c r="BK242">
        <v>1833805</v>
      </c>
    </row>
    <row r="243" spans="1:64">
      <c r="A243" s="1">
        <f>HYPERLINK("https://lsnyc.legalserver.org/matter/dynamic-profile/view/0825325","17-0825325")</f>
        <v>0</v>
      </c>
      <c r="B243" t="s">
        <v>242</v>
      </c>
      <c r="C243" t="s">
        <v>250</v>
      </c>
      <c r="D243" t="s">
        <v>252</v>
      </c>
      <c r="E243" t="s">
        <v>266</v>
      </c>
      <c r="F243" t="s">
        <v>273</v>
      </c>
      <c r="G243" t="s">
        <v>275</v>
      </c>
      <c r="H243">
        <v>111.72</v>
      </c>
      <c r="I243" t="s">
        <v>274</v>
      </c>
      <c r="K243" t="s">
        <v>434</v>
      </c>
      <c r="O243" t="s">
        <v>275</v>
      </c>
      <c r="P243" t="s">
        <v>500</v>
      </c>
      <c r="Q243" t="s">
        <v>501</v>
      </c>
      <c r="S243" t="s">
        <v>503</v>
      </c>
      <c r="T243" t="s">
        <v>508</v>
      </c>
      <c r="U243" t="s">
        <v>511</v>
      </c>
      <c r="V243">
        <v>11209</v>
      </c>
      <c r="W243" t="s">
        <v>519</v>
      </c>
      <c r="X243" t="s">
        <v>548</v>
      </c>
      <c r="Y243" t="s">
        <v>275</v>
      </c>
      <c r="Z243" t="s">
        <v>723</v>
      </c>
      <c r="AA243" t="s">
        <v>894</v>
      </c>
      <c r="AB243" t="s">
        <v>902</v>
      </c>
      <c r="AC243" t="s">
        <v>906</v>
      </c>
      <c r="AF243" t="s">
        <v>926</v>
      </c>
      <c r="AI243">
        <v>27.9</v>
      </c>
      <c r="AJ243" t="s">
        <v>558</v>
      </c>
      <c r="AK243" t="s">
        <v>934</v>
      </c>
      <c r="AL243" t="s">
        <v>274</v>
      </c>
      <c r="AT243">
        <v>3</v>
      </c>
      <c r="AU243">
        <v>3</v>
      </c>
      <c r="AV243" t="s">
        <v>273</v>
      </c>
      <c r="AY243" t="s">
        <v>273</v>
      </c>
      <c r="BB243">
        <v>0</v>
      </c>
      <c r="BC243">
        <v>0</v>
      </c>
      <c r="BD243">
        <v>0</v>
      </c>
      <c r="BE243">
        <v>0</v>
      </c>
      <c r="BF243" t="s">
        <v>1063</v>
      </c>
      <c r="BG243" t="s">
        <v>1239</v>
      </c>
      <c r="BH243">
        <v>25</v>
      </c>
      <c r="BI243" t="s">
        <v>1317</v>
      </c>
      <c r="BK243">
        <v>825794</v>
      </c>
    </row>
    <row r="244" spans="1:64">
      <c r="A244" s="1">
        <f>HYPERLINK("https://lsnyc.legalserver.org/matter/dynamic-profile/view/0824742","17-0824742")</f>
        <v>0</v>
      </c>
      <c r="B244" t="s">
        <v>243</v>
      </c>
      <c r="C244" t="s">
        <v>250</v>
      </c>
      <c r="D244" t="s">
        <v>252</v>
      </c>
      <c r="E244" t="s">
        <v>265</v>
      </c>
      <c r="F244" t="s">
        <v>274</v>
      </c>
      <c r="G244" t="s">
        <v>274</v>
      </c>
      <c r="H244">
        <v>157.58</v>
      </c>
      <c r="I244" t="s">
        <v>275</v>
      </c>
      <c r="K244" t="s">
        <v>435</v>
      </c>
      <c r="O244" t="s">
        <v>275</v>
      </c>
      <c r="P244" t="s">
        <v>497</v>
      </c>
      <c r="Q244" t="s">
        <v>501</v>
      </c>
      <c r="S244" t="s">
        <v>503</v>
      </c>
      <c r="T244" t="s">
        <v>507</v>
      </c>
      <c r="U244" t="s">
        <v>511</v>
      </c>
      <c r="V244">
        <v>11209</v>
      </c>
      <c r="W244" t="s">
        <v>521</v>
      </c>
      <c r="X244" t="s">
        <v>553</v>
      </c>
      <c r="Y244" t="s">
        <v>275</v>
      </c>
      <c r="Z244" t="s">
        <v>724</v>
      </c>
      <c r="AA244" t="s">
        <v>895</v>
      </c>
      <c r="AB244" t="s">
        <v>902</v>
      </c>
      <c r="AC244" t="s">
        <v>905</v>
      </c>
      <c r="AF244" t="s">
        <v>923</v>
      </c>
      <c r="AI244">
        <v>8.4</v>
      </c>
      <c r="AJ244" t="s">
        <v>558</v>
      </c>
      <c r="AK244" t="s">
        <v>948</v>
      </c>
      <c r="AT244">
        <v>0</v>
      </c>
      <c r="AU244">
        <v>1</v>
      </c>
      <c r="AV244" t="s">
        <v>273</v>
      </c>
      <c r="AY244" t="s">
        <v>273</v>
      </c>
      <c r="BB244">
        <v>0</v>
      </c>
      <c r="BC244">
        <v>0</v>
      </c>
      <c r="BD244">
        <v>0</v>
      </c>
      <c r="BE244">
        <v>0</v>
      </c>
      <c r="BF244" t="s">
        <v>1063</v>
      </c>
      <c r="BG244" t="s">
        <v>1240</v>
      </c>
      <c r="BH244">
        <v>22</v>
      </c>
      <c r="BI244" t="s">
        <v>1318</v>
      </c>
      <c r="BK244">
        <v>825211</v>
      </c>
    </row>
    <row r="245" spans="1:64">
      <c r="A245" s="1">
        <f>HYPERLINK("https://lsnyc.legalserver.org/matter/dynamic-profile/view/0821553","16-0821553")</f>
        <v>0</v>
      </c>
      <c r="B245" t="s">
        <v>209</v>
      </c>
      <c r="C245" t="s">
        <v>250</v>
      </c>
      <c r="D245" t="s">
        <v>252</v>
      </c>
      <c r="E245" t="s">
        <v>266</v>
      </c>
      <c r="F245" t="s">
        <v>273</v>
      </c>
      <c r="G245" t="s">
        <v>275</v>
      </c>
      <c r="H245">
        <v>91.8</v>
      </c>
      <c r="I245" t="s">
        <v>274</v>
      </c>
      <c r="K245" t="s">
        <v>436</v>
      </c>
      <c r="P245" t="s">
        <v>500</v>
      </c>
      <c r="Q245" t="s">
        <v>501</v>
      </c>
      <c r="S245" t="s">
        <v>503</v>
      </c>
      <c r="T245" t="s">
        <v>508</v>
      </c>
      <c r="U245" t="s">
        <v>511</v>
      </c>
      <c r="V245">
        <v>11213</v>
      </c>
      <c r="W245" t="s">
        <v>536</v>
      </c>
      <c r="X245" t="s">
        <v>549</v>
      </c>
      <c r="Y245" t="s">
        <v>275</v>
      </c>
      <c r="Z245" t="s">
        <v>691</v>
      </c>
      <c r="AA245" t="s">
        <v>862</v>
      </c>
      <c r="AB245" t="s">
        <v>902</v>
      </c>
      <c r="AC245" t="s">
        <v>909</v>
      </c>
      <c r="AF245" t="s">
        <v>923</v>
      </c>
      <c r="AI245">
        <v>23.05</v>
      </c>
      <c r="AJ245" t="s">
        <v>558</v>
      </c>
      <c r="AK245" t="s">
        <v>942</v>
      </c>
      <c r="AL245" t="s">
        <v>274</v>
      </c>
      <c r="AM245" t="s">
        <v>973</v>
      </c>
      <c r="AT245">
        <v>2</v>
      </c>
      <c r="AU245">
        <v>2</v>
      </c>
      <c r="AV245" t="s">
        <v>273</v>
      </c>
      <c r="AY245" t="s">
        <v>273</v>
      </c>
      <c r="BB245">
        <v>0</v>
      </c>
      <c r="BC245">
        <v>0</v>
      </c>
      <c r="BD245">
        <v>0</v>
      </c>
      <c r="BE245">
        <v>0</v>
      </c>
      <c r="BF245" t="s">
        <v>1063</v>
      </c>
      <c r="BG245" t="s">
        <v>1206</v>
      </c>
      <c r="BH245">
        <v>39</v>
      </c>
      <c r="BI245" t="s">
        <v>1319</v>
      </c>
      <c r="BK245">
        <v>822013</v>
      </c>
    </row>
    <row r="246" spans="1:64">
      <c r="A246" s="1">
        <f>HYPERLINK("https://lsnyc.legalserver.org/matter/dynamic-profile/view/0819602","16-0819602")</f>
        <v>0</v>
      </c>
      <c r="B246" t="s">
        <v>244</v>
      </c>
      <c r="C246" t="s">
        <v>250</v>
      </c>
      <c r="D246" t="s">
        <v>255</v>
      </c>
      <c r="E246" t="s">
        <v>265</v>
      </c>
      <c r="F246" t="s">
        <v>274</v>
      </c>
      <c r="G246" t="s">
        <v>274</v>
      </c>
      <c r="H246">
        <v>175.08</v>
      </c>
      <c r="I246" t="s">
        <v>274</v>
      </c>
      <c r="K246" t="s">
        <v>437</v>
      </c>
      <c r="L246" t="s">
        <v>282</v>
      </c>
      <c r="M246" t="s">
        <v>471</v>
      </c>
      <c r="N246" t="s">
        <v>287</v>
      </c>
      <c r="P246" t="s">
        <v>497</v>
      </c>
      <c r="Q246" t="s">
        <v>501</v>
      </c>
      <c r="S246" t="s">
        <v>503</v>
      </c>
      <c r="T246" t="s">
        <v>507</v>
      </c>
      <c r="U246" t="s">
        <v>511</v>
      </c>
      <c r="V246">
        <v>10031</v>
      </c>
      <c r="W246" t="s">
        <v>521</v>
      </c>
      <c r="X246" t="s">
        <v>553</v>
      </c>
      <c r="Y246" t="s">
        <v>275</v>
      </c>
      <c r="Z246" t="s">
        <v>725</v>
      </c>
      <c r="AA246" t="s">
        <v>896</v>
      </c>
      <c r="AB246" t="s">
        <v>902</v>
      </c>
      <c r="AC246" t="s">
        <v>905</v>
      </c>
      <c r="AD246" t="s">
        <v>916</v>
      </c>
      <c r="AE246" t="s">
        <v>919</v>
      </c>
      <c r="AF246" t="s">
        <v>923</v>
      </c>
      <c r="AI246">
        <v>18.1</v>
      </c>
      <c r="AJ246" t="s">
        <v>558</v>
      </c>
      <c r="AK246" t="s">
        <v>948</v>
      </c>
      <c r="AL246" t="s">
        <v>274</v>
      </c>
      <c r="AM246" t="s">
        <v>973</v>
      </c>
      <c r="AN246" t="s">
        <v>1026</v>
      </c>
      <c r="AO246" t="s">
        <v>976</v>
      </c>
      <c r="AP246" t="s">
        <v>1031</v>
      </c>
      <c r="AQ246" t="s">
        <v>1043</v>
      </c>
      <c r="AR246" t="s">
        <v>1051</v>
      </c>
      <c r="AT246">
        <v>0</v>
      </c>
      <c r="AU246">
        <v>1</v>
      </c>
      <c r="AV246" t="s">
        <v>273</v>
      </c>
      <c r="AY246" t="s">
        <v>273</v>
      </c>
      <c r="BB246">
        <v>0</v>
      </c>
      <c r="BC246">
        <v>0</v>
      </c>
      <c r="BD246">
        <v>0</v>
      </c>
      <c r="BE246">
        <v>0</v>
      </c>
      <c r="BF246" t="s">
        <v>493</v>
      </c>
      <c r="BG246" t="s">
        <v>1241</v>
      </c>
      <c r="BH246">
        <v>29</v>
      </c>
      <c r="BI246" t="s">
        <v>1261</v>
      </c>
      <c r="BK246">
        <v>820059</v>
      </c>
      <c r="BL246" t="s">
        <v>275</v>
      </c>
    </row>
    <row r="247" spans="1:64">
      <c r="A247" s="1">
        <f>HYPERLINK("https://lsnyc.legalserver.org/matter/dynamic-profile/view/0819491","16-0819491")</f>
        <v>0</v>
      </c>
      <c r="B247" t="s">
        <v>245</v>
      </c>
      <c r="C247" t="s">
        <v>250</v>
      </c>
      <c r="D247" t="s">
        <v>252</v>
      </c>
      <c r="E247" t="s">
        <v>265</v>
      </c>
      <c r="F247" t="s">
        <v>274</v>
      </c>
      <c r="G247" t="s">
        <v>274</v>
      </c>
      <c r="H247">
        <v>0</v>
      </c>
      <c r="I247" t="s">
        <v>275</v>
      </c>
      <c r="K247" t="s">
        <v>437</v>
      </c>
      <c r="P247" t="s">
        <v>497</v>
      </c>
      <c r="Q247" t="s">
        <v>501</v>
      </c>
      <c r="S247" t="s">
        <v>503</v>
      </c>
      <c r="T247" t="s">
        <v>507</v>
      </c>
      <c r="U247" t="s">
        <v>511</v>
      </c>
      <c r="V247">
        <v>11209</v>
      </c>
      <c r="W247" t="s">
        <v>529</v>
      </c>
      <c r="X247" t="s">
        <v>553</v>
      </c>
      <c r="Y247" t="s">
        <v>275</v>
      </c>
      <c r="Z247" t="s">
        <v>600</v>
      </c>
      <c r="AA247" t="s">
        <v>897</v>
      </c>
      <c r="AB247" t="s">
        <v>902</v>
      </c>
      <c r="AC247" t="s">
        <v>906</v>
      </c>
      <c r="AF247" t="s">
        <v>923</v>
      </c>
      <c r="AI247">
        <v>4</v>
      </c>
      <c r="AJ247" t="s">
        <v>558</v>
      </c>
      <c r="AK247" t="s">
        <v>948</v>
      </c>
      <c r="AT247">
        <v>0</v>
      </c>
      <c r="AU247">
        <v>1</v>
      </c>
      <c r="AV247" t="s">
        <v>273</v>
      </c>
      <c r="AY247" t="s">
        <v>273</v>
      </c>
      <c r="BB247">
        <v>0</v>
      </c>
      <c r="BC247">
        <v>0</v>
      </c>
      <c r="BD247">
        <v>0</v>
      </c>
      <c r="BE247">
        <v>0</v>
      </c>
      <c r="BF247" t="s">
        <v>1063</v>
      </c>
      <c r="BG247" t="s">
        <v>1242</v>
      </c>
      <c r="BH247">
        <v>19</v>
      </c>
      <c r="BI247" t="s">
        <v>1247</v>
      </c>
      <c r="BK247">
        <v>819948</v>
      </c>
    </row>
    <row r="248" spans="1:64">
      <c r="A248" s="1">
        <f>HYPERLINK("https://lsnyc.legalserver.org/matter/dynamic-profile/view/0819558","16-0819558")</f>
        <v>0</v>
      </c>
      <c r="B248" t="s">
        <v>246</v>
      </c>
      <c r="C248" t="s">
        <v>250</v>
      </c>
      <c r="D248" t="s">
        <v>252</v>
      </c>
      <c r="E248" t="s">
        <v>265</v>
      </c>
      <c r="F248" t="s">
        <v>274</v>
      </c>
      <c r="G248" t="s">
        <v>274</v>
      </c>
      <c r="H248">
        <v>140.07</v>
      </c>
      <c r="I248" t="s">
        <v>275</v>
      </c>
      <c r="K248" t="s">
        <v>437</v>
      </c>
      <c r="P248" t="s">
        <v>497</v>
      </c>
      <c r="Q248" t="s">
        <v>501</v>
      </c>
      <c r="S248" t="s">
        <v>503</v>
      </c>
      <c r="T248" t="s">
        <v>507</v>
      </c>
      <c r="U248" t="s">
        <v>511</v>
      </c>
      <c r="V248">
        <v>11235</v>
      </c>
      <c r="W248" t="s">
        <v>521</v>
      </c>
      <c r="X248" t="s">
        <v>553</v>
      </c>
      <c r="Y248" t="s">
        <v>275</v>
      </c>
      <c r="Z248" t="s">
        <v>725</v>
      </c>
      <c r="AA248" t="s">
        <v>898</v>
      </c>
      <c r="AB248" t="s">
        <v>902</v>
      </c>
      <c r="AC248" t="s">
        <v>905</v>
      </c>
      <c r="AF248" t="s">
        <v>923</v>
      </c>
      <c r="AI248">
        <v>10.85</v>
      </c>
      <c r="AJ248" t="s">
        <v>558</v>
      </c>
      <c r="AK248" t="s">
        <v>948</v>
      </c>
      <c r="AM248" t="s">
        <v>973</v>
      </c>
      <c r="AN248" t="s">
        <v>1027</v>
      </c>
      <c r="AT248">
        <v>0</v>
      </c>
      <c r="AU248">
        <v>1</v>
      </c>
      <c r="AV248" t="s">
        <v>273</v>
      </c>
      <c r="AY248" t="s">
        <v>273</v>
      </c>
      <c r="BB248">
        <v>0</v>
      </c>
      <c r="BC248">
        <v>0</v>
      </c>
      <c r="BD248">
        <v>0</v>
      </c>
      <c r="BE248">
        <v>0</v>
      </c>
      <c r="BF248" t="s">
        <v>1063</v>
      </c>
      <c r="BG248" t="s">
        <v>1239</v>
      </c>
      <c r="BH248">
        <v>25</v>
      </c>
      <c r="BI248" t="s">
        <v>1320</v>
      </c>
      <c r="BK248">
        <v>820015</v>
      </c>
    </row>
    <row r="249" spans="1:64">
      <c r="A249" s="1">
        <f>HYPERLINK("https://lsnyc.legalserver.org/matter/dynamic-profile/view/0819585","16-0819585")</f>
        <v>0</v>
      </c>
      <c r="B249" t="s">
        <v>247</v>
      </c>
      <c r="C249" t="s">
        <v>250</v>
      </c>
      <c r="D249" t="s">
        <v>252</v>
      </c>
      <c r="E249" t="s">
        <v>265</v>
      </c>
      <c r="F249" t="s">
        <v>274</v>
      </c>
      <c r="G249" t="s">
        <v>274</v>
      </c>
      <c r="H249">
        <v>175.08</v>
      </c>
      <c r="I249" t="s">
        <v>275</v>
      </c>
      <c r="K249" t="s">
        <v>437</v>
      </c>
      <c r="P249" t="s">
        <v>497</v>
      </c>
      <c r="Q249" t="s">
        <v>501</v>
      </c>
      <c r="S249" t="s">
        <v>503</v>
      </c>
      <c r="T249" t="s">
        <v>507</v>
      </c>
      <c r="U249" t="s">
        <v>511</v>
      </c>
      <c r="V249">
        <v>11210</v>
      </c>
      <c r="W249" t="s">
        <v>521</v>
      </c>
      <c r="X249" t="s">
        <v>553</v>
      </c>
      <c r="Y249" t="s">
        <v>275</v>
      </c>
      <c r="Z249" t="s">
        <v>726</v>
      </c>
      <c r="AA249" t="s">
        <v>899</v>
      </c>
      <c r="AB249" t="s">
        <v>902</v>
      </c>
      <c r="AC249" t="s">
        <v>906</v>
      </c>
      <c r="AF249" t="s">
        <v>923</v>
      </c>
      <c r="AI249">
        <v>10.45</v>
      </c>
      <c r="AJ249" t="s">
        <v>558</v>
      </c>
      <c r="AK249" t="s">
        <v>948</v>
      </c>
      <c r="AM249" t="s">
        <v>973</v>
      </c>
      <c r="AN249" t="s">
        <v>1028</v>
      </c>
      <c r="AT249">
        <v>0</v>
      </c>
      <c r="AU249">
        <v>1</v>
      </c>
      <c r="AV249" t="s">
        <v>273</v>
      </c>
      <c r="AY249" t="s">
        <v>273</v>
      </c>
      <c r="BB249">
        <v>0</v>
      </c>
      <c r="BC249">
        <v>0</v>
      </c>
      <c r="BD249">
        <v>0</v>
      </c>
      <c r="BE249">
        <v>0</v>
      </c>
      <c r="BF249" t="s">
        <v>1063</v>
      </c>
      <c r="BG249" t="s">
        <v>1243</v>
      </c>
      <c r="BH249">
        <v>29</v>
      </c>
      <c r="BI249" t="s">
        <v>1261</v>
      </c>
      <c r="BK249">
        <v>820042</v>
      </c>
    </row>
    <row r="250" spans="1:64">
      <c r="A250" s="1">
        <f>HYPERLINK("https://lsnyc.legalserver.org/matter/dynamic-profile/view/0813462","16-0813462")</f>
        <v>0</v>
      </c>
      <c r="B250" t="s">
        <v>248</v>
      </c>
      <c r="C250" t="s">
        <v>250</v>
      </c>
      <c r="D250" t="s">
        <v>255</v>
      </c>
      <c r="E250" t="s">
        <v>266</v>
      </c>
      <c r="F250" t="s">
        <v>275</v>
      </c>
      <c r="G250" t="s">
        <v>275</v>
      </c>
      <c r="H250">
        <v>0</v>
      </c>
      <c r="I250" t="s">
        <v>274</v>
      </c>
      <c r="K250" t="s">
        <v>438</v>
      </c>
      <c r="L250" t="s">
        <v>455</v>
      </c>
      <c r="O250" t="s">
        <v>275</v>
      </c>
      <c r="P250" t="s">
        <v>493</v>
      </c>
      <c r="Q250" t="s">
        <v>501</v>
      </c>
      <c r="S250" t="s">
        <v>503</v>
      </c>
      <c r="T250" t="s">
        <v>507</v>
      </c>
      <c r="U250" t="s">
        <v>511</v>
      </c>
      <c r="V250">
        <v>10018</v>
      </c>
      <c r="W250" t="s">
        <v>517</v>
      </c>
      <c r="X250" t="s">
        <v>549</v>
      </c>
      <c r="Y250" t="s">
        <v>274</v>
      </c>
      <c r="Z250" t="s">
        <v>727</v>
      </c>
      <c r="AA250" t="s">
        <v>900</v>
      </c>
      <c r="AB250" t="s">
        <v>902</v>
      </c>
      <c r="AC250" t="s">
        <v>904</v>
      </c>
      <c r="AD250" t="s">
        <v>275</v>
      </c>
      <c r="AE250" t="s">
        <v>918</v>
      </c>
      <c r="AF250" t="s">
        <v>927</v>
      </c>
      <c r="AI250">
        <v>21.1</v>
      </c>
      <c r="AJ250" t="s">
        <v>558</v>
      </c>
      <c r="AK250" t="s">
        <v>937</v>
      </c>
      <c r="AL250" t="s">
        <v>274</v>
      </c>
      <c r="AM250" t="s">
        <v>975</v>
      </c>
      <c r="AQ250" t="s">
        <v>1033</v>
      </c>
      <c r="AR250" t="s">
        <v>1053</v>
      </c>
      <c r="AT250">
        <v>0</v>
      </c>
      <c r="AU250">
        <v>1</v>
      </c>
      <c r="AV250" t="s">
        <v>273</v>
      </c>
      <c r="AY250" t="s">
        <v>273</v>
      </c>
      <c r="BB250">
        <v>0</v>
      </c>
      <c r="BC250">
        <v>0</v>
      </c>
      <c r="BD250">
        <v>0</v>
      </c>
      <c r="BE250">
        <v>0</v>
      </c>
      <c r="BF250" t="s">
        <v>493</v>
      </c>
      <c r="BG250" t="s">
        <v>1244</v>
      </c>
      <c r="BH250">
        <v>37</v>
      </c>
      <c r="BI250" t="s">
        <v>1247</v>
      </c>
      <c r="BK250">
        <v>813906</v>
      </c>
    </row>
    <row r="251" spans="1:64">
      <c r="A251" s="1">
        <f>HYPERLINK("https://lsnyc.legalserver.org/matter/dynamic-profile/view/0802083","16-0802083")</f>
        <v>0</v>
      </c>
      <c r="B251" t="s">
        <v>149</v>
      </c>
      <c r="C251" t="s">
        <v>250</v>
      </c>
      <c r="D251" t="s">
        <v>253</v>
      </c>
      <c r="E251" t="s">
        <v>265</v>
      </c>
      <c r="F251" t="s">
        <v>274</v>
      </c>
      <c r="G251" t="s">
        <v>274</v>
      </c>
      <c r="H251">
        <v>52.53</v>
      </c>
      <c r="I251" t="s">
        <v>274</v>
      </c>
      <c r="K251" t="s">
        <v>439</v>
      </c>
      <c r="L251" t="s">
        <v>462</v>
      </c>
      <c r="Q251" t="s">
        <v>501</v>
      </c>
      <c r="S251" t="s">
        <v>503</v>
      </c>
      <c r="T251" t="s">
        <v>508</v>
      </c>
      <c r="U251" t="s">
        <v>511</v>
      </c>
      <c r="V251">
        <v>11368</v>
      </c>
      <c r="W251" t="s">
        <v>518</v>
      </c>
      <c r="X251" t="s">
        <v>548</v>
      </c>
      <c r="Y251" t="s">
        <v>275</v>
      </c>
      <c r="Z251" t="s">
        <v>639</v>
      </c>
      <c r="AA251" t="s">
        <v>806</v>
      </c>
      <c r="AB251" t="s">
        <v>902</v>
      </c>
      <c r="AC251" t="s">
        <v>905</v>
      </c>
      <c r="AD251" t="s">
        <v>274</v>
      </c>
      <c r="AE251" t="s">
        <v>919</v>
      </c>
      <c r="AF251" t="s">
        <v>926</v>
      </c>
      <c r="AI251">
        <v>147.1</v>
      </c>
      <c r="AJ251" t="s">
        <v>558</v>
      </c>
      <c r="AK251" t="s">
        <v>959</v>
      </c>
      <c r="AL251" t="s">
        <v>274</v>
      </c>
      <c r="AM251" t="s">
        <v>978</v>
      </c>
      <c r="AN251" t="s">
        <v>1029</v>
      </c>
      <c r="AQ251" t="s">
        <v>1039</v>
      </c>
      <c r="AR251" t="s">
        <v>1051</v>
      </c>
      <c r="AT251">
        <v>0</v>
      </c>
      <c r="AU251">
        <v>1</v>
      </c>
      <c r="AV251" t="s">
        <v>273</v>
      </c>
      <c r="AY251" t="s">
        <v>273</v>
      </c>
      <c r="BB251">
        <v>0</v>
      </c>
      <c r="BC251">
        <v>0</v>
      </c>
      <c r="BD251">
        <v>0</v>
      </c>
      <c r="BE251">
        <v>0</v>
      </c>
      <c r="BF251" t="s">
        <v>493</v>
      </c>
      <c r="BG251" t="s">
        <v>1148</v>
      </c>
      <c r="BH251">
        <v>45</v>
      </c>
      <c r="BI251" t="s">
        <v>1305</v>
      </c>
      <c r="BK251">
        <v>795931</v>
      </c>
    </row>
    <row r="252" spans="1:64">
      <c r="A252" s="1">
        <f>HYPERLINK("https://lsnyc.legalserver.org/matter/dynamic-profile/view/0777702","15-0777702")</f>
        <v>0</v>
      </c>
      <c r="B252" t="s">
        <v>151</v>
      </c>
      <c r="C252" t="s">
        <v>250</v>
      </c>
      <c r="D252" t="s">
        <v>253</v>
      </c>
      <c r="E252" t="s">
        <v>265</v>
      </c>
      <c r="F252" t="s">
        <v>273</v>
      </c>
      <c r="G252" t="s">
        <v>275</v>
      </c>
      <c r="H252">
        <v>0</v>
      </c>
      <c r="K252" t="s">
        <v>440</v>
      </c>
      <c r="L252" t="s">
        <v>470</v>
      </c>
      <c r="Q252" t="s">
        <v>501</v>
      </c>
      <c r="S252" t="s">
        <v>503</v>
      </c>
      <c r="T252" t="s">
        <v>508</v>
      </c>
      <c r="U252" t="s">
        <v>511</v>
      </c>
      <c r="V252">
        <v>11369</v>
      </c>
      <c r="W252" t="s">
        <v>521</v>
      </c>
      <c r="X252" t="s">
        <v>549</v>
      </c>
      <c r="Z252" t="s">
        <v>641</v>
      </c>
      <c r="AA252" t="s">
        <v>808</v>
      </c>
      <c r="AB252" t="s">
        <v>902</v>
      </c>
      <c r="AC252" t="s">
        <v>911</v>
      </c>
      <c r="AD252" t="s">
        <v>916</v>
      </c>
      <c r="AE252" t="s">
        <v>922</v>
      </c>
      <c r="AF252" t="s">
        <v>923</v>
      </c>
      <c r="AI252">
        <v>162.7</v>
      </c>
      <c r="AK252" t="s">
        <v>961</v>
      </c>
      <c r="AQ252" t="s">
        <v>1048</v>
      </c>
      <c r="AR252" t="s">
        <v>1053</v>
      </c>
      <c r="AT252">
        <v>1</v>
      </c>
      <c r="AU252">
        <v>1</v>
      </c>
      <c r="AV252" t="s">
        <v>273</v>
      </c>
      <c r="AY252" t="s">
        <v>273</v>
      </c>
      <c r="BB252">
        <v>0</v>
      </c>
      <c r="BC252">
        <v>0</v>
      </c>
      <c r="BD252">
        <v>0</v>
      </c>
      <c r="BE252">
        <v>0</v>
      </c>
      <c r="BF252" t="s">
        <v>493</v>
      </c>
      <c r="BG252" t="s">
        <v>1150</v>
      </c>
      <c r="BH252">
        <v>37</v>
      </c>
      <c r="BI252" t="s">
        <v>1247</v>
      </c>
      <c r="BK252">
        <v>778059</v>
      </c>
    </row>
    <row r="253" spans="1:64">
      <c r="A253" s="1">
        <f>HYPERLINK("https://lsnyc.legalserver.org/matter/dynamic-profile/view/0754603","14-0754603")</f>
        <v>0</v>
      </c>
      <c r="B253" t="s">
        <v>249</v>
      </c>
      <c r="C253" t="s">
        <v>250</v>
      </c>
      <c r="D253" t="s">
        <v>252</v>
      </c>
      <c r="E253" t="s">
        <v>266</v>
      </c>
      <c r="F253" t="s">
        <v>273</v>
      </c>
      <c r="G253" t="s">
        <v>275</v>
      </c>
      <c r="H253">
        <v>0</v>
      </c>
      <c r="I253" t="s">
        <v>274</v>
      </c>
      <c r="K253" t="s">
        <v>441</v>
      </c>
      <c r="P253" t="s">
        <v>500</v>
      </c>
      <c r="Q253" t="s">
        <v>501</v>
      </c>
      <c r="S253" t="s">
        <v>503</v>
      </c>
      <c r="T253" t="s">
        <v>508</v>
      </c>
      <c r="U253" t="s">
        <v>511</v>
      </c>
      <c r="V253">
        <v>11232</v>
      </c>
      <c r="W253" t="s">
        <v>532</v>
      </c>
      <c r="X253" t="s">
        <v>548</v>
      </c>
      <c r="Y253" t="s">
        <v>275</v>
      </c>
      <c r="Z253" t="s">
        <v>584</v>
      </c>
      <c r="AA253" t="s">
        <v>901</v>
      </c>
      <c r="AB253" t="s">
        <v>902</v>
      </c>
      <c r="AC253" t="s">
        <v>915</v>
      </c>
      <c r="AF253" t="s">
        <v>923</v>
      </c>
      <c r="AI253">
        <v>19.35</v>
      </c>
      <c r="AJ253" t="s">
        <v>558</v>
      </c>
      <c r="AK253" t="s">
        <v>949</v>
      </c>
      <c r="AL253" t="s">
        <v>274</v>
      </c>
      <c r="AM253" t="s">
        <v>973</v>
      </c>
      <c r="AO253" t="s">
        <v>978</v>
      </c>
      <c r="AT253">
        <v>5</v>
      </c>
      <c r="AU253">
        <v>1</v>
      </c>
      <c r="AV253" t="s">
        <v>274</v>
      </c>
      <c r="AY253" t="s">
        <v>274</v>
      </c>
      <c r="BB253">
        <v>0</v>
      </c>
      <c r="BC253">
        <v>0</v>
      </c>
      <c r="BD253">
        <v>0</v>
      </c>
      <c r="BE253">
        <v>0</v>
      </c>
      <c r="BF253" t="s">
        <v>1063</v>
      </c>
      <c r="BG253" t="s">
        <v>1245</v>
      </c>
      <c r="BH253">
        <v>31</v>
      </c>
      <c r="BI253" t="s">
        <v>1247</v>
      </c>
      <c r="BK253">
        <v>742368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98"/>
  <sheetViews>
    <sheetView workbookViewId="0"/>
  </sheetViews>
  <sheetFormatPr defaultRowHeight="15"/>
  <cols>
    <col min="1" max="1" width="20.7109375" style="1" customWidth="1"/>
    <col min="2" max="702" width="25.7109375" customWidth="1"/>
  </cols>
  <sheetData>
    <row r="1" spans="1: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</row>
    <row r="2" spans="1:64">
      <c r="A2" s="1">
        <f>HYPERLINK("https://lsnyc.legalserver.org/matter/dynamic-profile/view/1915498","19-1915498")</f>
        <v>0</v>
      </c>
      <c r="B2" t="s">
        <v>1321</v>
      </c>
      <c r="C2" t="s">
        <v>1640</v>
      </c>
      <c r="D2" t="s">
        <v>253</v>
      </c>
      <c r="E2" t="s">
        <v>1643</v>
      </c>
      <c r="F2" t="s">
        <v>273</v>
      </c>
      <c r="G2" t="s">
        <v>275</v>
      </c>
      <c r="H2">
        <v>0</v>
      </c>
      <c r="K2" t="s">
        <v>1656</v>
      </c>
      <c r="P2" t="s">
        <v>492</v>
      </c>
      <c r="Q2" t="s">
        <v>501</v>
      </c>
      <c r="S2" t="s">
        <v>503</v>
      </c>
      <c r="T2" t="s">
        <v>507</v>
      </c>
      <c r="U2" t="s">
        <v>511</v>
      </c>
      <c r="V2">
        <v>11415</v>
      </c>
      <c r="W2" t="s">
        <v>1822</v>
      </c>
      <c r="X2" t="s">
        <v>1835</v>
      </c>
      <c r="Z2" t="s">
        <v>1845</v>
      </c>
      <c r="AA2" t="s">
        <v>2091</v>
      </c>
      <c r="AB2" t="s">
        <v>902</v>
      </c>
      <c r="AC2" t="s">
        <v>914</v>
      </c>
      <c r="AI2">
        <v>1</v>
      </c>
      <c r="AT2">
        <v>0</v>
      </c>
      <c r="AU2">
        <v>1</v>
      </c>
      <c r="AV2" t="s">
        <v>273</v>
      </c>
      <c r="AY2" t="s">
        <v>273</v>
      </c>
      <c r="BB2">
        <v>0</v>
      </c>
      <c r="BC2">
        <v>0</v>
      </c>
      <c r="BD2">
        <v>0</v>
      </c>
      <c r="BE2">
        <v>0</v>
      </c>
      <c r="BF2" t="s">
        <v>1063</v>
      </c>
      <c r="BG2" t="s">
        <v>2408</v>
      </c>
      <c r="BH2">
        <v>46</v>
      </c>
      <c r="BI2" t="s">
        <v>1247</v>
      </c>
      <c r="BK2">
        <v>811804</v>
      </c>
    </row>
    <row r="3" spans="1:64">
      <c r="A3" s="1">
        <f>HYPERLINK("https://lsnyc.legalserver.org/matter/dynamic-profile/view/1915439","19-1915439")</f>
        <v>0</v>
      </c>
      <c r="B3" t="s">
        <v>1322</v>
      </c>
      <c r="C3" t="s">
        <v>1640</v>
      </c>
      <c r="D3" t="s">
        <v>253</v>
      </c>
      <c r="E3" t="s">
        <v>1643</v>
      </c>
      <c r="F3" t="s">
        <v>273</v>
      </c>
      <c r="G3" t="s">
        <v>275</v>
      </c>
      <c r="H3">
        <v>92.25</v>
      </c>
      <c r="K3" t="s">
        <v>982</v>
      </c>
      <c r="P3" t="s">
        <v>492</v>
      </c>
      <c r="Q3" t="s">
        <v>502</v>
      </c>
      <c r="S3" t="s">
        <v>504</v>
      </c>
      <c r="T3" t="s">
        <v>507</v>
      </c>
      <c r="U3" t="s">
        <v>512</v>
      </c>
      <c r="V3">
        <v>11432</v>
      </c>
      <c r="X3" t="s">
        <v>549</v>
      </c>
      <c r="Z3" t="s">
        <v>1846</v>
      </c>
      <c r="AA3" t="s">
        <v>2092</v>
      </c>
      <c r="AB3" t="s">
        <v>902</v>
      </c>
      <c r="AC3" t="s">
        <v>911</v>
      </c>
      <c r="AI3">
        <v>1</v>
      </c>
      <c r="AT3">
        <v>0</v>
      </c>
      <c r="AU3">
        <v>2</v>
      </c>
      <c r="AV3" t="s">
        <v>273</v>
      </c>
      <c r="AY3" t="s">
        <v>273</v>
      </c>
      <c r="BB3">
        <v>0</v>
      </c>
      <c r="BC3">
        <v>0</v>
      </c>
      <c r="BD3">
        <v>0</v>
      </c>
      <c r="BE3">
        <v>0</v>
      </c>
      <c r="BF3" t="s">
        <v>1063</v>
      </c>
      <c r="BG3" t="s">
        <v>2409</v>
      </c>
      <c r="BH3">
        <v>19</v>
      </c>
      <c r="BI3" t="s">
        <v>1270</v>
      </c>
      <c r="BK3">
        <v>1910922</v>
      </c>
    </row>
    <row r="4" spans="1:64">
      <c r="A4" s="1">
        <f>HYPERLINK("https://lsnyc.legalserver.org/matter/dynamic-profile/view/1915441","19-1915441")</f>
        <v>0</v>
      </c>
      <c r="B4" t="s">
        <v>1323</v>
      </c>
      <c r="C4" t="s">
        <v>1640</v>
      </c>
      <c r="D4" t="s">
        <v>253</v>
      </c>
      <c r="E4" t="s">
        <v>1643</v>
      </c>
      <c r="F4" t="s">
        <v>273</v>
      </c>
      <c r="G4" t="s">
        <v>275</v>
      </c>
      <c r="H4">
        <v>68.26000000000001</v>
      </c>
      <c r="I4" t="s">
        <v>274</v>
      </c>
      <c r="K4" t="s">
        <v>982</v>
      </c>
      <c r="P4" t="s">
        <v>492</v>
      </c>
      <c r="Q4" t="s">
        <v>501</v>
      </c>
      <c r="S4" t="s">
        <v>503</v>
      </c>
      <c r="T4" t="s">
        <v>508</v>
      </c>
      <c r="U4" t="s">
        <v>511</v>
      </c>
      <c r="V4">
        <v>11354</v>
      </c>
      <c r="W4" t="s">
        <v>518</v>
      </c>
      <c r="X4" t="s">
        <v>548</v>
      </c>
      <c r="Z4" t="s">
        <v>1847</v>
      </c>
      <c r="AA4" t="s">
        <v>2093</v>
      </c>
      <c r="AB4" t="s">
        <v>902</v>
      </c>
      <c r="AC4" t="s">
        <v>905</v>
      </c>
      <c r="AI4">
        <v>3</v>
      </c>
      <c r="AK4" t="s">
        <v>936</v>
      </c>
      <c r="AL4" t="s">
        <v>274</v>
      </c>
      <c r="AS4" t="s">
        <v>1061</v>
      </c>
      <c r="AT4">
        <v>2</v>
      </c>
      <c r="AU4">
        <v>1</v>
      </c>
      <c r="AV4" t="s">
        <v>273</v>
      </c>
      <c r="AY4" t="s">
        <v>273</v>
      </c>
      <c r="BB4">
        <v>0</v>
      </c>
      <c r="BC4">
        <v>0</v>
      </c>
      <c r="BD4">
        <v>0</v>
      </c>
      <c r="BE4">
        <v>0</v>
      </c>
      <c r="BF4" t="s">
        <v>1063</v>
      </c>
      <c r="BG4" t="s">
        <v>2410</v>
      </c>
      <c r="BH4">
        <v>27</v>
      </c>
      <c r="BI4" t="s">
        <v>2719</v>
      </c>
      <c r="BK4">
        <v>1916105</v>
      </c>
    </row>
    <row r="5" spans="1:64">
      <c r="A5" s="1">
        <f>HYPERLINK("https://lsnyc.legalserver.org/matter/dynamic-profile/view/1915328","19-1915328")</f>
        <v>0</v>
      </c>
      <c r="B5" t="s">
        <v>1324</v>
      </c>
      <c r="C5" t="s">
        <v>1640</v>
      </c>
      <c r="D5" t="s">
        <v>253</v>
      </c>
      <c r="E5" t="s">
        <v>1643</v>
      </c>
      <c r="F5" t="s">
        <v>273</v>
      </c>
      <c r="G5" t="s">
        <v>275</v>
      </c>
      <c r="H5">
        <v>113.54</v>
      </c>
      <c r="I5" t="s">
        <v>274</v>
      </c>
      <c r="K5" t="s">
        <v>1657</v>
      </c>
      <c r="P5" t="s">
        <v>492</v>
      </c>
      <c r="Q5" t="s">
        <v>502</v>
      </c>
      <c r="S5" t="s">
        <v>503</v>
      </c>
      <c r="T5" t="s">
        <v>507</v>
      </c>
      <c r="U5" t="s">
        <v>511</v>
      </c>
      <c r="V5">
        <v>11373</v>
      </c>
      <c r="W5" t="s">
        <v>1823</v>
      </c>
      <c r="X5" t="s">
        <v>549</v>
      </c>
      <c r="Z5" t="s">
        <v>1848</v>
      </c>
      <c r="AA5" t="s">
        <v>2094</v>
      </c>
      <c r="AB5" t="s">
        <v>902</v>
      </c>
      <c r="AC5" t="s">
        <v>908</v>
      </c>
      <c r="AI5">
        <v>1.75</v>
      </c>
      <c r="AL5" t="s">
        <v>274</v>
      </c>
      <c r="AT5">
        <v>0</v>
      </c>
      <c r="AU5">
        <v>2</v>
      </c>
      <c r="AV5" t="s">
        <v>273</v>
      </c>
      <c r="AY5" t="s">
        <v>273</v>
      </c>
      <c r="BB5">
        <v>0</v>
      </c>
      <c r="BC5">
        <v>0</v>
      </c>
      <c r="BD5">
        <v>0</v>
      </c>
      <c r="BE5">
        <v>0</v>
      </c>
      <c r="BF5" t="s">
        <v>1063</v>
      </c>
      <c r="BG5" t="s">
        <v>2411</v>
      </c>
      <c r="BH5">
        <v>20</v>
      </c>
      <c r="BI5" t="s">
        <v>2720</v>
      </c>
      <c r="BK5">
        <v>1910059</v>
      </c>
    </row>
    <row r="6" spans="1:64">
      <c r="A6" s="1">
        <f>HYPERLINK("https://lsnyc.legalserver.org/matter/dynamic-profile/view/1915336","19-1915336")</f>
        <v>0</v>
      </c>
      <c r="B6" t="s">
        <v>1325</v>
      </c>
      <c r="C6" t="s">
        <v>1640</v>
      </c>
      <c r="D6" t="s">
        <v>253</v>
      </c>
      <c r="E6" t="s">
        <v>1643</v>
      </c>
      <c r="F6" t="s">
        <v>273</v>
      </c>
      <c r="G6" t="s">
        <v>275</v>
      </c>
      <c r="H6">
        <v>112.52</v>
      </c>
      <c r="I6" t="s">
        <v>274</v>
      </c>
      <c r="K6" t="s">
        <v>1657</v>
      </c>
      <c r="P6" t="s">
        <v>492</v>
      </c>
      <c r="Q6" t="s">
        <v>502</v>
      </c>
      <c r="S6" t="s">
        <v>503</v>
      </c>
      <c r="T6" t="s">
        <v>507</v>
      </c>
      <c r="U6" t="s">
        <v>511</v>
      </c>
      <c r="V6">
        <v>11434</v>
      </c>
      <c r="W6" t="s">
        <v>520</v>
      </c>
      <c r="X6" t="s">
        <v>549</v>
      </c>
      <c r="Z6" t="s">
        <v>1849</v>
      </c>
      <c r="AA6" t="s">
        <v>2095</v>
      </c>
      <c r="AB6" t="s">
        <v>902</v>
      </c>
      <c r="AC6" t="s">
        <v>905</v>
      </c>
      <c r="AI6">
        <v>1</v>
      </c>
      <c r="AK6" t="s">
        <v>939</v>
      </c>
      <c r="AL6" t="s">
        <v>274</v>
      </c>
      <c r="AT6">
        <v>2</v>
      </c>
      <c r="AU6">
        <v>1</v>
      </c>
      <c r="AV6" t="s">
        <v>273</v>
      </c>
      <c r="AY6" t="s">
        <v>273</v>
      </c>
      <c r="BB6">
        <v>0</v>
      </c>
      <c r="BC6">
        <v>0</v>
      </c>
      <c r="BD6">
        <v>0</v>
      </c>
      <c r="BE6">
        <v>0</v>
      </c>
      <c r="BF6" t="s">
        <v>1063</v>
      </c>
      <c r="BG6" t="s">
        <v>2412</v>
      </c>
      <c r="BH6">
        <v>7</v>
      </c>
      <c r="BI6" t="s">
        <v>1259</v>
      </c>
      <c r="BK6">
        <v>1865728</v>
      </c>
    </row>
    <row r="7" spans="1:64">
      <c r="A7" s="1">
        <f>HYPERLINK("https://lsnyc.legalserver.org/matter/dynamic-profile/view/1914956","19-1914956")</f>
        <v>0</v>
      </c>
      <c r="B7" t="s">
        <v>1326</v>
      </c>
      <c r="C7" t="s">
        <v>1640</v>
      </c>
      <c r="D7" t="s">
        <v>253</v>
      </c>
      <c r="E7" t="s">
        <v>1644</v>
      </c>
      <c r="F7" t="s">
        <v>273</v>
      </c>
      <c r="G7" t="s">
        <v>275</v>
      </c>
      <c r="H7">
        <v>67.51000000000001</v>
      </c>
      <c r="K7" t="s">
        <v>1658</v>
      </c>
      <c r="P7" t="s">
        <v>492</v>
      </c>
      <c r="Q7" t="s">
        <v>501</v>
      </c>
      <c r="S7" t="s">
        <v>503</v>
      </c>
      <c r="T7" t="s">
        <v>508</v>
      </c>
      <c r="U7" t="s">
        <v>511</v>
      </c>
      <c r="V7">
        <v>11418</v>
      </c>
      <c r="W7" t="s">
        <v>1824</v>
      </c>
      <c r="X7" t="s">
        <v>548</v>
      </c>
      <c r="Z7" t="s">
        <v>1850</v>
      </c>
      <c r="AA7" t="s">
        <v>2096</v>
      </c>
      <c r="AB7" t="s">
        <v>902</v>
      </c>
      <c r="AC7" t="s">
        <v>905</v>
      </c>
      <c r="AI7">
        <v>4</v>
      </c>
      <c r="AJ7" t="s">
        <v>558</v>
      </c>
      <c r="AK7" t="s">
        <v>947</v>
      </c>
      <c r="AT7">
        <v>2</v>
      </c>
      <c r="AU7">
        <v>1</v>
      </c>
      <c r="AV7" t="s">
        <v>273</v>
      </c>
      <c r="AY7" t="s">
        <v>273</v>
      </c>
      <c r="BB7">
        <v>0</v>
      </c>
      <c r="BC7">
        <v>0</v>
      </c>
      <c r="BD7">
        <v>0</v>
      </c>
      <c r="BE7">
        <v>0</v>
      </c>
      <c r="BF7" t="s">
        <v>1063</v>
      </c>
      <c r="BG7" t="s">
        <v>2413</v>
      </c>
      <c r="BH7">
        <v>36</v>
      </c>
      <c r="BI7" t="s">
        <v>1253</v>
      </c>
      <c r="BK7">
        <v>801290</v>
      </c>
    </row>
    <row r="8" spans="1:64">
      <c r="A8" s="1">
        <f>HYPERLINK("https://lsnyc.legalserver.org/matter/dynamic-profile/view/1914324","19-1914324")</f>
        <v>0</v>
      </c>
      <c r="B8" t="s">
        <v>1327</v>
      </c>
      <c r="C8" t="s">
        <v>1640</v>
      </c>
      <c r="D8" t="s">
        <v>253</v>
      </c>
      <c r="E8" t="s">
        <v>1645</v>
      </c>
      <c r="F8" t="s">
        <v>273</v>
      </c>
      <c r="G8" t="s">
        <v>275</v>
      </c>
      <c r="H8">
        <v>120.27</v>
      </c>
      <c r="K8" t="s">
        <v>1659</v>
      </c>
      <c r="O8" t="s">
        <v>275</v>
      </c>
      <c r="P8" t="s">
        <v>492</v>
      </c>
      <c r="Q8" t="s">
        <v>501</v>
      </c>
      <c r="S8" t="s">
        <v>503</v>
      </c>
      <c r="T8" t="s">
        <v>508</v>
      </c>
      <c r="U8" t="s">
        <v>511</v>
      </c>
      <c r="V8">
        <v>11356</v>
      </c>
      <c r="W8" t="s">
        <v>518</v>
      </c>
      <c r="X8" t="s">
        <v>548</v>
      </c>
      <c r="Z8" t="s">
        <v>1851</v>
      </c>
      <c r="AA8" t="s">
        <v>2097</v>
      </c>
      <c r="AB8" t="s">
        <v>902</v>
      </c>
      <c r="AC8" t="s">
        <v>905</v>
      </c>
      <c r="AI8">
        <v>11.8</v>
      </c>
      <c r="AJ8" t="s">
        <v>558</v>
      </c>
      <c r="AK8" t="s">
        <v>936</v>
      </c>
      <c r="AT8">
        <v>4</v>
      </c>
      <c r="AU8">
        <v>2</v>
      </c>
      <c r="AV8" t="s">
        <v>273</v>
      </c>
      <c r="AY8" t="s">
        <v>273</v>
      </c>
      <c r="BB8">
        <v>0</v>
      </c>
      <c r="BC8">
        <v>0</v>
      </c>
      <c r="BD8">
        <v>0</v>
      </c>
      <c r="BE8">
        <v>0</v>
      </c>
      <c r="BF8" t="s">
        <v>1063</v>
      </c>
      <c r="BG8" t="s">
        <v>2414</v>
      </c>
      <c r="BH8">
        <v>28</v>
      </c>
      <c r="BI8" t="s">
        <v>2721</v>
      </c>
      <c r="BK8">
        <v>1914988</v>
      </c>
    </row>
    <row r="9" spans="1:64">
      <c r="A9" s="1">
        <f>HYPERLINK("https://lsnyc.legalserver.org/matter/dynamic-profile/view/1914576","19-1914576")</f>
        <v>0</v>
      </c>
      <c r="B9" t="s">
        <v>1328</v>
      </c>
      <c r="C9" t="s">
        <v>1640</v>
      </c>
      <c r="D9" t="s">
        <v>253</v>
      </c>
      <c r="E9" t="s">
        <v>1646</v>
      </c>
      <c r="F9" t="s">
        <v>273</v>
      </c>
      <c r="G9" t="s">
        <v>275</v>
      </c>
      <c r="H9">
        <v>83.77</v>
      </c>
      <c r="K9" t="s">
        <v>1659</v>
      </c>
      <c r="P9" t="s">
        <v>492</v>
      </c>
      <c r="Q9" t="s">
        <v>501</v>
      </c>
      <c r="S9" t="s">
        <v>503</v>
      </c>
      <c r="T9" t="s">
        <v>508</v>
      </c>
      <c r="U9" t="s">
        <v>511</v>
      </c>
      <c r="V9">
        <v>11423</v>
      </c>
      <c r="W9" t="s">
        <v>525</v>
      </c>
      <c r="X9" t="s">
        <v>549</v>
      </c>
      <c r="Z9" t="s">
        <v>1852</v>
      </c>
      <c r="AA9" t="s">
        <v>2098</v>
      </c>
      <c r="AB9" t="s">
        <v>902</v>
      </c>
      <c r="AC9" t="s">
        <v>904</v>
      </c>
      <c r="AF9" t="s">
        <v>923</v>
      </c>
      <c r="AI9">
        <v>0.25</v>
      </c>
      <c r="AJ9" t="s">
        <v>558</v>
      </c>
      <c r="AK9" t="s">
        <v>937</v>
      </c>
      <c r="AT9">
        <v>2</v>
      </c>
      <c r="AU9">
        <v>1</v>
      </c>
      <c r="AV9" t="s">
        <v>273</v>
      </c>
      <c r="AY9" t="s">
        <v>273</v>
      </c>
      <c r="BB9">
        <v>0</v>
      </c>
      <c r="BC9">
        <v>0</v>
      </c>
      <c r="BD9">
        <v>0</v>
      </c>
      <c r="BE9">
        <v>0</v>
      </c>
      <c r="BF9" t="s">
        <v>1063</v>
      </c>
      <c r="BG9" t="s">
        <v>2415</v>
      </c>
      <c r="BH9">
        <v>66</v>
      </c>
      <c r="BI9" t="s">
        <v>2722</v>
      </c>
      <c r="BK9">
        <v>1915240</v>
      </c>
    </row>
    <row r="10" spans="1:64">
      <c r="A10" s="1">
        <f>HYPERLINK("https://lsnyc.legalserver.org/matter/dynamic-profile/view/1914891","19-1914891")</f>
        <v>0</v>
      </c>
      <c r="B10" t="s">
        <v>1329</v>
      </c>
      <c r="C10" t="s">
        <v>1640</v>
      </c>
      <c r="D10" t="s">
        <v>253</v>
      </c>
      <c r="E10" t="s">
        <v>1647</v>
      </c>
      <c r="F10" t="s">
        <v>273</v>
      </c>
      <c r="G10" t="s">
        <v>275</v>
      </c>
      <c r="H10">
        <v>10.06</v>
      </c>
      <c r="K10" t="s">
        <v>1659</v>
      </c>
      <c r="P10" t="s">
        <v>492</v>
      </c>
      <c r="Q10" t="s">
        <v>501</v>
      </c>
      <c r="S10" t="s">
        <v>503</v>
      </c>
      <c r="T10" t="s">
        <v>508</v>
      </c>
      <c r="U10" t="s">
        <v>511</v>
      </c>
      <c r="V10">
        <v>11420</v>
      </c>
      <c r="W10" t="s">
        <v>518</v>
      </c>
      <c r="X10" t="s">
        <v>548</v>
      </c>
      <c r="Z10" t="s">
        <v>1853</v>
      </c>
      <c r="AA10" t="s">
        <v>2099</v>
      </c>
      <c r="AB10" t="s">
        <v>902</v>
      </c>
      <c r="AC10" t="s">
        <v>905</v>
      </c>
      <c r="AI10">
        <v>6</v>
      </c>
      <c r="AJ10" t="s">
        <v>558</v>
      </c>
      <c r="AK10" t="s">
        <v>934</v>
      </c>
      <c r="AS10" t="s">
        <v>1061</v>
      </c>
      <c r="AT10">
        <v>1</v>
      </c>
      <c r="AU10">
        <v>5</v>
      </c>
      <c r="AV10" t="s">
        <v>273</v>
      </c>
      <c r="AY10" t="s">
        <v>273</v>
      </c>
      <c r="BB10">
        <v>0</v>
      </c>
      <c r="BC10">
        <v>0</v>
      </c>
      <c r="BD10">
        <v>0</v>
      </c>
      <c r="BE10">
        <v>0</v>
      </c>
      <c r="BF10" t="s">
        <v>1063</v>
      </c>
      <c r="BG10" t="s">
        <v>2416</v>
      </c>
      <c r="BH10">
        <v>31</v>
      </c>
      <c r="BI10" t="s">
        <v>2723</v>
      </c>
      <c r="BK10">
        <v>1915555</v>
      </c>
    </row>
    <row r="11" spans="1:64">
      <c r="A11" s="1">
        <f>HYPERLINK("https://lsnyc.legalserver.org/matter/dynamic-profile/view/1914439","19-1914439")</f>
        <v>0</v>
      </c>
      <c r="B11" t="s">
        <v>1330</v>
      </c>
      <c r="C11" t="s">
        <v>1640</v>
      </c>
      <c r="D11" t="s">
        <v>253</v>
      </c>
      <c r="E11" t="s">
        <v>1645</v>
      </c>
      <c r="F11" t="s">
        <v>273</v>
      </c>
      <c r="G11" t="s">
        <v>275</v>
      </c>
      <c r="H11">
        <v>53.22</v>
      </c>
      <c r="K11" t="s">
        <v>1660</v>
      </c>
      <c r="O11" t="s">
        <v>275</v>
      </c>
      <c r="P11" t="s">
        <v>492</v>
      </c>
      <c r="Q11" t="s">
        <v>502</v>
      </c>
      <c r="S11" t="s">
        <v>503</v>
      </c>
      <c r="T11" t="s">
        <v>507</v>
      </c>
      <c r="U11" t="s">
        <v>511</v>
      </c>
      <c r="V11">
        <v>11412</v>
      </c>
      <c r="W11" t="s">
        <v>524</v>
      </c>
      <c r="X11" t="s">
        <v>549</v>
      </c>
      <c r="Z11" t="s">
        <v>1854</v>
      </c>
      <c r="AA11" t="s">
        <v>2100</v>
      </c>
      <c r="AB11" t="s">
        <v>902</v>
      </c>
      <c r="AC11" t="s">
        <v>905</v>
      </c>
      <c r="AI11">
        <v>1</v>
      </c>
      <c r="AK11" t="s">
        <v>939</v>
      </c>
      <c r="AT11">
        <v>1</v>
      </c>
      <c r="AU11">
        <v>1</v>
      </c>
      <c r="AV11" t="s">
        <v>273</v>
      </c>
      <c r="AY11" t="s">
        <v>273</v>
      </c>
      <c r="BB11">
        <v>0</v>
      </c>
      <c r="BC11">
        <v>0</v>
      </c>
      <c r="BD11">
        <v>0</v>
      </c>
      <c r="BE11">
        <v>0</v>
      </c>
      <c r="BF11" t="s">
        <v>1063</v>
      </c>
      <c r="BG11" t="s">
        <v>2417</v>
      </c>
      <c r="BH11">
        <v>11</v>
      </c>
      <c r="BI11" t="s">
        <v>2724</v>
      </c>
      <c r="BK11">
        <v>1899003</v>
      </c>
    </row>
    <row r="12" spans="1:64">
      <c r="A12" s="1">
        <f>HYPERLINK("https://lsnyc.legalserver.org/matter/dynamic-profile/view/1913964","19-1913964")</f>
        <v>0</v>
      </c>
      <c r="B12" t="s">
        <v>1331</v>
      </c>
      <c r="C12" t="s">
        <v>1640</v>
      </c>
      <c r="D12" t="s">
        <v>253</v>
      </c>
      <c r="E12" t="s">
        <v>1645</v>
      </c>
      <c r="F12" t="s">
        <v>273</v>
      </c>
      <c r="G12" t="s">
        <v>275</v>
      </c>
      <c r="H12">
        <v>0</v>
      </c>
      <c r="K12" t="s">
        <v>456</v>
      </c>
      <c r="P12" t="s">
        <v>492</v>
      </c>
      <c r="Q12" t="s">
        <v>501</v>
      </c>
      <c r="S12" t="s">
        <v>503</v>
      </c>
      <c r="T12" t="s">
        <v>508</v>
      </c>
      <c r="U12" t="s">
        <v>511</v>
      </c>
      <c r="V12">
        <v>10032</v>
      </c>
      <c r="W12" t="s">
        <v>520</v>
      </c>
      <c r="X12" t="s">
        <v>549</v>
      </c>
      <c r="Z12" t="s">
        <v>1855</v>
      </c>
      <c r="AA12" t="s">
        <v>2101</v>
      </c>
      <c r="AB12" t="s">
        <v>902</v>
      </c>
      <c r="AC12" t="s">
        <v>905</v>
      </c>
      <c r="AI12">
        <v>1.15</v>
      </c>
      <c r="AK12" t="s">
        <v>2362</v>
      </c>
      <c r="AT12">
        <v>0</v>
      </c>
      <c r="AU12">
        <v>1</v>
      </c>
      <c r="AV12" t="s">
        <v>273</v>
      </c>
      <c r="AY12" t="s">
        <v>273</v>
      </c>
      <c r="BB12">
        <v>0</v>
      </c>
      <c r="BC12">
        <v>0</v>
      </c>
      <c r="BD12">
        <v>0</v>
      </c>
      <c r="BE12">
        <v>0</v>
      </c>
      <c r="BF12" t="s">
        <v>1063</v>
      </c>
      <c r="BG12" t="s">
        <v>2418</v>
      </c>
      <c r="BH12">
        <v>26</v>
      </c>
      <c r="BI12" t="s">
        <v>1247</v>
      </c>
      <c r="BK12">
        <v>1899844</v>
      </c>
    </row>
    <row r="13" spans="1:64">
      <c r="A13" s="1">
        <f>HYPERLINK("https://lsnyc.legalserver.org/matter/dynamic-profile/view/1913817","19-1913817")</f>
        <v>0</v>
      </c>
      <c r="B13" t="s">
        <v>1332</v>
      </c>
      <c r="C13" t="s">
        <v>1640</v>
      </c>
      <c r="D13" t="s">
        <v>253</v>
      </c>
      <c r="E13" t="s">
        <v>1644</v>
      </c>
      <c r="F13" t="s">
        <v>273</v>
      </c>
      <c r="G13" t="s">
        <v>275</v>
      </c>
      <c r="H13">
        <v>112.52</v>
      </c>
      <c r="K13" t="s">
        <v>1661</v>
      </c>
      <c r="P13" t="s">
        <v>492</v>
      </c>
      <c r="Q13" t="s">
        <v>501</v>
      </c>
      <c r="S13" t="s">
        <v>503</v>
      </c>
      <c r="T13" t="s">
        <v>507</v>
      </c>
      <c r="U13" t="s">
        <v>511</v>
      </c>
      <c r="V13">
        <v>11106</v>
      </c>
      <c r="W13" t="s">
        <v>1825</v>
      </c>
      <c r="X13" t="s">
        <v>549</v>
      </c>
      <c r="Z13" t="s">
        <v>1856</v>
      </c>
      <c r="AA13" t="s">
        <v>870</v>
      </c>
      <c r="AB13" t="s">
        <v>902</v>
      </c>
      <c r="AC13" t="s">
        <v>904</v>
      </c>
      <c r="AI13">
        <v>6.5</v>
      </c>
      <c r="AJ13" t="s">
        <v>558</v>
      </c>
      <c r="AK13" t="s">
        <v>943</v>
      </c>
      <c r="AS13" t="s">
        <v>2405</v>
      </c>
      <c r="AT13">
        <v>1</v>
      </c>
      <c r="AU13">
        <v>2</v>
      </c>
      <c r="AV13" t="s">
        <v>273</v>
      </c>
      <c r="AY13" t="s">
        <v>273</v>
      </c>
      <c r="BB13">
        <v>0</v>
      </c>
      <c r="BC13">
        <v>0</v>
      </c>
      <c r="BD13">
        <v>0</v>
      </c>
      <c r="BE13">
        <v>0</v>
      </c>
      <c r="BF13" t="s">
        <v>1063</v>
      </c>
      <c r="BG13" t="s">
        <v>2419</v>
      </c>
      <c r="BH13">
        <v>31</v>
      </c>
      <c r="BI13" t="s">
        <v>1259</v>
      </c>
      <c r="BK13">
        <v>1914481</v>
      </c>
    </row>
    <row r="14" spans="1:64">
      <c r="A14" s="1">
        <f>HYPERLINK("https://lsnyc.legalserver.org/matter/dynamic-profile/view/1913823","19-1913823")</f>
        <v>0</v>
      </c>
      <c r="B14" t="s">
        <v>1333</v>
      </c>
      <c r="C14" t="s">
        <v>1640</v>
      </c>
      <c r="D14" t="s">
        <v>253</v>
      </c>
      <c r="E14" t="s">
        <v>1644</v>
      </c>
      <c r="F14" t="s">
        <v>273</v>
      </c>
      <c r="G14" t="s">
        <v>275</v>
      </c>
      <c r="H14">
        <v>4.66</v>
      </c>
      <c r="K14" t="s">
        <v>1661</v>
      </c>
      <c r="P14" t="s">
        <v>492</v>
      </c>
      <c r="Q14" t="s">
        <v>501</v>
      </c>
      <c r="S14" t="s">
        <v>503</v>
      </c>
      <c r="T14" t="s">
        <v>508</v>
      </c>
      <c r="U14" t="s">
        <v>511</v>
      </c>
      <c r="V14">
        <v>11435</v>
      </c>
      <c r="W14" t="s">
        <v>520</v>
      </c>
      <c r="X14" t="s">
        <v>548</v>
      </c>
      <c r="Z14" t="s">
        <v>601</v>
      </c>
      <c r="AA14" t="s">
        <v>2102</v>
      </c>
      <c r="AB14" t="s">
        <v>902</v>
      </c>
      <c r="AC14" t="s">
        <v>905</v>
      </c>
      <c r="AI14">
        <v>3.5</v>
      </c>
      <c r="AT14">
        <v>3</v>
      </c>
      <c r="AU14">
        <v>1</v>
      </c>
      <c r="AV14" t="s">
        <v>273</v>
      </c>
      <c r="AY14" t="s">
        <v>273</v>
      </c>
      <c r="BB14">
        <v>0</v>
      </c>
      <c r="BC14">
        <v>0</v>
      </c>
      <c r="BD14">
        <v>0</v>
      </c>
      <c r="BE14">
        <v>0</v>
      </c>
      <c r="BF14" t="s">
        <v>1063</v>
      </c>
      <c r="BG14" t="s">
        <v>2420</v>
      </c>
      <c r="BH14">
        <v>54</v>
      </c>
      <c r="BI14" t="s">
        <v>1295</v>
      </c>
      <c r="BK14">
        <v>259819</v>
      </c>
    </row>
    <row r="15" spans="1:64">
      <c r="A15" s="1">
        <f>HYPERLINK("https://lsnyc.legalserver.org/matter/dynamic-profile/view/1913731","19-1913731")</f>
        <v>0</v>
      </c>
      <c r="B15" t="s">
        <v>1334</v>
      </c>
      <c r="C15" t="s">
        <v>1640</v>
      </c>
      <c r="D15" t="s">
        <v>253</v>
      </c>
      <c r="E15" t="s">
        <v>1648</v>
      </c>
      <c r="F15" t="s">
        <v>273</v>
      </c>
      <c r="G15" t="s">
        <v>275</v>
      </c>
      <c r="H15">
        <v>0</v>
      </c>
      <c r="K15" t="s">
        <v>1662</v>
      </c>
      <c r="Q15" t="s">
        <v>501</v>
      </c>
      <c r="S15" t="s">
        <v>503</v>
      </c>
      <c r="T15" t="s">
        <v>509</v>
      </c>
      <c r="U15" t="s">
        <v>511</v>
      </c>
      <c r="V15">
        <v>11428</v>
      </c>
      <c r="W15" t="s">
        <v>520</v>
      </c>
      <c r="X15" t="s">
        <v>548</v>
      </c>
      <c r="Z15" t="s">
        <v>613</v>
      </c>
      <c r="AA15" t="s">
        <v>2103</v>
      </c>
      <c r="AB15" t="s">
        <v>902</v>
      </c>
      <c r="AC15" t="s">
        <v>910</v>
      </c>
      <c r="AI15">
        <v>0.5</v>
      </c>
      <c r="AK15" t="s">
        <v>934</v>
      </c>
      <c r="AT15">
        <v>0</v>
      </c>
      <c r="AU15">
        <v>1</v>
      </c>
      <c r="AV15" t="s">
        <v>273</v>
      </c>
      <c r="AY15" t="s">
        <v>273</v>
      </c>
      <c r="BB15">
        <v>0</v>
      </c>
      <c r="BC15">
        <v>0</v>
      </c>
      <c r="BD15">
        <v>0</v>
      </c>
      <c r="BE15">
        <v>0</v>
      </c>
      <c r="BF15" t="s">
        <v>1063</v>
      </c>
      <c r="BG15" t="s">
        <v>2421</v>
      </c>
      <c r="BH15">
        <v>37</v>
      </c>
      <c r="BI15" t="s">
        <v>1247</v>
      </c>
      <c r="BK15">
        <v>1914180</v>
      </c>
    </row>
    <row r="16" spans="1:64">
      <c r="A16" s="1">
        <f>HYPERLINK("https://lsnyc.legalserver.org/matter/dynamic-profile/view/1913523","19-1913523")</f>
        <v>0</v>
      </c>
      <c r="B16" t="s">
        <v>1335</v>
      </c>
      <c r="C16" t="s">
        <v>1640</v>
      </c>
      <c r="D16" t="s">
        <v>253</v>
      </c>
      <c r="E16" t="s">
        <v>1649</v>
      </c>
      <c r="F16" t="s">
        <v>273</v>
      </c>
      <c r="G16" t="s">
        <v>275</v>
      </c>
      <c r="H16">
        <v>0</v>
      </c>
      <c r="K16" t="s">
        <v>1663</v>
      </c>
      <c r="P16" t="s">
        <v>492</v>
      </c>
      <c r="Q16" t="s">
        <v>501</v>
      </c>
      <c r="S16" t="s">
        <v>503</v>
      </c>
      <c r="T16" t="s">
        <v>507</v>
      </c>
      <c r="U16" t="s">
        <v>511</v>
      </c>
      <c r="V16">
        <v>11373</v>
      </c>
      <c r="W16" t="s">
        <v>518</v>
      </c>
      <c r="X16" t="s">
        <v>548</v>
      </c>
      <c r="Z16" t="s">
        <v>1857</v>
      </c>
      <c r="AA16" t="s">
        <v>2104</v>
      </c>
      <c r="AB16" t="s">
        <v>902</v>
      </c>
      <c r="AC16" t="s">
        <v>905</v>
      </c>
      <c r="AI16">
        <v>0</v>
      </c>
      <c r="AK16" t="s">
        <v>947</v>
      </c>
      <c r="AT16">
        <v>0</v>
      </c>
      <c r="AU16">
        <v>1</v>
      </c>
      <c r="AV16" t="s">
        <v>273</v>
      </c>
      <c r="AY16" t="s">
        <v>273</v>
      </c>
      <c r="BB16">
        <v>0</v>
      </c>
      <c r="BC16">
        <v>0</v>
      </c>
      <c r="BD16">
        <v>0</v>
      </c>
      <c r="BE16">
        <v>0</v>
      </c>
      <c r="BF16" t="s">
        <v>1063</v>
      </c>
      <c r="BG16" t="s">
        <v>2422</v>
      </c>
      <c r="BH16">
        <v>57</v>
      </c>
      <c r="BI16" t="s">
        <v>1247</v>
      </c>
      <c r="BK16">
        <v>1891505</v>
      </c>
    </row>
    <row r="17" spans="1:64">
      <c r="A17" s="1">
        <f>HYPERLINK("https://lsnyc.legalserver.org/matter/dynamic-profile/view/1913656","19-1913656")</f>
        <v>0</v>
      </c>
      <c r="B17" t="s">
        <v>1336</v>
      </c>
      <c r="C17" t="s">
        <v>1640</v>
      </c>
      <c r="D17" t="s">
        <v>253</v>
      </c>
      <c r="E17" t="s">
        <v>1643</v>
      </c>
      <c r="F17" t="s">
        <v>273</v>
      </c>
      <c r="G17" t="s">
        <v>275</v>
      </c>
      <c r="H17">
        <v>138.38</v>
      </c>
      <c r="K17" t="s">
        <v>1663</v>
      </c>
      <c r="P17" t="s">
        <v>492</v>
      </c>
      <c r="Q17" t="s">
        <v>501</v>
      </c>
      <c r="S17" t="s">
        <v>503</v>
      </c>
      <c r="T17" t="s">
        <v>508</v>
      </c>
      <c r="U17" t="s">
        <v>511</v>
      </c>
      <c r="V17">
        <v>11413</v>
      </c>
      <c r="W17" t="s">
        <v>1825</v>
      </c>
      <c r="X17" t="s">
        <v>549</v>
      </c>
      <c r="Z17" t="s">
        <v>1858</v>
      </c>
      <c r="AA17" t="s">
        <v>2105</v>
      </c>
      <c r="AB17" t="s">
        <v>902</v>
      </c>
      <c r="AC17" t="s">
        <v>909</v>
      </c>
      <c r="AI17">
        <v>6.67</v>
      </c>
      <c r="AK17" t="s">
        <v>939</v>
      </c>
      <c r="AT17">
        <v>0</v>
      </c>
      <c r="AU17">
        <v>2</v>
      </c>
      <c r="AV17" t="s">
        <v>273</v>
      </c>
      <c r="AY17" t="s">
        <v>273</v>
      </c>
      <c r="BB17">
        <v>0</v>
      </c>
      <c r="BC17">
        <v>0</v>
      </c>
      <c r="BD17">
        <v>0</v>
      </c>
      <c r="BE17">
        <v>0</v>
      </c>
      <c r="BF17" t="s">
        <v>1063</v>
      </c>
      <c r="BG17" t="s">
        <v>2423</v>
      </c>
      <c r="BH17">
        <v>23</v>
      </c>
      <c r="BI17" t="s">
        <v>1248</v>
      </c>
      <c r="BK17">
        <v>753977</v>
      </c>
    </row>
    <row r="18" spans="1:64">
      <c r="A18" s="1">
        <f>HYPERLINK("https://lsnyc.legalserver.org/matter/dynamic-profile/view/1913428","19-1913428")</f>
        <v>0</v>
      </c>
      <c r="B18" t="s">
        <v>1337</v>
      </c>
      <c r="C18" t="s">
        <v>1640</v>
      </c>
      <c r="D18" t="s">
        <v>253</v>
      </c>
      <c r="E18" t="s">
        <v>1643</v>
      </c>
      <c r="F18" t="s">
        <v>273</v>
      </c>
      <c r="G18" t="s">
        <v>275</v>
      </c>
      <c r="H18">
        <v>195.03</v>
      </c>
      <c r="I18" t="s">
        <v>274</v>
      </c>
      <c r="K18" t="s">
        <v>1664</v>
      </c>
      <c r="P18" t="s">
        <v>492</v>
      </c>
      <c r="Q18" t="s">
        <v>501</v>
      </c>
      <c r="S18" t="s">
        <v>506</v>
      </c>
      <c r="T18" t="s">
        <v>508</v>
      </c>
      <c r="U18" t="s">
        <v>1820</v>
      </c>
      <c r="V18">
        <v>11421</v>
      </c>
      <c r="W18" t="s">
        <v>1826</v>
      </c>
      <c r="X18" t="s">
        <v>548</v>
      </c>
      <c r="Z18" t="s">
        <v>1859</v>
      </c>
      <c r="AA18" t="s">
        <v>828</v>
      </c>
      <c r="AB18" t="s">
        <v>902</v>
      </c>
      <c r="AC18" t="s">
        <v>905</v>
      </c>
      <c r="AI18">
        <v>7.25</v>
      </c>
      <c r="AK18" t="s">
        <v>933</v>
      </c>
      <c r="AL18" t="s">
        <v>274</v>
      </c>
      <c r="AT18">
        <v>1</v>
      </c>
      <c r="AU18">
        <v>2</v>
      </c>
      <c r="AV18" t="s">
        <v>273</v>
      </c>
      <c r="AY18" t="s">
        <v>273</v>
      </c>
      <c r="BB18">
        <v>0</v>
      </c>
      <c r="BC18">
        <v>0</v>
      </c>
      <c r="BD18">
        <v>0</v>
      </c>
      <c r="BE18">
        <v>0</v>
      </c>
      <c r="BF18" t="s">
        <v>1063</v>
      </c>
      <c r="BG18" t="s">
        <v>2424</v>
      </c>
      <c r="BH18">
        <v>20</v>
      </c>
      <c r="BI18" t="s">
        <v>1248</v>
      </c>
      <c r="BK18">
        <v>1913854</v>
      </c>
    </row>
    <row r="19" spans="1:64">
      <c r="A19" s="1">
        <f>HYPERLINK("https://lsnyc.legalserver.org/matter/dynamic-profile/view/1913278","19-1913278")</f>
        <v>0</v>
      </c>
      <c r="B19" t="s">
        <v>1322</v>
      </c>
      <c r="C19" t="s">
        <v>1640</v>
      </c>
      <c r="D19" t="s">
        <v>253</v>
      </c>
      <c r="E19" t="s">
        <v>1643</v>
      </c>
      <c r="F19" t="s">
        <v>273</v>
      </c>
      <c r="G19" t="s">
        <v>275</v>
      </c>
      <c r="H19">
        <v>92.25</v>
      </c>
      <c r="I19" t="s">
        <v>274</v>
      </c>
      <c r="K19" t="s">
        <v>279</v>
      </c>
      <c r="P19" t="s">
        <v>492</v>
      </c>
      <c r="Q19" t="s">
        <v>501</v>
      </c>
      <c r="S19" t="s">
        <v>503</v>
      </c>
      <c r="T19" t="s">
        <v>507</v>
      </c>
      <c r="U19" t="s">
        <v>511</v>
      </c>
      <c r="V19">
        <v>11432</v>
      </c>
      <c r="W19" t="s">
        <v>518</v>
      </c>
      <c r="X19" t="s">
        <v>549</v>
      </c>
      <c r="Z19" t="s">
        <v>1846</v>
      </c>
      <c r="AA19" t="s">
        <v>2092</v>
      </c>
      <c r="AB19" t="s">
        <v>902</v>
      </c>
      <c r="AC19" t="s">
        <v>911</v>
      </c>
      <c r="AI19">
        <v>0.4</v>
      </c>
      <c r="AK19" t="s">
        <v>943</v>
      </c>
      <c r="AL19" t="s">
        <v>274</v>
      </c>
      <c r="AT19">
        <v>0</v>
      </c>
      <c r="AU19">
        <v>2</v>
      </c>
      <c r="AV19" t="s">
        <v>273</v>
      </c>
      <c r="AY19" t="s">
        <v>273</v>
      </c>
      <c r="BB19">
        <v>0</v>
      </c>
      <c r="BC19">
        <v>0</v>
      </c>
      <c r="BD19">
        <v>0</v>
      </c>
      <c r="BE19">
        <v>0</v>
      </c>
      <c r="BF19" t="s">
        <v>1063</v>
      </c>
      <c r="BG19" t="s">
        <v>2409</v>
      </c>
      <c r="BH19">
        <v>19</v>
      </c>
      <c r="BI19" t="s">
        <v>1270</v>
      </c>
      <c r="BK19">
        <v>1910922</v>
      </c>
    </row>
    <row r="20" spans="1:64">
      <c r="A20" s="1">
        <f>HYPERLINK("https://lsnyc.legalserver.org/matter/dynamic-profile/view/1913522","19-1913522")</f>
        <v>0</v>
      </c>
      <c r="B20" t="s">
        <v>1338</v>
      </c>
      <c r="C20" t="s">
        <v>1640</v>
      </c>
      <c r="D20" t="s">
        <v>253</v>
      </c>
      <c r="E20" t="s">
        <v>1649</v>
      </c>
      <c r="F20" t="s">
        <v>273</v>
      </c>
      <c r="G20" t="s">
        <v>275</v>
      </c>
      <c r="H20">
        <v>0</v>
      </c>
      <c r="K20" t="s">
        <v>279</v>
      </c>
      <c r="P20" t="s">
        <v>492</v>
      </c>
      <c r="Q20" t="s">
        <v>501</v>
      </c>
      <c r="S20" t="s">
        <v>503</v>
      </c>
      <c r="T20" t="s">
        <v>507</v>
      </c>
      <c r="U20" t="s">
        <v>511</v>
      </c>
      <c r="V20">
        <v>11369</v>
      </c>
      <c r="W20" t="s">
        <v>519</v>
      </c>
      <c r="X20" t="s">
        <v>548</v>
      </c>
      <c r="Z20" t="s">
        <v>1860</v>
      </c>
      <c r="AA20" t="s">
        <v>2106</v>
      </c>
      <c r="AB20" t="s">
        <v>902</v>
      </c>
      <c r="AC20" t="s">
        <v>905</v>
      </c>
      <c r="AI20">
        <v>1.4</v>
      </c>
      <c r="AJ20" t="s">
        <v>558</v>
      </c>
      <c r="AK20" t="s">
        <v>947</v>
      </c>
      <c r="AT20">
        <v>0</v>
      </c>
      <c r="AU20">
        <v>1</v>
      </c>
      <c r="AV20" t="s">
        <v>273</v>
      </c>
      <c r="AY20" t="s">
        <v>273</v>
      </c>
      <c r="BB20">
        <v>0</v>
      </c>
      <c r="BC20">
        <v>0</v>
      </c>
      <c r="BD20">
        <v>0</v>
      </c>
      <c r="BE20">
        <v>0</v>
      </c>
      <c r="BF20" t="s">
        <v>1063</v>
      </c>
      <c r="BG20" t="s">
        <v>2425</v>
      </c>
      <c r="BH20">
        <v>38</v>
      </c>
      <c r="BI20" t="s">
        <v>1247</v>
      </c>
      <c r="BK20">
        <v>1885583</v>
      </c>
    </row>
    <row r="21" spans="1:64">
      <c r="A21" s="1">
        <f>HYPERLINK("https://lsnyc.legalserver.org/matter/dynamic-profile/view/1913191","19-1913191")</f>
        <v>0</v>
      </c>
      <c r="B21" t="s">
        <v>1339</v>
      </c>
      <c r="C21" t="s">
        <v>1640</v>
      </c>
      <c r="D21" t="s">
        <v>253</v>
      </c>
      <c r="E21" t="s">
        <v>1643</v>
      </c>
      <c r="F21" t="s">
        <v>273</v>
      </c>
      <c r="G21" t="s">
        <v>275</v>
      </c>
      <c r="H21">
        <v>195.03</v>
      </c>
      <c r="I21" t="s">
        <v>274</v>
      </c>
      <c r="K21" t="s">
        <v>479</v>
      </c>
      <c r="P21" t="s">
        <v>492</v>
      </c>
      <c r="Q21" t="s">
        <v>501</v>
      </c>
      <c r="S21" t="s">
        <v>503</v>
      </c>
      <c r="T21" t="s">
        <v>508</v>
      </c>
      <c r="U21" t="s">
        <v>511</v>
      </c>
      <c r="V21">
        <v>11421</v>
      </c>
      <c r="W21" t="s">
        <v>532</v>
      </c>
      <c r="X21" t="s">
        <v>548</v>
      </c>
      <c r="Y21" t="s">
        <v>275</v>
      </c>
      <c r="Z21" t="s">
        <v>1861</v>
      </c>
      <c r="AA21" t="s">
        <v>2107</v>
      </c>
      <c r="AB21" t="s">
        <v>902</v>
      </c>
      <c r="AC21" t="s">
        <v>905</v>
      </c>
      <c r="AI21">
        <v>2.25</v>
      </c>
      <c r="AK21" t="s">
        <v>933</v>
      </c>
      <c r="AL21" t="s">
        <v>274</v>
      </c>
      <c r="AS21" t="s">
        <v>1061</v>
      </c>
      <c r="AT21">
        <v>1</v>
      </c>
      <c r="AU21">
        <v>2</v>
      </c>
      <c r="AV21" t="s">
        <v>273</v>
      </c>
      <c r="AY21" t="s">
        <v>273</v>
      </c>
      <c r="BB21">
        <v>0</v>
      </c>
      <c r="BC21">
        <v>0</v>
      </c>
      <c r="BD21">
        <v>0</v>
      </c>
      <c r="BE21">
        <v>0</v>
      </c>
      <c r="BF21" t="s">
        <v>1063</v>
      </c>
      <c r="BG21" t="s">
        <v>2426</v>
      </c>
      <c r="BH21">
        <v>41</v>
      </c>
      <c r="BI21" t="s">
        <v>2721</v>
      </c>
      <c r="BK21">
        <v>1913854</v>
      </c>
      <c r="BL21" t="s">
        <v>275</v>
      </c>
    </row>
    <row r="22" spans="1:64">
      <c r="A22" s="1">
        <f>HYPERLINK("https://lsnyc.legalserver.org/matter/dynamic-profile/view/1913194","19-1913194")</f>
        <v>0</v>
      </c>
      <c r="B22" t="s">
        <v>1337</v>
      </c>
      <c r="C22" t="s">
        <v>1640</v>
      </c>
      <c r="D22" t="s">
        <v>253</v>
      </c>
      <c r="E22" t="s">
        <v>1643</v>
      </c>
      <c r="F22" t="s">
        <v>273</v>
      </c>
      <c r="G22" t="s">
        <v>275</v>
      </c>
      <c r="H22">
        <v>195.03</v>
      </c>
      <c r="I22" t="s">
        <v>274</v>
      </c>
      <c r="K22" t="s">
        <v>479</v>
      </c>
      <c r="P22" t="s">
        <v>492</v>
      </c>
      <c r="Q22" t="s">
        <v>501</v>
      </c>
      <c r="S22" t="s">
        <v>503</v>
      </c>
      <c r="T22" t="s">
        <v>508</v>
      </c>
      <c r="U22" t="s">
        <v>511</v>
      </c>
      <c r="V22">
        <v>11421</v>
      </c>
      <c r="W22" t="s">
        <v>529</v>
      </c>
      <c r="X22" t="s">
        <v>548</v>
      </c>
      <c r="Z22" t="s">
        <v>1859</v>
      </c>
      <c r="AA22" t="s">
        <v>828</v>
      </c>
      <c r="AB22" t="s">
        <v>902</v>
      </c>
      <c r="AC22" t="s">
        <v>905</v>
      </c>
      <c r="AI22">
        <v>19.75</v>
      </c>
      <c r="AL22" t="s">
        <v>274</v>
      </c>
      <c r="AT22">
        <v>1</v>
      </c>
      <c r="AU22">
        <v>2</v>
      </c>
      <c r="AV22" t="s">
        <v>273</v>
      </c>
      <c r="AY22" t="s">
        <v>273</v>
      </c>
      <c r="BB22">
        <v>0</v>
      </c>
      <c r="BC22">
        <v>0</v>
      </c>
      <c r="BD22">
        <v>0</v>
      </c>
      <c r="BE22">
        <v>0</v>
      </c>
      <c r="BF22" t="s">
        <v>1063</v>
      </c>
      <c r="BG22" t="s">
        <v>2424</v>
      </c>
      <c r="BH22">
        <v>20</v>
      </c>
      <c r="BI22" t="s">
        <v>1248</v>
      </c>
      <c r="BK22">
        <v>1913854</v>
      </c>
    </row>
    <row r="23" spans="1:64">
      <c r="A23" s="1">
        <f>HYPERLINK("https://lsnyc.legalserver.org/matter/dynamic-profile/view/1914771","19-1914771")</f>
        <v>0</v>
      </c>
      <c r="B23" t="s">
        <v>1340</v>
      </c>
      <c r="C23" t="s">
        <v>1640</v>
      </c>
      <c r="D23" t="s">
        <v>253</v>
      </c>
      <c r="E23" t="s">
        <v>1644</v>
      </c>
      <c r="F23" t="s">
        <v>273</v>
      </c>
      <c r="G23" t="s">
        <v>275</v>
      </c>
      <c r="H23">
        <v>74.56</v>
      </c>
      <c r="K23" t="s">
        <v>479</v>
      </c>
      <c r="P23" t="s">
        <v>492</v>
      </c>
      <c r="Q23" t="s">
        <v>501</v>
      </c>
      <c r="S23" t="s">
        <v>503</v>
      </c>
      <c r="T23" t="s">
        <v>508</v>
      </c>
      <c r="U23" t="s">
        <v>511</v>
      </c>
      <c r="V23">
        <v>11368</v>
      </c>
      <c r="W23" t="s">
        <v>526</v>
      </c>
      <c r="X23" t="s">
        <v>548</v>
      </c>
      <c r="Z23" t="s">
        <v>1862</v>
      </c>
      <c r="AA23" t="s">
        <v>2108</v>
      </c>
      <c r="AB23" t="s">
        <v>902</v>
      </c>
      <c r="AC23" t="s">
        <v>905</v>
      </c>
      <c r="AI23">
        <v>9.25</v>
      </c>
      <c r="AJ23" t="s">
        <v>558</v>
      </c>
      <c r="AK23" t="s">
        <v>933</v>
      </c>
      <c r="AT23">
        <v>3</v>
      </c>
      <c r="AU23">
        <v>1</v>
      </c>
      <c r="AV23" t="s">
        <v>273</v>
      </c>
      <c r="AY23" t="s">
        <v>273</v>
      </c>
      <c r="BB23">
        <v>0</v>
      </c>
      <c r="BC23">
        <v>0</v>
      </c>
      <c r="BD23">
        <v>0</v>
      </c>
      <c r="BE23">
        <v>0</v>
      </c>
      <c r="BF23" t="s">
        <v>1063</v>
      </c>
      <c r="BG23" t="s">
        <v>2427</v>
      </c>
      <c r="BH23">
        <v>33</v>
      </c>
      <c r="BI23" t="s">
        <v>2720</v>
      </c>
      <c r="BK23">
        <v>1847596</v>
      </c>
    </row>
    <row r="24" spans="1:64">
      <c r="A24" s="1">
        <f>HYPERLINK("https://lsnyc.legalserver.org/matter/dynamic-profile/view/1912723","19-1912723")</f>
        <v>0</v>
      </c>
      <c r="B24" t="s">
        <v>1341</v>
      </c>
      <c r="C24" t="s">
        <v>1640</v>
      </c>
      <c r="D24" t="s">
        <v>253</v>
      </c>
      <c r="E24" t="s">
        <v>1644</v>
      </c>
      <c r="F24" t="s">
        <v>273</v>
      </c>
      <c r="G24" t="s">
        <v>275</v>
      </c>
      <c r="H24">
        <v>56.26</v>
      </c>
      <c r="I24" t="s">
        <v>274</v>
      </c>
      <c r="K24" t="s">
        <v>446</v>
      </c>
      <c r="L24" t="s">
        <v>1808</v>
      </c>
      <c r="P24" t="s">
        <v>493</v>
      </c>
      <c r="Q24" t="s">
        <v>502</v>
      </c>
      <c r="S24" t="s">
        <v>504</v>
      </c>
      <c r="T24" t="s">
        <v>507</v>
      </c>
      <c r="U24" t="s">
        <v>512</v>
      </c>
      <c r="V24">
        <v>11368</v>
      </c>
      <c r="X24" t="s">
        <v>1836</v>
      </c>
      <c r="Y24" t="s">
        <v>275</v>
      </c>
      <c r="Z24" t="s">
        <v>1863</v>
      </c>
      <c r="AA24" t="s">
        <v>2109</v>
      </c>
      <c r="AB24" t="s">
        <v>902</v>
      </c>
      <c r="AC24" t="s">
        <v>905</v>
      </c>
      <c r="AD24" t="s">
        <v>274</v>
      </c>
      <c r="AE24" t="s">
        <v>917</v>
      </c>
      <c r="AF24" t="s">
        <v>924</v>
      </c>
      <c r="AI24">
        <v>2.75</v>
      </c>
      <c r="AK24" t="s">
        <v>941</v>
      </c>
      <c r="AM24" t="s">
        <v>978</v>
      </c>
      <c r="AN24" t="s">
        <v>446</v>
      </c>
      <c r="AQ24" t="s">
        <v>1040</v>
      </c>
      <c r="AR24" t="s">
        <v>1051</v>
      </c>
      <c r="AT24">
        <v>1</v>
      </c>
      <c r="AU24">
        <v>2</v>
      </c>
      <c r="AV24" t="s">
        <v>273</v>
      </c>
      <c r="AY24" t="s">
        <v>273</v>
      </c>
      <c r="BB24">
        <v>0</v>
      </c>
      <c r="BC24">
        <v>0</v>
      </c>
      <c r="BD24">
        <v>0</v>
      </c>
      <c r="BE24">
        <v>0</v>
      </c>
      <c r="BF24" t="s">
        <v>493</v>
      </c>
      <c r="BG24" t="s">
        <v>2428</v>
      </c>
      <c r="BH24">
        <v>17</v>
      </c>
      <c r="BI24" t="s">
        <v>1267</v>
      </c>
      <c r="BK24">
        <v>1856057</v>
      </c>
      <c r="BL24" t="s">
        <v>274</v>
      </c>
    </row>
    <row r="25" spans="1:64">
      <c r="A25" s="1">
        <f>HYPERLINK("https://lsnyc.legalserver.org/matter/dynamic-profile/view/1912720","19-1912720")</f>
        <v>0</v>
      </c>
      <c r="B25" t="s">
        <v>1342</v>
      </c>
      <c r="C25" t="s">
        <v>1640</v>
      </c>
      <c r="D25" t="s">
        <v>253</v>
      </c>
      <c r="E25" t="s">
        <v>1644</v>
      </c>
      <c r="F25" t="s">
        <v>273</v>
      </c>
      <c r="G25" t="s">
        <v>275</v>
      </c>
      <c r="H25">
        <v>56.26</v>
      </c>
      <c r="K25" t="s">
        <v>446</v>
      </c>
      <c r="P25" t="s">
        <v>492</v>
      </c>
      <c r="Q25" t="s">
        <v>502</v>
      </c>
      <c r="S25" t="s">
        <v>504</v>
      </c>
      <c r="T25" t="s">
        <v>508</v>
      </c>
      <c r="U25" t="s">
        <v>512</v>
      </c>
      <c r="V25">
        <v>11368</v>
      </c>
      <c r="X25" t="s">
        <v>548</v>
      </c>
      <c r="Z25" t="s">
        <v>1864</v>
      </c>
      <c r="AA25" t="s">
        <v>2109</v>
      </c>
      <c r="AB25" t="s">
        <v>902</v>
      </c>
      <c r="AC25" t="s">
        <v>905</v>
      </c>
      <c r="AI25">
        <v>2.5</v>
      </c>
      <c r="AT25">
        <v>2</v>
      </c>
      <c r="AU25">
        <v>1</v>
      </c>
      <c r="AV25" t="s">
        <v>273</v>
      </c>
      <c r="AY25" t="s">
        <v>273</v>
      </c>
      <c r="BB25">
        <v>0</v>
      </c>
      <c r="BC25">
        <v>0</v>
      </c>
      <c r="BD25">
        <v>0</v>
      </c>
      <c r="BE25">
        <v>0</v>
      </c>
      <c r="BF25" t="s">
        <v>1063</v>
      </c>
      <c r="BG25" t="s">
        <v>2429</v>
      </c>
      <c r="BH25">
        <v>16</v>
      </c>
      <c r="BI25" t="s">
        <v>1267</v>
      </c>
      <c r="BK25">
        <v>1893710</v>
      </c>
    </row>
    <row r="26" spans="1:64">
      <c r="A26" s="1">
        <f>HYPERLINK("https://lsnyc.legalserver.org/matter/dynamic-profile/view/1912761","19-1912761")</f>
        <v>0</v>
      </c>
      <c r="B26" t="s">
        <v>1343</v>
      </c>
      <c r="C26" t="s">
        <v>1640</v>
      </c>
      <c r="D26" t="s">
        <v>253</v>
      </c>
      <c r="E26" t="s">
        <v>1649</v>
      </c>
      <c r="F26" t="s">
        <v>273</v>
      </c>
      <c r="G26" t="s">
        <v>275</v>
      </c>
      <c r="H26">
        <v>56.77</v>
      </c>
      <c r="K26" t="s">
        <v>446</v>
      </c>
      <c r="O26" t="s">
        <v>275</v>
      </c>
      <c r="P26" t="s">
        <v>498</v>
      </c>
      <c r="Q26" t="s">
        <v>502</v>
      </c>
      <c r="S26" t="s">
        <v>503</v>
      </c>
      <c r="T26" t="s">
        <v>508</v>
      </c>
      <c r="U26" t="s">
        <v>511</v>
      </c>
      <c r="V26">
        <v>11368</v>
      </c>
      <c r="W26" t="s">
        <v>529</v>
      </c>
      <c r="X26" t="s">
        <v>548</v>
      </c>
      <c r="Z26" t="s">
        <v>1865</v>
      </c>
      <c r="AA26" t="s">
        <v>2110</v>
      </c>
      <c r="AB26" t="s">
        <v>902</v>
      </c>
      <c r="AC26" t="s">
        <v>905</v>
      </c>
      <c r="AI26">
        <v>7.25</v>
      </c>
      <c r="AJ26" t="s">
        <v>931</v>
      </c>
      <c r="AK26" t="s">
        <v>941</v>
      </c>
      <c r="AT26">
        <v>1</v>
      </c>
      <c r="AU26">
        <v>1</v>
      </c>
      <c r="AV26" t="s">
        <v>273</v>
      </c>
      <c r="AY26" t="s">
        <v>273</v>
      </c>
      <c r="BB26">
        <v>0</v>
      </c>
      <c r="BC26">
        <v>0</v>
      </c>
      <c r="BD26">
        <v>0</v>
      </c>
      <c r="BE26">
        <v>0</v>
      </c>
      <c r="BF26" t="s">
        <v>1063</v>
      </c>
      <c r="BG26" t="s">
        <v>2430</v>
      </c>
      <c r="BH26">
        <v>10</v>
      </c>
      <c r="BI26" t="s">
        <v>1280</v>
      </c>
      <c r="BK26">
        <v>1913424</v>
      </c>
    </row>
    <row r="27" spans="1:64">
      <c r="A27" s="1">
        <f>HYPERLINK("https://lsnyc.legalserver.org/matter/dynamic-profile/view/1912388","19-1912388")</f>
        <v>0</v>
      </c>
      <c r="B27" t="s">
        <v>1344</v>
      </c>
      <c r="C27" t="s">
        <v>1640</v>
      </c>
      <c r="D27" t="s">
        <v>253</v>
      </c>
      <c r="E27" t="s">
        <v>1647</v>
      </c>
      <c r="F27" t="s">
        <v>273</v>
      </c>
      <c r="G27" t="s">
        <v>275</v>
      </c>
      <c r="H27">
        <v>155.34</v>
      </c>
      <c r="I27" t="s">
        <v>274</v>
      </c>
      <c r="K27" t="s">
        <v>480</v>
      </c>
      <c r="M27" t="s">
        <v>473</v>
      </c>
      <c r="N27" t="s">
        <v>449</v>
      </c>
      <c r="P27" t="s">
        <v>492</v>
      </c>
      <c r="Q27" t="s">
        <v>502</v>
      </c>
      <c r="S27" t="s">
        <v>503</v>
      </c>
      <c r="T27" t="s">
        <v>508</v>
      </c>
      <c r="U27" t="s">
        <v>511</v>
      </c>
      <c r="V27">
        <v>11435</v>
      </c>
      <c r="W27" t="s">
        <v>524</v>
      </c>
      <c r="X27" t="s">
        <v>548</v>
      </c>
      <c r="Y27" t="s">
        <v>275</v>
      </c>
      <c r="Z27" t="s">
        <v>1866</v>
      </c>
      <c r="AA27" t="s">
        <v>2111</v>
      </c>
      <c r="AB27" t="s">
        <v>902</v>
      </c>
      <c r="AC27" t="s">
        <v>911</v>
      </c>
      <c r="AF27" t="s">
        <v>923</v>
      </c>
      <c r="AI27">
        <v>1.25</v>
      </c>
      <c r="AJ27" t="s">
        <v>558</v>
      </c>
      <c r="AK27" t="s">
        <v>941</v>
      </c>
      <c r="AL27" t="s">
        <v>274</v>
      </c>
      <c r="AT27">
        <v>3</v>
      </c>
      <c r="AU27">
        <v>1</v>
      </c>
      <c r="AV27" t="s">
        <v>273</v>
      </c>
      <c r="AY27" t="s">
        <v>273</v>
      </c>
      <c r="BB27">
        <v>0</v>
      </c>
      <c r="BC27">
        <v>0</v>
      </c>
      <c r="BD27">
        <v>0</v>
      </c>
      <c r="BE27">
        <v>0</v>
      </c>
      <c r="BF27" t="s">
        <v>1063</v>
      </c>
      <c r="BG27" t="s">
        <v>2431</v>
      </c>
      <c r="BH27">
        <v>10</v>
      </c>
      <c r="BI27" t="s">
        <v>2725</v>
      </c>
      <c r="BK27">
        <v>787684</v>
      </c>
      <c r="BL27" t="s">
        <v>274</v>
      </c>
    </row>
    <row r="28" spans="1:64">
      <c r="A28" s="1">
        <f>HYPERLINK("https://lsnyc.legalserver.org/matter/dynamic-profile/view/1912833","19-1912833")</f>
        <v>0</v>
      </c>
      <c r="B28" t="s">
        <v>1345</v>
      </c>
      <c r="C28" t="s">
        <v>1640</v>
      </c>
      <c r="D28" t="s">
        <v>257</v>
      </c>
      <c r="E28" t="s">
        <v>1645</v>
      </c>
      <c r="F28" t="s">
        <v>273</v>
      </c>
      <c r="G28" t="s">
        <v>275</v>
      </c>
      <c r="H28">
        <v>46.6</v>
      </c>
      <c r="K28" t="s">
        <v>1665</v>
      </c>
      <c r="P28" t="s">
        <v>492</v>
      </c>
      <c r="Q28" t="s">
        <v>501</v>
      </c>
      <c r="S28" t="s">
        <v>503</v>
      </c>
      <c r="T28" t="s">
        <v>508</v>
      </c>
      <c r="U28" t="s">
        <v>511</v>
      </c>
      <c r="V28">
        <v>10453</v>
      </c>
      <c r="W28" t="s">
        <v>525</v>
      </c>
      <c r="X28" t="s">
        <v>548</v>
      </c>
      <c r="Z28" t="s">
        <v>1867</v>
      </c>
      <c r="AA28" t="s">
        <v>2112</v>
      </c>
      <c r="AB28" t="s">
        <v>902</v>
      </c>
      <c r="AC28" t="s">
        <v>904</v>
      </c>
      <c r="AF28" t="s">
        <v>928</v>
      </c>
      <c r="AI28">
        <v>6.24</v>
      </c>
      <c r="AK28" t="s">
        <v>941</v>
      </c>
      <c r="AT28">
        <v>2</v>
      </c>
      <c r="AU28">
        <v>2</v>
      </c>
      <c r="AV28" t="s">
        <v>273</v>
      </c>
      <c r="AY28" t="s">
        <v>273</v>
      </c>
      <c r="BB28">
        <v>0</v>
      </c>
      <c r="BC28">
        <v>0</v>
      </c>
      <c r="BD28">
        <v>0</v>
      </c>
      <c r="BE28">
        <v>0</v>
      </c>
      <c r="BF28" t="s">
        <v>1063</v>
      </c>
      <c r="BG28" t="s">
        <v>2432</v>
      </c>
      <c r="BH28">
        <v>42</v>
      </c>
      <c r="BI28" t="s">
        <v>1267</v>
      </c>
      <c r="BK28">
        <v>1913496</v>
      </c>
    </row>
    <row r="29" spans="1:64">
      <c r="A29" s="1">
        <f>HYPERLINK("https://lsnyc.legalserver.org/matter/dynamic-profile/view/1912569","19-1912569")</f>
        <v>0</v>
      </c>
      <c r="B29" t="s">
        <v>1346</v>
      </c>
      <c r="C29" t="s">
        <v>1640</v>
      </c>
      <c r="D29" t="s">
        <v>253</v>
      </c>
      <c r="E29" t="s">
        <v>1645</v>
      </c>
      <c r="F29" t="s">
        <v>273</v>
      </c>
      <c r="G29" t="s">
        <v>275</v>
      </c>
      <c r="H29">
        <v>28.39</v>
      </c>
      <c r="K29" t="s">
        <v>476</v>
      </c>
      <c r="P29" t="s">
        <v>492</v>
      </c>
      <c r="Q29" t="s">
        <v>501</v>
      </c>
      <c r="S29" t="s">
        <v>503</v>
      </c>
      <c r="T29" t="s">
        <v>508</v>
      </c>
      <c r="U29" t="s">
        <v>511</v>
      </c>
      <c r="V29">
        <v>11377</v>
      </c>
      <c r="W29" t="s">
        <v>532</v>
      </c>
      <c r="X29" t="s">
        <v>548</v>
      </c>
      <c r="Z29" t="s">
        <v>1868</v>
      </c>
      <c r="AA29" t="s">
        <v>2113</v>
      </c>
      <c r="AB29" t="s">
        <v>902</v>
      </c>
      <c r="AC29" t="s">
        <v>907</v>
      </c>
      <c r="AI29">
        <v>2</v>
      </c>
      <c r="AS29" t="s">
        <v>1061</v>
      </c>
      <c r="AT29">
        <v>1</v>
      </c>
      <c r="AU29">
        <v>1</v>
      </c>
      <c r="AV29" t="s">
        <v>273</v>
      </c>
      <c r="AY29" t="s">
        <v>273</v>
      </c>
      <c r="BB29">
        <v>0</v>
      </c>
      <c r="BC29">
        <v>0</v>
      </c>
      <c r="BD29">
        <v>0</v>
      </c>
      <c r="BE29">
        <v>0</v>
      </c>
      <c r="BF29" t="s">
        <v>1063</v>
      </c>
      <c r="BG29" t="s">
        <v>2433</v>
      </c>
      <c r="BH29">
        <v>38</v>
      </c>
      <c r="BI29" t="s">
        <v>2726</v>
      </c>
      <c r="BK29">
        <v>1913232</v>
      </c>
    </row>
    <row r="30" spans="1:64">
      <c r="A30" s="1">
        <f>HYPERLINK("https://lsnyc.legalserver.org/matter/dynamic-profile/view/1912577","19-1912577")</f>
        <v>0</v>
      </c>
      <c r="B30" t="s">
        <v>1347</v>
      </c>
      <c r="C30" t="s">
        <v>1640</v>
      </c>
      <c r="D30" t="s">
        <v>253</v>
      </c>
      <c r="E30" t="s">
        <v>1645</v>
      </c>
      <c r="F30" t="s">
        <v>273</v>
      </c>
      <c r="G30" t="s">
        <v>275</v>
      </c>
      <c r="H30">
        <v>66.61</v>
      </c>
      <c r="K30" t="s">
        <v>476</v>
      </c>
      <c r="P30" t="s">
        <v>492</v>
      </c>
      <c r="Q30" t="s">
        <v>501</v>
      </c>
      <c r="S30" t="s">
        <v>503</v>
      </c>
      <c r="T30" t="s">
        <v>508</v>
      </c>
      <c r="U30" t="s">
        <v>511</v>
      </c>
      <c r="V30">
        <v>11373</v>
      </c>
      <c r="W30" t="s">
        <v>532</v>
      </c>
      <c r="X30" t="s">
        <v>548</v>
      </c>
      <c r="Z30" t="s">
        <v>666</v>
      </c>
      <c r="AA30" t="s">
        <v>2114</v>
      </c>
      <c r="AB30" t="s">
        <v>902</v>
      </c>
      <c r="AC30" t="s">
        <v>905</v>
      </c>
      <c r="AI30">
        <v>3.5</v>
      </c>
      <c r="AK30" t="s">
        <v>949</v>
      </c>
      <c r="AS30" t="s">
        <v>1061</v>
      </c>
      <c r="AT30">
        <v>0</v>
      </c>
      <c r="AU30">
        <v>1</v>
      </c>
      <c r="AV30" t="s">
        <v>273</v>
      </c>
      <c r="AY30" t="s">
        <v>273</v>
      </c>
      <c r="BB30">
        <v>0</v>
      </c>
      <c r="BC30">
        <v>0</v>
      </c>
      <c r="BD30">
        <v>0</v>
      </c>
      <c r="BE30">
        <v>0</v>
      </c>
      <c r="BF30" t="s">
        <v>1063</v>
      </c>
      <c r="BG30" t="s">
        <v>2434</v>
      </c>
      <c r="BH30">
        <v>48</v>
      </c>
      <c r="BI30" t="s">
        <v>2727</v>
      </c>
      <c r="BK30">
        <v>1913240</v>
      </c>
    </row>
    <row r="31" spans="1:64">
      <c r="A31" s="1">
        <f>HYPERLINK("https://lsnyc.legalserver.org/matter/dynamic-profile/view/1912281","19-1912281")</f>
        <v>0</v>
      </c>
      <c r="B31" t="s">
        <v>1348</v>
      </c>
      <c r="C31" t="s">
        <v>1640</v>
      </c>
      <c r="D31" t="s">
        <v>253</v>
      </c>
      <c r="E31" t="s">
        <v>1648</v>
      </c>
      <c r="F31" t="s">
        <v>273</v>
      </c>
      <c r="G31" t="s">
        <v>275</v>
      </c>
      <c r="H31">
        <v>103.39</v>
      </c>
      <c r="I31" t="s">
        <v>274</v>
      </c>
      <c r="K31" t="s">
        <v>993</v>
      </c>
      <c r="Q31" t="s">
        <v>501</v>
      </c>
      <c r="S31" t="s">
        <v>503</v>
      </c>
      <c r="T31" t="s">
        <v>507</v>
      </c>
      <c r="U31" t="s">
        <v>511</v>
      </c>
      <c r="V31">
        <v>11358</v>
      </c>
      <c r="W31" t="s">
        <v>520</v>
      </c>
      <c r="X31" t="s">
        <v>1837</v>
      </c>
      <c r="Y31" t="s">
        <v>274</v>
      </c>
      <c r="Z31" t="s">
        <v>1869</v>
      </c>
      <c r="AA31" t="s">
        <v>2115</v>
      </c>
      <c r="AB31" t="s">
        <v>902</v>
      </c>
      <c r="AC31" t="s">
        <v>2356</v>
      </c>
      <c r="AF31" t="s">
        <v>923</v>
      </c>
      <c r="AI31">
        <v>1</v>
      </c>
      <c r="AK31" t="s">
        <v>2363</v>
      </c>
      <c r="AL31" t="s">
        <v>274</v>
      </c>
      <c r="AT31">
        <v>2</v>
      </c>
      <c r="AU31">
        <v>2</v>
      </c>
      <c r="AV31" t="s">
        <v>273</v>
      </c>
      <c r="AY31" t="s">
        <v>273</v>
      </c>
      <c r="BB31">
        <v>0</v>
      </c>
      <c r="BC31">
        <v>0</v>
      </c>
      <c r="BD31">
        <v>0</v>
      </c>
      <c r="BE31">
        <v>0</v>
      </c>
      <c r="BF31" t="s">
        <v>1063</v>
      </c>
      <c r="BG31" t="s">
        <v>2435</v>
      </c>
      <c r="BH31">
        <v>49</v>
      </c>
      <c r="BI31" t="s">
        <v>2728</v>
      </c>
      <c r="BK31">
        <v>1902414</v>
      </c>
      <c r="BL31" t="s">
        <v>275</v>
      </c>
    </row>
    <row r="32" spans="1:64">
      <c r="A32" s="1">
        <f>HYPERLINK("https://lsnyc.legalserver.org/matter/dynamic-profile/view/1911835","19-1911835")</f>
        <v>0</v>
      </c>
      <c r="B32" t="s">
        <v>1349</v>
      </c>
      <c r="C32" t="s">
        <v>1640</v>
      </c>
      <c r="D32" t="s">
        <v>253</v>
      </c>
      <c r="E32" t="s">
        <v>1650</v>
      </c>
      <c r="F32" t="s">
        <v>273</v>
      </c>
      <c r="G32" t="s">
        <v>275</v>
      </c>
      <c r="H32">
        <v>137.5</v>
      </c>
      <c r="K32" t="s">
        <v>484</v>
      </c>
      <c r="P32" t="s">
        <v>492</v>
      </c>
      <c r="Q32" t="s">
        <v>501</v>
      </c>
      <c r="S32" t="s">
        <v>503</v>
      </c>
      <c r="T32" t="s">
        <v>507</v>
      </c>
      <c r="U32" t="s">
        <v>511</v>
      </c>
      <c r="V32">
        <v>11423</v>
      </c>
      <c r="W32" t="s">
        <v>517</v>
      </c>
      <c r="X32" t="s">
        <v>549</v>
      </c>
      <c r="Z32" t="s">
        <v>1870</v>
      </c>
      <c r="AA32" t="s">
        <v>2116</v>
      </c>
      <c r="AB32" t="s">
        <v>902</v>
      </c>
      <c r="AC32" t="s">
        <v>904</v>
      </c>
      <c r="AI32">
        <v>4.5</v>
      </c>
      <c r="AT32">
        <v>1</v>
      </c>
      <c r="AU32">
        <v>2</v>
      </c>
      <c r="AV32" t="s">
        <v>273</v>
      </c>
      <c r="AY32" t="s">
        <v>273</v>
      </c>
      <c r="BB32">
        <v>0</v>
      </c>
      <c r="BC32">
        <v>0</v>
      </c>
      <c r="BD32">
        <v>0</v>
      </c>
      <c r="BE32">
        <v>0</v>
      </c>
      <c r="BF32" t="s">
        <v>1063</v>
      </c>
      <c r="BG32" t="s">
        <v>2436</v>
      </c>
      <c r="BH32">
        <v>51</v>
      </c>
      <c r="BI32" t="s">
        <v>2729</v>
      </c>
      <c r="BK32">
        <v>1912498</v>
      </c>
    </row>
    <row r="33" spans="1:64">
      <c r="A33" s="1">
        <f>HYPERLINK("https://lsnyc.legalserver.org/matter/dynamic-profile/view/1911903","19-1911903")</f>
        <v>0</v>
      </c>
      <c r="B33" t="s">
        <v>1324</v>
      </c>
      <c r="C33" t="s">
        <v>1640</v>
      </c>
      <c r="D33" t="s">
        <v>253</v>
      </c>
      <c r="E33" t="s">
        <v>1643</v>
      </c>
      <c r="F33" t="s">
        <v>273</v>
      </c>
      <c r="G33" t="s">
        <v>275</v>
      </c>
      <c r="H33">
        <v>70.95999999999999</v>
      </c>
      <c r="I33" t="s">
        <v>274</v>
      </c>
      <c r="K33" t="s">
        <v>484</v>
      </c>
      <c r="P33" t="s">
        <v>492</v>
      </c>
      <c r="Q33" t="s">
        <v>501</v>
      </c>
      <c r="S33" t="s">
        <v>503</v>
      </c>
      <c r="T33" t="s">
        <v>507</v>
      </c>
      <c r="U33" t="s">
        <v>511</v>
      </c>
      <c r="V33">
        <v>11373</v>
      </c>
      <c r="W33" t="s">
        <v>529</v>
      </c>
      <c r="X33" t="s">
        <v>549</v>
      </c>
      <c r="Z33" t="s">
        <v>1848</v>
      </c>
      <c r="AA33" t="s">
        <v>2094</v>
      </c>
      <c r="AB33" t="s">
        <v>902</v>
      </c>
      <c r="AC33" t="s">
        <v>908</v>
      </c>
      <c r="AI33">
        <v>5.85</v>
      </c>
      <c r="AK33" t="s">
        <v>947</v>
      </c>
      <c r="AL33" t="s">
        <v>274</v>
      </c>
      <c r="AT33">
        <v>0</v>
      </c>
      <c r="AU33">
        <v>2</v>
      </c>
      <c r="AV33" t="s">
        <v>273</v>
      </c>
      <c r="AY33" t="s">
        <v>273</v>
      </c>
      <c r="BB33">
        <v>0</v>
      </c>
      <c r="BC33">
        <v>0</v>
      </c>
      <c r="BD33">
        <v>0</v>
      </c>
      <c r="BE33">
        <v>0</v>
      </c>
      <c r="BF33" t="s">
        <v>1063</v>
      </c>
      <c r="BG33" t="s">
        <v>2411</v>
      </c>
      <c r="BH33">
        <v>20</v>
      </c>
      <c r="BI33" t="s">
        <v>1267</v>
      </c>
      <c r="BK33">
        <v>1910059</v>
      </c>
    </row>
    <row r="34" spans="1:64">
      <c r="A34" s="1">
        <f>HYPERLINK("https://lsnyc.legalserver.org/matter/dynamic-profile/view/1911904","19-1911904")</f>
        <v>0</v>
      </c>
      <c r="B34" t="s">
        <v>1350</v>
      </c>
      <c r="C34" t="s">
        <v>1640</v>
      </c>
      <c r="D34" t="s">
        <v>253</v>
      </c>
      <c r="E34" t="s">
        <v>1643</v>
      </c>
      <c r="F34" t="s">
        <v>273</v>
      </c>
      <c r="G34" t="s">
        <v>275</v>
      </c>
      <c r="H34">
        <v>115.29</v>
      </c>
      <c r="K34" t="s">
        <v>484</v>
      </c>
      <c r="P34" t="s">
        <v>492</v>
      </c>
      <c r="Q34" t="s">
        <v>501</v>
      </c>
      <c r="S34" t="s">
        <v>503</v>
      </c>
      <c r="T34" t="s">
        <v>508</v>
      </c>
      <c r="U34" t="s">
        <v>511</v>
      </c>
      <c r="V34">
        <v>11420</v>
      </c>
      <c r="W34" t="s">
        <v>529</v>
      </c>
      <c r="X34" t="s">
        <v>548</v>
      </c>
      <c r="Z34" t="s">
        <v>1871</v>
      </c>
      <c r="AA34" t="s">
        <v>2117</v>
      </c>
      <c r="AB34" t="s">
        <v>902</v>
      </c>
      <c r="AC34" t="s">
        <v>905</v>
      </c>
      <c r="AI34">
        <v>1.5</v>
      </c>
      <c r="AK34" t="s">
        <v>936</v>
      </c>
      <c r="AT34">
        <v>0</v>
      </c>
      <c r="AU34">
        <v>1</v>
      </c>
      <c r="AV34" t="s">
        <v>273</v>
      </c>
      <c r="AY34" t="s">
        <v>273</v>
      </c>
      <c r="BB34">
        <v>0</v>
      </c>
      <c r="BC34">
        <v>0</v>
      </c>
      <c r="BD34">
        <v>0</v>
      </c>
      <c r="BE34">
        <v>0</v>
      </c>
      <c r="BF34" t="s">
        <v>1063</v>
      </c>
      <c r="BG34" t="s">
        <v>2437</v>
      </c>
      <c r="BH34">
        <v>20</v>
      </c>
      <c r="BI34" t="s">
        <v>1253</v>
      </c>
      <c r="BK34">
        <v>1905226</v>
      </c>
    </row>
    <row r="35" spans="1:64">
      <c r="A35" s="1">
        <f>HYPERLINK("https://lsnyc.legalserver.org/matter/dynamic-profile/view/1911912","19-1911912")</f>
        <v>0</v>
      </c>
      <c r="B35" t="s">
        <v>1351</v>
      </c>
      <c r="C35" t="s">
        <v>1640</v>
      </c>
      <c r="D35" t="s">
        <v>253</v>
      </c>
      <c r="E35" t="s">
        <v>1647</v>
      </c>
      <c r="F35" t="s">
        <v>273</v>
      </c>
      <c r="G35" t="s">
        <v>275</v>
      </c>
      <c r="H35">
        <v>107.63</v>
      </c>
      <c r="I35" t="s">
        <v>274</v>
      </c>
      <c r="K35" t="s">
        <v>484</v>
      </c>
      <c r="M35" t="s">
        <v>474</v>
      </c>
      <c r="N35" t="s">
        <v>484</v>
      </c>
      <c r="P35" t="s">
        <v>492</v>
      </c>
      <c r="Q35" t="s">
        <v>501</v>
      </c>
      <c r="S35" t="s">
        <v>503</v>
      </c>
      <c r="T35" t="s">
        <v>508</v>
      </c>
      <c r="U35" t="s">
        <v>511</v>
      </c>
      <c r="V35">
        <v>11693</v>
      </c>
      <c r="W35" t="s">
        <v>518</v>
      </c>
      <c r="X35" t="s">
        <v>548</v>
      </c>
      <c r="Y35" t="s">
        <v>275</v>
      </c>
      <c r="Z35" t="s">
        <v>1872</v>
      </c>
      <c r="AA35" t="s">
        <v>2118</v>
      </c>
      <c r="AB35" t="s">
        <v>902</v>
      </c>
      <c r="AC35" t="s">
        <v>911</v>
      </c>
      <c r="AF35" t="s">
        <v>927</v>
      </c>
      <c r="AI35">
        <v>3.25</v>
      </c>
      <c r="AJ35" t="s">
        <v>558</v>
      </c>
      <c r="AK35" t="s">
        <v>934</v>
      </c>
      <c r="AL35" t="s">
        <v>274</v>
      </c>
      <c r="AM35" t="s">
        <v>975</v>
      </c>
      <c r="AT35">
        <v>1</v>
      </c>
      <c r="AU35">
        <v>1</v>
      </c>
      <c r="AV35" t="s">
        <v>273</v>
      </c>
      <c r="AY35" t="s">
        <v>273</v>
      </c>
      <c r="BB35">
        <v>0</v>
      </c>
      <c r="BC35">
        <v>0</v>
      </c>
      <c r="BD35">
        <v>0</v>
      </c>
      <c r="BE35">
        <v>0</v>
      </c>
      <c r="BF35" t="s">
        <v>1063</v>
      </c>
      <c r="BG35" t="s">
        <v>2438</v>
      </c>
      <c r="BH35">
        <v>39</v>
      </c>
      <c r="BI35" t="s">
        <v>1260</v>
      </c>
      <c r="BK35">
        <v>1912575</v>
      </c>
      <c r="BL35" t="s">
        <v>274</v>
      </c>
    </row>
    <row r="36" spans="1:64">
      <c r="A36" s="1">
        <f>HYPERLINK("https://lsnyc.legalserver.org/matter/dynamic-profile/view/1911951","19-1911951")</f>
        <v>0</v>
      </c>
      <c r="B36" t="s">
        <v>1352</v>
      </c>
      <c r="C36" t="s">
        <v>1640</v>
      </c>
      <c r="D36" t="s">
        <v>253</v>
      </c>
      <c r="E36" t="s">
        <v>1647</v>
      </c>
      <c r="F36" t="s">
        <v>273</v>
      </c>
      <c r="G36" t="s">
        <v>275</v>
      </c>
      <c r="H36">
        <v>107.63</v>
      </c>
      <c r="I36" t="s">
        <v>274</v>
      </c>
      <c r="K36" t="s">
        <v>484</v>
      </c>
      <c r="M36" t="s">
        <v>474</v>
      </c>
      <c r="N36" t="s">
        <v>484</v>
      </c>
      <c r="O36" t="s">
        <v>275</v>
      </c>
      <c r="P36" t="s">
        <v>492</v>
      </c>
      <c r="Q36" t="s">
        <v>502</v>
      </c>
      <c r="S36" t="s">
        <v>503</v>
      </c>
      <c r="T36" t="s">
        <v>508</v>
      </c>
      <c r="U36" t="s">
        <v>511</v>
      </c>
      <c r="V36">
        <v>11693</v>
      </c>
      <c r="W36" t="s">
        <v>518</v>
      </c>
      <c r="X36" t="s">
        <v>548</v>
      </c>
      <c r="Y36" t="s">
        <v>275</v>
      </c>
      <c r="Z36" t="s">
        <v>1873</v>
      </c>
      <c r="AA36" t="s">
        <v>2118</v>
      </c>
      <c r="AB36" t="s">
        <v>902</v>
      </c>
      <c r="AC36" t="s">
        <v>905</v>
      </c>
      <c r="AF36" t="s">
        <v>927</v>
      </c>
      <c r="AI36">
        <v>1.25</v>
      </c>
      <c r="AJ36" t="s">
        <v>558</v>
      </c>
      <c r="AK36" t="s">
        <v>934</v>
      </c>
      <c r="AL36" t="s">
        <v>274</v>
      </c>
      <c r="AM36" t="s">
        <v>975</v>
      </c>
      <c r="AN36" t="s">
        <v>484</v>
      </c>
      <c r="AT36">
        <v>1</v>
      </c>
      <c r="AU36">
        <v>1</v>
      </c>
      <c r="AV36" t="s">
        <v>273</v>
      </c>
      <c r="AY36" t="s">
        <v>273</v>
      </c>
      <c r="BB36">
        <v>0</v>
      </c>
      <c r="BC36">
        <v>0</v>
      </c>
      <c r="BD36">
        <v>0</v>
      </c>
      <c r="BE36">
        <v>0</v>
      </c>
      <c r="BF36" t="s">
        <v>1063</v>
      </c>
      <c r="BG36" t="s">
        <v>2439</v>
      </c>
      <c r="BH36">
        <v>11</v>
      </c>
      <c r="BI36" t="s">
        <v>1260</v>
      </c>
      <c r="BK36">
        <v>1912575</v>
      </c>
      <c r="BL36" t="s">
        <v>274</v>
      </c>
    </row>
    <row r="37" spans="1:64">
      <c r="A37" s="1">
        <f>HYPERLINK("https://lsnyc.legalserver.org/matter/dynamic-profile/view/1912788","19-1912788")</f>
        <v>0</v>
      </c>
      <c r="B37" t="s">
        <v>1353</v>
      </c>
      <c r="C37" t="s">
        <v>1640</v>
      </c>
      <c r="D37" t="s">
        <v>253</v>
      </c>
      <c r="E37" t="s">
        <v>1647</v>
      </c>
      <c r="F37" t="s">
        <v>273</v>
      </c>
      <c r="G37" t="s">
        <v>275</v>
      </c>
      <c r="H37">
        <v>0</v>
      </c>
      <c r="I37" t="s">
        <v>274</v>
      </c>
      <c r="K37" t="s">
        <v>282</v>
      </c>
      <c r="M37" t="s">
        <v>473</v>
      </c>
      <c r="N37" t="s">
        <v>484</v>
      </c>
      <c r="O37" t="s">
        <v>275</v>
      </c>
      <c r="P37" t="s">
        <v>492</v>
      </c>
      <c r="Q37" t="s">
        <v>501</v>
      </c>
      <c r="S37" t="s">
        <v>503</v>
      </c>
      <c r="T37" t="s">
        <v>508</v>
      </c>
      <c r="U37" t="s">
        <v>511</v>
      </c>
      <c r="V37">
        <v>11432</v>
      </c>
      <c r="W37" t="s">
        <v>518</v>
      </c>
      <c r="X37" t="s">
        <v>548</v>
      </c>
      <c r="Y37" t="s">
        <v>275</v>
      </c>
      <c r="Z37" t="s">
        <v>1874</v>
      </c>
      <c r="AA37" t="s">
        <v>2119</v>
      </c>
      <c r="AB37" t="s">
        <v>902</v>
      </c>
      <c r="AC37" t="s">
        <v>905</v>
      </c>
      <c r="AF37" t="s">
        <v>926</v>
      </c>
      <c r="AI37">
        <v>0</v>
      </c>
      <c r="AJ37" t="s">
        <v>558</v>
      </c>
      <c r="AK37" t="s">
        <v>934</v>
      </c>
      <c r="AL37" t="s">
        <v>274</v>
      </c>
      <c r="AT37">
        <v>1</v>
      </c>
      <c r="AU37">
        <v>1</v>
      </c>
      <c r="AV37" t="s">
        <v>273</v>
      </c>
      <c r="AY37" t="s">
        <v>273</v>
      </c>
      <c r="BB37">
        <v>0</v>
      </c>
      <c r="BC37">
        <v>0</v>
      </c>
      <c r="BD37">
        <v>0</v>
      </c>
      <c r="BE37">
        <v>0</v>
      </c>
      <c r="BF37" t="s">
        <v>1063</v>
      </c>
      <c r="BG37" t="s">
        <v>2440</v>
      </c>
      <c r="BH37">
        <v>20</v>
      </c>
      <c r="BI37" t="s">
        <v>1247</v>
      </c>
      <c r="BK37">
        <v>1913442</v>
      </c>
      <c r="BL37" t="s">
        <v>274</v>
      </c>
    </row>
    <row r="38" spans="1:64">
      <c r="A38" s="1">
        <f>HYPERLINK("https://lsnyc.legalserver.org/matter/dynamic-profile/view/1911552","19-1911552")</f>
        <v>0</v>
      </c>
      <c r="B38" t="s">
        <v>1354</v>
      </c>
      <c r="C38" t="s">
        <v>1640</v>
      </c>
      <c r="D38" t="s">
        <v>253</v>
      </c>
      <c r="E38" t="s">
        <v>1643</v>
      </c>
      <c r="F38" t="s">
        <v>273</v>
      </c>
      <c r="G38" t="s">
        <v>275</v>
      </c>
      <c r="H38">
        <v>69.38</v>
      </c>
      <c r="I38" t="s">
        <v>274</v>
      </c>
      <c r="K38" t="s">
        <v>449</v>
      </c>
      <c r="P38" t="s">
        <v>492</v>
      </c>
      <c r="Q38" t="s">
        <v>501</v>
      </c>
      <c r="S38" t="s">
        <v>503</v>
      </c>
      <c r="T38" t="s">
        <v>507</v>
      </c>
      <c r="U38" t="s">
        <v>511</v>
      </c>
      <c r="V38">
        <v>11354</v>
      </c>
      <c r="W38" t="s">
        <v>1827</v>
      </c>
      <c r="X38" t="s">
        <v>548</v>
      </c>
      <c r="Z38" t="s">
        <v>1875</v>
      </c>
      <c r="AA38" t="s">
        <v>2120</v>
      </c>
      <c r="AB38" t="s">
        <v>902</v>
      </c>
      <c r="AC38" t="s">
        <v>905</v>
      </c>
      <c r="AI38">
        <v>2.2</v>
      </c>
      <c r="AL38" t="s">
        <v>274</v>
      </c>
      <c r="AT38">
        <v>3</v>
      </c>
      <c r="AU38">
        <v>3</v>
      </c>
      <c r="AV38" t="s">
        <v>273</v>
      </c>
      <c r="AY38" t="s">
        <v>273</v>
      </c>
      <c r="BB38">
        <v>0</v>
      </c>
      <c r="BC38">
        <v>0</v>
      </c>
      <c r="BD38">
        <v>0</v>
      </c>
      <c r="BE38">
        <v>0</v>
      </c>
      <c r="BF38" t="s">
        <v>1063</v>
      </c>
      <c r="BG38" t="s">
        <v>2441</v>
      </c>
      <c r="BH38">
        <v>19</v>
      </c>
      <c r="BI38" t="s">
        <v>1259</v>
      </c>
      <c r="BK38">
        <v>793290</v>
      </c>
    </row>
    <row r="39" spans="1:64">
      <c r="A39" s="1">
        <f>HYPERLINK("https://lsnyc.legalserver.org/matter/dynamic-profile/view/1912387","19-1912387")</f>
        <v>0</v>
      </c>
      <c r="B39" t="s">
        <v>1344</v>
      </c>
      <c r="C39" t="s">
        <v>1640</v>
      </c>
      <c r="D39" t="s">
        <v>253</v>
      </c>
      <c r="E39" t="s">
        <v>1647</v>
      </c>
      <c r="F39" t="s">
        <v>273</v>
      </c>
      <c r="G39" t="s">
        <v>275</v>
      </c>
      <c r="H39">
        <v>155.34</v>
      </c>
      <c r="I39" t="s">
        <v>274</v>
      </c>
      <c r="K39" t="s">
        <v>449</v>
      </c>
      <c r="M39" t="s">
        <v>473</v>
      </c>
      <c r="N39" t="s">
        <v>449</v>
      </c>
      <c r="P39" t="s">
        <v>492</v>
      </c>
      <c r="Q39" t="s">
        <v>502</v>
      </c>
      <c r="S39" t="s">
        <v>503</v>
      </c>
      <c r="T39" t="s">
        <v>508</v>
      </c>
      <c r="U39" t="s">
        <v>511</v>
      </c>
      <c r="V39">
        <v>11435</v>
      </c>
      <c r="W39" t="s">
        <v>518</v>
      </c>
      <c r="X39" t="s">
        <v>548</v>
      </c>
      <c r="Y39" t="s">
        <v>275</v>
      </c>
      <c r="Z39" t="s">
        <v>1866</v>
      </c>
      <c r="AA39" t="s">
        <v>2111</v>
      </c>
      <c r="AB39" t="s">
        <v>902</v>
      </c>
      <c r="AC39" t="s">
        <v>911</v>
      </c>
      <c r="AF39" t="s">
        <v>928</v>
      </c>
      <c r="AI39">
        <v>1.75</v>
      </c>
      <c r="AJ39" t="s">
        <v>558</v>
      </c>
      <c r="AK39" t="s">
        <v>941</v>
      </c>
      <c r="AL39" t="s">
        <v>274</v>
      </c>
      <c r="AT39">
        <v>3</v>
      </c>
      <c r="AU39">
        <v>1</v>
      </c>
      <c r="AV39" t="s">
        <v>273</v>
      </c>
      <c r="AY39" t="s">
        <v>273</v>
      </c>
      <c r="BB39">
        <v>0</v>
      </c>
      <c r="BC39">
        <v>0</v>
      </c>
      <c r="BD39">
        <v>0</v>
      </c>
      <c r="BE39">
        <v>0</v>
      </c>
      <c r="BF39" t="s">
        <v>1063</v>
      </c>
      <c r="BG39" t="s">
        <v>2431</v>
      </c>
      <c r="BH39">
        <v>10</v>
      </c>
      <c r="BI39" t="s">
        <v>2725</v>
      </c>
      <c r="BK39">
        <v>787684</v>
      </c>
      <c r="BL39" t="s">
        <v>274</v>
      </c>
    </row>
    <row r="40" spans="1:64">
      <c r="A40" s="1">
        <f>HYPERLINK("https://lsnyc.legalserver.org/matter/dynamic-profile/view/1909317","19-1909317")</f>
        <v>0</v>
      </c>
      <c r="B40" t="s">
        <v>1355</v>
      </c>
      <c r="C40" t="s">
        <v>1640</v>
      </c>
      <c r="D40" t="s">
        <v>253</v>
      </c>
      <c r="E40" t="s">
        <v>1645</v>
      </c>
      <c r="F40" t="s">
        <v>273</v>
      </c>
      <c r="G40" t="s">
        <v>275</v>
      </c>
      <c r="H40">
        <v>0</v>
      </c>
      <c r="K40" t="s">
        <v>457</v>
      </c>
      <c r="O40" t="s">
        <v>275</v>
      </c>
      <c r="P40" t="s">
        <v>492</v>
      </c>
      <c r="Q40" t="s">
        <v>501</v>
      </c>
      <c r="S40" t="s">
        <v>503</v>
      </c>
      <c r="T40" t="s">
        <v>508</v>
      </c>
      <c r="U40" t="s">
        <v>511</v>
      </c>
      <c r="V40">
        <v>11433</v>
      </c>
      <c r="W40" t="s">
        <v>532</v>
      </c>
      <c r="X40" t="s">
        <v>548</v>
      </c>
      <c r="Z40" t="s">
        <v>1876</v>
      </c>
      <c r="AA40" t="s">
        <v>2121</v>
      </c>
      <c r="AB40" t="s">
        <v>902</v>
      </c>
      <c r="AC40" t="s">
        <v>905</v>
      </c>
      <c r="AI40">
        <v>1</v>
      </c>
      <c r="AK40" t="s">
        <v>934</v>
      </c>
      <c r="AS40" t="s">
        <v>1061</v>
      </c>
      <c r="AT40">
        <v>2</v>
      </c>
      <c r="AU40">
        <v>1</v>
      </c>
      <c r="AV40" t="s">
        <v>273</v>
      </c>
      <c r="AY40" t="s">
        <v>273</v>
      </c>
      <c r="BB40">
        <v>0</v>
      </c>
      <c r="BC40">
        <v>0</v>
      </c>
      <c r="BD40">
        <v>0</v>
      </c>
      <c r="BE40">
        <v>0</v>
      </c>
      <c r="BF40" t="s">
        <v>1063</v>
      </c>
      <c r="BG40" t="s">
        <v>2442</v>
      </c>
      <c r="BH40">
        <v>35</v>
      </c>
      <c r="BI40" t="s">
        <v>1247</v>
      </c>
      <c r="BK40">
        <v>1909974</v>
      </c>
    </row>
    <row r="41" spans="1:64">
      <c r="A41" s="1">
        <f>HYPERLINK("https://lsnyc.legalserver.org/matter/dynamic-profile/view/1910980","19-1910980")</f>
        <v>0</v>
      </c>
      <c r="B41" t="s">
        <v>1356</v>
      </c>
      <c r="C41" t="s">
        <v>1640</v>
      </c>
      <c r="D41" t="s">
        <v>253</v>
      </c>
      <c r="E41" t="s">
        <v>1643</v>
      </c>
      <c r="F41" t="s">
        <v>273</v>
      </c>
      <c r="G41" t="s">
        <v>275</v>
      </c>
      <c r="H41">
        <v>92.25</v>
      </c>
      <c r="K41" t="s">
        <v>457</v>
      </c>
      <c r="P41" t="s">
        <v>492</v>
      </c>
      <c r="Q41" t="s">
        <v>501</v>
      </c>
      <c r="S41" t="s">
        <v>503</v>
      </c>
      <c r="T41" t="s">
        <v>507</v>
      </c>
      <c r="U41" t="s">
        <v>511</v>
      </c>
      <c r="V41">
        <v>11372</v>
      </c>
      <c r="W41" t="s">
        <v>523</v>
      </c>
      <c r="X41" t="s">
        <v>548</v>
      </c>
      <c r="Z41" t="s">
        <v>1877</v>
      </c>
      <c r="AA41" t="s">
        <v>2122</v>
      </c>
      <c r="AB41" t="s">
        <v>902</v>
      </c>
      <c r="AC41" t="s">
        <v>909</v>
      </c>
      <c r="AI41">
        <v>1.5</v>
      </c>
      <c r="AJ41" t="s">
        <v>931</v>
      </c>
      <c r="AK41" t="s">
        <v>938</v>
      </c>
      <c r="AT41">
        <v>0</v>
      </c>
      <c r="AU41">
        <v>2</v>
      </c>
      <c r="AV41" t="s">
        <v>273</v>
      </c>
      <c r="AY41" t="s">
        <v>273</v>
      </c>
      <c r="BB41">
        <v>0</v>
      </c>
      <c r="BC41">
        <v>0</v>
      </c>
      <c r="BD41">
        <v>0</v>
      </c>
      <c r="BE41">
        <v>0</v>
      </c>
      <c r="BF41" t="s">
        <v>1063</v>
      </c>
      <c r="BG41" t="s">
        <v>2443</v>
      </c>
      <c r="BH41">
        <v>61</v>
      </c>
      <c r="BI41" t="s">
        <v>1270</v>
      </c>
      <c r="BK41">
        <v>1911637</v>
      </c>
    </row>
    <row r="42" spans="1:64">
      <c r="A42" s="1">
        <f>HYPERLINK("https://lsnyc.legalserver.org/matter/dynamic-profile/view/1910873","19-1910873")</f>
        <v>0</v>
      </c>
      <c r="B42" t="s">
        <v>1357</v>
      </c>
      <c r="C42" t="s">
        <v>1640</v>
      </c>
      <c r="D42" t="s">
        <v>253</v>
      </c>
      <c r="E42" t="s">
        <v>1643</v>
      </c>
      <c r="F42" t="s">
        <v>273</v>
      </c>
      <c r="G42" t="s">
        <v>275</v>
      </c>
      <c r="H42">
        <v>0</v>
      </c>
      <c r="I42" t="s">
        <v>274</v>
      </c>
      <c r="K42" t="s">
        <v>451</v>
      </c>
      <c r="P42" t="s">
        <v>492</v>
      </c>
      <c r="Q42" t="s">
        <v>501</v>
      </c>
      <c r="S42" t="s">
        <v>503</v>
      </c>
      <c r="T42" t="s">
        <v>507</v>
      </c>
      <c r="U42" t="s">
        <v>511</v>
      </c>
      <c r="V42">
        <v>11354</v>
      </c>
      <c r="W42" t="s">
        <v>524</v>
      </c>
      <c r="X42" t="s">
        <v>548</v>
      </c>
      <c r="Y42" t="s">
        <v>275</v>
      </c>
      <c r="Z42" t="s">
        <v>1875</v>
      </c>
      <c r="AA42" t="s">
        <v>2120</v>
      </c>
      <c r="AB42" t="s">
        <v>902</v>
      </c>
      <c r="AC42" t="s">
        <v>905</v>
      </c>
      <c r="AF42" t="s">
        <v>923</v>
      </c>
      <c r="AI42">
        <v>6.72</v>
      </c>
      <c r="AK42" t="s">
        <v>933</v>
      </c>
      <c r="AL42" t="s">
        <v>274</v>
      </c>
      <c r="AT42">
        <v>3</v>
      </c>
      <c r="AU42">
        <v>3</v>
      </c>
      <c r="AV42" t="s">
        <v>273</v>
      </c>
      <c r="AY42" t="s">
        <v>273</v>
      </c>
      <c r="BB42">
        <v>0</v>
      </c>
      <c r="BC42">
        <v>0</v>
      </c>
      <c r="BD42">
        <v>0</v>
      </c>
      <c r="BE42">
        <v>0</v>
      </c>
      <c r="BF42" t="s">
        <v>1063</v>
      </c>
      <c r="BG42" t="s">
        <v>2441</v>
      </c>
      <c r="BH42">
        <v>19</v>
      </c>
      <c r="BI42" t="s">
        <v>1247</v>
      </c>
      <c r="BK42">
        <v>793290</v>
      </c>
      <c r="BL42" t="s">
        <v>275</v>
      </c>
    </row>
    <row r="43" spans="1:64">
      <c r="A43" s="1">
        <f>HYPERLINK("https://lsnyc.legalserver.org/matter/dynamic-profile/view/1910752","19-1910752")</f>
        <v>0</v>
      </c>
      <c r="B43" t="s">
        <v>1358</v>
      </c>
      <c r="C43" t="s">
        <v>1640</v>
      </c>
      <c r="D43" t="s">
        <v>253</v>
      </c>
      <c r="E43" t="s">
        <v>1644</v>
      </c>
      <c r="F43" t="s">
        <v>273</v>
      </c>
      <c r="G43" t="s">
        <v>275</v>
      </c>
      <c r="H43">
        <v>112.52</v>
      </c>
      <c r="K43" t="s">
        <v>1666</v>
      </c>
      <c r="P43" t="s">
        <v>492</v>
      </c>
      <c r="Q43" t="s">
        <v>501</v>
      </c>
      <c r="S43" t="s">
        <v>503</v>
      </c>
      <c r="T43" t="s">
        <v>508</v>
      </c>
      <c r="U43" t="s">
        <v>511</v>
      </c>
      <c r="V43">
        <v>11412</v>
      </c>
      <c r="W43" t="s">
        <v>520</v>
      </c>
      <c r="X43" t="s">
        <v>548</v>
      </c>
      <c r="Z43" t="s">
        <v>1878</v>
      </c>
      <c r="AA43" t="s">
        <v>843</v>
      </c>
      <c r="AB43" t="s">
        <v>902</v>
      </c>
      <c r="AC43" t="s">
        <v>905</v>
      </c>
      <c r="AF43" t="s">
        <v>923</v>
      </c>
      <c r="AI43">
        <v>3.15</v>
      </c>
      <c r="AJ43" t="s">
        <v>558</v>
      </c>
      <c r="AK43" t="s">
        <v>934</v>
      </c>
      <c r="AM43" t="s">
        <v>973</v>
      </c>
      <c r="AN43" t="s">
        <v>286</v>
      </c>
      <c r="AT43">
        <v>1</v>
      </c>
      <c r="AU43">
        <v>2</v>
      </c>
      <c r="AV43" t="s">
        <v>273</v>
      </c>
      <c r="AY43" t="s">
        <v>273</v>
      </c>
      <c r="BB43">
        <v>0</v>
      </c>
      <c r="BC43">
        <v>0</v>
      </c>
      <c r="BD43">
        <v>0</v>
      </c>
      <c r="BE43">
        <v>0</v>
      </c>
      <c r="BF43" t="s">
        <v>1063</v>
      </c>
      <c r="BG43" t="s">
        <v>2444</v>
      </c>
      <c r="BH43">
        <v>24</v>
      </c>
      <c r="BI43" t="s">
        <v>1259</v>
      </c>
      <c r="BK43">
        <v>1834234</v>
      </c>
    </row>
    <row r="44" spans="1:64">
      <c r="A44" s="1">
        <f>HYPERLINK("https://lsnyc.legalserver.org/matter/dynamic-profile/view/1910784","19-1910784")</f>
        <v>0</v>
      </c>
      <c r="B44" t="s">
        <v>1359</v>
      </c>
      <c r="C44" t="s">
        <v>1640</v>
      </c>
      <c r="D44" t="s">
        <v>253</v>
      </c>
      <c r="E44" t="s">
        <v>1643</v>
      </c>
      <c r="F44" t="s">
        <v>273</v>
      </c>
      <c r="G44" t="s">
        <v>275</v>
      </c>
      <c r="H44">
        <v>92.25</v>
      </c>
      <c r="I44" t="s">
        <v>274</v>
      </c>
      <c r="K44" t="s">
        <v>1666</v>
      </c>
      <c r="P44" t="s">
        <v>492</v>
      </c>
      <c r="Q44" t="s">
        <v>501</v>
      </c>
      <c r="S44" t="s">
        <v>503</v>
      </c>
      <c r="T44" t="s">
        <v>508</v>
      </c>
      <c r="U44" t="s">
        <v>511</v>
      </c>
      <c r="V44">
        <v>11432</v>
      </c>
      <c r="W44" t="s">
        <v>519</v>
      </c>
      <c r="X44" t="s">
        <v>556</v>
      </c>
      <c r="Z44" t="s">
        <v>1879</v>
      </c>
      <c r="AA44" t="s">
        <v>2123</v>
      </c>
      <c r="AB44" t="s">
        <v>902</v>
      </c>
      <c r="AC44" t="s">
        <v>905</v>
      </c>
      <c r="AF44" t="s">
        <v>926</v>
      </c>
      <c r="AI44">
        <v>18.2</v>
      </c>
      <c r="AK44" t="s">
        <v>943</v>
      </c>
      <c r="AL44" t="s">
        <v>274</v>
      </c>
      <c r="AS44" t="s">
        <v>1061</v>
      </c>
      <c r="AT44">
        <v>0</v>
      </c>
      <c r="AU44">
        <v>2</v>
      </c>
      <c r="AV44" t="s">
        <v>273</v>
      </c>
      <c r="AY44" t="s">
        <v>273</v>
      </c>
      <c r="BB44">
        <v>0</v>
      </c>
      <c r="BC44">
        <v>0</v>
      </c>
      <c r="BD44">
        <v>0</v>
      </c>
      <c r="BE44">
        <v>0</v>
      </c>
      <c r="BF44" t="s">
        <v>1063</v>
      </c>
      <c r="BG44" t="s">
        <v>2445</v>
      </c>
      <c r="BH44">
        <v>50</v>
      </c>
      <c r="BI44" t="s">
        <v>1270</v>
      </c>
      <c r="BK44">
        <v>1908719</v>
      </c>
    </row>
    <row r="45" spans="1:64">
      <c r="A45" s="1">
        <f>HYPERLINK("https://lsnyc.legalserver.org/matter/dynamic-profile/view/1910666","19-1910666")</f>
        <v>0</v>
      </c>
      <c r="B45" t="s">
        <v>1360</v>
      </c>
      <c r="C45" t="s">
        <v>1640</v>
      </c>
      <c r="D45" t="s">
        <v>253</v>
      </c>
      <c r="E45" t="s">
        <v>1645</v>
      </c>
      <c r="F45" t="s">
        <v>273</v>
      </c>
      <c r="G45" t="s">
        <v>275</v>
      </c>
      <c r="H45">
        <v>53.22</v>
      </c>
      <c r="I45" t="s">
        <v>274</v>
      </c>
      <c r="K45" t="s">
        <v>1667</v>
      </c>
      <c r="M45" t="s">
        <v>472</v>
      </c>
      <c r="N45" t="s">
        <v>282</v>
      </c>
      <c r="P45" t="s">
        <v>492</v>
      </c>
      <c r="Q45" t="s">
        <v>501</v>
      </c>
      <c r="S45" t="s">
        <v>503</v>
      </c>
      <c r="T45" t="s">
        <v>508</v>
      </c>
      <c r="U45" t="s">
        <v>511</v>
      </c>
      <c r="V45">
        <v>11412</v>
      </c>
      <c r="W45" t="s">
        <v>524</v>
      </c>
      <c r="X45" t="s">
        <v>549</v>
      </c>
      <c r="Z45" t="s">
        <v>1880</v>
      </c>
      <c r="AA45" t="s">
        <v>604</v>
      </c>
      <c r="AB45" t="s">
        <v>902</v>
      </c>
      <c r="AC45" t="s">
        <v>905</v>
      </c>
      <c r="AF45" t="s">
        <v>923</v>
      </c>
      <c r="AI45">
        <v>0.6</v>
      </c>
      <c r="AK45" t="s">
        <v>939</v>
      </c>
      <c r="AL45" t="s">
        <v>274</v>
      </c>
      <c r="AT45">
        <v>1</v>
      </c>
      <c r="AU45">
        <v>1</v>
      </c>
      <c r="AV45" t="s">
        <v>273</v>
      </c>
      <c r="AY45" t="s">
        <v>273</v>
      </c>
      <c r="BB45">
        <v>0</v>
      </c>
      <c r="BC45">
        <v>0</v>
      </c>
      <c r="BD45">
        <v>0</v>
      </c>
      <c r="BE45">
        <v>0</v>
      </c>
      <c r="BF45" t="s">
        <v>1063</v>
      </c>
      <c r="BG45" t="s">
        <v>2446</v>
      </c>
      <c r="BH45">
        <v>48</v>
      </c>
      <c r="BI45" t="s">
        <v>2724</v>
      </c>
      <c r="BK45">
        <v>1899003</v>
      </c>
    </row>
    <row r="46" spans="1:64">
      <c r="A46" s="1">
        <f>HYPERLINK("https://lsnyc.legalserver.org/matter/dynamic-profile/view/1910284","19-1910284")</f>
        <v>0</v>
      </c>
      <c r="B46" t="s">
        <v>1361</v>
      </c>
      <c r="C46" t="s">
        <v>1640</v>
      </c>
      <c r="D46" t="s">
        <v>253</v>
      </c>
      <c r="E46" t="s">
        <v>1649</v>
      </c>
      <c r="F46" t="s">
        <v>273</v>
      </c>
      <c r="G46" t="s">
        <v>275</v>
      </c>
      <c r="H46">
        <v>0</v>
      </c>
      <c r="I46" t="s">
        <v>274</v>
      </c>
      <c r="K46" t="s">
        <v>445</v>
      </c>
      <c r="Q46" t="s">
        <v>501</v>
      </c>
      <c r="S46" t="s">
        <v>503</v>
      </c>
      <c r="T46" t="s">
        <v>508</v>
      </c>
      <c r="U46" t="s">
        <v>511</v>
      </c>
      <c r="V46">
        <v>11373</v>
      </c>
      <c r="W46" t="s">
        <v>542</v>
      </c>
      <c r="X46" t="s">
        <v>548</v>
      </c>
      <c r="Z46" t="s">
        <v>1881</v>
      </c>
      <c r="AA46" t="s">
        <v>2124</v>
      </c>
      <c r="AB46" t="s">
        <v>902</v>
      </c>
      <c r="AC46" t="s">
        <v>906</v>
      </c>
      <c r="AF46" t="s">
        <v>923</v>
      </c>
      <c r="AI46">
        <v>12</v>
      </c>
      <c r="AK46" t="s">
        <v>949</v>
      </c>
      <c r="AL46" t="s">
        <v>274</v>
      </c>
      <c r="AT46">
        <v>2</v>
      </c>
      <c r="AU46">
        <v>1</v>
      </c>
      <c r="AV46" t="s">
        <v>273</v>
      </c>
      <c r="AY46" t="s">
        <v>273</v>
      </c>
      <c r="BB46">
        <v>0</v>
      </c>
      <c r="BC46">
        <v>0</v>
      </c>
      <c r="BD46">
        <v>0</v>
      </c>
      <c r="BE46">
        <v>0</v>
      </c>
      <c r="BF46" t="s">
        <v>1063</v>
      </c>
      <c r="BG46" t="s">
        <v>2447</v>
      </c>
      <c r="BH46">
        <v>46</v>
      </c>
      <c r="BI46" t="s">
        <v>1247</v>
      </c>
      <c r="BK46">
        <v>727167</v>
      </c>
    </row>
    <row r="47" spans="1:64">
      <c r="A47" s="1">
        <f>HYPERLINK("https://lsnyc.legalserver.org/matter/dynamic-profile/view/1910265","19-1910265")</f>
        <v>0</v>
      </c>
      <c r="B47" t="s">
        <v>1322</v>
      </c>
      <c r="C47" t="s">
        <v>1640</v>
      </c>
      <c r="D47" t="s">
        <v>253</v>
      </c>
      <c r="E47" t="s">
        <v>1643</v>
      </c>
      <c r="F47" t="s">
        <v>273</v>
      </c>
      <c r="G47" t="s">
        <v>275</v>
      </c>
      <c r="H47">
        <v>70.95999999999999</v>
      </c>
      <c r="I47" t="s">
        <v>274</v>
      </c>
      <c r="K47" t="s">
        <v>285</v>
      </c>
      <c r="P47" t="s">
        <v>492</v>
      </c>
      <c r="Q47" t="s">
        <v>502</v>
      </c>
      <c r="S47" t="s">
        <v>503</v>
      </c>
      <c r="T47" t="s">
        <v>507</v>
      </c>
      <c r="U47" t="s">
        <v>511</v>
      </c>
      <c r="V47">
        <v>11432</v>
      </c>
      <c r="W47" t="s">
        <v>519</v>
      </c>
      <c r="X47" t="s">
        <v>549</v>
      </c>
      <c r="Z47" t="s">
        <v>1846</v>
      </c>
      <c r="AA47" t="s">
        <v>2092</v>
      </c>
      <c r="AB47" t="s">
        <v>902</v>
      </c>
      <c r="AC47" t="s">
        <v>911</v>
      </c>
      <c r="AF47" t="s">
        <v>926</v>
      </c>
      <c r="AI47">
        <v>5.45</v>
      </c>
      <c r="AK47" t="s">
        <v>943</v>
      </c>
      <c r="AL47" t="s">
        <v>274</v>
      </c>
      <c r="AT47">
        <v>0</v>
      </c>
      <c r="AU47">
        <v>2</v>
      </c>
      <c r="AV47" t="s">
        <v>273</v>
      </c>
      <c r="AY47" t="s">
        <v>273</v>
      </c>
      <c r="BB47">
        <v>0</v>
      </c>
      <c r="BC47">
        <v>0</v>
      </c>
      <c r="BD47">
        <v>0</v>
      </c>
      <c r="BE47">
        <v>0</v>
      </c>
      <c r="BF47" t="s">
        <v>1063</v>
      </c>
      <c r="BG47" t="s">
        <v>2409</v>
      </c>
      <c r="BH47">
        <v>19</v>
      </c>
      <c r="BI47" t="s">
        <v>1267</v>
      </c>
      <c r="BK47">
        <v>1910922</v>
      </c>
    </row>
    <row r="48" spans="1:64">
      <c r="A48" s="1">
        <f>HYPERLINK("https://lsnyc.legalserver.org/matter/dynamic-profile/view/1910266","19-1910266")</f>
        <v>0</v>
      </c>
      <c r="B48" t="s">
        <v>1322</v>
      </c>
      <c r="C48" t="s">
        <v>1640</v>
      </c>
      <c r="D48" t="s">
        <v>253</v>
      </c>
      <c r="E48" t="s">
        <v>1643</v>
      </c>
      <c r="F48" t="s">
        <v>273</v>
      </c>
      <c r="G48" t="s">
        <v>275</v>
      </c>
      <c r="H48">
        <v>70.95999999999999</v>
      </c>
      <c r="I48" t="s">
        <v>274</v>
      </c>
      <c r="K48" t="s">
        <v>285</v>
      </c>
      <c r="P48" t="s">
        <v>492</v>
      </c>
      <c r="Q48" t="s">
        <v>502</v>
      </c>
      <c r="S48" t="s">
        <v>503</v>
      </c>
      <c r="T48" t="s">
        <v>507</v>
      </c>
      <c r="U48" t="s">
        <v>511</v>
      </c>
      <c r="V48">
        <v>11432</v>
      </c>
      <c r="W48" t="s">
        <v>529</v>
      </c>
      <c r="X48" t="s">
        <v>549</v>
      </c>
      <c r="Y48" t="s">
        <v>275</v>
      </c>
      <c r="Z48" t="s">
        <v>1846</v>
      </c>
      <c r="AA48" t="s">
        <v>2092</v>
      </c>
      <c r="AB48" t="s">
        <v>902</v>
      </c>
      <c r="AC48" t="s">
        <v>911</v>
      </c>
      <c r="AF48" t="s">
        <v>923</v>
      </c>
      <c r="AI48">
        <v>1.35</v>
      </c>
      <c r="AK48" t="s">
        <v>943</v>
      </c>
      <c r="AL48" t="s">
        <v>274</v>
      </c>
      <c r="AT48">
        <v>0</v>
      </c>
      <c r="AU48">
        <v>2</v>
      </c>
      <c r="AV48" t="s">
        <v>273</v>
      </c>
      <c r="AY48" t="s">
        <v>273</v>
      </c>
      <c r="BB48">
        <v>0</v>
      </c>
      <c r="BC48">
        <v>0</v>
      </c>
      <c r="BD48">
        <v>0</v>
      </c>
      <c r="BE48">
        <v>0</v>
      </c>
      <c r="BF48" t="s">
        <v>1063</v>
      </c>
      <c r="BG48" t="s">
        <v>2409</v>
      </c>
      <c r="BH48">
        <v>19</v>
      </c>
      <c r="BI48" t="s">
        <v>1267</v>
      </c>
      <c r="BK48">
        <v>1910922</v>
      </c>
      <c r="BL48" t="s">
        <v>275</v>
      </c>
    </row>
    <row r="49" spans="1:64">
      <c r="A49" s="1">
        <f>HYPERLINK("https://lsnyc.legalserver.org/matter/dynamic-profile/view/1909826","19-1909826")</f>
        <v>0</v>
      </c>
      <c r="B49" t="s">
        <v>1362</v>
      </c>
      <c r="C49" t="s">
        <v>1640</v>
      </c>
      <c r="D49" t="s">
        <v>253</v>
      </c>
      <c r="E49" t="s">
        <v>1643</v>
      </c>
      <c r="F49" t="s">
        <v>273</v>
      </c>
      <c r="G49" t="s">
        <v>275</v>
      </c>
      <c r="H49">
        <v>76.86</v>
      </c>
      <c r="I49" t="s">
        <v>274</v>
      </c>
      <c r="K49" t="s">
        <v>1668</v>
      </c>
      <c r="P49" t="s">
        <v>492</v>
      </c>
      <c r="Q49" t="s">
        <v>501</v>
      </c>
      <c r="S49" t="s">
        <v>503</v>
      </c>
      <c r="T49" t="s">
        <v>508</v>
      </c>
      <c r="U49" t="s">
        <v>511</v>
      </c>
      <c r="V49">
        <v>11691</v>
      </c>
      <c r="W49" t="s">
        <v>532</v>
      </c>
      <c r="X49" t="s">
        <v>548</v>
      </c>
      <c r="Z49" t="s">
        <v>1882</v>
      </c>
      <c r="AA49" t="s">
        <v>2125</v>
      </c>
      <c r="AB49" t="s">
        <v>902</v>
      </c>
      <c r="AC49" t="s">
        <v>905</v>
      </c>
      <c r="AF49" t="s">
        <v>923</v>
      </c>
      <c r="AI49">
        <v>2.75</v>
      </c>
      <c r="AK49" t="s">
        <v>941</v>
      </c>
      <c r="AL49" t="s">
        <v>274</v>
      </c>
      <c r="AT49">
        <v>0</v>
      </c>
      <c r="AU49">
        <v>1</v>
      </c>
      <c r="AV49" t="s">
        <v>273</v>
      </c>
      <c r="AY49" t="s">
        <v>273</v>
      </c>
      <c r="BB49">
        <v>0</v>
      </c>
      <c r="BC49">
        <v>0</v>
      </c>
      <c r="BD49">
        <v>0</v>
      </c>
      <c r="BE49">
        <v>0</v>
      </c>
      <c r="BF49" t="s">
        <v>1063</v>
      </c>
      <c r="BG49" t="s">
        <v>2448</v>
      </c>
      <c r="BH49">
        <v>41</v>
      </c>
      <c r="BI49" t="s">
        <v>1280</v>
      </c>
      <c r="BK49">
        <v>1902610</v>
      </c>
    </row>
    <row r="50" spans="1:64">
      <c r="A50" s="1">
        <f>HYPERLINK("https://lsnyc.legalserver.org/matter/dynamic-profile/view/1909564","19-1909564")</f>
        <v>0</v>
      </c>
      <c r="B50" t="s">
        <v>1363</v>
      </c>
      <c r="C50" t="s">
        <v>1640</v>
      </c>
      <c r="D50" t="s">
        <v>253</v>
      </c>
      <c r="E50" t="s">
        <v>1651</v>
      </c>
      <c r="F50" t="s">
        <v>273</v>
      </c>
      <c r="G50" t="s">
        <v>275</v>
      </c>
      <c r="H50">
        <v>0</v>
      </c>
      <c r="K50" t="s">
        <v>1669</v>
      </c>
      <c r="O50" t="s">
        <v>275</v>
      </c>
      <c r="P50" t="s">
        <v>495</v>
      </c>
      <c r="Q50" t="s">
        <v>501</v>
      </c>
      <c r="S50" t="s">
        <v>503</v>
      </c>
      <c r="T50" t="s">
        <v>507</v>
      </c>
      <c r="U50" t="s">
        <v>511</v>
      </c>
      <c r="V50">
        <v>11368</v>
      </c>
      <c r="W50" t="s">
        <v>529</v>
      </c>
      <c r="X50" t="s">
        <v>548</v>
      </c>
      <c r="Z50" t="s">
        <v>1883</v>
      </c>
      <c r="AA50" t="s">
        <v>2126</v>
      </c>
      <c r="AB50" t="s">
        <v>902</v>
      </c>
      <c r="AC50" t="s">
        <v>2357</v>
      </c>
      <c r="AF50" t="s">
        <v>928</v>
      </c>
      <c r="AI50">
        <v>2</v>
      </c>
      <c r="AT50">
        <v>1</v>
      </c>
      <c r="AU50">
        <v>1</v>
      </c>
      <c r="AV50" t="s">
        <v>273</v>
      </c>
      <c r="AY50" t="s">
        <v>273</v>
      </c>
      <c r="BB50">
        <v>0</v>
      </c>
      <c r="BC50">
        <v>0</v>
      </c>
      <c r="BD50">
        <v>0</v>
      </c>
      <c r="BE50">
        <v>0</v>
      </c>
      <c r="BF50" t="s">
        <v>1063</v>
      </c>
      <c r="BG50" t="s">
        <v>2449</v>
      </c>
      <c r="BH50">
        <v>17</v>
      </c>
      <c r="BI50" t="s">
        <v>1247</v>
      </c>
      <c r="BK50">
        <v>1910221</v>
      </c>
    </row>
    <row r="51" spans="1:64">
      <c r="A51" s="1">
        <f>HYPERLINK("https://lsnyc.legalserver.org/matter/dynamic-profile/view/1909575","19-1909575")</f>
        <v>0</v>
      </c>
      <c r="B51" t="s">
        <v>1364</v>
      </c>
      <c r="C51" t="s">
        <v>1640</v>
      </c>
      <c r="D51" t="s">
        <v>253</v>
      </c>
      <c r="E51" t="s">
        <v>1643</v>
      </c>
      <c r="F51" t="s">
        <v>273</v>
      </c>
      <c r="G51" t="s">
        <v>275</v>
      </c>
      <c r="H51">
        <v>99.44</v>
      </c>
      <c r="K51" t="s">
        <v>1669</v>
      </c>
      <c r="P51" t="s">
        <v>492</v>
      </c>
      <c r="Q51" t="s">
        <v>501</v>
      </c>
      <c r="S51" t="s">
        <v>503</v>
      </c>
      <c r="T51" t="s">
        <v>508</v>
      </c>
      <c r="U51" t="s">
        <v>511</v>
      </c>
      <c r="V51">
        <v>11385</v>
      </c>
      <c r="W51" t="s">
        <v>522</v>
      </c>
      <c r="X51" t="s">
        <v>548</v>
      </c>
      <c r="Z51" t="s">
        <v>1884</v>
      </c>
      <c r="AA51" t="s">
        <v>2127</v>
      </c>
      <c r="AB51" t="s">
        <v>902</v>
      </c>
      <c r="AC51" t="s">
        <v>905</v>
      </c>
      <c r="AI51">
        <v>0.67</v>
      </c>
      <c r="AT51">
        <v>2</v>
      </c>
      <c r="AU51">
        <v>3</v>
      </c>
      <c r="AV51" t="s">
        <v>273</v>
      </c>
      <c r="AY51" t="s">
        <v>273</v>
      </c>
      <c r="BB51">
        <v>0</v>
      </c>
      <c r="BC51">
        <v>0</v>
      </c>
      <c r="BD51">
        <v>0</v>
      </c>
      <c r="BE51">
        <v>0</v>
      </c>
      <c r="BF51" t="s">
        <v>1063</v>
      </c>
      <c r="BG51" t="s">
        <v>2450</v>
      </c>
      <c r="BH51">
        <v>30</v>
      </c>
      <c r="BI51" t="s">
        <v>1272</v>
      </c>
      <c r="BK51">
        <v>272454</v>
      </c>
    </row>
    <row r="52" spans="1:64">
      <c r="A52" s="1">
        <f>HYPERLINK("https://lsnyc.legalserver.org/matter/dynamic-profile/view/1909436","19-1909436")</f>
        <v>0</v>
      </c>
      <c r="B52" t="s">
        <v>1365</v>
      </c>
      <c r="C52" t="s">
        <v>1640</v>
      </c>
      <c r="D52" t="s">
        <v>253</v>
      </c>
      <c r="E52" t="s">
        <v>1646</v>
      </c>
      <c r="F52" t="s">
        <v>273</v>
      </c>
      <c r="G52" t="s">
        <v>275</v>
      </c>
      <c r="H52">
        <v>0</v>
      </c>
      <c r="I52" t="s">
        <v>274</v>
      </c>
      <c r="K52" t="s">
        <v>458</v>
      </c>
      <c r="P52" t="s">
        <v>492</v>
      </c>
      <c r="Q52" t="s">
        <v>501</v>
      </c>
      <c r="S52" t="s">
        <v>503</v>
      </c>
      <c r="T52" t="s">
        <v>508</v>
      </c>
      <c r="U52" t="s">
        <v>511</v>
      </c>
      <c r="V52">
        <v>11418</v>
      </c>
      <c r="W52" t="s">
        <v>1827</v>
      </c>
      <c r="X52" t="s">
        <v>548</v>
      </c>
      <c r="Z52" t="s">
        <v>1885</v>
      </c>
      <c r="AA52" t="s">
        <v>2128</v>
      </c>
      <c r="AB52" t="s">
        <v>902</v>
      </c>
      <c r="AC52" t="s">
        <v>906</v>
      </c>
      <c r="AF52" t="s">
        <v>923</v>
      </c>
      <c r="AI52">
        <v>6.67</v>
      </c>
      <c r="AJ52" t="s">
        <v>558</v>
      </c>
      <c r="AK52" t="s">
        <v>933</v>
      </c>
      <c r="AL52" t="s">
        <v>274</v>
      </c>
      <c r="AM52" t="s">
        <v>973</v>
      </c>
      <c r="AN52" t="s">
        <v>466</v>
      </c>
      <c r="AT52">
        <v>2</v>
      </c>
      <c r="AU52">
        <v>4</v>
      </c>
      <c r="AV52" t="s">
        <v>273</v>
      </c>
      <c r="AY52" t="s">
        <v>273</v>
      </c>
      <c r="BB52">
        <v>0</v>
      </c>
      <c r="BC52">
        <v>0</v>
      </c>
      <c r="BD52">
        <v>0</v>
      </c>
      <c r="BE52">
        <v>0</v>
      </c>
      <c r="BF52" t="s">
        <v>1063</v>
      </c>
      <c r="BG52" t="s">
        <v>2451</v>
      </c>
      <c r="BH52">
        <v>45</v>
      </c>
      <c r="BI52" t="s">
        <v>1247</v>
      </c>
      <c r="BK52">
        <v>85108</v>
      </c>
    </row>
    <row r="53" spans="1:64">
      <c r="A53" s="1">
        <f>HYPERLINK("https://lsnyc.legalserver.org/matter/dynamic-profile/view/1909446","19-1909446")</f>
        <v>0</v>
      </c>
      <c r="B53" t="s">
        <v>1366</v>
      </c>
      <c r="C53" t="s">
        <v>1640</v>
      </c>
      <c r="D53" t="s">
        <v>253</v>
      </c>
      <c r="E53" t="s">
        <v>1645</v>
      </c>
      <c r="F53" t="s">
        <v>273</v>
      </c>
      <c r="G53" t="s">
        <v>275</v>
      </c>
      <c r="H53">
        <v>50.63</v>
      </c>
      <c r="I53" t="s">
        <v>274</v>
      </c>
      <c r="K53" t="s">
        <v>458</v>
      </c>
      <c r="M53" t="s">
        <v>472</v>
      </c>
      <c r="N53" t="s">
        <v>1666</v>
      </c>
      <c r="P53" t="s">
        <v>492</v>
      </c>
      <c r="Q53" t="s">
        <v>501</v>
      </c>
      <c r="S53" t="s">
        <v>503</v>
      </c>
      <c r="T53" t="s">
        <v>508</v>
      </c>
      <c r="U53" t="s">
        <v>511</v>
      </c>
      <c r="V53">
        <v>11373</v>
      </c>
      <c r="W53" t="s">
        <v>524</v>
      </c>
      <c r="X53" t="s">
        <v>548</v>
      </c>
      <c r="Z53" t="s">
        <v>584</v>
      </c>
      <c r="AA53" t="s">
        <v>2129</v>
      </c>
      <c r="AB53" t="s">
        <v>902</v>
      </c>
      <c r="AC53" t="s">
        <v>908</v>
      </c>
      <c r="AF53" t="s">
        <v>923</v>
      </c>
      <c r="AI53">
        <v>3.52</v>
      </c>
      <c r="AK53" t="s">
        <v>941</v>
      </c>
      <c r="AL53" t="s">
        <v>274</v>
      </c>
      <c r="AS53" t="s">
        <v>1061</v>
      </c>
      <c r="AT53">
        <v>1</v>
      </c>
      <c r="AU53">
        <v>2</v>
      </c>
      <c r="AV53" t="s">
        <v>273</v>
      </c>
      <c r="AY53" t="s">
        <v>273</v>
      </c>
      <c r="BB53">
        <v>0</v>
      </c>
      <c r="BC53">
        <v>0</v>
      </c>
      <c r="BD53">
        <v>0</v>
      </c>
      <c r="BE53">
        <v>0</v>
      </c>
      <c r="BF53" t="s">
        <v>1063</v>
      </c>
      <c r="BG53" t="s">
        <v>2452</v>
      </c>
      <c r="BH53">
        <v>18</v>
      </c>
      <c r="BI53" t="s">
        <v>2730</v>
      </c>
      <c r="BK53">
        <v>1910103</v>
      </c>
    </row>
    <row r="54" spans="1:64">
      <c r="A54" s="1">
        <f>HYPERLINK("https://lsnyc.legalserver.org/matter/dynamic-profile/view/1909239","19-1909239")</f>
        <v>0</v>
      </c>
      <c r="B54" t="s">
        <v>1367</v>
      </c>
      <c r="C54" t="s">
        <v>1640</v>
      </c>
      <c r="D54" t="s">
        <v>253</v>
      </c>
      <c r="E54" t="s">
        <v>1645</v>
      </c>
      <c r="F54" t="s">
        <v>273</v>
      </c>
      <c r="G54" t="s">
        <v>275</v>
      </c>
      <c r="H54">
        <v>0</v>
      </c>
      <c r="I54" t="s">
        <v>274</v>
      </c>
      <c r="K54" t="s">
        <v>288</v>
      </c>
      <c r="M54" t="s">
        <v>472</v>
      </c>
      <c r="N54" t="s">
        <v>288</v>
      </c>
      <c r="P54" t="s">
        <v>492</v>
      </c>
      <c r="Q54" t="s">
        <v>501</v>
      </c>
      <c r="S54" t="s">
        <v>503</v>
      </c>
      <c r="T54" t="s">
        <v>508</v>
      </c>
      <c r="U54" t="s">
        <v>511</v>
      </c>
      <c r="V54">
        <v>11419</v>
      </c>
      <c r="W54" t="s">
        <v>520</v>
      </c>
      <c r="X54" t="s">
        <v>548</v>
      </c>
      <c r="Y54" t="s">
        <v>274</v>
      </c>
      <c r="Z54" t="s">
        <v>1886</v>
      </c>
      <c r="AA54" t="s">
        <v>2130</v>
      </c>
      <c r="AB54" t="s">
        <v>902</v>
      </c>
      <c r="AC54" t="s">
        <v>905</v>
      </c>
      <c r="AF54" t="s">
        <v>926</v>
      </c>
      <c r="AI54">
        <v>2.32</v>
      </c>
      <c r="AK54" t="s">
        <v>933</v>
      </c>
      <c r="AL54" t="s">
        <v>274</v>
      </c>
      <c r="AT54">
        <v>0</v>
      </c>
      <c r="AU54">
        <v>1</v>
      </c>
      <c r="AV54" t="s">
        <v>273</v>
      </c>
      <c r="AY54" t="s">
        <v>273</v>
      </c>
      <c r="BB54">
        <v>0</v>
      </c>
      <c r="BC54">
        <v>0</v>
      </c>
      <c r="BD54">
        <v>0</v>
      </c>
      <c r="BE54">
        <v>0</v>
      </c>
      <c r="BF54" t="s">
        <v>1063</v>
      </c>
      <c r="BG54" t="s">
        <v>2453</v>
      </c>
      <c r="BH54">
        <v>36</v>
      </c>
      <c r="BI54" t="s">
        <v>1247</v>
      </c>
      <c r="BK54">
        <v>1881140</v>
      </c>
    </row>
    <row r="55" spans="1:64">
      <c r="A55" s="1">
        <f>HYPERLINK("https://lsnyc.legalserver.org/matter/dynamic-profile/view/1909073","19-1909073")</f>
        <v>0</v>
      </c>
      <c r="B55" t="s">
        <v>1368</v>
      </c>
      <c r="C55" t="s">
        <v>1640</v>
      </c>
      <c r="D55" t="s">
        <v>253</v>
      </c>
      <c r="E55" t="s">
        <v>1646</v>
      </c>
      <c r="F55" t="s">
        <v>273</v>
      </c>
      <c r="G55" t="s">
        <v>275</v>
      </c>
      <c r="H55">
        <v>67.51000000000001</v>
      </c>
      <c r="K55" t="s">
        <v>289</v>
      </c>
      <c r="P55" t="s">
        <v>492</v>
      </c>
      <c r="Q55" t="s">
        <v>501</v>
      </c>
      <c r="S55" t="s">
        <v>503</v>
      </c>
      <c r="T55" t="s">
        <v>508</v>
      </c>
      <c r="U55" t="s">
        <v>511</v>
      </c>
      <c r="V55">
        <v>11369</v>
      </c>
      <c r="W55" t="s">
        <v>544</v>
      </c>
      <c r="X55" t="s">
        <v>548</v>
      </c>
      <c r="Z55" t="s">
        <v>1887</v>
      </c>
      <c r="AA55" t="s">
        <v>2131</v>
      </c>
      <c r="AB55" t="s">
        <v>902</v>
      </c>
      <c r="AC55" t="s">
        <v>905</v>
      </c>
      <c r="AI55">
        <v>5.45</v>
      </c>
      <c r="AK55" t="s">
        <v>949</v>
      </c>
      <c r="AT55">
        <v>1</v>
      </c>
      <c r="AU55">
        <v>2</v>
      </c>
      <c r="AV55" t="s">
        <v>273</v>
      </c>
      <c r="AY55" t="s">
        <v>273</v>
      </c>
      <c r="BB55">
        <v>0</v>
      </c>
      <c r="BC55">
        <v>0</v>
      </c>
      <c r="BD55">
        <v>0</v>
      </c>
      <c r="BE55">
        <v>0</v>
      </c>
      <c r="BF55" t="s">
        <v>1063</v>
      </c>
      <c r="BG55" t="s">
        <v>2454</v>
      </c>
      <c r="BH55">
        <v>34</v>
      </c>
      <c r="BI55" t="s">
        <v>1253</v>
      </c>
      <c r="BK55">
        <v>778852</v>
      </c>
    </row>
    <row r="56" spans="1:64">
      <c r="A56" s="1">
        <f>HYPERLINK("https://lsnyc.legalserver.org/matter/dynamic-profile/view/1908876","19-1908876")</f>
        <v>0</v>
      </c>
      <c r="B56" t="s">
        <v>1369</v>
      </c>
      <c r="C56" t="s">
        <v>1640</v>
      </c>
      <c r="D56" t="s">
        <v>253</v>
      </c>
      <c r="E56" t="s">
        <v>1643</v>
      </c>
      <c r="F56" t="s">
        <v>273</v>
      </c>
      <c r="G56" t="s">
        <v>275</v>
      </c>
      <c r="H56">
        <v>21.29</v>
      </c>
      <c r="I56" t="s">
        <v>274</v>
      </c>
      <c r="K56" t="s">
        <v>469</v>
      </c>
      <c r="P56" t="s">
        <v>492</v>
      </c>
      <c r="Q56" t="s">
        <v>501</v>
      </c>
      <c r="S56" t="s">
        <v>503</v>
      </c>
      <c r="T56" t="s">
        <v>508</v>
      </c>
      <c r="U56" t="s">
        <v>511</v>
      </c>
      <c r="V56">
        <v>11422</v>
      </c>
      <c r="W56" t="s">
        <v>536</v>
      </c>
      <c r="X56" t="s">
        <v>549</v>
      </c>
      <c r="Z56" t="s">
        <v>1888</v>
      </c>
      <c r="AA56" t="s">
        <v>2132</v>
      </c>
      <c r="AB56" t="s">
        <v>902</v>
      </c>
      <c r="AC56" t="s">
        <v>905</v>
      </c>
      <c r="AF56" t="s">
        <v>923</v>
      </c>
      <c r="AI56">
        <v>4</v>
      </c>
      <c r="AK56" t="s">
        <v>939</v>
      </c>
      <c r="AL56" t="s">
        <v>274</v>
      </c>
      <c r="AT56">
        <v>1</v>
      </c>
      <c r="AU56">
        <v>1</v>
      </c>
      <c r="AV56" t="s">
        <v>273</v>
      </c>
      <c r="AY56" t="s">
        <v>273</v>
      </c>
      <c r="BB56">
        <v>0</v>
      </c>
      <c r="BC56">
        <v>0</v>
      </c>
      <c r="BD56">
        <v>0</v>
      </c>
      <c r="BE56">
        <v>0</v>
      </c>
      <c r="BF56" t="s">
        <v>1063</v>
      </c>
      <c r="BG56" t="s">
        <v>2455</v>
      </c>
      <c r="BH56">
        <v>42</v>
      </c>
      <c r="BI56" t="s">
        <v>2731</v>
      </c>
      <c r="BK56">
        <v>829741</v>
      </c>
    </row>
    <row r="57" spans="1:64">
      <c r="A57" s="1">
        <f>HYPERLINK("https://lsnyc.legalserver.org/matter/dynamic-profile/view/1909797","19-1909797")</f>
        <v>0</v>
      </c>
      <c r="B57" t="s">
        <v>1370</v>
      </c>
      <c r="C57" t="s">
        <v>1640</v>
      </c>
      <c r="D57" t="s">
        <v>253</v>
      </c>
      <c r="E57" t="s">
        <v>1647</v>
      </c>
      <c r="F57" t="s">
        <v>273</v>
      </c>
      <c r="G57" t="s">
        <v>275</v>
      </c>
      <c r="H57">
        <v>102.09</v>
      </c>
      <c r="K57" t="s">
        <v>469</v>
      </c>
      <c r="P57" t="s">
        <v>492</v>
      </c>
      <c r="Q57" t="s">
        <v>501</v>
      </c>
      <c r="S57" t="s">
        <v>503</v>
      </c>
      <c r="T57" t="s">
        <v>507</v>
      </c>
      <c r="U57" t="s">
        <v>511</v>
      </c>
      <c r="V57">
        <v>11432</v>
      </c>
      <c r="W57" t="s">
        <v>518</v>
      </c>
      <c r="X57" t="s">
        <v>548</v>
      </c>
      <c r="Z57" t="s">
        <v>613</v>
      </c>
      <c r="AA57" t="s">
        <v>2133</v>
      </c>
      <c r="AB57" t="s">
        <v>902</v>
      </c>
      <c r="AC57" t="s">
        <v>905</v>
      </c>
      <c r="AF57" t="s">
        <v>926</v>
      </c>
      <c r="AI57">
        <v>5.25</v>
      </c>
      <c r="AJ57" t="s">
        <v>558</v>
      </c>
      <c r="AK57" t="s">
        <v>934</v>
      </c>
      <c r="AT57">
        <v>3</v>
      </c>
      <c r="AU57">
        <v>2</v>
      </c>
      <c r="AV57" t="s">
        <v>273</v>
      </c>
      <c r="AY57" t="s">
        <v>273</v>
      </c>
      <c r="BB57">
        <v>0</v>
      </c>
      <c r="BC57">
        <v>0</v>
      </c>
      <c r="BD57">
        <v>0</v>
      </c>
      <c r="BE57">
        <v>0</v>
      </c>
      <c r="BF57" t="s">
        <v>1063</v>
      </c>
      <c r="BG57" t="s">
        <v>2456</v>
      </c>
      <c r="BH57">
        <v>40</v>
      </c>
      <c r="BI57" t="s">
        <v>2732</v>
      </c>
      <c r="BK57">
        <v>1884111</v>
      </c>
    </row>
    <row r="58" spans="1:64">
      <c r="A58" s="1">
        <f>HYPERLINK("https://lsnyc.legalserver.org/matter/dynamic-profile/view/1909694","19-1909694")</f>
        <v>0</v>
      </c>
      <c r="B58" t="s">
        <v>1371</v>
      </c>
      <c r="C58" t="s">
        <v>1640</v>
      </c>
      <c r="D58" t="s">
        <v>253</v>
      </c>
      <c r="E58" t="s">
        <v>1647</v>
      </c>
      <c r="F58" t="s">
        <v>273</v>
      </c>
      <c r="G58" t="s">
        <v>275</v>
      </c>
      <c r="H58">
        <v>199.36</v>
      </c>
      <c r="I58" t="s">
        <v>274</v>
      </c>
      <c r="K58" t="s">
        <v>450</v>
      </c>
      <c r="M58" t="s">
        <v>471</v>
      </c>
      <c r="N58" t="s">
        <v>490</v>
      </c>
      <c r="O58" t="s">
        <v>275</v>
      </c>
      <c r="P58" t="s">
        <v>492</v>
      </c>
      <c r="Q58" t="s">
        <v>502</v>
      </c>
      <c r="S58" t="s">
        <v>503</v>
      </c>
      <c r="T58" t="s">
        <v>507</v>
      </c>
      <c r="U58" t="s">
        <v>511</v>
      </c>
      <c r="V58">
        <v>11435</v>
      </c>
      <c r="W58" t="s">
        <v>518</v>
      </c>
      <c r="X58" t="s">
        <v>548</v>
      </c>
      <c r="Y58" t="s">
        <v>274</v>
      </c>
      <c r="Z58" t="s">
        <v>1889</v>
      </c>
      <c r="AA58" t="s">
        <v>2134</v>
      </c>
      <c r="AB58" t="s">
        <v>902</v>
      </c>
      <c r="AC58" t="s">
        <v>905</v>
      </c>
      <c r="AF58" t="s">
        <v>926</v>
      </c>
      <c r="AI58">
        <v>19.72</v>
      </c>
      <c r="AJ58" t="s">
        <v>558</v>
      </c>
      <c r="AK58" t="s">
        <v>936</v>
      </c>
      <c r="AL58" t="s">
        <v>274</v>
      </c>
      <c r="AT58">
        <v>5</v>
      </c>
      <c r="AU58">
        <v>3</v>
      </c>
      <c r="AV58" t="s">
        <v>273</v>
      </c>
      <c r="AY58" t="s">
        <v>273</v>
      </c>
      <c r="BB58">
        <v>0</v>
      </c>
      <c r="BC58">
        <v>0</v>
      </c>
      <c r="BD58">
        <v>0</v>
      </c>
      <c r="BE58">
        <v>0</v>
      </c>
      <c r="BF58" t="s">
        <v>1063</v>
      </c>
      <c r="BG58" t="s">
        <v>2457</v>
      </c>
      <c r="BH58">
        <v>18</v>
      </c>
      <c r="BI58" t="s">
        <v>2733</v>
      </c>
      <c r="BK58">
        <v>1910351</v>
      </c>
      <c r="BL58" t="s">
        <v>274</v>
      </c>
    </row>
    <row r="59" spans="1:64">
      <c r="A59" s="1">
        <f>HYPERLINK("https://lsnyc.legalserver.org/matter/dynamic-profile/view/1908628","19-1908628")</f>
        <v>0</v>
      </c>
      <c r="B59" t="s">
        <v>1372</v>
      </c>
      <c r="C59" t="s">
        <v>1640</v>
      </c>
      <c r="D59" t="s">
        <v>253</v>
      </c>
      <c r="E59" t="s">
        <v>1648</v>
      </c>
      <c r="F59" t="s">
        <v>273</v>
      </c>
      <c r="G59" t="s">
        <v>275</v>
      </c>
      <c r="H59">
        <v>112.52</v>
      </c>
      <c r="I59" t="s">
        <v>274</v>
      </c>
      <c r="K59" t="s">
        <v>1670</v>
      </c>
      <c r="Q59" t="s">
        <v>501</v>
      </c>
      <c r="S59" t="s">
        <v>503</v>
      </c>
      <c r="T59" t="s">
        <v>507</v>
      </c>
      <c r="U59" t="s">
        <v>511</v>
      </c>
      <c r="V59">
        <v>11354</v>
      </c>
      <c r="W59" t="s">
        <v>520</v>
      </c>
      <c r="X59" t="s">
        <v>1837</v>
      </c>
      <c r="Y59" t="s">
        <v>275</v>
      </c>
      <c r="Z59" t="s">
        <v>1890</v>
      </c>
      <c r="AA59" t="s">
        <v>2135</v>
      </c>
      <c r="AB59" t="s">
        <v>902</v>
      </c>
      <c r="AC59" t="s">
        <v>908</v>
      </c>
      <c r="AF59" t="s">
        <v>923</v>
      </c>
      <c r="AI59">
        <v>5.42</v>
      </c>
      <c r="AK59" t="s">
        <v>2364</v>
      </c>
      <c r="AL59" t="s">
        <v>274</v>
      </c>
      <c r="AM59" t="s">
        <v>973</v>
      </c>
      <c r="AN59" t="s">
        <v>283</v>
      </c>
      <c r="AT59">
        <v>1</v>
      </c>
      <c r="AU59">
        <v>2</v>
      </c>
      <c r="AV59" t="s">
        <v>273</v>
      </c>
      <c r="AY59" t="s">
        <v>273</v>
      </c>
      <c r="BB59">
        <v>0</v>
      </c>
      <c r="BC59">
        <v>0</v>
      </c>
      <c r="BD59">
        <v>0</v>
      </c>
      <c r="BE59">
        <v>0</v>
      </c>
      <c r="BF59" t="s">
        <v>1063</v>
      </c>
      <c r="BG59" t="s">
        <v>2458</v>
      </c>
      <c r="BH59">
        <v>35</v>
      </c>
      <c r="BI59" t="s">
        <v>1259</v>
      </c>
      <c r="BK59">
        <v>1863530</v>
      </c>
      <c r="BL59" t="s">
        <v>275</v>
      </c>
    </row>
    <row r="60" spans="1:64">
      <c r="A60" s="1">
        <f>HYPERLINK("https://lsnyc.legalserver.org/matter/dynamic-profile/view/1909558","19-1909558")</f>
        <v>0</v>
      </c>
      <c r="B60" t="s">
        <v>1364</v>
      </c>
      <c r="C60" t="s">
        <v>1640</v>
      </c>
      <c r="D60" t="s">
        <v>253</v>
      </c>
      <c r="E60" t="s">
        <v>1643</v>
      </c>
      <c r="F60" t="s">
        <v>273</v>
      </c>
      <c r="G60" t="s">
        <v>275</v>
      </c>
      <c r="H60">
        <v>99.44</v>
      </c>
      <c r="K60" t="s">
        <v>1670</v>
      </c>
      <c r="P60" t="s">
        <v>492</v>
      </c>
      <c r="Q60" t="s">
        <v>501</v>
      </c>
      <c r="S60" t="s">
        <v>503</v>
      </c>
      <c r="T60" t="s">
        <v>508</v>
      </c>
      <c r="U60" t="s">
        <v>511</v>
      </c>
      <c r="V60">
        <v>11385</v>
      </c>
      <c r="W60" t="s">
        <v>518</v>
      </c>
      <c r="X60" t="s">
        <v>548</v>
      </c>
      <c r="Z60" t="s">
        <v>1884</v>
      </c>
      <c r="AA60" t="s">
        <v>2127</v>
      </c>
      <c r="AB60" t="s">
        <v>902</v>
      </c>
      <c r="AC60" t="s">
        <v>905</v>
      </c>
      <c r="AF60" t="s">
        <v>928</v>
      </c>
      <c r="AI60">
        <v>2.25</v>
      </c>
      <c r="AK60" t="s">
        <v>941</v>
      </c>
      <c r="AS60" t="s">
        <v>1061</v>
      </c>
      <c r="AT60">
        <v>2</v>
      </c>
      <c r="AU60">
        <v>3</v>
      </c>
      <c r="AV60" t="s">
        <v>273</v>
      </c>
      <c r="AY60" t="s">
        <v>273</v>
      </c>
      <c r="BB60">
        <v>0</v>
      </c>
      <c r="BC60">
        <v>0</v>
      </c>
      <c r="BD60">
        <v>0</v>
      </c>
      <c r="BE60">
        <v>0</v>
      </c>
      <c r="BF60" t="s">
        <v>1063</v>
      </c>
      <c r="BG60" t="s">
        <v>2450</v>
      </c>
      <c r="BH60">
        <v>30</v>
      </c>
      <c r="BI60" t="s">
        <v>1272</v>
      </c>
      <c r="BK60">
        <v>272454</v>
      </c>
    </row>
    <row r="61" spans="1:64">
      <c r="A61" s="1">
        <f>HYPERLINK("https://lsnyc.legalserver.org/matter/dynamic-profile/view/1908581","19-1908581")</f>
        <v>0</v>
      </c>
      <c r="B61" t="s">
        <v>1373</v>
      </c>
      <c r="C61" t="s">
        <v>1640</v>
      </c>
      <c r="D61" t="s">
        <v>253</v>
      </c>
      <c r="E61" t="s">
        <v>1643</v>
      </c>
      <c r="F61" t="s">
        <v>273</v>
      </c>
      <c r="G61" t="s">
        <v>275</v>
      </c>
      <c r="H61">
        <v>92.25</v>
      </c>
      <c r="I61" t="s">
        <v>274</v>
      </c>
      <c r="K61" t="s">
        <v>1671</v>
      </c>
      <c r="P61" t="s">
        <v>492</v>
      </c>
      <c r="Q61" t="s">
        <v>502</v>
      </c>
      <c r="S61" t="s">
        <v>503</v>
      </c>
      <c r="T61" t="s">
        <v>508</v>
      </c>
      <c r="U61" t="s">
        <v>511</v>
      </c>
      <c r="V61">
        <v>11432</v>
      </c>
      <c r="W61" t="s">
        <v>529</v>
      </c>
      <c r="X61" t="s">
        <v>548</v>
      </c>
      <c r="Z61" t="s">
        <v>1891</v>
      </c>
      <c r="AA61" t="s">
        <v>2136</v>
      </c>
      <c r="AB61" t="s">
        <v>902</v>
      </c>
      <c r="AC61" t="s">
        <v>905</v>
      </c>
      <c r="AF61" t="s">
        <v>923</v>
      </c>
      <c r="AI61">
        <v>1</v>
      </c>
      <c r="AK61" t="s">
        <v>934</v>
      </c>
      <c r="AL61" t="s">
        <v>274</v>
      </c>
      <c r="AT61">
        <v>1</v>
      </c>
      <c r="AU61">
        <v>1</v>
      </c>
      <c r="AV61" t="s">
        <v>273</v>
      </c>
      <c r="AY61" t="s">
        <v>273</v>
      </c>
      <c r="BB61">
        <v>0</v>
      </c>
      <c r="BC61">
        <v>0</v>
      </c>
      <c r="BD61">
        <v>0</v>
      </c>
      <c r="BE61">
        <v>0</v>
      </c>
      <c r="BF61" t="s">
        <v>1063</v>
      </c>
      <c r="BG61" t="s">
        <v>2459</v>
      </c>
      <c r="BH61">
        <v>8</v>
      </c>
      <c r="BI61" t="s">
        <v>1270</v>
      </c>
      <c r="BK61">
        <v>1888261</v>
      </c>
    </row>
    <row r="62" spans="1:64">
      <c r="A62" s="1">
        <f>HYPERLINK("https://lsnyc.legalserver.org/matter/dynamic-profile/view/1908582","19-1908582")</f>
        <v>0</v>
      </c>
      <c r="B62" t="s">
        <v>1373</v>
      </c>
      <c r="C62" t="s">
        <v>1640</v>
      </c>
      <c r="D62" t="s">
        <v>253</v>
      </c>
      <c r="E62" t="s">
        <v>1643</v>
      </c>
      <c r="F62" t="s">
        <v>273</v>
      </c>
      <c r="G62" t="s">
        <v>275</v>
      </c>
      <c r="H62">
        <v>92.25</v>
      </c>
      <c r="I62" t="s">
        <v>274</v>
      </c>
      <c r="K62" t="s">
        <v>1671</v>
      </c>
      <c r="P62" t="s">
        <v>492</v>
      </c>
      <c r="Q62" t="s">
        <v>502</v>
      </c>
      <c r="S62" t="s">
        <v>506</v>
      </c>
      <c r="T62" t="s">
        <v>508</v>
      </c>
      <c r="U62" t="s">
        <v>1821</v>
      </c>
      <c r="V62">
        <v>11432</v>
      </c>
      <c r="W62" t="s">
        <v>1828</v>
      </c>
      <c r="X62" t="s">
        <v>548</v>
      </c>
      <c r="Y62" t="s">
        <v>275</v>
      </c>
      <c r="Z62" t="s">
        <v>1891</v>
      </c>
      <c r="AA62" t="s">
        <v>2136</v>
      </c>
      <c r="AB62" t="s">
        <v>902</v>
      </c>
      <c r="AC62" t="s">
        <v>905</v>
      </c>
      <c r="AF62" t="s">
        <v>924</v>
      </c>
      <c r="AI62">
        <v>14.75</v>
      </c>
      <c r="AK62" t="s">
        <v>934</v>
      </c>
      <c r="AL62" t="s">
        <v>274</v>
      </c>
      <c r="AT62">
        <v>1</v>
      </c>
      <c r="AU62">
        <v>1</v>
      </c>
      <c r="AV62" t="s">
        <v>273</v>
      </c>
      <c r="AY62" t="s">
        <v>273</v>
      </c>
      <c r="BB62">
        <v>0</v>
      </c>
      <c r="BC62">
        <v>0</v>
      </c>
      <c r="BD62">
        <v>0</v>
      </c>
      <c r="BE62">
        <v>0</v>
      </c>
      <c r="BF62" t="s">
        <v>1063</v>
      </c>
      <c r="BG62" t="s">
        <v>2459</v>
      </c>
      <c r="BH62">
        <v>8</v>
      </c>
      <c r="BI62" t="s">
        <v>1270</v>
      </c>
      <c r="BK62">
        <v>1888261</v>
      </c>
      <c r="BL62" t="s">
        <v>274</v>
      </c>
    </row>
    <row r="63" spans="1:64">
      <c r="A63" s="1">
        <f>HYPERLINK("https://lsnyc.legalserver.org/matter/dynamic-profile/view/1908381","19-1908381")</f>
        <v>0</v>
      </c>
      <c r="B63" t="s">
        <v>1374</v>
      </c>
      <c r="C63" t="s">
        <v>1640</v>
      </c>
      <c r="D63" t="s">
        <v>253</v>
      </c>
      <c r="E63" t="s">
        <v>1643</v>
      </c>
      <c r="F63" t="s">
        <v>273</v>
      </c>
      <c r="G63" t="s">
        <v>275</v>
      </c>
      <c r="H63">
        <v>92.25</v>
      </c>
      <c r="I63" t="s">
        <v>274</v>
      </c>
      <c r="K63" t="s">
        <v>455</v>
      </c>
      <c r="P63" t="s">
        <v>492</v>
      </c>
      <c r="Q63" t="s">
        <v>501</v>
      </c>
      <c r="S63" t="s">
        <v>503</v>
      </c>
      <c r="T63" t="s">
        <v>508</v>
      </c>
      <c r="U63" t="s">
        <v>511</v>
      </c>
      <c r="V63">
        <v>11373</v>
      </c>
      <c r="W63" t="s">
        <v>518</v>
      </c>
      <c r="X63" t="s">
        <v>548</v>
      </c>
      <c r="Z63" t="s">
        <v>593</v>
      </c>
      <c r="AA63" t="s">
        <v>2137</v>
      </c>
      <c r="AB63" t="s">
        <v>902</v>
      </c>
      <c r="AC63" t="s">
        <v>905</v>
      </c>
      <c r="AF63" t="s">
        <v>926</v>
      </c>
      <c r="AI63">
        <v>4</v>
      </c>
      <c r="AK63" t="s">
        <v>933</v>
      </c>
      <c r="AL63" t="s">
        <v>274</v>
      </c>
      <c r="AT63">
        <v>1</v>
      </c>
      <c r="AU63">
        <v>1</v>
      </c>
      <c r="AV63" t="s">
        <v>273</v>
      </c>
      <c r="AY63" t="s">
        <v>273</v>
      </c>
      <c r="BB63">
        <v>0</v>
      </c>
      <c r="BC63">
        <v>0</v>
      </c>
      <c r="BD63">
        <v>0</v>
      </c>
      <c r="BE63">
        <v>0</v>
      </c>
      <c r="BF63" t="s">
        <v>1063</v>
      </c>
      <c r="BG63" t="s">
        <v>2460</v>
      </c>
      <c r="BH63">
        <v>49</v>
      </c>
      <c r="BI63" t="s">
        <v>1270</v>
      </c>
      <c r="BK63">
        <v>1908227</v>
      </c>
    </row>
    <row r="64" spans="1:64">
      <c r="A64" s="1">
        <f>HYPERLINK("https://lsnyc.legalserver.org/matter/dynamic-profile/view/1908124","19-1908124")</f>
        <v>0</v>
      </c>
      <c r="B64" t="s">
        <v>1375</v>
      </c>
      <c r="C64" t="s">
        <v>1640</v>
      </c>
      <c r="D64" t="s">
        <v>253</v>
      </c>
      <c r="E64" t="s">
        <v>1650</v>
      </c>
      <c r="F64" t="s">
        <v>273</v>
      </c>
      <c r="G64" t="s">
        <v>275</v>
      </c>
      <c r="H64">
        <v>169.48</v>
      </c>
      <c r="I64" t="s">
        <v>274</v>
      </c>
      <c r="K64" t="s">
        <v>1672</v>
      </c>
      <c r="O64" t="s">
        <v>274</v>
      </c>
      <c r="Q64" t="s">
        <v>501</v>
      </c>
      <c r="S64" t="s">
        <v>503</v>
      </c>
      <c r="T64" t="s">
        <v>508</v>
      </c>
      <c r="U64" t="s">
        <v>511</v>
      </c>
      <c r="V64">
        <v>11413</v>
      </c>
      <c r="W64" t="s">
        <v>517</v>
      </c>
      <c r="X64" t="s">
        <v>549</v>
      </c>
      <c r="Y64" t="s">
        <v>275</v>
      </c>
      <c r="Z64" t="s">
        <v>692</v>
      </c>
      <c r="AA64" t="s">
        <v>747</v>
      </c>
      <c r="AB64" t="s">
        <v>902</v>
      </c>
      <c r="AC64" t="s">
        <v>904</v>
      </c>
      <c r="AF64" t="s">
        <v>923</v>
      </c>
      <c r="AI64">
        <v>1</v>
      </c>
      <c r="AJ64" t="s">
        <v>558</v>
      </c>
      <c r="AK64" t="s">
        <v>2365</v>
      </c>
      <c r="AL64" t="s">
        <v>274</v>
      </c>
      <c r="AT64">
        <v>0</v>
      </c>
      <c r="AU64">
        <v>1</v>
      </c>
      <c r="AV64" t="s">
        <v>273</v>
      </c>
      <c r="AY64" t="s">
        <v>273</v>
      </c>
      <c r="BB64">
        <v>0</v>
      </c>
      <c r="BC64">
        <v>0</v>
      </c>
      <c r="BD64">
        <v>0</v>
      </c>
      <c r="BE64">
        <v>0</v>
      </c>
      <c r="BF64" t="s">
        <v>1063</v>
      </c>
      <c r="BG64" t="s">
        <v>2461</v>
      </c>
      <c r="BH64">
        <v>60</v>
      </c>
      <c r="BI64" t="s">
        <v>2734</v>
      </c>
      <c r="BK64">
        <v>1908781</v>
      </c>
    </row>
    <row r="65" spans="1:63">
      <c r="A65" s="1">
        <f>HYPERLINK("https://lsnyc.legalserver.org/matter/dynamic-profile/view/1908062","19-1908062")</f>
        <v>0</v>
      </c>
      <c r="B65" t="s">
        <v>1359</v>
      </c>
      <c r="C65" t="s">
        <v>1640</v>
      </c>
      <c r="D65" t="s">
        <v>253</v>
      </c>
      <c r="E65" t="s">
        <v>1643</v>
      </c>
      <c r="F65" t="s">
        <v>273</v>
      </c>
      <c r="G65" t="s">
        <v>275</v>
      </c>
      <c r="H65">
        <v>61.5</v>
      </c>
      <c r="I65" t="s">
        <v>274</v>
      </c>
      <c r="K65" t="s">
        <v>1673</v>
      </c>
      <c r="P65" t="s">
        <v>492</v>
      </c>
      <c r="Q65" t="s">
        <v>501</v>
      </c>
      <c r="R65" t="s">
        <v>1816</v>
      </c>
      <c r="S65" t="s">
        <v>503</v>
      </c>
      <c r="T65" t="s">
        <v>508</v>
      </c>
      <c r="U65" t="s">
        <v>511</v>
      </c>
      <c r="V65">
        <v>11432</v>
      </c>
      <c r="W65" t="s">
        <v>518</v>
      </c>
      <c r="X65" t="s">
        <v>556</v>
      </c>
      <c r="Z65" t="s">
        <v>1879</v>
      </c>
      <c r="AA65" t="s">
        <v>2123</v>
      </c>
      <c r="AB65" t="s">
        <v>902</v>
      </c>
      <c r="AC65" t="s">
        <v>905</v>
      </c>
      <c r="AF65" t="s">
        <v>926</v>
      </c>
      <c r="AI65">
        <v>7.3</v>
      </c>
      <c r="AK65" t="s">
        <v>943</v>
      </c>
      <c r="AL65" t="s">
        <v>274</v>
      </c>
      <c r="AT65">
        <v>0</v>
      </c>
      <c r="AU65">
        <v>2</v>
      </c>
      <c r="AV65" t="s">
        <v>273</v>
      </c>
      <c r="AY65" t="s">
        <v>273</v>
      </c>
      <c r="BB65">
        <v>0</v>
      </c>
      <c r="BC65">
        <v>0</v>
      </c>
      <c r="BD65">
        <v>0</v>
      </c>
      <c r="BE65">
        <v>0</v>
      </c>
      <c r="BF65" t="s">
        <v>1063</v>
      </c>
      <c r="BG65" t="s">
        <v>2445</v>
      </c>
      <c r="BH65">
        <v>50</v>
      </c>
      <c r="BI65" t="s">
        <v>1301</v>
      </c>
      <c r="BK65">
        <v>1908719</v>
      </c>
    </row>
    <row r="66" spans="1:63">
      <c r="A66" s="1">
        <f>HYPERLINK("https://lsnyc.legalserver.org/matter/dynamic-profile/view/1908584","19-1908584")</f>
        <v>0</v>
      </c>
      <c r="B66" t="s">
        <v>1376</v>
      </c>
      <c r="C66" t="s">
        <v>1640</v>
      </c>
      <c r="D66" t="s">
        <v>253</v>
      </c>
      <c r="E66" t="s">
        <v>1645</v>
      </c>
      <c r="F66" t="s">
        <v>273</v>
      </c>
      <c r="G66" t="s">
        <v>275</v>
      </c>
      <c r="H66">
        <v>175.67</v>
      </c>
      <c r="I66" t="s">
        <v>274</v>
      </c>
      <c r="K66" t="s">
        <v>1673</v>
      </c>
      <c r="M66" t="s">
        <v>472</v>
      </c>
      <c r="N66" t="s">
        <v>1666</v>
      </c>
      <c r="O66" t="s">
        <v>275</v>
      </c>
      <c r="P66" t="s">
        <v>492</v>
      </c>
      <c r="Q66" t="s">
        <v>501</v>
      </c>
      <c r="S66" t="s">
        <v>503</v>
      </c>
      <c r="T66" t="s">
        <v>508</v>
      </c>
      <c r="U66" t="s">
        <v>511</v>
      </c>
      <c r="V66">
        <v>11368</v>
      </c>
      <c r="W66" t="s">
        <v>523</v>
      </c>
      <c r="X66" t="s">
        <v>548</v>
      </c>
      <c r="Z66" t="s">
        <v>1892</v>
      </c>
      <c r="AA66" t="s">
        <v>2138</v>
      </c>
      <c r="AB66" t="s">
        <v>902</v>
      </c>
      <c r="AC66" t="s">
        <v>905</v>
      </c>
      <c r="AF66" t="s">
        <v>923</v>
      </c>
      <c r="AI66">
        <v>4.84</v>
      </c>
      <c r="AK66" t="s">
        <v>945</v>
      </c>
      <c r="AL66" t="s">
        <v>274</v>
      </c>
      <c r="AT66">
        <v>3</v>
      </c>
      <c r="AU66">
        <v>2</v>
      </c>
      <c r="AV66" t="s">
        <v>273</v>
      </c>
      <c r="AY66" t="s">
        <v>273</v>
      </c>
      <c r="BB66">
        <v>0</v>
      </c>
      <c r="BC66">
        <v>0</v>
      </c>
      <c r="BD66">
        <v>0</v>
      </c>
      <c r="BE66">
        <v>0</v>
      </c>
      <c r="BF66" t="s">
        <v>1063</v>
      </c>
      <c r="BG66" t="s">
        <v>2462</v>
      </c>
      <c r="BH66">
        <v>44</v>
      </c>
      <c r="BI66" t="s">
        <v>2735</v>
      </c>
      <c r="BK66">
        <v>1848237</v>
      </c>
    </row>
    <row r="67" spans="1:63">
      <c r="A67" s="1">
        <f>HYPERLINK("https://lsnyc.legalserver.org/matter/dynamic-profile/view/1907998","19-1907998")</f>
        <v>0</v>
      </c>
      <c r="B67" t="s">
        <v>1377</v>
      </c>
      <c r="C67" t="s">
        <v>1640</v>
      </c>
      <c r="D67" t="s">
        <v>255</v>
      </c>
      <c r="E67" t="s">
        <v>1645</v>
      </c>
      <c r="F67" t="s">
        <v>273</v>
      </c>
      <c r="G67" t="s">
        <v>275</v>
      </c>
      <c r="H67">
        <v>0</v>
      </c>
      <c r="I67" t="s">
        <v>274</v>
      </c>
      <c r="K67" t="s">
        <v>291</v>
      </c>
      <c r="M67" t="s">
        <v>471</v>
      </c>
      <c r="N67" t="s">
        <v>484</v>
      </c>
      <c r="O67" t="s">
        <v>275</v>
      </c>
      <c r="P67" t="s">
        <v>492</v>
      </c>
      <c r="Q67" t="s">
        <v>501</v>
      </c>
      <c r="S67" t="s">
        <v>503</v>
      </c>
      <c r="T67" t="s">
        <v>507</v>
      </c>
      <c r="U67" t="s">
        <v>511</v>
      </c>
      <c r="V67">
        <v>10027</v>
      </c>
      <c r="W67" t="s">
        <v>519</v>
      </c>
      <c r="X67" t="s">
        <v>548</v>
      </c>
      <c r="Z67" t="s">
        <v>1893</v>
      </c>
      <c r="AA67" t="s">
        <v>2139</v>
      </c>
      <c r="AB67" t="s">
        <v>902</v>
      </c>
      <c r="AC67" t="s">
        <v>905</v>
      </c>
      <c r="AF67" t="s">
        <v>926</v>
      </c>
      <c r="AI67">
        <v>13.95</v>
      </c>
      <c r="AJ67" t="s">
        <v>558</v>
      </c>
      <c r="AK67" t="s">
        <v>934</v>
      </c>
      <c r="AL67" t="s">
        <v>274</v>
      </c>
      <c r="AS67" t="s">
        <v>1060</v>
      </c>
      <c r="AT67">
        <v>0</v>
      </c>
      <c r="AU67">
        <v>1</v>
      </c>
      <c r="AV67" t="s">
        <v>273</v>
      </c>
      <c r="AY67" t="s">
        <v>273</v>
      </c>
      <c r="BB67">
        <v>0</v>
      </c>
      <c r="BC67">
        <v>0</v>
      </c>
      <c r="BD67">
        <v>0</v>
      </c>
      <c r="BE67">
        <v>0</v>
      </c>
      <c r="BF67" t="s">
        <v>1063</v>
      </c>
      <c r="BG67" t="s">
        <v>2463</v>
      </c>
      <c r="BH67">
        <v>21</v>
      </c>
      <c r="BI67" t="s">
        <v>1247</v>
      </c>
      <c r="BK67">
        <v>1908655</v>
      </c>
    </row>
    <row r="68" spans="1:63">
      <c r="A68" s="1">
        <f>HYPERLINK("https://lsnyc.legalserver.org/matter/dynamic-profile/view/1907906","19-1907906")</f>
        <v>0</v>
      </c>
      <c r="B68" t="s">
        <v>1378</v>
      </c>
      <c r="C68" t="s">
        <v>1640</v>
      </c>
      <c r="D68" t="s">
        <v>253</v>
      </c>
      <c r="E68" t="s">
        <v>1643</v>
      </c>
      <c r="F68" t="s">
        <v>273</v>
      </c>
      <c r="G68" t="s">
        <v>275</v>
      </c>
      <c r="H68">
        <v>206.98</v>
      </c>
      <c r="I68" t="s">
        <v>274</v>
      </c>
      <c r="K68" t="s">
        <v>292</v>
      </c>
      <c r="L68" t="s">
        <v>484</v>
      </c>
      <c r="P68" t="s">
        <v>492</v>
      </c>
      <c r="Q68" t="s">
        <v>501</v>
      </c>
      <c r="S68" t="s">
        <v>503</v>
      </c>
      <c r="T68" t="s">
        <v>508</v>
      </c>
      <c r="U68" t="s">
        <v>511</v>
      </c>
      <c r="V68">
        <v>11434</v>
      </c>
      <c r="W68" t="s">
        <v>518</v>
      </c>
      <c r="X68" t="s">
        <v>549</v>
      </c>
      <c r="Z68" t="s">
        <v>1894</v>
      </c>
      <c r="AA68" t="s">
        <v>2140</v>
      </c>
      <c r="AB68" t="s">
        <v>902</v>
      </c>
      <c r="AC68" t="s">
        <v>911</v>
      </c>
      <c r="AD68" t="s">
        <v>274</v>
      </c>
      <c r="AE68" t="s">
        <v>920</v>
      </c>
      <c r="AF68" t="s">
        <v>926</v>
      </c>
      <c r="AI68">
        <v>2.2</v>
      </c>
      <c r="AK68" t="s">
        <v>939</v>
      </c>
      <c r="AL68" t="s">
        <v>274</v>
      </c>
      <c r="AM68" t="s">
        <v>975</v>
      </c>
      <c r="AN68" t="s">
        <v>460</v>
      </c>
      <c r="AQ68" t="s">
        <v>1033</v>
      </c>
      <c r="AR68" t="s">
        <v>1051</v>
      </c>
      <c r="AT68">
        <v>1</v>
      </c>
      <c r="AU68">
        <v>1</v>
      </c>
      <c r="AV68" t="s">
        <v>273</v>
      </c>
      <c r="AY68" t="s">
        <v>273</v>
      </c>
      <c r="BB68">
        <v>0</v>
      </c>
      <c r="BC68">
        <v>0</v>
      </c>
      <c r="BD68">
        <v>0</v>
      </c>
      <c r="BE68">
        <v>0</v>
      </c>
      <c r="BF68" t="s">
        <v>493</v>
      </c>
      <c r="BG68" t="s">
        <v>2464</v>
      </c>
      <c r="BH68">
        <v>32</v>
      </c>
      <c r="BI68" t="s">
        <v>2736</v>
      </c>
      <c r="BK68">
        <v>1897803</v>
      </c>
    </row>
    <row r="69" spans="1:63">
      <c r="A69" s="1">
        <f>HYPERLINK("https://lsnyc.legalserver.org/matter/dynamic-profile/view/1907908","19-1907908")</f>
        <v>0</v>
      </c>
      <c r="B69" t="s">
        <v>1379</v>
      </c>
      <c r="C69" t="s">
        <v>1640</v>
      </c>
      <c r="D69" t="s">
        <v>253</v>
      </c>
      <c r="E69" t="s">
        <v>1643</v>
      </c>
      <c r="F69" t="s">
        <v>273</v>
      </c>
      <c r="G69" t="s">
        <v>275</v>
      </c>
      <c r="H69">
        <v>206.98</v>
      </c>
      <c r="I69" t="s">
        <v>274</v>
      </c>
      <c r="K69" t="s">
        <v>292</v>
      </c>
      <c r="L69" t="s">
        <v>484</v>
      </c>
      <c r="P69" t="s">
        <v>493</v>
      </c>
      <c r="Q69" t="s">
        <v>502</v>
      </c>
      <c r="S69" t="s">
        <v>503</v>
      </c>
      <c r="T69" t="s">
        <v>507</v>
      </c>
      <c r="U69" t="s">
        <v>511</v>
      </c>
      <c r="V69">
        <v>11434</v>
      </c>
      <c r="W69" t="s">
        <v>518</v>
      </c>
      <c r="X69" t="s">
        <v>549</v>
      </c>
      <c r="Z69" t="s">
        <v>1895</v>
      </c>
      <c r="AA69" t="s">
        <v>2141</v>
      </c>
      <c r="AB69" t="s">
        <v>902</v>
      </c>
      <c r="AC69" t="s">
        <v>911</v>
      </c>
      <c r="AD69" t="s">
        <v>274</v>
      </c>
      <c r="AE69" t="s">
        <v>920</v>
      </c>
      <c r="AF69" t="s">
        <v>926</v>
      </c>
      <c r="AI69">
        <v>1.75</v>
      </c>
      <c r="AK69" t="s">
        <v>939</v>
      </c>
      <c r="AL69" t="s">
        <v>274</v>
      </c>
      <c r="AM69" t="s">
        <v>975</v>
      </c>
      <c r="AQ69" t="s">
        <v>1033</v>
      </c>
      <c r="AR69" t="s">
        <v>1051</v>
      </c>
      <c r="AT69">
        <v>1</v>
      </c>
      <c r="AU69">
        <v>1</v>
      </c>
      <c r="AV69" t="s">
        <v>273</v>
      </c>
      <c r="AY69" t="s">
        <v>273</v>
      </c>
      <c r="BB69">
        <v>0</v>
      </c>
      <c r="BC69">
        <v>0</v>
      </c>
      <c r="BD69">
        <v>0</v>
      </c>
      <c r="BE69">
        <v>0</v>
      </c>
      <c r="BF69" t="s">
        <v>493</v>
      </c>
      <c r="BG69" t="s">
        <v>2465</v>
      </c>
      <c r="BH69">
        <v>13</v>
      </c>
      <c r="BI69" t="s">
        <v>2736</v>
      </c>
      <c r="BK69">
        <v>1897803</v>
      </c>
    </row>
    <row r="70" spans="1:63">
      <c r="A70" s="1">
        <f>HYPERLINK("https://lsnyc.legalserver.org/matter/dynamic-profile/view/1907817","19-1907817")</f>
        <v>0</v>
      </c>
      <c r="B70" t="s">
        <v>1380</v>
      </c>
      <c r="C70" t="s">
        <v>1640</v>
      </c>
      <c r="D70" t="s">
        <v>253</v>
      </c>
      <c r="E70" t="s">
        <v>1649</v>
      </c>
      <c r="F70" t="s">
        <v>273</v>
      </c>
      <c r="G70" t="s">
        <v>275</v>
      </c>
      <c r="H70">
        <v>0</v>
      </c>
      <c r="I70" t="s">
        <v>274</v>
      </c>
      <c r="K70" t="s">
        <v>292</v>
      </c>
      <c r="O70" t="s">
        <v>275</v>
      </c>
      <c r="P70" t="s">
        <v>492</v>
      </c>
      <c r="Q70" t="s">
        <v>501</v>
      </c>
      <c r="S70" t="s">
        <v>503</v>
      </c>
      <c r="T70" t="s">
        <v>507</v>
      </c>
      <c r="U70" t="s">
        <v>511</v>
      </c>
      <c r="V70">
        <v>11691</v>
      </c>
      <c r="W70" t="s">
        <v>524</v>
      </c>
      <c r="X70" t="s">
        <v>548</v>
      </c>
      <c r="Z70" t="s">
        <v>664</v>
      </c>
      <c r="AA70" t="s">
        <v>2142</v>
      </c>
      <c r="AB70" t="s">
        <v>902</v>
      </c>
      <c r="AC70" t="s">
        <v>910</v>
      </c>
      <c r="AF70" t="s">
        <v>923</v>
      </c>
      <c r="AI70">
        <v>0.5</v>
      </c>
      <c r="AK70" t="s">
        <v>934</v>
      </c>
      <c r="AL70" t="s">
        <v>274</v>
      </c>
      <c r="AT70">
        <v>2</v>
      </c>
      <c r="AU70">
        <v>1</v>
      </c>
      <c r="AV70" t="s">
        <v>273</v>
      </c>
      <c r="AY70" t="s">
        <v>273</v>
      </c>
      <c r="BB70">
        <v>0</v>
      </c>
      <c r="BC70">
        <v>0</v>
      </c>
      <c r="BD70">
        <v>0</v>
      </c>
      <c r="BE70">
        <v>0</v>
      </c>
      <c r="BF70" t="s">
        <v>1063</v>
      </c>
      <c r="BG70" t="s">
        <v>2466</v>
      </c>
      <c r="BH70">
        <v>11</v>
      </c>
      <c r="BI70" t="s">
        <v>1247</v>
      </c>
      <c r="BK70">
        <v>1908474</v>
      </c>
    </row>
    <row r="71" spans="1:63">
      <c r="A71" s="1">
        <f>HYPERLINK("https://lsnyc.legalserver.org/matter/dynamic-profile/view/1907427","19-1907427")</f>
        <v>0</v>
      </c>
      <c r="B71" t="s">
        <v>1381</v>
      </c>
      <c r="C71" t="s">
        <v>1640</v>
      </c>
      <c r="D71" t="s">
        <v>253</v>
      </c>
      <c r="E71" t="s">
        <v>1651</v>
      </c>
      <c r="F71" t="s">
        <v>273</v>
      </c>
      <c r="G71" t="s">
        <v>275</v>
      </c>
      <c r="H71">
        <v>0</v>
      </c>
      <c r="K71" t="s">
        <v>294</v>
      </c>
      <c r="Q71" t="s">
        <v>501</v>
      </c>
      <c r="S71" t="s">
        <v>503</v>
      </c>
      <c r="T71" t="s">
        <v>508</v>
      </c>
      <c r="U71" t="s">
        <v>511</v>
      </c>
      <c r="V71">
        <v>11433</v>
      </c>
      <c r="W71" t="s">
        <v>518</v>
      </c>
      <c r="X71" t="s">
        <v>548</v>
      </c>
      <c r="Z71" t="s">
        <v>1896</v>
      </c>
      <c r="AA71" t="s">
        <v>2143</v>
      </c>
      <c r="AB71" t="s">
        <v>902</v>
      </c>
      <c r="AC71" t="s">
        <v>905</v>
      </c>
      <c r="AF71" t="s">
        <v>928</v>
      </c>
      <c r="AH71" t="s">
        <v>928</v>
      </c>
      <c r="AI71">
        <v>5.15</v>
      </c>
      <c r="AT71">
        <v>2</v>
      </c>
      <c r="AU71">
        <v>2</v>
      </c>
      <c r="AV71" t="s">
        <v>273</v>
      </c>
      <c r="AY71" t="s">
        <v>273</v>
      </c>
      <c r="BB71">
        <v>0</v>
      </c>
      <c r="BC71">
        <v>0</v>
      </c>
      <c r="BD71">
        <v>0</v>
      </c>
      <c r="BE71">
        <v>0</v>
      </c>
      <c r="BF71" t="s">
        <v>1063</v>
      </c>
      <c r="BH71">
        <v>0</v>
      </c>
      <c r="BI71" t="s">
        <v>1247</v>
      </c>
      <c r="BK71">
        <v>1908083</v>
      </c>
    </row>
    <row r="72" spans="1:63">
      <c r="A72" s="1">
        <f>HYPERLINK("https://lsnyc.legalserver.org/matter/dynamic-profile/view/1907501","19-1907501")</f>
        <v>0</v>
      </c>
      <c r="B72" t="s">
        <v>1382</v>
      </c>
      <c r="C72" t="s">
        <v>1640</v>
      </c>
      <c r="D72" t="s">
        <v>253</v>
      </c>
      <c r="E72" t="s">
        <v>1645</v>
      </c>
      <c r="F72" t="s">
        <v>273</v>
      </c>
      <c r="G72" t="s">
        <v>275</v>
      </c>
      <c r="H72">
        <v>46.26</v>
      </c>
      <c r="I72" t="s">
        <v>274</v>
      </c>
      <c r="K72" t="s">
        <v>295</v>
      </c>
      <c r="M72" t="s">
        <v>472</v>
      </c>
      <c r="N72" t="s">
        <v>1666</v>
      </c>
      <c r="P72" t="s">
        <v>492</v>
      </c>
      <c r="Q72" t="s">
        <v>501</v>
      </c>
      <c r="S72" t="s">
        <v>503</v>
      </c>
      <c r="T72" t="s">
        <v>508</v>
      </c>
      <c r="U72" t="s">
        <v>511</v>
      </c>
      <c r="V72">
        <v>11434</v>
      </c>
      <c r="W72" t="s">
        <v>532</v>
      </c>
      <c r="X72" t="s">
        <v>549</v>
      </c>
      <c r="Z72" t="s">
        <v>584</v>
      </c>
      <c r="AA72" t="s">
        <v>2144</v>
      </c>
      <c r="AB72" t="s">
        <v>902</v>
      </c>
      <c r="AC72" t="s">
        <v>906</v>
      </c>
      <c r="AF72" t="s">
        <v>927</v>
      </c>
      <c r="AI72">
        <v>2.6</v>
      </c>
      <c r="AK72" t="s">
        <v>957</v>
      </c>
      <c r="AL72" t="s">
        <v>274</v>
      </c>
      <c r="AT72">
        <v>4</v>
      </c>
      <c r="AU72">
        <v>2</v>
      </c>
      <c r="AV72" t="s">
        <v>273</v>
      </c>
      <c r="AY72" t="s">
        <v>273</v>
      </c>
      <c r="BB72">
        <v>0</v>
      </c>
      <c r="BC72">
        <v>0</v>
      </c>
      <c r="BD72">
        <v>0</v>
      </c>
      <c r="BE72">
        <v>0</v>
      </c>
      <c r="BF72" t="s">
        <v>1063</v>
      </c>
      <c r="BG72" t="s">
        <v>2467</v>
      </c>
      <c r="BH72">
        <v>58</v>
      </c>
      <c r="BI72" t="s">
        <v>2737</v>
      </c>
      <c r="BK72">
        <v>1908157</v>
      </c>
    </row>
    <row r="73" spans="1:63">
      <c r="A73" s="1">
        <f>HYPERLINK("https://lsnyc.legalserver.org/matter/dynamic-profile/view/1907570","19-1907570")</f>
        <v>0</v>
      </c>
      <c r="B73" t="s">
        <v>1374</v>
      </c>
      <c r="C73" t="s">
        <v>1640</v>
      </c>
      <c r="D73" t="s">
        <v>253</v>
      </c>
      <c r="E73" t="s">
        <v>1643</v>
      </c>
      <c r="F73" t="s">
        <v>273</v>
      </c>
      <c r="G73" t="s">
        <v>275</v>
      </c>
      <c r="H73">
        <v>92.25</v>
      </c>
      <c r="I73" t="s">
        <v>274</v>
      </c>
      <c r="K73" t="s">
        <v>295</v>
      </c>
      <c r="P73" t="s">
        <v>492</v>
      </c>
      <c r="Q73" t="s">
        <v>501</v>
      </c>
      <c r="S73" t="s">
        <v>503</v>
      </c>
      <c r="T73" t="s">
        <v>508</v>
      </c>
      <c r="U73" t="s">
        <v>511</v>
      </c>
      <c r="V73">
        <v>11373</v>
      </c>
      <c r="W73" t="s">
        <v>1829</v>
      </c>
      <c r="X73" t="s">
        <v>548</v>
      </c>
      <c r="Z73" t="s">
        <v>593</v>
      </c>
      <c r="AA73" t="s">
        <v>2137</v>
      </c>
      <c r="AB73" t="s">
        <v>902</v>
      </c>
      <c r="AC73" t="s">
        <v>905</v>
      </c>
      <c r="AF73" t="s">
        <v>928</v>
      </c>
      <c r="AI73">
        <v>7.25</v>
      </c>
      <c r="AJ73" t="s">
        <v>931</v>
      </c>
      <c r="AK73" t="s">
        <v>933</v>
      </c>
      <c r="AL73" t="s">
        <v>274</v>
      </c>
      <c r="AT73">
        <v>1</v>
      </c>
      <c r="AU73">
        <v>1</v>
      </c>
      <c r="AV73" t="s">
        <v>273</v>
      </c>
      <c r="AY73" t="s">
        <v>273</v>
      </c>
      <c r="BB73">
        <v>0</v>
      </c>
      <c r="BC73">
        <v>0</v>
      </c>
      <c r="BD73">
        <v>0</v>
      </c>
      <c r="BE73">
        <v>0</v>
      </c>
      <c r="BF73" t="s">
        <v>1063</v>
      </c>
      <c r="BG73" t="s">
        <v>2460</v>
      </c>
      <c r="BH73">
        <v>49</v>
      </c>
      <c r="BI73" t="s">
        <v>1270</v>
      </c>
      <c r="BK73">
        <v>1908227</v>
      </c>
    </row>
    <row r="74" spans="1:63">
      <c r="A74" s="1">
        <f>HYPERLINK("https://lsnyc.legalserver.org/matter/dynamic-profile/view/1907381","19-1907381")</f>
        <v>0</v>
      </c>
      <c r="B74" t="s">
        <v>1383</v>
      </c>
      <c r="C74" t="s">
        <v>1640</v>
      </c>
      <c r="D74" t="s">
        <v>253</v>
      </c>
      <c r="E74" t="s">
        <v>1645</v>
      </c>
      <c r="F74" t="s">
        <v>273</v>
      </c>
      <c r="G74" t="s">
        <v>275</v>
      </c>
      <c r="H74">
        <v>60.95</v>
      </c>
      <c r="I74" t="s">
        <v>274</v>
      </c>
      <c r="K74" t="s">
        <v>462</v>
      </c>
      <c r="M74" t="s">
        <v>472</v>
      </c>
      <c r="N74" t="s">
        <v>278</v>
      </c>
      <c r="O74" t="s">
        <v>275</v>
      </c>
      <c r="P74" t="s">
        <v>492</v>
      </c>
      <c r="Q74" t="s">
        <v>501</v>
      </c>
      <c r="S74" t="s">
        <v>503</v>
      </c>
      <c r="T74" t="s">
        <v>508</v>
      </c>
      <c r="U74" t="s">
        <v>511</v>
      </c>
      <c r="V74">
        <v>11372</v>
      </c>
      <c r="W74" t="s">
        <v>516</v>
      </c>
      <c r="X74" t="s">
        <v>548</v>
      </c>
      <c r="Z74" t="s">
        <v>1897</v>
      </c>
      <c r="AA74" t="s">
        <v>2145</v>
      </c>
      <c r="AB74" t="s">
        <v>902</v>
      </c>
      <c r="AC74" t="s">
        <v>904</v>
      </c>
      <c r="AF74" t="s">
        <v>923</v>
      </c>
      <c r="AI74">
        <v>12.85</v>
      </c>
      <c r="AK74" t="s">
        <v>947</v>
      </c>
      <c r="AL74" t="s">
        <v>274</v>
      </c>
      <c r="AS74" t="s">
        <v>1061</v>
      </c>
      <c r="AT74">
        <v>2</v>
      </c>
      <c r="AU74">
        <v>1</v>
      </c>
      <c r="AV74" t="s">
        <v>273</v>
      </c>
      <c r="AY74" t="s">
        <v>273</v>
      </c>
      <c r="BB74">
        <v>0</v>
      </c>
      <c r="BC74">
        <v>0</v>
      </c>
      <c r="BD74">
        <v>0</v>
      </c>
      <c r="BE74">
        <v>0</v>
      </c>
      <c r="BF74" t="s">
        <v>1063</v>
      </c>
      <c r="BG74" t="s">
        <v>2468</v>
      </c>
      <c r="BH74">
        <v>33</v>
      </c>
      <c r="BI74" t="s">
        <v>1264</v>
      </c>
      <c r="BK74">
        <v>1908037</v>
      </c>
    </row>
    <row r="75" spans="1:63">
      <c r="A75" s="1">
        <f>HYPERLINK("https://lsnyc.legalserver.org/matter/dynamic-profile/view/1907299","19-1907299")</f>
        <v>0</v>
      </c>
      <c r="B75" t="s">
        <v>1384</v>
      </c>
      <c r="C75" t="s">
        <v>1640</v>
      </c>
      <c r="D75" t="s">
        <v>253</v>
      </c>
      <c r="E75" t="s">
        <v>1645</v>
      </c>
      <c r="F75" t="s">
        <v>273</v>
      </c>
      <c r="G75" t="s">
        <v>275</v>
      </c>
      <c r="H75">
        <v>59.14</v>
      </c>
      <c r="I75" t="s">
        <v>274</v>
      </c>
      <c r="K75" t="s">
        <v>1674</v>
      </c>
      <c r="M75" t="s">
        <v>472</v>
      </c>
      <c r="N75" t="s">
        <v>1666</v>
      </c>
      <c r="O75" t="s">
        <v>275</v>
      </c>
      <c r="P75" t="s">
        <v>492</v>
      </c>
      <c r="Q75" t="s">
        <v>501</v>
      </c>
      <c r="S75" t="s">
        <v>503</v>
      </c>
      <c r="T75" t="s">
        <v>508</v>
      </c>
      <c r="U75" t="s">
        <v>511</v>
      </c>
      <c r="V75">
        <v>11377</v>
      </c>
      <c r="W75" t="s">
        <v>528</v>
      </c>
      <c r="X75" t="s">
        <v>548</v>
      </c>
      <c r="Z75" t="s">
        <v>1898</v>
      </c>
      <c r="AA75" t="s">
        <v>2146</v>
      </c>
      <c r="AB75" t="s">
        <v>902</v>
      </c>
      <c r="AC75" t="s">
        <v>905</v>
      </c>
      <c r="AF75" t="s">
        <v>923</v>
      </c>
      <c r="AI75">
        <v>1</v>
      </c>
      <c r="AK75" t="s">
        <v>933</v>
      </c>
      <c r="AL75" t="s">
        <v>274</v>
      </c>
      <c r="AS75" t="s">
        <v>1061</v>
      </c>
      <c r="AT75">
        <v>1</v>
      </c>
      <c r="AU75">
        <v>1</v>
      </c>
      <c r="AV75" t="s">
        <v>273</v>
      </c>
      <c r="AY75" t="s">
        <v>273</v>
      </c>
      <c r="BB75">
        <v>0</v>
      </c>
      <c r="BC75">
        <v>0</v>
      </c>
      <c r="BD75">
        <v>0</v>
      </c>
      <c r="BE75">
        <v>0</v>
      </c>
      <c r="BF75" t="s">
        <v>1063</v>
      </c>
      <c r="BG75" t="s">
        <v>2469</v>
      </c>
      <c r="BH75">
        <v>45</v>
      </c>
      <c r="BI75" t="s">
        <v>1268</v>
      </c>
      <c r="BK75">
        <v>1893403</v>
      </c>
    </row>
    <row r="76" spans="1:63">
      <c r="A76" s="1">
        <f>HYPERLINK("https://lsnyc.legalserver.org/matter/dynamic-profile/view/1906938","19-1906938")</f>
        <v>0</v>
      </c>
      <c r="B76" t="s">
        <v>1385</v>
      </c>
      <c r="C76" t="s">
        <v>1640</v>
      </c>
      <c r="D76" t="s">
        <v>253</v>
      </c>
      <c r="E76" t="s">
        <v>1645</v>
      </c>
      <c r="F76" t="s">
        <v>274</v>
      </c>
      <c r="G76" t="s">
        <v>274</v>
      </c>
      <c r="H76">
        <v>92.25</v>
      </c>
      <c r="I76" t="s">
        <v>274</v>
      </c>
      <c r="K76" t="s">
        <v>1001</v>
      </c>
      <c r="M76" t="s">
        <v>472</v>
      </c>
      <c r="N76" t="s">
        <v>450</v>
      </c>
      <c r="P76" t="s">
        <v>492</v>
      </c>
      <c r="Q76" t="s">
        <v>501</v>
      </c>
      <c r="S76" t="s">
        <v>503</v>
      </c>
      <c r="T76" t="s">
        <v>507</v>
      </c>
      <c r="U76" t="s">
        <v>511</v>
      </c>
      <c r="V76">
        <v>11345</v>
      </c>
      <c r="W76" t="s">
        <v>532</v>
      </c>
      <c r="X76" t="s">
        <v>548</v>
      </c>
      <c r="Z76" t="s">
        <v>1848</v>
      </c>
      <c r="AA76" t="s">
        <v>611</v>
      </c>
      <c r="AB76" t="s">
        <v>902</v>
      </c>
      <c r="AC76" t="s">
        <v>906</v>
      </c>
      <c r="AF76" t="s">
        <v>923</v>
      </c>
      <c r="AI76">
        <v>6.27</v>
      </c>
      <c r="AJ76" t="s">
        <v>931</v>
      </c>
      <c r="AK76" t="s">
        <v>934</v>
      </c>
      <c r="AL76" t="s">
        <v>274</v>
      </c>
      <c r="AT76">
        <v>0</v>
      </c>
      <c r="AU76">
        <v>2</v>
      </c>
      <c r="AV76" t="s">
        <v>273</v>
      </c>
      <c r="AY76" t="s">
        <v>273</v>
      </c>
      <c r="BB76">
        <v>0</v>
      </c>
      <c r="BC76">
        <v>0</v>
      </c>
      <c r="BD76">
        <v>0</v>
      </c>
      <c r="BE76">
        <v>0</v>
      </c>
      <c r="BF76" t="s">
        <v>1063</v>
      </c>
      <c r="BG76" t="s">
        <v>2470</v>
      </c>
      <c r="BH76">
        <v>46</v>
      </c>
      <c r="BI76" t="s">
        <v>1270</v>
      </c>
      <c r="BK76">
        <v>1907594</v>
      </c>
    </row>
    <row r="77" spans="1:63">
      <c r="A77" s="1">
        <f>HYPERLINK("https://lsnyc.legalserver.org/matter/dynamic-profile/view/1906997","19-1906997")</f>
        <v>0</v>
      </c>
      <c r="B77" t="s">
        <v>1386</v>
      </c>
      <c r="C77" t="s">
        <v>1640</v>
      </c>
      <c r="D77" t="s">
        <v>253</v>
      </c>
      <c r="E77" t="s">
        <v>1647</v>
      </c>
      <c r="F77" t="s">
        <v>273</v>
      </c>
      <c r="G77" t="s">
        <v>275</v>
      </c>
      <c r="H77">
        <v>141.93</v>
      </c>
      <c r="K77" t="s">
        <v>486</v>
      </c>
      <c r="O77" t="s">
        <v>275</v>
      </c>
      <c r="P77" t="s">
        <v>496</v>
      </c>
      <c r="Q77" t="s">
        <v>501</v>
      </c>
      <c r="S77" t="s">
        <v>503</v>
      </c>
      <c r="T77" t="s">
        <v>507</v>
      </c>
      <c r="U77" t="s">
        <v>511</v>
      </c>
      <c r="V77">
        <v>11104</v>
      </c>
      <c r="W77" t="s">
        <v>526</v>
      </c>
      <c r="X77" t="s">
        <v>1838</v>
      </c>
      <c r="Z77" t="s">
        <v>1899</v>
      </c>
      <c r="AA77" t="s">
        <v>2147</v>
      </c>
      <c r="AB77" t="s">
        <v>902</v>
      </c>
      <c r="AC77" t="s">
        <v>904</v>
      </c>
      <c r="AF77" t="s">
        <v>923</v>
      </c>
      <c r="AI77">
        <v>9.289999999999999</v>
      </c>
      <c r="AJ77" t="s">
        <v>558</v>
      </c>
      <c r="AK77" t="s">
        <v>2366</v>
      </c>
      <c r="AM77" t="s">
        <v>973</v>
      </c>
      <c r="AN77" t="s">
        <v>466</v>
      </c>
      <c r="AT77">
        <v>0</v>
      </c>
      <c r="AU77">
        <v>2</v>
      </c>
      <c r="AV77" t="s">
        <v>273</v>
      </c>
      <c r="AY77" t="s">
        <v>273</v>
      </c>
      <c r="BB77">
        <v>0</v>
      </c>
      <c r="BC77">
        <v>0</v>
      </c>
      <c r="BD77">
        <v>0</v>
      </c>
      <c r="BE77">
        <v>0</v>
      </c>
      <c r="BF77" t="s">
        <v>1063</v>
      </c>
      <c r="BG77" t="s">
        <v>2471</v>
      </c>
      <c r="BH77">
        <v>33</v>
      </c>
      <c r="BI77" t="s">
        <v>1259</v>
      </c>
      <c r="BK77">
        <v>788251</v>
      </c>
    </row>
    <row r="78" spans="1:63">
      <c r="A78" s="1">
        <f>HYPERLINK("https://lsnyc.legalserver.org/matter/dynamic-profile/view/1906566","19-1906566")</f>
        <v>0</v>
      </c>
      <c r="B78" t="s">
        <v>1387</v>
      </c>
      <c r="C78" t="s">
        <v>1640</v>
      </c>
      <c r="D78" t="s">
        <v>253</v>
      </c>
      <c r="E78" t="s">
        <v>1643</v>
      </c>
      <c r="F78" t="s">
        <v>273</v>
      </c>
      <c r="G78" t="s">
        <v>275</v>
      </c>
      <c r="H78">
        <v>0</v>
      </c>
      <c r="I78" t="s">
        <v>274</v>
      </c>
      <c r="K78" t="s">
        <v>1675</v>
      </c>
      <c r="L78" t="s">
        <v>1663</v>
      </c>
      <c r="P78" t="s">
        <v>493</v>
      </c>
      <c r="Q78" t="s">
        <v>502</v>
      </c>
      <c r="S78" t="s">
        <v>503</v>
      </c>
      <c r="T78" t="s">
        <v>507</v>
      </c>
      <c r="U78" t="s">
        <v>511</v>
      </c>
      <c r="V78">
        <v>11434</v>
      </c>
      <c r="W78" t="s">
        <v>518</v>
      </c>
      <c r="X78" t="s">
        <v>548</v>
      </c>
      <c r="Z78" t="s">
        <v>1900</v>
      </c>
      <c r="AA78" t="s">
        <v>2148</v>
      </c>
      <c r="AB78" t="s">
        <v>902</v>
      </c>
      <c r="AC78" t="s">
        <v>905</v>
      </c>
      <c r="AD78" t="s">
        <v>275</v>
      </c>
      <c r="AE78" t="s">
        <v>920</v>
      </c>
      <c r="AF78" t="s">
        <v>926</v>
      </c>
      <c r="AI78">
        <v>4.6</v>
      </c>
      <c r="AK78" t="s">
        <v>934</v>
      </c>
      <c r="AL78" t="s">
        <v>274</v>
      </c>
      <c r="AQ78" t="s">
        <v>1033</v>
      </c>
      <c r="AR78" t="s">
        <v>1051</v>
      </c>
      <c r="AS78" t="s">
        <v>1061</v>
      </c>
      <c r="AT78">
        <v>1</v>
      </c>
      <c r="AU78">
        <v>1</v>
      </c>
      <c r="AV78" t="s">
        <v>273</v>
      </c>
      <c r="AY78" t="s">
        <v>273</v>
      </c>
      <c r="BB78">
        <v>0</v>
      </c>
      <c r="BC78">
        <v>0</v>
      </c>
      <c r="BD78">
        <v>0</v>
      </c>
      <c r="BE78">
        <v>0</v>
      </c>
      <c r="BF78" t="s">
        <v>493</v>
      </c>
      <c r="BG78" t="s">
        <v>2472</v>
      </c>
      <c r="BH78">
        <v>15</v>
      </c>
      <c r="BI78" t="s">
        <v>1247</v>
      </c>
      <c r="BK78">
        <v>1907220</v>
      </c>
    </row>
    <row r="79" spans="1:63">
      <c r="A79" s="1">
        <f>HYPERLINK("https://lsnyc.legalserver.org/matter/dynamic-profile/view/1906565","19-1906565")</f>
        <v>0</v>
      </c>
      <c r="B79" t="s">
        <v>1388</v>
      </c>
      <c r="C79" t="s">
        <v>1640</v>
      </c>
      <c r="D79" t="s">
        <v>253</v>
      </c>
      <c r="E79" t="s">
        <v>1643</v>
      </c>
      <c r="F79" t="s">
        <v>273</v>
      </c>
      <c r="G79" t="s">
        <v>275</v>
      </c>
      <c r="H79">
        <v>0</v>
      </c>
      <c r="I79" t="s">
        <v>274</v>
      </c>
      <c r="K79" t="s">
        <v>1675</v>
      </c>
      <c r="P79" t="s">
        <v>493</v>
      </c>
      <c r="Q79" t="s">
        <v>501</v>
      </c>
      <c r="S79" t="s">
        <v>503</v>
      </c>
      <c r="T79" t="s">
        <v>508</v>
      </c>
      <c r="U79" t="s">
        <v>511</v>
      </c>
      <c r="V79">
        <v>11434</v>
      </c>
      <c r="W79" t="s">
        <v>518</v>
      </c>
      <c r="X79" t="s">
        <v>548</v>
      </c>
      <c r="Z79" t="s">
        <v>1901</v>
      </c>
      <c r="AA79" t="s">
        <v>2149</v>
      </c>
      <c r="AB79" t="s">
        <v>902</v>
      </c>
      <c r="AC79" t="s">
        <v>905</v>
      </c>
      <c r="AF79" t="s">
        <v>926</v>
      </c>
      <c r="AI79">
        <v>6.52</v>
      </c>
      <c r="AK79" t="s">
        <v>934</v>
      </c>
      <c r="AL79" t="s">
        <v>274</v>
      </c>
      <c r="AS79" t="s">
        <v>1061</v>
      </c>
      <c r="AT79">
        <v>1</v>
      </c>
      <c r="AU79">
        <v>1</v>
      </c>
      <c r="AV79" t="s">
        <v>273</v>
      </c>
      <c r="AY79" t="s">
        <v>273</v>
      </c>
      <c r="BB79">
        <v>0</v>
      </c>
      <c r="BC79">
        <v>0</v>
      </c>
      <c r="BD79">
        <v>0</v>
      </c>
      <c r="BE79">
        <v>0</v>
      </c>
      <c r="BF79" t="s">
        <v>1063</v>
      </c>
      <c r="BG79" t="s">
        <v>2473</v>
      </c>
      <c r="BH79">
        <v>39</v>
      </c>
      <c r="BI79" t="s">
        <v>1247</v>
      </c>
      <c r="BK79">
        <v>1907220</v>
      </c>
    </row>
    <row r="80" spans="1:63">
      <c r="A80" s="1">
        <f>HYPERLINK("https://lsnyc.legalserver.org/matter/dynamic-profile/view/1906256","19-1906256")</f>
        <v>0</v>
      </c>
      <c r="B80" t="s">
        <v>1389</v>
      </c>
      <c r="C80" t="s">
        <v>1640</v>
      </c>
      <c r="D80" t="s">
        <v>253</v>
      </c>
      <c r="E80" t="s">
        <v>1645</v>
      </c>
      <c r="F80" t="s">
        <v>273</v>
      </c>
      <c r="G80" t="s">
        <v>275</v>
      </c>
      <c r="H80">
        <v>70.68000000000001</v>
      </c>
      <c r="I80" t="s">
        <v>274</v>
      </c>
      <c r="K80" t="s">
        <v>467</v>
      </c>
      <c r="O80" t="s">
        <v>275</v>
      </c>
      <c r="P80" t="s">
        <v>492</v>
      </c>
      <c r="Q80" t="s">
        <v>501</v>
      </c>
      <c r="R80" t="s">
        <v>1816</v>
      </c>
      <c r="S80" t="s">
        <v>503</v>
      </c>
      <c r="T80" t="s">
        <v>508</v>
      </c>
      <c r="U80" t="s">
        <v>511</v>
      </c>
      <c r="V80">
        <v>11368</v>
      </c>
      <c r="W80" t="s">
        <v>518</v>
      </c>
      <c r="X80" t="s">
        <v>548</v>
      </c>
      <c r="Z80" t="s">
        <v>1861</v>
      </c>
      <c r="AA80" t="s">
        <v>2150</v>
      </c>
      <c r="AB80" t="s">
        <v>902</v>
      </c>
      <c r="AC80" t="s">
        <v>905</v>
      </c>
      <c r="AF80" t="s">
        <v>926</v>
      </c>
      <c r="AI80">
        <v>0.95</v>
      </c>
      <c r="AJ80" t="s">
        <v>558</v>
      </c>
      <c r="AK80" t="s">
        <v>949</v>
      </c>
      <c r="AL80" t="s">
        <v>274</v>
      </c>
      <c r="AT80">
        <v>2</v>
      </c>
      <c r="AU80">
        <v>2</v>
      </c>
      <c r="AV80" t="s">
        <v>273</v>
      </c>
      <c r="AY80" t="s">
        <v>273</v>
      </c>
      <c r="BB80">
        <v>0</v>
      </c>
      <c r="BC80">
        <v>0</v>
      </c>
      <c r="BD80">
        <v>0</v>
      </c>
      <c r="BE80">
        <v>0</v>
      </c>
      <c r="BF80" t="s">
        <v>1063</v>
      </c>
      <c r="BG80" t="s">
        <v>2474</v>
      </c>
      <c r="BH80">
        <v>49</v>
      </c>
      <c r="BI80" t="s">
        <v>1260</v>
      </c>
      <c r="BK80">
        <v>1906911</v>
      </c>
    </row>
    <row r="81" spans="1:64">
      <c r="A81" s="1">
        <f>HYPERLINK("https://lsnyc.legalserver.org/matter/dynamic-profile/view/1906305","19-1906305")</f>
        <v>0</v>
      </c>
      <c r="B81" t="s">
        <v>1390</v>
      </c>
      <c r="C81" t="s">
        <v>1640</v>
      </c>
      <c r="D81" t="s">
        <v>252</v>
      </c>
      <c r="E81" t="s">
        <v>1645</v>
      </c>
      <c r="F81" t="s">
        <v>273</v>
      </c>
      <c r="G81" t="s">
        <v>275</v>
      </c>
      <c r="H81">
        <v>103.14</v>
      </c>
      <c r="I81" t="s">
        <v>274</v>
      </c>
      <c r="K81" t="s">
        <v>467</v>
      </c>
      <c r="M81" t="s">
        <v>472</v>
      </c>
      <c r="N81" t="s">
        <v>298</v>
      </c>
      <c r="O81" t="s">
        <v>275</v>
      </c>
      <c r="P81" t="s">
        <v>492</v>
      </c>
      <c r="Q81" t="s">
        <v>501</v>
      </c>
      <c r="S81" t="s">
        <v>503</v>
      </c>
      <c r="T81" t="s">
        <v>508</v>
      </c>
      <c r="U81" t="s">
        <v>511</v>
      </c>
      <c r="V81">
        <v>11207</v>
      </c>
      <c r="W81" t="s">
        <v>517</v>
      </c>
      <c r="X81" t="s">
        <v>548</v>
      </c>
      <c r="Z81" t="s">
        <v>1902</v>
      </c>
      <c r="AA81" t="s">
        <v>2151</v>
      </c>
      <c r="AB81" t="s">
        <v>902</v>
      </c>
      <c r="AC81" t="s">
        <v>904</v>
      </c>
      <c r="AF81" t="s">
        <v>923</v>
      </c>
      <c r="AI81">
        <v>4.8</v>
      </c>
      <c r="AK81" t="s">
        <v>950</v>
      </c>
      <c r="AL81" t="s">
        <v>274</v>
      </c>
      <c r="AT81">
        <v>1</v>
      </c>
      <c r="AU81">
        <v>2</v>
      </c>
      <c r="AV81" t="s">
        <v>273</v>
      </c>
      <c r="AY81" t="s">
        <v>273</v>
      </c>
      <c r="BB81">
        <v>0</v>
      </c>
      <c r="BC81">
        <v>0</v>
      </c>
      <c r="BD81">
        <v>0</v>
      </c>
      <c r="BE81">
        <v>0</v>
      </c>
      <c r="BF81" t="s">
        <v>1063</v>
      </c>
      <c r="BG81" t="s">
        <v>2475</v>
      </c>
      <c r="BH81">
        <v>43</v>
      </c>
      <c r="BI81" t="s">
        <v>2738</v>
      </c>
      <c r="BK81">
        <v>1906960</v>
      </c>
    </row>
    <row r="82" spans="1:64">
      <c r="A82" s="1">
        <f>HYPERLINK("https://lsnyc.legalserver.org/matter/dynamic-profile/view/1905876","19-1905876")</f>
        <v>0</v>
      </c>
      <c r="B82" t="s">
        <v>1391</v>
      </c>
      <c r="C82" t="s">
        <v>1640</v>
      </c>
      <c r="D82" t="s">
        <v>253</v>
      </c>
      <c r="E82" t="s">
        <v>1652</v>
      </c>
      <c r="F82" t="s">
        <v>273</v>
      </c>
      <c r="G82" t="s">
        <v>275</v>
      </c>
      <c r="H82">
        <v>146.27</v>
      </c>
      <c r="K82" t="s">
        <v>468</v>
      </c>
      <c r="O82" t="s">
        <v>275</v>
      </c>
      <c r="P82" t="s">
        <v>492</v>
      </c>
      <c r="Q82" t="s">
        <v>501</v>
      </c>
      <c r="R82" t="s">
        <v>501</v>
      </c>
      <c r="S82" t="s">
        <v>503</v>
      </c>
      <c r="T82" t="s">
        <v>508</v>
      </c>
      <c r="U82" t="s">
        <v>511</v>
      </c>
      <c r="V82">
        <v>11358</v>
      </c>
      <c r="X82" t="s">
        <v>548</v>
      </c>
      <c r="Z82" t="s">
        <v>1903</v>
      </c>
      <c r="AA82" t="s">
        <v>2152</v>
      </c>
      <c r="AB82" t="s">
        <v>902</v>
      </c>
      <c r="AC82" t="s">
        <v>905</v>
      </c>
      <c r="AI82">
        <v>6</v>
      </c>
      <c r="AK82" t="s">
        <v>936</v>
      </c>
      <c r="AT82">
        <v>2</v>
      </c>
      <c r="AU82">
        <v>1</v>
      </c>
      <c r="AV82" t="s">
        <v>273</v>
      </c>
      <c r="AY82" t="s">
        <v>273</v>
      </c>
      <c r="BB82">
        <v>0</v>
      </c>
      <c r="BC82">
        <v>0</v>
      </c>
      <c r="BD82">
        <v>0</v>
      </c>
      <c r="BE82">
        <v>0</v>
      </c>
      <c r="BF82" t="s">
        <v>1063</v>
      </c>
      <c r="BG82" t="s">
        <v>2476</v>
      </c>
      <c r="BH82">
        <v>21</v>
      </c>
      <c r="BI82" t="s">
        <v>1254</v>
      </c>
      <c r="BK82">
        <v>1906531</v>
      </c>
    </row>
    <row r="83" spans="1:64">
      <c r="A83" s="1">
        <f>HYPERLINK("https://lsnyc.legalserver.org/matter/dynamic-profile/view/1905882","19-1905882")</f>
        <v>0</v>
      </c>
      <c r="B83" t="s">
        <v>1392</v>
      </c>
      <c r="C83" t="s">
        <v>1640</v>
      </c>
      <c r="D83" t="s">
        <v>253</v>
      </c>
      <c r="E83" t="s">
        <v>1652</v>
      </c>
      <c r="F83" t="s">
        <v>273</v>
      </c>
      <c r="G83" t="s">
        <v>275</v>
      </c>
      <c r="H83">
        <v>146.27</v>
      </c>
      <c r="K83" t="s">
        <v>468</v>
      </c>
      <c r="O83" t="s">
        <v>275</v>
      </c>
      <c r="P83" t="s">
        <v>492</v>
      </c>
      <c r="Q83" t="s">
        <v>502</v>
      </c>
      <c r="S83" t="s">
        <v>503</v>
      </c>
      <c r="T83" t="s">
        <v>507</v>
      </c>
      <c r="U83" t="s">
        <v>511</v>
      </c>
      <c r="V83">
        <v>11358</v>
      </c>
      <c r="X83" t="s">
        <v>548</v>
      </c>
      <c r="Z83" t="s">
        <v>1904</v>
      </c>
      <c r="AA83" t="s">
        <v>2153</v>
      </c>
      <c r="AB83" t="s">
        <v>902</v>
      </c>
      <c r="AC83" t="s">
        <v>905</v>
      </c>
      <c r="AI83">
        <v>4.5</v>
      </c>
      <c r="AT83">
        <v>2</v>
      </c>
      <c r="AU83">
        <v>1</v>
      </c>
      <c r="AV83" t="s">
        <v>273</v>
      </c>
      <c r="AY83" t="s">
        <v>273</v>
      </c>
      <c r="BB83">
        <v>0</v>
      </c>
      <c r="BC83">
        <v>0</v>
      </c>
      <c r="BD83">
        <v>0</v>
      </c>
      <c r="BE83">
        <v>0</v>
      </c>
      <c r="BF83" t="s">
        <v>1063</v>
      </c>
      <c r="BG83" t="s">
        <v>2477</v>
      </c>
      <c r="BH83">
        <v>5</v>
      </c>
      <c r="BI83" t="s">
        <v>1254</v>
      </c>
      <c r="BK83">
        <v>1906531</v>
      </c>
    </row>
    <row r="84" spans="1:64">
      <c r="A84" s="1">
        <f>HYPERLINK("https://lsnyc.legalserver.org/matter/dynamic-profile/view/1905895","19-1905895")</f>
        <v>0</v>
      </c>
      <c r="B84" t="s">
        <v>1393</v>
      </c>
      <c r="C84" t="s">
        <v>1640</v>
      </c>
      <c r="D84" t="s">
        <v>253</v>
      </c>
      <c r="E84" t="s">
        <v>1652</v>
      </c>
      <c r="F84" t="s">
        <v>273</v>
      </c>
      <c r="G84" t="s">
        <v>275</v>
      </c>
      <c r="H84">
        <v>85.33</v>
      </c>
      <c r="K84" t="s">
        <v>468</v>
      </c>
      <c r="O84" t="s">
        <v>275</v>
      </c>
      <c r="P84" t="s">
        <v>492</v>
      </c>
      <c r="Q84" t="s">
        <v>501</v>
      </c>
      <c r="S84" t="s">
        <v>503</v>
      </c>
      <c r="T84" t="s">
        <v>508</v>
      </c>
      <c r="U84" t="s">
        <v>511</v>
      </c>
      <c r="V84">
        <v>11436</v>
      </c>
      <c r="X84" t="s">
        <v>548</v>
      </c>
      <c r="Z84" t="s">
        <v>1905</v>
      </c>
      <c r="AA84" t="s">
        <v>2154</v>
      </c>
      <c r="AB84" t="s">
        <v>902</v>
      </c>
      <c r="AC84" t="s">
        <v>905</v>
      </c>
      <c r="AF84" t="s">
        <v>928</v>
      </c>
      <c r="AI84">
        <v>4</v>
      </c>
      <c r="AJ84" t="s">
        <v>558</v>
      </c>
      <c r="AK84" t="s">
        <v>934</v>
      </c>
      <c r="AT84">
        <v>2</v>
      </c>
      <c r="AU84">
        <v>1</v>
      </c>
      <c r="AV84" t="s">
        <v>273</v>
      </c>
      <c r="AY84" t="s">
        <v>273</v>
      </c>
      <c r="BB84">
        <v>0</v>
      </c>
      <c r="BC84">
        <v>0</v>
      </c>
      <c r="BD84">
        <v>0</v>
      </c>
      <c r="BE84">
        <v>0</v>
      </c>
      <c r="BF84" t="s">
        <v>1063</v>
      </c>
      <c r="BG84" t="s">
        <v>2478</v>
      </c>
      <c r="BH84">
        <v>41</v>
      </c>
      <c r="BI84" t="s">
        <v>1260</v>
      </c>
      <c r="BK84">
        <v>1906552</v>
      </c>
    </row>
    <row r="85" spans="1:64">
      <c r="A85" s="1">
        <f>HYPERLINK("https://lsnyc.legalserver.org/matter/dynamic-profile/view/1905896","19-1905896")</f>
        <v>0</v>
      </c>
      <c r="B85" t="s">
        <v>1394</v>
      </c>
      <c r="C85" t="s">
        <v>1640</v>
      </c>
      <c r="D85" t="s">
        <v>253</v>
      </c>
      <c r="E85" t="s">
        <v>1652</v>
      </c>
      <c r="F85" t="s">
        <v>273</v>
      </c>
      <c r="G85" t="s">
        <v>275</v>
      </c>
      <c r="H85">
        <v>85.33</v>
      </c>
      <c r="K85" t="s">
        <v>468</v>
      </c>
      <c r="O85" t="s">
        <v>275</v>
      </c>
      <c r="P85" t="s">
        <v>498</v>
      </c>
      <c r="Q85" t="s">
        <v>502</v>
      </c>
      <c r="S85" t="s">
        <v>503</v>
      </c>
      <c r="T85" t="s">
        <v>507</v>
      </c>
      <c r="U85" t="s">
        <v>511</v>
      </c>
      <c r="V85">
        <v>11436</v>
      </c>
      <c r="X85" t="s">
        <v>548</v>
      </c>
      <c r="Z85" t="s">
        <v>1906</v>
      </c>
      <c r="AA85" t="s">
        <v>2155</v>
      </c>
      <c r="AB85" t="s">
        <v>902</v>
      </c>
      <c r="AC85" t="s">
        <v>905</v>
      </c>
      <c r="AI85">
        <v>1</v>
      </c>
      <c r="AJ85" t="s">
        <v>558</v>
      </c>
      <c r="AK85" t="s">
        <v>934</v>
      </c>
      <c r="AT85">
        <v>2</v>
      </c>
      <c r="AU85">
        <v>1</v>
      </c>
      <c r="AV85" t="s">
        <v>273</v>
      </c>
      <c r="AY85" t="s">
        <v>273</v>
      </c>
      <c r="BB85">
        <v>0</v>
      </c>
      <c r="BC85">
        <v>0</v>
      </c>
      <c r="BD85">
        <v>0</v>
      </c>
      <c r="BE85">
        <v>0</v>
      </c>
      <c r="BF85" t="s">
        <v>1063</v>
      </c>
      <c r="BG85" t="s">
        <v>2479</v>
      </c>
      <c r="BH85">
        <v>17</v>
      </c>
      <c r="BI85" t="s">
        <v>1260</v>
      </c>
      <c r="BK85">
        <v>1906552</v>
      </c>
    </row>
    <row r="86" spans="1:64">
      <c r="A86" s="1">
        <f>HYPERLINK("https://lsnyc.legalserver.org/matter/dynamic-profile/view/1905897","19-1905897")</f>
        <v>0</v>
      </c>
      <c r="B86" t="s">
        <v>1395</v>
      </c>
      <c r="C86" t="s">
        <v>1640</v>
      </c>
      <c r="D86" t="s">
        <v>253</v>
      </c>
      <c r="E86" t="s">
        <v>1652</v>
      </c>
      <c r="F86" t="s">
        <v>273</v>
      </c>
      <c r="G86" t="s">
        <v>275</v>
      </c>
      <c r="H86">
        <v>19.69</v>
      </c>
      <c r="K86" t="s">
        <v>468</v>
      </c>
      <c r="O86" t="s">
        <v>275</v>
      </c>
      <c r="P86" t="s">
        <v>498</v>
      </c>
      <c r="Q86" t="s">
        <v>502</v>
      </c>
      <c r="S86" t="s">
        <v>503</v>
      </c>
      <c r="T86" t="s">
        <v>507</v>
      </c>
      <c r="U86" t="s">
        <v>511</v>
      </c>
      <c r="V86">
        <v>11436</v>
      </c>
      <c r="X86" t="s">
        <v>548</v>
      </c>
      <c r="Z86" t="s">
        <v>1907</v>
      </c>
      <c r="AA86" t="s">
        <v>2156</v>
      </c>
      <c r="AB86" t="s">
        <v>902</v>
      </c>
      <c r="AC86" t="s">
        <v>905</v>
      </c>
      <c r="AI86">
        <v>1</v>
      </c>
      <c r="AJ86" t="s">
        <v>558</v>
      </c>
      <c r="AK86" t="s">
        <v>934</v>
      </c>
      <c r="AT86">
        <v>2</v>
      </c>
      <c r="AU86">
        <v>1</v>
      </c>
      <c r="AV86" t="s">
        <v>273</v>
      </c>
      <c r="AY86" t="s">
        <v>273</v>
      </c>
      <c r="BB86">
        <v>0</v>
      </c>
      <c r="BC86">
        <v>0</v>
      </c>
      <c r="BD86">
        <v>0</v>
      </c>
      <c r="BE86">
        <v>0</v>
      </c>
      <c r="BF86" t="s">
        <v>1063</v>
      </c>
      <c r="BG86" t="s">
        <v>2480</v>
      </c>
      <c r="BH86">
        <v>15</v>
      </c>
      <c r="BI86" t="s">
        <v>2739</v>
      </c>
      <c r="BK86">
        <v>1906552</v>
      </c>
    </row>
    <row r="87" spans="1:64">
      <c r="A87" s="1">
        <f>HYPERLINK("https://lsnyc.legalserver.org/matter/dynamic-profile/view/1905628","19-1905628")</f>
        <v>0</v>
      </c>
      <c r="B87" t="s">
        <v>1350</v>
      </c>
      <c r="C87" t="s">
        <v>1640</v>
      </c>
      <c r="D87" t="s">
        <v>253</v>
      </c>
      <c r="E87" t="s">
        <v>1643</v>
      </c>
      <c r="F87" t="s">
        <v>273</v>
      </c>
      <c r="G87" t="s">
        <v>275</v>
      </c>
      <c r="H87">
        <v>85.16</v>
      </c>
      <c r="I87" t="s">
        <v>274</v>
      </c>
      <c r="K87" t="s">
        <v>448</v>
      </c>
      <c r="P87" t="s">
        <v>492</v>
      </c>
      <c r="Q87" t="s">
        <v>501</v>
      </c>
      <c r="S87" t="s">
        <v>503</v>
      </c>
      <c r="T87" t="s">
        <v>508</v>
      </c>
      <c r="U87" t="s">
        <v>511</v>
      </c>
      <c r="V87">
        <v>11420</v>
      </c>
      <c r="W87" t="s">
        <v>520</v>
      </c>
      <c r="X87" t="s">
        <v>548</v>
      </c>
      <c r="Y87" t="s">
        <v>275</v>
      </c>
      <c r="Z87" t="s">
        <v>1871</v>
      </c>
      <c r="AA87" t="s">
        <v>2117</v>
      </c>
      <c r="AB87" t="s">
        <v>902</v>
      </c>
      <c r="AC87" t="s">
        <v>905</v>
      </c>
      <c r="AF87" t="s">
        <v>923</v>
      </c>
      <c r="AI87">
        <v>3.87</v>
      </c>
      <c r="AK87" t="s">
        <v>936</v>
      </c>
      <c r="AL87" t="s">
        <v>274</v>
      </c>
      <c r="AM87" t="s">
        <v>978</v>
      </c>
      <c r="AN87" t="s">
        <v>289</v>
      </c>
      <c r="AT87">
        <v>0</v>
      </c>
      <c r="AU87">
        <v>2</v>
      </c>
      <c r="AV87" t="s">
        <v>273</v>
      </c>
      <c r="AY87" t="s">
        <v>273</v>
      </c>
      <c r="BB87">
        <v>0</v>
      </c>
      <c r="BC87">
        <v>0</v>
      </c>
      <c r="BD87">
        <v>0</v>
      </c>
      <c r="BE87">
        <v>0</v>
      </c>
      <c r="BF87" t="s">
        <v>1063</v>
      </c>
      <c r="BG87" t="s">
        <v>2437</v>
      </c>
      <c r="BH87">
        <v>19</v>
      </c>
      <c r="BI87" t="s">
        <v>1253</v>
      </c>
      <c r="BK87">
        <v>1905226</v>
      </c>
    </row>
    <row r="88" spans="1:64">
      <c r="A88" s="1">
        <f>HYPERLINK("https://lsnyc.legalserver.org/matter/dynamic-profile/view/1905629","19-1905629")</f>
        <v>0</v>
      </c>
      <c r="B88" t="s">
        <v>1350</v>
      </c>
      <c r="C88" t="s">
        <v>1640</v>
      </c>
      <c r="D88" t="s">
        <v>253</v>
      </c>
      <c r="E88" t="s">
        <v>1643</v>
      </c>
      <c r="F88" t="s">
        <v>273</v>
      </c>
      <c r="G88" t="s">
        <v>275</v>
      </c>
      <c r="H88">
        <v>85.16</v>
      </c>
      <c r="I88" t="s">
        <v>274</v>
      </c>
      <c r="K88" t="s">
        <v>448</v>
      </c>
      <c r="P88" t="s">
        <v>492</v>
      </c>
      <c r="Q88" t="s">
        <v>501</v>
      </c>
      <c r="S88" t="s">
        <v>503</v>
      </c>
      <c r="T88" t="s">
        <v>508</v>
      </c>
      <c r="U88" t="s">
        <v>511</v>
      </c>
      <c r="V88">
        <v>11420</v>
      </c>
      <c r="W88" t="s">
        <v>1829</v>
      </c>
      <c r="X88" t="s">
        <v>548</v>
      </c>
      <c r="Y88" t="s">
        <v>275</v>
      </c>
      <c r="Z88" t="s">
        <v>1871</v>
      </c>
      <c r="AA88" t="s">
        <v>2117</v>
      </c>
      <c r="AB88" t="s">
        <v>902</v>
      </c>
      <c r="AC88" t="s">
        <v>905</v>
      </c>
      <c r="AF88" t="s">
        <v>926</v>
      </c>
      <c r="AI88">
        <v>5</v>
      </c>
      <c r="AK88" t="s">
        <v>936</v>
      </c>
      <c r="AL88" t="s">
        <v>274</v>
      </c>
      <c r="AT88">
        <v>0</v>
      </c>
      <c r="AU88">
        <v>2</v>
      </c>
      <c r="AV88" t="s">
        <v>273</v>
      </c>
      <c r="AY88" t="s">
        <v>273</v>
      </c>
      <c r="BB88">
        <v>0</v>
      </c>
      <c r="BC88">
        <v>0</v>
      </c>
      <c r="BD88">
        <v>0</v>
      </c>
      <c r="BE88">
        <v>0</v>
      </c>
      <c r="BF88" t="s">
        <v>1063</v>
      </c>
      <c r="BG88" t="s">
        <v>2437</v>
      </c>
      <c r="BH88">
        <v>19</v>
      </c>
      <c r="BI88" t="s">
        <v>1253</v>
      </c>
      <c r="BK88">
        <v>1905226</v>
      </c>
      <c r="BL88" t="s">
        <v>274</v>
      </c>
    </row>
    <row r="89" spans="1:64">
      <c r="A89" s="1">
        <f>HYPERLINK("https://lsnyc.legalserver.org/matter/dynamic-profile/view/1906813","19-1906813")</f>
        <v>0</v>
      </c>
      <c r="B89" t="s">
        <v>1396</v>
      </c>
      <c r="C89" t="s">
        <v>1640</v>
      </c>
      <c r="D89" t="s">
        <v>253</v>
      </c>
      <c r="E89" t="s">
        <v>1643</v>
      </c>
      <c r="F89" t="s">
        <v>273</v>
      </c>
      <c r="G89" t="s">
        <v>275</v>
      </c>
      <c r="H89">
        <v>120.02</v>
      </c>
      <c r="I89" t="s">
        <v>274</v>
      </c>
      <c r="K89" t="s">
        <v>464</v>
      </c>
      <c r="P89" t="s">
        <v>492</v>
      </c>
      <c r="Q89" t="s">
        <v>501</v>
      </c>
      <c r="S89" t="s">
        <v>506</v>
      </c>
      <c r="T89" t="s">
        <v>508</v>
      </c>
      <c r="U89" t="s">
        <v>1820</v>
      </c>
      <c r="V89">
        <v>11356</v>
      </c>
      <c r="W89" t="s">
        <v>1826</v>
      </c>
      <c r="X89" t="s">
        <v>548</v>
      </c>
      <c r="Z89" t="s">
        <v>1908</v>
      </c>
      <c r="AA89" t="s">
        <v>2157</v>
      </c>
      <c r="AB89" t="s">
        <v>902</v>
      </c>
      <c r="AC89" t="s">
        <v>2358</v>
      </c>
      <c r="AF89" t="s">
        <v>924</v>
      </c>
      <c r="AI89">
        <v>8.75</v>
      </c>
      <c r="AK89" t="s">
        <v>947</v>
      </c>
      <c r="AL89" t="s">
        <v>274</v>
      </c>
      <c r="AT89">
        <v>0</v>
      </c>
      <c r="AU89">
        <v>3</v>
      </c>
      <c r="AV89" t="s">
        <v>273</v>
      </c>
      <c r="AY89" t="s">
        <v>273</v>
      </c>
      <c r="BB89">
        <v>0</v>
      </c>
      <c r="BC89">
        <v>0</v>
      </c>
      <c r="BD89">
        <v>0</v>
      </c>
      <c r="BE89">
        <v>0</v>
      </c>
      <c r="BF89" t="s">
        <v>1063</v>
      </c>
      <c r="BG89" t="s">
        <v>2481</v>
      </c>
      <c r="BH89">
        <v>18</v>
      </c>
      <c r="BI89" t="s">
        <v>2740</v>
      </c>
      <c r="BK89">
        <v>1894173</v>
      </c>
      <c r="BL89" t="s">
        <v>275</v>
      </c>
    </row>
    <row r="90" spans="1:64">
      <c r="A90" s="1">
        <f>HYPERLINK("https://lsnyc.legalserver.org/matter/dynamic-profile/view/1906817","19-1906817")</f>
        <v>0</v>
      </c>
      <c r="B90" t="s">
        <v>1397</v>
      </c>
      <c r="C90" t="s">
        <v>1640</v>
      </c>
      <c r="D90" t="s">
        <v>253</v>
      </c>
      <c r="E90" t="s">
        <v>1643</v>
      </c>
      <c r="F90" t="s">
        <v>273</v>
      </c>
      <c r="G90" t="s">
        <v>275</v>
      </c>
      <c r="H90">
        <v>120.02</v>
      </c>
      <c r="I90" t="s">
        <v>274</v>
      </c>
      <c r="K90" t="s">
        <v>464</v>
      </c>
      <c r="P90" t="s">
        <v>492</v>
      </c>
      <c r="Q90" t="s">
        <v>501</v>
      </c>
      <c r="S90" t="s">
        <v>506</v>
      </c>
      <c r="T90" t="s">
        <v>508</v>
      </c>
      <c r="U90" t="s">
        <v>1820</v>
      </c>
      <c r="V90">
        <v>11356</v>
      </c>
      <c r="W90" t="s">
        <v>1826</v>
      </c>
      <c r="X90" t="s">
        <v>548</v>
      </c>
      <c r="Z90" t="s">
        <v>1909</v>
      </c>
      <c r="AA90" t="s">
        <v>2158</v>
      </c>
      <c r="AB90" t="s">
        <v>902</v>
      </c>
      <c r="AC90" t="s">
        <v>905</v>
      </c>
      <c r="AF90" t="s">
        <v>924</v>
      </c>
      <c r="AI90">
        <v>9.1</v>
      </c>
      <c r="AK90" t="s">
        <v>947</v>
      </c>
      <c r="AL90" t="s">
        <v>274</v>
      </c>
      <c r="AT90">
        <v>0</v>
      </c>
      <c r="AU90">
        <v>3</v>
      </c>
      <c r="AV90" t="s">
        <v>273</v>
      </c>
      <c r="AY90" t="s">
        <v>273</v>
      </c>
      <c r="BB90">
        <v>0</v>
      </c>
      <c r="BC90">
        <v>0</v>
      </c>
      <c r="BD90">
        <v>0</v>
      </c>
      <c r="BE90">
        <v>0</v>
      </c>
      <c r="BF90" t="s">
        <v>1063</v>
      </c>
      <c r="BG90" t="s">
        <v>2482</v>
      </c>
      <c r="BH90">
        <v>20</v>
      </c>
      <c r="BI90" t="s">
        <v>2740</v>
      </c>
      <c r="BK90">
        <v>1890084</v>
      </c>
      <c r="BL90" t="s">
        <v>275</v>
      </c>
    </row>
    <row r="91" spans="1:64">
      <c r="A91" s="1">
        <f>HYPERLINK("https://lsnyc.legalserver.org/matter/dynamic-profile/view/1905351","19-1905351")</f>
        <v>0</v>
      </c>
      <c r="B91" t="s">
        <v>1398</v>
      </c>
      <c r="C91" t="s">
        <v>1640</v>
      </c>
      <c r="D91" t="s">
        <v>252</v>
      </c>
      <c r="E91" t="s">
        <v>1643</v>
      </c>
      <c r="F91" t="s">
        <v>273</v>
      </c>
      <c r="G91" t="s">
        <v>275</v>
      </c>
      <c r="H91">
        <v>133.23</v>
      </c>
      <c r="I91" t="s">
        <v>274</v>
      </c>
      <c r="K91" t="s">
        <v>483</v>
      </c>
      <c r="O91" t="s">
        <v>275</v>
      </c>
      <c r="P91" t="s">
        <v>492</v>
      </c>
      <c r="Q91" t="s">
        <v>501</v>
      </c>
      <c r="S91" t="s">
        <v>503</v>
      </c>
      <c r="T91" t="s">
        <v>508</v>
      </c>
      <c r="U91" t="s">
        <v>511</v>
      </c>
      <c r="V91">
        <v>11212</v>
      </c>
      <c r="W91" t="s">
        <v>520</v>
      </c>
      <c r="X91" t="s">
        <v>549</v>
      </c>
      <c r="Y91" t="s">
        <v>275</v>
      </c>
      <c r="Z91" t="s">
        <v>1910</v>
      </c>
      <c r="AA91" t="s">
        <v>2159</v>
      </c>
      <c r="AB91" t="s">
        <v>902</v>
      </c>
      <c r="AC91" t="s">
        <v>905</v>
      </c>
      <c r="AF91" t="s">
        <v>923</v>
      </c>
      <c r="AI91">
        <v>3.9</v>
      </c>
      <c r="AJ91" t="s">
        <v>558</v>
      </c>
      <c r="AK91" t="s">
        <v>939</v>
      </c>
      <c r="AL91" t="s">
        <v>274</v>
      </c>
      <c r="AM91" t="s">
        <v>973</v>
      </c>
      <c r="AN91" t="s">
        <v>461</v>
      </c>
      <c r="AT91">
        <v>0</v>
      </c>
      <c r="AU91">
        <v>1</v>
      </c>
      <c r="AV91" t="s">
        <v>273</v>
      </c>
      <c r="AY91" t="s">
        <v>273</v>
      </c>
      <c r="BB91">
        <v>0</v>
      </c>
      <c r="BC91">
        <v>0</v>
      </c>
      <c r="BD91">
        <v>0</v>
      </c>
      <c r="BE91">
        <v>0</v>
      </c>
      <c r="BF91" t="s">
        <v>1063</v>
      </c>
      <c r="BG91" t="s">
        <v>2483</v>
      </c>
      <c r="BH91">
        <v>28</v>
      </c>
      <c r="BI91" t="s">
        <v>1320</v>
      </c>
      <c r="BK91">
        <v>1851004</v>
      </c>
    </row>
    <row r="92" spans="1:64">
      <c r="A92" s="1">
        <f>HYPERLINK("https://lsnyc.legalserver.org/matter/dynamic-profile/view/1905390","19-1905390")</f>
        <v>0</v>
      </c>
      <c r="B92" t="s">
        <v>1399</v>
      </c>
      <c r="C92" t="s">
        <v>1640</v>
      </c>
      <c r="D92" t="s">
        <v>253</v>
      </c>
      <c r="E92" t="s">
        <v>1647</v>
      </c>
      <c r="F92" t="s">
        <v>273</v>
      </c>
      <c r="G92" t="s">
        <v>275</v>
      </c>
      <c r="H92">
        <v>102.09</v>
      </c>
      <c r="I92" t="s">
        <v>274</v>
      </c>
      <c r="K92" t="s">
        <v>1676</v>
      </c>
      <c r="M92" t="s">
        <v>474</v>
      </c>
      <c r="N92" t="s">
        <v>464</v>
      </c>
      <c r="P92" t="s">
        <v>492</v>
      </c>
      <c r="Q92" t="s">
        <v>501</v>
      </c>
      <c r="S92" t="s">
        <v>503</v>
      </c>
      <c r="T92" t="s">
        <v>508</v>
      </c>
      <c r="U92" t="s">
        <v>511</v>
      </c>
      <c r="V92">
        <v>11432</v>
      </c>
      <c r="W92" t="s">
        <v>518</v>
      </c>
      <c r="X92" t="s">
        <v>548</v>
      </c>
      <c r="Y92" t="s">
        <v>275</v>
      </c>
      <c r="Z92" t="s">
        <v>584</v>
      </c>
      <c r="AA92" t="s">
        <v>2160</v>
      </c>
      <c r="AB92" t="s">
        <v>902</v>
      </c>
      <c r="AC92" t="s">
        <v>911</v>
      </c>
      <c r="AF92" t="s">
        <v>926</v>
      </c>
      <c r="AI92">
        <v>2.25</v>
      </c>
      <c r="AJ92" t="s">
        <v>558</v>
      </c>
      <c r="AK92" t="s">
        <v>934</v>
      </c>
      <c r="AL92" t="s">
        <v>274</v>
      </c>
      <c r="AT92">
        <v>3</v>
      </c>
      <c r="AU92">
        <v>2</v>
      </c>
      <c r="AV92" t="s">
        <v>273</v>
      </c>
      <c r="AY92" t="s">
        <v>273</v>
      </c>
      <c r="BB92">
        <v>0</v>
      </c>
      <c r="BC92">
        <v>0</v>
      </c>
      <c r="BD92">
        <v>0</v>
      </c>
      <c r="BE92">
        <v>0</v>
      </c>
      <c r="BF92" t="s">
        <v>1063</v>
      </c>
      <c r="BG92" t="s">
        <v>2484</v>
      </c>
      <c r="BH92">
        <v>43</v>
      </c>
      <c r="BI92" t="s">
        <v>2732</v>
      </c>
      <c r="BK92">
        <v>1884111</v>
      </c>
      <c r="BL92" t="s">
        <v>274</v>
      </c>
    </row>
    <row r="93" spans="1:64">
      <c r="A93" s="1">
        <f>HYPERLINK("https://lsnyc.legalserver.org/matter/dynamic-profile/view/1905409","19-1905409")</f>
        <v>0</v>
      </c>
      <c r="B93" t="s">
        <v>1400</v>
      </c>
      <c r="C93" t="s">
        <v>1640</v>
      </c>
      <c r="D93" t="s">
        <v>253</v>
      </c>
      <c r="E93" t="s">
        <v>1647</v>
      </c>
      <c r="F93" t="s">
        <v>273</v>
      </c>
      <c r="G93" t="s">
        <v>275</v>
      </c>
      <c r="H93">
        <v>102.09</v>
      </c>
      <c r="I93" t="s">
        <v>274</v>
      </c>
      <c r="K93" t="s">
        <v>1676</v>
      </c>
      <c r="P93" t="s">
        <v>492</v>
      </c>
      <c r="Q93" t="s">
        <v>502</v>
      </c>
      <c r="S93" t="s">
        <v>503</v>
      </c>
      <c r="T93" t="s">
        <v>508</v>
      </c>
      <c r="U93" t="s">
        <v>511</v>
      </c>
      <c r="V93">
        <v>11432</v>
      </c>
      <c r="W93" t="s">
        <v>518</v>
      </c>
      <c r="X93" t="s">
        <v>548</v>
      </c>
      <c r="Y93" t="s">
        <v>275</v>
      </c>
      <c r="Z93" t="s">
        <v>584</v>
      </c>
      <c r="AA93" t="s">
        <v>2161</v>
      </c>
      <c r="AB93" t="s">
        <v>902</v>
      </c>
      <c r="AC93" t="s">
        <v>908</v>
      </c>
      <c r="AF93" t="s">
        <v>926</v>
      </c>
      <c r="AI93">
        <v>3.7</v>
      </c>
      <c r="AJ93" t="s">
        <v>558</v>
      </c>
      <c r="AK93" t="s">
        <v>934</v>
      </c>
      <c r="AL93" t="s">
        <v>274</v>
      </c>
      <c r="AT93">
        <v>3</v>
      </c>
      <c r="AU93">
        <v>2</v>
      </c>
      <c r="AV93" t="s">
        <v>273</v>
      </c>
      <c r="AY93" t="s">
        <v>273</v>
      </c>
      <c r="BB93">
        <v>0</v>
      </c>
      <c r="BC93">
        <v>0</v>
      </c>
      <c r="BD93">
        <v>0</v>
      </c>
      <c r="BE93">
        <v>0</v>
      </c>
      <c r="BF93" t="s">
        <v>1063</v>
      </c>
      <c r="BG93" t="s">
        <v>2485</v>
      </c>
      <c r="BH93">
        <v>7</v>
      </c>
      <c r="BI93" t="s">
        <v>2732</v>
      </c>
      <c r="BK93">
        <v>1884111</v>
      </c>
    </row>
    <row r="94" spans="1:64">
      <c r="A94" s="1">
        <f>HYPERLINK("https://lsnyc.legalserver.org/matter/dynamic-profile/view/1905519","19-1905519")</f>
        <v>0</v>
      </c>
      <c r="B94" t="s">
        <v>1401</v>
      </c>
      <c r="C94" t="s">
        <v>1640</v>
      </c>
      <c r="D94" t="s">
        <v>253</v>
      </c>
      <c r="E94" t="s">
        <v>1647</v>
      </c>
      <c r="F94" t="s">
        <v>273</v>
      </c>
      <c r="G94" t="s">
        <v>275</v>
      </c>
      <c r="H94">
        <v>102.09</v>
      </c>
      <c r="I94" t="s">
        <v>274</v>
      </c>
      <c r="K94" t="s">
        <v>1676</v>
      </c>
      <c r="O94" t="s">
        <v>275</v>
      </c>
      <c r="P94" t="s">
        <v>492</v>
      </c>
      <c r="Q94" t="s">
        <v>502</v>
      </c>
      <c r="S94" t="s">
        <v>503</v>
      </c>
      <c r="T94" t="s">
        <v>507</v>
      </c>
      <c r="U94" t="s">
        <v>511</v>
      </c>
      <c r="V94">
        <v>11432</v>
      </c>
      <c r="W94" t="s">
        <v>518</v>
      </c>
      <c r="X94" t="s">
        <v>548</v>
      </c>
      <c r="Y94" t="s">
        <v>275</v>
      </c>
      <c r="Z94" t="s">
        <v>613</v>
      </c>
      <c r="AA94" t="s">
        <v>2161</v>
      </c>
      <c r="AB94" t="s">
        <v>902</v>
      </c>
      <c r="AC94" t="s">
        <v>908</v>
      </c>
      <c r="AF94" t="s">
        <v>926</v>
      </c>
      <c r="AI94">
        <v>3.95</v>
      </c>
      <c r="AJ94" t="s">
        <v>558</v>
      </c>
      <c r="AK94" t="s">
        <v>934</v>
      </c>
      <c r="AL94" t="s">
        <v>274</v>
      </c>
      <c r="AT94">
        <v>3</v>
      </c>
      <c r="AU94">
        <v>2</v>
      </c>
      <c r="AV94" t="s">
        <v>273</v>
      </c>
      <c r="AY94" t="s">
        <v>273</v>
      </c>
      <c r="BB94">
        <v>0</v>
      </c>
      <c r="BC94">
        <v>0</v>
      </c>
      <c r="BD94">
        <v>0</v>
      </c>
      <c r="BE94">
        <v>0</v>
      </c>
      <c r="BF94" t="s">
        <v>1063</v>
      </c>
      <c r="BG94" t="s">
        <v>2486</v>
      </c>
      <c r="BH94">
        <v>4</v>
      </c>
      <c r="BI94" t="s">
        <v>2732</v>
      </c>
      <c r="BK94">
        <v>1884111</v>
      </c>
    </row>
    <row r="95" spans="1:64">
      <c r="A95" s="1">
        <f>HYPERLINK("https://lsnyc.legalserver.org/matter/dynamic-profile/view/1905132","19-1905132")</f>
        <v>0</v>
      </c>
      <c r="B95" t="s">
        <v>1402</v>
      </c>
      <c r="C95" t="s">
        <v>1640</v>
      </c>
      <c r="D95" t="s">
        <v>253</v>
      </c>
      <c r="E95" t="s">
        <v>1643</v>
      </c>
      <c r="F95" t="s">
        <v>273</v>
      </c>
      <c r="G95" t="s">
        <v>275</v>
      </c>
      <c r="H95">
        <v>22.5</v>
      </c>
      <c r="K95" t="s">
        <v>1003</v>
      </c>
      <c r="P95" t="s">
        <v>492</v>
      </c>
      <c r="Q95" t="s">
        <v>501</v>
      </c>
      <c r="S95" t="s">
        <v>503</v>
      </c>
      <c r="T95" t="s">
        <v>508</v>
      </c>
      <c r="U95" t="s">
        <v>511</v>
      </c>
      <c r="V95">
        <v>11435</v>
      </c>
      <c r="W95" t="s">
        <v>518</v>
      </c>
      <c r="X95" t="s">
        <v>548</v>
      </c>
      <c r="Z95" t="s">
        <v>1911</v>
      </c>
      <c r="AA95" t="s">
        <v>2162</v>
      </c>
      <c r="AB95" t="s">
        <v>902</v>
      </c>
      <c r="AC95" t="s">
        <v>905</v>
      </c>
      <c r="AF95" t="s">
        <v>926</v>
      </c>
      <c r="AI95">
        <v>2.3</v>
      </c>
      <c r="AK95" t="s">
        <v>941</v>
      </c>
      <c r="AT95">
        <v>2</v>
      </c>
      <c r="AU95">
        <v>1</v>
      </c>
      <c r="AV95" t="s">
        <v>273</v>
      </c>
      <c r="AY95" t="s">
        <v>273</v>
      </c>
      <c r="BB95">
        <v>0</v>
      </c>
      <c r="BC95">
        <v>0</v>
      </c>
      <c r="BD95">
        <v>0</v>
      </c>
      <c r="BE95">
        <v>0</v>
      </c>
      <c r="BF95" t="s">
        <v>1063</v>
      </c>
      <c r="BG95" t="s">
        <v>2487</v>
      </c>
      <c r="BH95">
        <v>29</v>
      </c>
      <c r="BI95" t="s">
        <v>2726</v>
      </c>
      <c r="BK95">
        <v>1905787</v>
      </c>
    </row>
    <row r="96" spans="1:64">
      <c r="A96" s="1">
        <f>HYPERLINK("https://lsnyc.legalserver.org/matter/dynamic-profile/view/1904919","19-1904919")</f>
        <v>0</v>
      </c>
      <c r="B96" t="s">
        <v>1403</v>
      </c>
      <c r="C96" t="s">
        <v>1640</v>
      </c>
      <c r="D96" t="s">
        <v>253</v>
      </c>
      <c r="E96" t="s">
        <v>1646</v>
      </c>
      <c r="F96" t="s">
        <v>273</v>
      </c>
      <c r="G96" t="s">
        <v>275</v>
      </c>
      <c r="H96">
        <v>0</v>
      </c>
      <c r="I96" t="s">
        <v>274</v>
      </c>
      <c r="K96" t="s">
        <v>1677</v>
      </c>
      <c r="O96" t="s">
        <v>275</v>
      </c>
      <c r="P96" t="s">
        <v>492</v>
      </c>
      <c r="Q96" t="s">
        <v>501</v>
      </c>
      <c r="S96" t="s">
        <v>503</v>
      </c>
      <c r="T96" t="s">
        <v>508</v>
      </c>
      <c r="U96" t="s">
        <v>511</v>
      </c>
      <c r="V96">
        <v>11416</v>
      </c>
      <c r="W96" t="s">
        <v>520</v>
      </c>
      <c r="X96" t="s">
        <v>548</v>
      </c>
      <c r="Y96" t="s">
        <v>275</v>
      </c>
      <c r="Z96" t="s">
        <v>1912</v>
      </c>
      <c r="AA96" t="s">
        <v>2163</v>
      </c>
      <c r="AB96" t="s">
        <v>902</v>
      </c>
      <c r="AC96" t="s">
        <v>905</v>
      </c>
      <c r="AF96" t="s">
        <v>923</v>
      </c>
      <c r="AI96">
        <v>6.38</v>
      </c>
      <c r="AJ96" t="s">
        <v>558</v>
      </c>
      <c r="AK96" t="s">
        <v>947</v>
      </c>
      <c r="AL96" t="s">
        <v>274</v>
      </c>
      <c r="AT96">
        <v>0</v>
      </c>
      <c r="AU96">
        <v>1</v>
      </c>
      <c r="AV96" t="s">
        <v>273</v>
      </c>
      <c r="AY96" t="s">
        <v>273</v>
      </c>
      <c r="BB96">
        <v>0</v>
      </c>
      <c r="BC96">
        <v>0</v>
      </c>
      <c r="BD96">
        <v>0</v>
      </c>
      <c r="BE96">
        <v>0</v>
      </c>
      <c r="BF96" t="s">
        <v>1063</v>
      </c>
      <c r="BG96" t="s">
        <v>2488</v>
      </c>
      <c r="BH96">
        <v>32</v>
      </c>
      <c r="BI96" t="s">
        <v>1247</v>
      </c>
      <c r="BK96">
        <v>816046</v>
      </c>
    </row>
    <row r="97" spans="1:64">
      <c r="A97" s="1">
        <f>HYPERLINK("https://lsnyc.legalserver.org/matter/dynamic-profile/view/1904927","19-1904927")</f>
        <v>0</v>
      </c>
      <c r="B97" t="s">
        <v>1404</v>
      </c>
      <c r="C97" t="s">
        <v>1640</v>
      </c>
      <c r="D97" t="s">
        <v>253</v>
      </c>
      <c r="E97" t="s">
        <v>1648</v>
      </c>
      <c r="F97" t="s">
        <v>273</v>
      </c>
      <c r="G97" t="s">
        <v>275</v>
      </c>
      <c r="H97">
        <v>96.08</v>
      </c>
      <c r="K97" t="s">
        <v>1677</v>
      </c>
      <c r="Q97" t="s">
        <v>501</v>
      </c>
      <c r="S97" t="s">
        <v>503</v>
      </c>
      <c r="T97" t="s">
        <v>508</v>
      </c>
      <c r="U97" t="s">
        <v>511</v>
      </c>
      <c r="V97">
        <v>11385</v>
      </c>
      <c r="W97" t="s">
        <v>1827</v>
      </c>
      <c r="X97" t="s">
        <v>547</v>
      </c>
      <c r="Z97" t="s">
        <v>1913</v>
      </c>
      <c r="AA97" t="s">
        <v>2164</v>
      </c>
      <c r="AB97" t="s">
        <v>902</v>
      </c>
      <c r="AC97" t="s">
        <v>905</v>
      </c>
      <c r="AI97">
        <v>6.17</v>
      </c>
      <c r="AK97" t="s">
        <v>932</v>
      </c>
      <c r="AT97">
        <v>0</v>
      </c>
      <c r="AU97">
        <v>1</v>
      </c>
      <c r="AV97" t="s">
        <v>273</v>
      </c>
      <c r="AY97" t="s">
        <v>273</v>
      </c>
      <c r="BB97">
        <v>0</v>
      </c>
      <c r="BC97">
        <v>0</v>
      </c>
      <c r="BD97">
        <v>0</v>
      </c>
      <c r="BE97">
        <v>0</v>
      </c>
      <c r="BF97" t="s">
        <v>1063</v>
      </c>
      <c r="BG97" t="s">
        <v>2489</v>
      </c>
      <c r="BH97">
        <v>31</v>
      </c>
      <c r="BI97" t="s">
        <v>1267</v>
      </c>
      <c r="BK97">
        <v>1880602</v>
      </c>
    </row>
    <row r="98" spans="1:64">
      <c r="A98" s="1">
        <f>HYPERLINK("https://lsnyc.legalserver.org/matter/dynamic-profile/view/1904948","19-1904948")</f>
        <v>0</v>
      </c>
      <c r="B98" t="s">
        <v>1405</v>
      </c>
      <c r="C98" t="s">
        <v>1640</v>
      </c>
      <c r="D98" t="s">
        <v>253</v>
      </c>
      <c r="E98" t="s">
        <v>1643</v>
      </c>
      <c r="F98" t="s">
        <v>273</v>
      </c>
      <c r="G98" t="s">
        <v>275</v>
      </c>
      <c r="H98">
        <v>99.44</v>
      </c>
      <c r="I98" t="s">
        <v>274</v>
      </c>
      <c r="K98" t="s">
        <v>1677</v>
      </c>
      <c r="O98" t="s">
        <v>275</v>
      </c>
      <c r="P98" t="s">
        <v>495</v>
      </c>
      <c r="Q98" t="s">
        <v>501</v>
      </c>
      <c r="S98" t="s">
        <v>503</v>
      </c>
      <c r="T98" t="s">
        <v>507</v>
      </c>
      <c r="U98" t="s">
        <v>511</v>
      </c>
      <c r="V98">
        <v>11375</v>
      </c>
      <c r="W98" t="s">
        <v>518</v>
      </c>
      <c r="X98" t="s">
        <v>549</v>
      </c>
      <c r="Z98" t="s">
        <v>1914</v>
      </c>
      <c r="AA98" t="s">
        <v>2165</v>
      </c>
      <c r="AB98" t="s">
        <v>902</v>
      </c>
      <c r="AC98" t="s">
        <v>906</v>
      </c>
      <c r="AF98" t="s">
        <v>926</v>
      </c>
      <c r="AI98">
        <v>10.1</v>
      </c>
      <c r="AJ98" t="s">
        <v>558</v>
      </c>
      <c r="AK98" t="s">
        <v>943</v>
      </c>
      <c r="AL98" t="s">
        <v>274</v>
      </c>
      <c r="AT98">
        <v>3</v>
      </c>
      <c r="AU98">
        <v>2</v>
      </c>
      <c r="AV98" t="s">
        <v>273</v>
      </c>
      <c r="AY98" t="s">
        <v>273</v>
      </c>
      <c r="BB98">
        <v>0</v>
      </c>
      <c r="BC98">
        <v>0</v>
      </c>
      <c r="BD98">
        <v>0</v>
      </c>
      <c r="BE98">
        <v>0</v>
      </c>
      <c r="BF98" t="s">
        <v>1063</v>
      </c>
      <c r="BG98" t="s">
        <v>2490</v>
      </c>
      <c r="BH98">
        <v>41</v>
      </c>
      <c r="BI98" t="s">
        <v>1272</v>
      </c>
      <c r="BK98">
        <v>1905603</v>
      </c>
    </row>
    <row r="99" spans="1:64">
      <c r="A99" s="1">
        <f>HYPERLINK("https://lsnyc.legalserver.org/matter/dynamic-profile/view/1905022","19-1905022")</f>
        <v>0</v>
      </c>
      <c r="B99" t="s">
        <v>1406</v>
      </c>
      <c r="C99" t="s">
        <v>1640</v>
      </c>
      <c r="D99" t="s">
        <v>253</v>
      </c>
      <c r="E99" t="s">
        <v>1649</v>
      </c>
      <c r="F99" t="s">
        <v>273</v>
      </c>
      <c r="G99" t="s">
        <v>275</v>
      </c>
      <c r="H99">
        <v>81.87</v>
      </c>
      <c r="K99" t="s">
        <v>1677</v>
      </c>
      <c r="O99" t="s">
        <v>275</v>
      </c>
      <c r="Q99" t="s">
        <v>501</v>
      </c>
      <c r="S99" t="s">
        <v>503</v>
      </c>
      <c r="T99" t="s">
        <v>508</v>
      </c>
      <c r="U99" t="s">
        <v>511</v>
      </c>
      <c r="V99">
        <v>11691</v>
      </c>
      <c r="W99" t="s">
        <v>1830</v>
      </c>
      <c r="X99" t="s">
        <v>548</v>
      </c>
      <c r="Z99" t="s">
        <v>1915</v>
      </c>
      <c r="AA99" t="s">
        <v>2166</v>
      </c>
      <c r="AB99" t="s">
        <v>902</v>
      </c>
      <c r="AC99" t="s">
        <v>910</v>
      </c>
      <c r="AI99">
        <v>41.05</v>
      </c>
      <c r="AJ99" t="s">
        <v>558</v>
      </c>
      <c r="AK99" t="s">
        <v>934</v>
      </c>
      <c r="AT99">
        <v>2</v>
      </c>
      <c r="AU99">
        <v>3</v>
      </c>
      <c r="AV99" t="s">
        <v>273</v>
      </c>
      <c r="AY99" t="s">
        <v>273</v>
      </c>
      <c r="BB99">
        <v>0</v>
      </c>
      <c r="BC99">
        <v>0</v>
      </c>
      <c r="BD99">
        <v>0</v>
      </c>
      <c r="BE99">
        <v>0</v>
      </c>
      <c r="BF99" t="s">
        <v>1063</v>
      </c>
      <c r="BG99" t="s">
        <v>2491</v>
      </c>
      <c r="BH99">
        <v>38</v>
      </c>
      <c r="BI99" t="s">
        <v>1276</v>
      </c>
      <c r="BK99">
        <v>1905677</v>
      </c>
    </row>
    <row r="100" spans="1:64">
      <c r="A100" s="1">
        <f>HYPERLINK("https://lsnyc.legalserver.org/matter/dynamic-profile/view/1905027","19-1905027")</f>
        <v>0</v>
      </c>
      <c r="B100" t="s">
        <v>1407</v>
      </c>
      <c r="C100" t="s">
        <v>1640</v>
      </c>
      <c r="D100" t="s">
        <v>253</v>
      </c>
      <c r="E100" t="s">
        <v>1643</v>
      </c>
      <c r="F100" t="s">
        <v>273</v>
      </c>
      <c r="G100" t="s">
        <v>275</v>
      </c>
      <c r="H100">
        <v>97.52</v>
      </c>
      <c r="I100" t="s">
        <v>274</v>
      </c>
      <c r="K100" t="s">
        <v>1677</v>
      </c>
      <c r="P100" t="s">
        <v>492</v>
      </c>
      <c r="Q100" t="s">
        <v>502</v>
      </c>
      <c r="S100" t="s">
        <v>506</v>
      </c>
      <c r="T100" t="s">
        <v>507</v>
      </c>
      <c r="U100" t="s">
        <v>1821</v>
      </c>
      <c r="V100">
        <v>11433</v>
      </c>
      <c r="W100" t="s">
        <v>1828</v>
      </c>
      <c r="X100" t="s">
        <v>548</v>
      </c>
      <c r="Z100" t="s">
        <v>1916</v>
      </c>
      <c r="AA100" t="s">
        <v>2167</v>
      </c>
      <c r="AB100" t="s">
        <v>902</v>
      </c>
      <c r="AC100" t="s">
        <v>905</v>
      </c>
      <c r="AF100" t="s">
        <v>924</v>
      </c>
      <c r="AI100">
        <v>5.65</v>
      </c>
      <c r="AK100" t="s">
        <v>934</v>
      </c>
      <c r="AL100" t="s">
        <v>274</v>
      </c>
      <c r="AT100">
        <v>2</v>
      </c>
      <c r="AU100">
        <v>1</v>
      </c>
      <c r="AV100" t="s">
        <v>273</v>
      </c>
      <c r="AY100" t="s">
        <v>273</v>
      </c>
      <c r="BB100">
        <v>0</v>
      </c>
      <c r="BC100">
        <v>0</v>
      </c>
      <c r="BD100">
        <v>0</v>
      </c>
      <c r="BE100">
        <v>0</v>
      </c>
      <c r="BF100" t="s">
        <v>1063</v>
      </c>
      <c r="BG100" t="s">
        <v>2492</v>
      </c>
      <c r="BH100">
        <v>16</v>
      </c>
      <c r="BI100" t="s">
        <v>1261</v>
      </c>
      <c r="BK100">
        <v>1895373</v>
      </c>
      <c r="BL100" t="s">
        <v>274</v>
      </c>
    </row>
    <row r="101" spans="1:64">
      <c r="A101" s="1">
        <f>HYPERLINK("https://lsnyc.legalserver.org/matter/dynamic-profile/view/1905094","19-1905094")</f>
        <v>0</v>
      </c>
      <c r="B101" t="s">
        <v>1408</v>
      </c>
      <c r="C101" t="s">
        <v>1640</v>
      </c>
      <c r="D101" t="s">
        <v>253</v>
      </c>
      <c r="E101" t="s">
        <v>1645</v>
      </c>
      <c r="F101" t="s">
        <v>273</v>
      </c>
      <c r="G101" t="s">
        <v>275</v>
      </c>
      <c r="H101">
        <v>30.75</v>
      </c>
      <c r="I101" t="s">
        <v>274</v>
      </c>
      <c r="K101" t="s">
        <v>1677</v>
      </c>
      <c r="M101" t="s">
        <v>472</v>
      </c>
      <c r="N101" t="s">
        <v>1811</v>
      </c>
      <c r="O101" t="s">
        <v>275</v>
      </c>
      <c r="P101" t="s">
        <v>492</v>
      </c>
      <c r="Q101" t="s">
        <v>501</v>
      </c>
      <c r="R101" t="s">
        <v>1816</v>
      </c>
      <c r="S101" t="s">
        <v>503</v>
      </c>
      <c r="T101" t="s">
        <v>508</v>
      </c>
      <c r="U101" t="s">
        <v>511</v>
      </c>
      <c r="V101">
        <v>11374</v>
      </c>
      <c r="W101" t="s">
        <v>524</v>
      </c>
      <c r="X101" t="s">
        <v>548</v>
      </c>
      <c r="Z101" t="s">
        <v>606</v>
      </c>
      <c r="AA101" t="s">
        <v>2168</v>
      </c>
      <c r="AB101" t="s">
        <v>902</v>
      </c>
      <c r="AC101" t="s">
        <v>905</v>
      </c>
      <c r="AF101" t="s">
        <v>923</v>
      </c>
      <c r="AI101">
        <v>1.7</v>
      </c>
      <c r="AK101" t="s">
        <v>945</v>
      </c>
      <c r="AL101" t="s">
        <v>274</v>
      </c>
      <c r="AS101" t="s">
        <v>1061</v>
      </c>
      <c r="AT101">
        <v>1</v>
      </c>
      <c r="AU101">
        <v>1</v>
      </c>
      <c r="AV101" t="s">
        <v>273</v>
      </c>
      <c r="AY101" t="s">
        <v>273</v>
      </c>
      <c r="BB101">
        <v>0</v>
      </c>
      <c r="BC101">
        <v>0</v>
      </c>
      <c r="BD101">
        <v>0</v>
      </c>
      <c r="BE101">
        <v>0</v>
      </c>
      <c r="BF101" t="s">
        <v>1063</v>
      </c>
      <c r="BG101" t="s">
        <v>2493</v>
      </c>
      <c r="BH101">
        <v>47</v>
      </c>
      <c r="BI101" t="s">
        <v>1258</v>
      </c>
      <c r="BK101">
        <v>1903710</v>
      </c>
    </row>
    <row r="102" spans="1:64">
      <c r="A102" s="1">
        <f>HYPERLINK("https://lsnyc.legalserver.org/matter/dynamic-profile/view/1904680","19-1904680")</f>
        <v>0</v>
      </c>
      <c r="B102" t="s">
        <v>1409</v>
      </c>
      <c r="C102" t="s">
        <v>1640</v>
      </c>
      <c r="D102" t="s">
        <v>253</v>
      </c>
      <c r="E102" t="s">
        <v>1647</v>
      </c>
      <c r="F102" t="s">
        <v>273</v>
      </c>
      <c r="G102" t="s">
        <v>275</v>
      </c>
      <c r="H102">
        <v>199.36</v>
      </c>
      <c r="I102" t="s">
        <v>274</v>
      </c>
      <c r="K102" t="s">
        <v>1678</v>
      </c>
      <c r="M102" t="s">
        <v>474</v>
      </c>
      <c r="N102" t="s">
        <v>450</v>
      </c>
      <c r="O102" t="s">
        <v>275</v>
      </c>
      <c r="P102" t="s">
        <v>492</v>
      </c>
      <c r="Q102" t="s">
        <v>502</v>
      </c>
      <c r="S102" t="s">
        <v>503</v>
      </c>
      <c r="T102" t="s">
        <v>508</v>
      </c>
      <c r="U102" t="s">
        <v>511</v>
      </c>
      <c r="V102">
        <v>11435</v>
      </c>
      <c r="W102" t="s">
        <v>518</v>
      </c>
      <c r="X102" t="s">
        <v>548</v>
      </c>
      <c r="Y102" t="s">
        <v>275</v>
      </c>
      <c r="Z102" t="s">
        <v>1917</v>
      </c>
      <c r="AA102" t="s">
        <v>2169</v>
      </c>
      <c r="AB102" t="s">
        <v>902</v>
      </c>
      <c r="AC102" t="s">
        <v>905</v>
      </c>
      <c r="AF102" t="s">
        <v>926</v>
      </c>
      <c r="AI102">
        <v>12.2</v>
      </c>
      <c r="AJ102" t="s">
        <v>558</v>
      </c>
      <c r="AK102" t="s">
        <v>936</v>
      </c>
      <c r="AL102" t="s">
        <v>274</v>
      </c>
      <c r="AT102">
        <v>5</v>
      </c>
      <c r="AU102">
        <v>3</v>
      </c>
      <c r="AV102" t="s">
        <v>273</v>
      </c>
      <c r="AY102" t="s">
        <v>273</v>
      </c>
      <c r="BB102">
        <v>0</v>
      </c>
      <c r="BC102">
        <v>0</v>
      </c>
      <c r="BD102">
        <v>0</v>
      </c>
      <c r="BE102">
        <v>0</v>
      </c>
      <c r="BF102" t="s">
        <v>1063</v>
      </c>
      <c r="BG102" t="s">
        <v>2494</v>
      </c>
      <c r="BH102">
        <v>7</v>
      </c>
      <c r="BI102" t="s">
        <v>2733</v>
      </c>
      <c r="BK102">
        <v>1905335</v>
      </c>
      <c r="BL102" t="s">
        <v>274</v>
      </c>
    </row>
    <row r="103" spans="1:64">
      <c r="A103" s="1">
        <f>HYPERLINK("https://lsnyc.legalserver.org/matter/dynamic-profile/view/1904507","19-1904507")</f>
        <v>0</v>
      </c>
      <c r="B103" t="s">
        <v>1410</v>
      </c>
      <c r="C103" t="s">
        <v>1640</v>
      </c>
      <c r="D103" t="s">
        <v>253</v>
      </c>
      <c r="E103" t="s">
        <v>1645</v>
      </c>
      <c r="F103" t="s">
        <v>273</v>
      </c>
      <c r="G103" t="s">
        <v>275</v>
      </c>
      <c r="H103">
        <v>5.91</v>
      </c>
      <c r="I103" t="s">
        <v>274</v>
      </c>
      <c r="K103" t="s">
        <v>300</v>
      </c>
      <c r="M103" t="s">
        <v>472</v>
      </c>
      <c r="N103" t="s">
        <v>1664</v>
      </c>
      <c r="O103" t="s">
        <v>275</v>
      </c>
      <c r="P103" t="s">
        <v>492</v>
      </c>
      <c r="Q103" t="s">
        <v>501</v>
      </c>
      <c r="S103" t="s">
        <v>503</v>
      </c>
      <c r="T103" t="s">
        <v>508</v>
      </c>
      <c r="U103" t="s">
        <v>511</v>
      </c>
      <c r="V103">
        <v>11369</v>
      </c>
      <c r="W103" t="s">
        <v>518</v>
      </c>
      <c r="X103" t="s">
        <v>548</v>
      </c>
      <c r="Z103" t="s">
        <v>1918</v>
      </c>
      <c r="AA103" t="s">
        <v>2170</v>
      </c>
      <c r="AB103" t="s">
        <v>902</v>
      </c>
      <c r="AC103" t="s">
        <v>905</v>
      </c>
      <c r="AF103" t="s">
        <v>926</v>
      </c>
      <c r="AI103">
        <v>5.35</v>
      </c>
      <c r="AK103" t="s">
        <v>950</v>
      </c>
      <c r="AL103" t="s">
        <v>274</v>
      </c>
      <c r="AT103">
        <v>1</v>
      </c>
      <c r="AU103">
        <v>1</v>
      </c>
      <c r="AV103" t="s">
        <v>273</v>
      </c>
      <c r="AY103" t="s">
        <v>273</v>
      </c>
      <c r="BB103">
        <v>0</v>
      </c>
      <c r="BC103">
        <v>0</v>
      </c>
      <c r="BD103">
        <v>0</v>
      </c>
      <c r="BE103">
        <v>0</v>
      </c>
      <c r="BF103" t="s">
        <v>1063</v>
      </c>
      <c r="BG103" t="s">
        <v>2495</v>
      </c>
      <c r="BH103">
        <v>38</v>
      </c>
      <c r="BI103" t="s">
        <v>2741</v>
      </c>
      <c r="BK103">
        <v>1882843</v>
      </c>
    </row>
    <row r="104" spans="1:64">
      <c r="A104" s="1">
        <f>HYPERLINK("https://lsnyc.legalserver.org/matter/dynamic-profile/view/1904549","19-1904549")</f>
        <v>0</v>
      </c>
      <c r="B104" t="s">
        <v>1357</v>
      </c>
      <c r="C104" t="s">
        <v>1640</v>
      </c>
      <c r="D104" t="s">
        <v>253</v>
      </c>
      <c r="E104" t="s">
        <v>1643</v>
      </c>
      <c r="F104" t="s">
        <v>273</v>
      </c>
      <c r="G104" t="s">
        <v>275</v>
      </c>
      <c r="H104">
        <v>0</v>
      </c>
      <c r="I104" t="s">
        <v>274</v>
      </c>
      <c r="K104" t="s">
        <v>300</v>
      </c>
      <c r="P104" t="s">
        <v>492</v>
      </c>
      <c r="Q104" t="s">
        <v>501</v>
      </c>
      <c r="S104" t="s">
        <v>503</v>
      </c>
      <c r="T104" t="s">
        <v>507</v>
      </c>
      <c r="U104" t="s">
        <v>511</v>
      </c>
      <c r="V104">
        <v>11354</v>
      </c>
      <c r="W104" t="s">
        <v>529</v>
      </c>
      <c r="X104" t="s">
        <v>548</v>
      </c>
      <c r="Z104" t="s">
        <v>1875</v>
      </c>
      <c r="AA104" t="s">
        <v>2120</v>
      </c>
      <c r="AB104" t="s">
        <v>902</v>
      </c>
      <c r="AC104" t="s">
        <v>905</v>
      </c>
      <c r="AF104" t="s">
        <v>923</v>
      </c>
      <c r="AI104">
        <v>3.17</v>
      </c>
      <c r="AK104" t="s">
        <v>933</v>
      </c>
      <c r="AL104" t="s">
        <v>274</v>
      </c>
      <c r="AT104">
        <v>4</v>
      </c>
      <c r="AU104">
        <v>2</v>
      </c>
      <c r="AV104" t="s">
        <v>273</v>
      </c>
      <c r="AY104" t="s">
        <v>273</v>
      </c>
      <c r="BB104">
        <v>0</v>
      </c>
      <c r="BC104">
        <v>0</v>
      </c>
      <c r="BD104">
        <v>0</v>
      </c>
      <c r="BE104">
        <v>0</v>
      </c>
      <c r="BF104" t="s">
        <v>1063</v>
      </c>
      <c r="BG104" t="s">
        <v>2441</v>
      </c>
      <c r="BH104">
        <v>18</v>
      </c>
      <c r="BI104" t="s">
        <v>1247</v>
      </c>
      <c r="BK104">
        <v>793290</v>
      </c>
      <c r="BL104" t="s">
        <v>275</v>
      </c>
    </row>
    <row r="105" spans="1:64">
      <c r="A105" s="1">
        <f>HYPERLINK("https://lsnyc.legalserver.org/matter/dynamic-profile/view/1904571","19-1904571")</f>
        <v>0</v>
      </c>
      <c r="B105" t="s">
        <v>1350</v>
      </c>
      <c r="C105" t="s">
        <v>1640</v>
      </c>
      <c r="D105" t="s">
        <v>253</v>
      </c>
      <c r="E105" t="s">
        <v>1643</v>
      </c>
      <c r="F105" t="s">
        <v>273</v>
      </c>
      <c r="G105" t="s">
        <v>275</v>
      </c>
      <c r="H105">
        <v>85.16</v>
      </c>
      <c r="I105" t="s">
        <v>274</v>
      </c>
      <c r="K105" t="s">
        <v>300</v>
      </c>
      <c r="P105" t="s">
        <v>492</v>
      </c>
      <c r="Q105" t="s">
        <v>501</v>
      </c>
      <c r="S105" t="s">
        <v>503</v>
      </c>
      <c r="T105" t="s">
        <v>508</v>
      </c>
      <c r="U105" t="s">
        <v>511</v>
      </c>
      <c r="V105">
        <v>11420</v>
      </c>
      <c r="W105" t="s">
        <v>518</v>
      </c>
      <c r="X105" t="s">
        <v>548</v>
      </c>
      <c r="Z105" t="s">
        <v>1871</v>
      </c>
      <c r="AA105" t="s">
        <v>2117</v>
      </c>
      <c r="AB105" t="s">
        <v>902</v>
      </c>
      <c r="AC105" t="s">
        <v>905</v>
      </c>
      <c r="AF105" t="s">
        <v>926</v>
      </c>
      <c r="AI105">
        <v>19.57</v>
      </c>
      <c r="AK105" t="s">
        <v>936</v>
      </c>
      <c r="AL105" t="s">
        <v>274</v>
      </c>
      <c r="AT105">
        <v>0</v>
      </c>
      <c r="AU105">
        <v>2</v>
      </c>
      <c r="AV105" t="s">
        <v>273</v>
      </c>
      <c r="AY105" t="s">
        <v>273</v>
      </c>
      <c r="BB105">
        <v>0</v>
      </c>
      <c r="BC105">
        <v>0</v>
      </c>
      <c r="BD105">
        <v>0</v>
      </c>
      <c r="BE105">
        <v>0</v>
      </c>
      <c r="BF105" t="s">
        <v>1063</v>
      </c>
      <c r="BG105" t="s">
        <v>2437</v>
      </c>
      <c r="BH105">
        <v>19</v>
      </c>
      <c r="BI105" t="s">
        <v>1253</v>
      </c>
      <c r="BK105">
        <v>1905226</v>
      </c>
    </row>
    <row r="106" spans="1:64">
      <c r="A106" s="1">
        <f>HYPERLINK("https://lsnyc.legalserver.org/matter/dynamic-profile/view/1904616","19-1904616")</f>
        <v>0</v>
      </c>
      <c r="B106" t="s">
        <v>1411</v>
      </c>
      <c r="C106" t="s">
        <v>1640</v>
      </c>
      <c r="D106" t="s">
        <v>253</v>
      </c>
      <c r="E106" t="s">
        <v>1643</v>
      </c>
      <c r="F106" t="s">
        <v>273</v>
      </c>
      <c r="G106" t="s">
        <v>275</v>
      </c>
      <c r="H106">
        <v>176.14</v>
      </c>
      <c r="I106" t="s">
        <v>274</v>
      </c>
      <c r="K106" t="s">
        <v>300</v>
      </c>
      <c r="P106" t="s">
        <v>492</v>
      </c>
      <c r="Q106" t="s">
        <v>501</v>
      </c>
      <c r="S106" t="s">
        <v>503</v>
      </c>
      <c r="T106" t="s">
        <v>507</v>
      </c>
      <c r="U106" t="s">
        <v>511</v>
      </c>
      <c r="V106">
        <v>11421</v>
      </c>
      <c r="W106" t="s">
        <v>1827</v>
      </c>
      <c r="X106" t="s">
        <v>1839</v>
      </c>
      <c r="Z106" t="s">
        <v>1919</v>
      </c>
      <c r="AA106" t="s">
        <v>2171</v>
      </c>
      <c r="AB106" t="s">
        <v>902</v>
      </c>
      <c r="AC106" t="s">
        <v>905</v>
      </c>
      <c r="AF106" t="s">
        <v>923</v>
      </c>
      <c r="AI106">
        <v>6.7</v>
      </c>
      <c r="AK106" t="s">
        <v>964</v>
      </c>
      <c r="AL106" t="s">
        <v>274</v>
      </c>
      <c r="AT106">
        <v>0</v>
      </c>
      <c r="AU106">
        <v>1</v>
      </c>
      <c r="AV106" t="s">
        <v>273</v>
      </c>
      <c r="AY106" t="s">
        <v>273</v>
      </c>
      <c r="BB106">
        <v>0</v>
      </c>
      <c r="BC106">
        <v>0</v>
      </c>
      <c r="BD106">
        <v>0</v>
      </c>
      <c r="BE106">
        <v>0</v>
      </c>
      <c r="BF106" t="s">
        <v>1063</v>
      </c>
      <c r="BG106" t="s">
        <v>2496</v>
      </c>
      <c r="BH106">
        <v>24</v>
      </c>
      <c r="BI106" t="s">
        <v>2738</v>
      </c>
      <c r="BK106">
        <v>1865730</v>
      </c>
    </row>
    <row r="107" spans="1:64">
      <c r="A107" s="1">
        <f>HYPERLINK("https://lsnyc.legalserver.org/matter/dynamic-profile/view/1904368","19-1904368")</f>
        <v>0</v>
      </c>
      <c r="B107" t="s">
        <v>1412</v>
      </c>
      <c r="C107" t="s">
        <v>1640</v>
      </c>
      <c r="D107" t="s">
        <v>253</v>
      </c>
      <c r="E107" t="s">
        <v>1649</v>
      </c>
      <c r="F107" t="s">
        <v>273</v>
      </c>
      <c r="G107" t="s">
        <v>275</v>
      </c>
      <c r="H107">
        <v>0</v>
      </c>
      <c r="I107" t="s">
        <v>274</v>
      </c>
      <c r="K107" t="s">
        <v>301</v>
      </c>
      <c r="M107" t="s">
        <v>471</v>
      </c>
      <c r="N107" t="s">
        <v>485</v>
      </c>
      <c r="O107" t="s">
        <v>275</v>
      </c>
      <c r="P107" t="s">
        <v>492</v>
      </c>
      <c r="Q107" t="s">
        <v>502</v>
      </c>
      <c r="S107" t="s">
        <v>504</v>
      </c>
      <c r="T107" t="s">
        <v>508</v>
      </c>
      <c r="U107" t="s">
        <v>512</v>
      </c>
      <c r="V107">
        <v>11368</v>
      </c>
      <c r="X107" t="s">
        <v>548</v>
      </c>
      <c r="Y107" t="s">
        <v>275</v>
      </c>
      <c r="Z107" t="s">
        <v>1920</v>
      </c>
      <c r="AA107" t="s">
        <v>2172</v>
      </c>
      <c r="AB107" t="s">
        <v>902</v>
      </c>
      <c r="AC107" t="s">
        <v>905</v>
      </c>
      <c r="AF107" t="s">
        <v>924</v>
      </c>
      <c r="AI107">
        <v>14.55</v>
      </c>
      <c r="AJ107" t="s">
        <v>558</v>
      </c>
      <c r="AK107" t="s">
        <v>941</v>
      </c>
      <c r="AL107" t="s">
        <v>274</v>
      </c>
      <c r="AT107">
        <v>2</v>
      </c>
      <c r="AU107">
        <v>1</v>
      </c>
      <c r="AV107" t="s">
        <v>273</v>
      </c>
      <c r="AY107" t="s">
        <v>273</v>
      </c>
      <c r="BB107">
        <v>0</v>
      </c>
      <c r="BC107">
        <v>0</v>
      </c>
      <c r="BD107">
        <v>0</v>
      </c>
      <c r="BE107">
        <v>0</v>
      </c>
      <c r="BF107" t="s">
        <v>1063</v>
      </c>
      <c r="BG107" t="s">
        <v>2497</v>
      </c>
      <c r="BH107">
        <v>15</v>
      </c>
      <c r="BI107" t="s">
        <v>1247</v>
      </c>
      <c r="BK107">
        <v>1888755</v>
      </c>
    </row>
    <row r="108" spans="1:64">
      <c r="A108" s="1">
        <f>HYPERLINK("https://lsnyc.legalserver.org/matter/dynamic-profile/view/1905605","19-1905605")</f>
        <v>0</v>
      </c>
      <c r="B108" t="s">
        <v>1413</v>
      </c>
      <c r="C108" t="s">
        <v>1640</v>
      </c>
      <c r="D108" t="s">
        <v>1641</v>
      </c>
      <c r="E108" t="s">
        <v>1647</v>
      </c>
      <c r="F108" t="s">
        <v>273</v>
      </c>
      <c r="G108" t="s">
        <v>275</v>
      </c>
      <c r="H108">
        <v>0</v>
      </c>
      <c r="I108" t="s">
        <v>274</v>
      </c>
      <c r="K108" t="s">
        <v>302</v>
      </c>
      <c r="M108" t="s">
        <v>474</v>
      </c>
      <c r="N108" t="s">
        <v>467</v>
      </c>
      <c r="O108" t="s">
        <v>275</v>
      </c>
      <c r="P108" t="s">
        <v>492</v>
      </c>
      <c r="Q108" t="s">
        <v>502</v>
      </c>
      <c r="S108" t="s">
        <v>503</v>
      </c>
      <c r="T108" t="s">
        <v>508</v>
      </c>
      <c r="U108" t="s">
        <v>511</v>
      </c>
      <c r="V108">
        <v>11550</v>
      </c>
      <c r="W108" t="s">
        <v>518</v>
      </c>
      <c r="X108" t="s">
        <v>548</v>
      </c>
      <c r="Z108" t="s">
        <v>1921</v>
      </c>
      <c r="AA108" t="s">
        <v>2173</v>
      </c>
      <c r="AB108" t="s">
        <v>902</v>
      </c>
      <c r="AC108" t="s">
        <v>905</v>
      </c>
      <c r="AF108" t="s">
        <v>926</v>
      </c>
      <c r="AI108">
        <v>16.5</v>
      </c>
      <c r="AJ108" t="s">
        <v>558</v>
      </c>
      <c r="AK108" t="s">
        <v>934</v>
      </c>
      <c r="AL108" t="s">
        <v>274</v>
      </c>
      <c r="AT108">
        <v>3</v>
      </c>
      <c r="AU108">
        <v>3</v>
      </c>
      <c r="AV108" t="s">
        <v>273</v>
      </c>
      <c r="AY108" t="s">
        <v>273</v>
      </c>
      <c r="BB108">
        <v>0</v>
      </c>
      <c r="BC108">
        <v>0</v>
      </c>
      <c r="BD108">
        <v>0</v>
      </c>
      <c r="BE108">
        <v>0</v>
      </c>
      <c r="BF108" t="s">
        <v>1063</v>
      </c>
      <c r="BG108" t="s">
        <v>2498</v>
      </c>
      <c r="BH108">
        <v>16</v>
      </c>
      <c r="BI108" t="s">
        <v>1247</v>
      </c>
      <c r="BK108">
        <v>815861</v>
      </c>
    </row>
    <row r="109" spans="1:64">
      <c r="A109" s="1">
        <f>HYPERLINK("https://lsnyc.legalserver.org/matter/dynamic-profile/view/1907443","19-1907443")</f>
        <v>0</v>
      </c>
      <c r="B109" t="s">
        <v>1414</v>
      </c>
      <c r="C109" t="s">
        <v>1640</v>
      </c>
      <c r="D109" t="s">
        <v>253</v>
      </c>
      <c r="E109" t="s">
        <v>1649</v>
      </c>
      <c r="F109" t="s">
        <v>273</v>
      </c>
      <c r="G109" t="s">
        <v>275</v>
      </c>
      <c r="H109">
        <v>4.85</v>
      </c>
      <c r="K109" t="s">
        <v>302</v>
      </c>
      <c r="O109" t="s">
        <v>275</v>
      </c>
      <c r="P109" t="s">
        <v>492</v>
      </c>
      <c r="Q109" t="s">
        <v>501</v>
      </c>
      <c r="S109" t="s">
        <v>503</v>
      </c>
      <c r="T109" t="s">
        <v>508</v>
      </c>
      <c r="U109" t="s">
        <v>511</v>
      </c>
      <c r="V109">
        <v>11369</v>
      </c>
      <c r="W109" t="s">
        <v>518</v>
      </c>
      <c r="X109" t="s">
        <v>548</v>
      </c>
      <c r="Y109" t="s">
        <v>275</v>
      </c>
      <c r="Z109" t="s">
        <v>1922</v>
      </c>
      <c r="AA109" t="s">
        <v>2174</v>
      </c>
      <c r="AB109" t="s">
        <v>902</v>
      </c>
      <c r="AC109" t="s">
        <v>914</v>
      </c>
      <c r="AF109" t="s">
        <v>926</v>
      </c>
      <c r="AI109">
        <v>22.25</v>
      </c>
      <c r="AJ109" t="s">
        <v>558</v>
      </c>
      <c r="AK109" t="s">
        <v>933</v>
      </c>
      <c r="AT109">
        <v>3</v>
      </c>
      <c r="AU109">
        <v>1</v>
      </c>
      <c r="AV109" t="s">
        <v>273</v>
      </c>
      <c r="AY109" t="s">
        <v>273</v>
      </c>
      <c r="BB109">
        <v>0</v>
      </c>
      <c r="BC109">
        <v>0</v>
      </c>
      <c r="BD109">
        <v>0</v>
      </c>
      <c r="BE109">
        <v>0</v>
      </c>
      <c r="BF109" t="s">
        <v>1063</v>
      </c>
      <c r="BG109" t="s">
        <v>2499</v>
      </c>
      <c r="BH109">
        <v>39</v>
      </c>
      <c r="BI109" t="s">
        <v>2742</v>
      </c>
      <c r="BK109">
        <v>763074</v>
      </c>
    </row>
    <row r="110" spans="1:64">
      <c r="A110" s="1">
        <f>HYPERLINK("https://lsnyc.legalserver.org/matter/dynamic-profile/view/1903811","19-1903811")</f>
        <v>0</v>
      </c>
      <c r="B110" t="s">
        <v>1415</v>
      </c>
      <c r="C110" t="s">
        <v>1640</v>
      </c>
      <c r="D110" t="s">
        <v>253</v>
      </c>
      <c r="E110" t="s">
        <v>1649</v>
      </c>
      <c r="F110" t="s">
        <v>275</v>
      </c>
      <c r="G110" t="s">
        <v>275</v>
      </c>
      <c r="H110">
        <v>92.25</v>
      </c>
      <c r="K110" t="s">
        <v>1679</v>
      </c>
      <c r="L110" t="s">
        <v>1662</v>
      </c>
      <c r="O110" t="s">
        <v>275</v>
      </c>
      <c r="P110" t="s">
        <v>493</v>
      </c>
      <c r="Q110" t="s">
        <v>502</v>
      </c>
      <c r="S110" t="s">
        <v>503</v>
      </c>
      <c r="T110" t="s">
        <v>507</v>
      </c>
      <c r="U110" t="s">
        <v>511</v>
      </c>
      <c r="V110">
        <v>11428</v>
      </c>
      <c r="W110" t="s">
        <v>518</v>
      </c>
      <c r="X110" t="s">
        <v>548</v>
      </c>
      <c r="Z110" t="s">
        <v>1923</v>
      </c>
      <c r="AA110" t="s">
        <v>2175</v>
      </c>
      <c r="AB110" t="s">
        <v>902</v>
      </c>
      <c r="AC110" t="s">
        <v>905</v>
      </c>
      <c r="AD110" t="s">
        <v>275</v>
      </c>
      <c r="AE110" t="s">
        <v>920</v>
      </c>
      <c r="AF110" t="s">
        <v>928</v>
      </c>
      <c r="AI110">
        <v>8.25</v>
      </c>
      <c r="AJ110" t="s">
        <v>558</v>
      </c>
      <c r="AK110" t="s">
        <v>934</v>
      </c>
      <c r="AQ110" t="s">
        <v>1033</v>
      </c>
      <c r="AR110" t="s">
        <v>1051</v>
      </c>
      <c r="AT110">
        <v>0</v>
      </c>
      <c r="AU110">
        <v>2</v>
      </c>
      <c r="AV110" t="s">
        <v>273</v>
      </c>
      <c r="AY110" t="s">
        <v>273</v>
      </c>
      <c r="BB110">
        <v>0</v>
      </c>
      <c r="BC110">
        <v>0</v>
      </c>
      <c r="BD110">
        <v>0</v>
      </c>
      <c r="BE110">
        <v>0</v>
      </c>
      <c r="BF110" t="s">
        <v>493</v>
      </c>
      <c r="BG110" t="s">
        <v>2500</v>
      </c>
      <c r="BH110">
        <v>16</v>
      </c>
      <c r="BI110" t="s">
        <v>1270</v>
      </c>
      <c r="BK110">
        <v>1904466</v>
      </c>
    </row>
    <row r="111" spans="1:64">
      <c r="A111" s="1">
        <f>HYPERLINK("https://lsnyc.legalserver.org/matter/dynamic-profile/view/1904125","19-1904125")</f>
        <v>0</v>
      </c>
      <c r="B111" t="s">
        <v>1416</v>
      </c>
      <c r="C111" t="s">
        <v>1640</v>
      </c>
      <c r="D111" t="s">
        <v>253</v>
      </c>
      <c r="E111" t="s">
        <v>1643</v>
      </c>
      <c r="F111" t="s">
        <v>273</v>
      </c>
      <c r="G111" t="s">
        <v>275</v>
      </c>
      <c r="H111">
        <v>0</v>
      </c>
      <c r="I111" t="s">
        <v>274</v>
      </c>
      <c r="K111" t="s">
        <v>1680</v>
      </c>
      <c r="M111" t="s">
        <v>473</v>
      </c>
      <c r="P111" t="s">
        <v>492</v>
      </c>
      <c r="Q111" t="s">
        <v>501</v>
      </c>
      <c r="S111" t="s">
        <v>503</v>
      </c>
      <c r="T111" t="s">
        <v>508</v>
      </c>
      <c r="U111" t="s">
        <v>511</v>
      </c>
      <c r="V111">
        <v>11365</v>
      </c>
      <c r="W111" t="s">
        <v>518</v>
      </c>
      <c r="X111" t="s">
        <v>548</v>
      </c>
      <c r="Y111" t="s">
        <v>275</v>
      </c>
      <c r="Z111" t="s">
        <v>1924</v>
      </c>
      <c r="AA111" t="s">
        <v>2176</v>
      </c>
      <c r="AB111" t="s">
        <v>902</v>
      </c>
      <c r="AC111" t="s">
        <v>905</v>
      </c>
      <c r="AF111" t="s">
        <v>926</v>
      </c>
      <c r="AI111">
        <v>6.85</v>
      </c>
      <c r="AK111" t="s">
        <v>941</v>
      </c>
      <c r="AL111" t="s">
        <v>274</v>
      </c>
      <c r="AT111">
        <v>2</v>
      </c>
      <c r="AU111">
        <v>1</v>
      </c>
      <c r="AV111" t="s">
        <v>273</v>
      </c>
      <c r="AY111" t="s">
        <v>273</v>
      </c>
      <c r="BB111">
        <v>0</v>
      </c>
      <c r="BC111">
        <v>0</v>
      </c>
      <c r="BD111">
        <v>0</v>
      </c>
      <c r="BE111">
        <v>0</v>
      </c>
      <c r="BF111" t="s">
        <v>1063</v>
      </c>
      <c r="BG111" t="s">
        <v>2501</v>
      </c>
      <c r="BH111">
        <v>35</v>
      </c>
      <c r="BI111" t="s">
        <v>1247</v>
      </c>
      <c r="BK111">
        <v>1904780</v>
      </c>
    </row>
    <row r="112" spans="1:64">
      <c r="A112" s="1">
        <f>HYPERLINK("https://lsnyc.legalserver.org/matter/dynamic-profile/view/1903655","19-1903655")</f>
        <v>0</v>
      </c>
      <c r="B112" t="s">
        <v>1417</v>
      </c>
      <c r="C112" t="s">
        <v>1640</v>
      </c>
      <c r="D112" t="s">
        <v>253</v>
      </c>
      <c r="E112" t="s">
        <v>1644</v>
      </c>
      <c r="F112" t="s">
        <v>273</v>
      </c>
      <c r="G112" t="s">
        <v>275</v>
      </c>
      <c r="H112">
        <v>76.86</v>
      </c>
      <c r="K112" t="s">
        <v>304</v>
      </c>
      <c r="P112" t="s">
        <v>492</v>
      </c>
      <c r="Q112" t="s">
        <v>501</v>
      </c>
      <c r="S112" t="s">
        <v>503</v>
      </c>
      <c r="T112" t="s">
        <v>507</v>
      </c>
      <c r="U112" t="s">
        <v>511</v>
      </c>
      <c r="V112">
        <v>11373</v>
      </c>
      <c r="W112" t="s">
        <v>536</v>
      </c>
      <c r="X112" t="s">
        <v>548</v>
      </c>
      <c r="Z112" t="s">
        <v>613</v>
      </c>
      <c r="AA112" t="s">
        <v>2177</v>
      </c>
      <c r="AB112" t="s">
        <v>902</v>
      </c>
      <c r="AC112" t="s">
        <v>905</v>
      </c>
      <c r="AI112">
        <v>13.25</v>
      </c>
      <c r="AT112">
        <v>0</v>
      </c>
      <c r="AU112">
        <v>1</v>
      </c>
      <c r="AV112" t="s">
        <v>273</v>
      </c>
      <c r="AY112" t="s">
        <v>273</v>
      </c>
      <c r="BB112">
        <v>0</v>
      </c>
      <c r="BC112">
        <v>0</v>
      </c>
      <c r="BD112">
        <v>0</v>
      </c>
      <c r="BE112">
        <v>0</v>
      </c>
      <c r="BF112" t="s">
        <v>1063</v>
      </c>
      <c r="BG112" t="s">
        <v>2502</v>
      </c>
      <c r="BH112">
        <v>30</v>
      </c>
      <c r="BI112" t="s">
        <v>1280</v>
      </c>
      <c r="BK112">
        <v>1904310</v>
      </c>
    </row>
    <row r="113" spans="1:64">
      <c r="A113" s="1">
        <f>HYPERLINK("https://lsnyc.legalserver.org/matter/dynamic-profile/view/1903585","19-1903585")</f>
        <v>0</v>
      </c>
      <c r="B113" t="s">
        <v>1418</v>
      </c>
      <c r="C113" t="s">
        <v>1640</v>
      </c>
      <c r="D113" t="s">
        <v>253</v>
      </c>
      <c r="E113" t="s">
        <v>1652</v>
      </c>
      <c r="F113" t="s">
        <v>273</v>
      </c>
      <c r="G113" t="s">
        <v>275</v>
      </c>
      <c r="H113">
        <v>0.59</v>
      </c>
      <c r="K113" t="s">
        <v>305</v>
      </c>
      <c r="O113" t="s">
        <v>275</v>
      </c>
      <c r="P113" t="s">
        <v>492</v>
      </c>
      <c r="Q113" t="s">
        <v>502</v>
      </c>
      <c r="S113" t="s">
        <v>503</v>
      </c>
      <c r="T113" t="s">
        <v>507</v>
      </c>
      <c r="U113" t="s">
        <v>511</v>
      </c>
      <c r="V113">
        <v>11429</v>
      </c>
      <c r="X113" t="s">
        <v>548</v>
      </c>
      <c r="Z113" t="s">
        <v>657</v>
      </c>
      <c r="AA113" t="s">
        <v>2178</v>
      </c>
      <c r="AB113" t="s">
        <v>902</v>
      </c>
      <c r="AC113" t="s">
        <v>905</v>
      </c>
      <c r="AI113">
        <v>1</v>
      </c>
      <c r="AJ113" t="s">
        <v>558</v>
      </c>
      <c r="AK113" t="s">
        <v>936</v>
      </c>
      <c r="AT113">
        <v>1</v>
      </c>
      <c r="AU113">
        <v>1</v>
      </c>
      <c r="AV113" t="s">
        <v>273</v>
      </c>
      <c r="AY113" t="s">
        <v>273</v>
      </c>
      <c r="BB113">
        <v>0</v>
      </c>
      <c r="BC113">
        <v>0</v>
      </c>
      <c r="BD113">
        <v>0</v>
      </c>
      <c r="BE113">
        <v>0</v>
      </c>
      <c r="BF113" t="s">
        <v>1063</v>
      </c>
      <c r="BG113" t="s">
        <v>2503</v>
      </c>
      <c r="BH113">
        <v>7</v>
      </c>
      <c r="BI113" t="s">
        <v>2743</v>
      </c>
      <c r="BK113">
        <v>1904240</v>
      </c>
    </row>
    <row r="114" spans="1:64">
      <c r="A114" s="1">
        <f>HYPERLINK("https://lsnyc.legalserver.org/matter/dynamic-profile/view/1903531","19-1903531")</f>
        <v>0</v>
      </c>
      <c r="B114" t="s">
        <v>1419</v>
      </c>
      <c r="C114" t="s">
        <v>1640</v>
      </c>
      <c r="D114" t="s">
        <v>253</v>
      </c>
      <c r="E114" t="s">
        <v>1645</v>
      </c>
      <c r="F114" t="s">
        <v>273</v>
      </c>
      <c r="G114" t="s">
        <v>275</v>
      </c>
      <c r="H114">
        <v>19.22</v>
      </c>
      <c r="I114" t="s">
        <v>274</v>
      </c>
      <c r="K114" t="s">
        <v>1681</v>
      </c>
      <c r="P114" t="s">
        <v>492</v>
      </c>
      <c r="Q114" t="s">
        <v>501</v>
      </c>
      <c r="S114" t="s">
        <v>503</v>
      </c>
      <c r="T114" t="s">
        <v>507</v>
      </c>
      <c r="U114" t="s">
        <v>511</v>
      </c>
      <c r="V114">
        <v>11432</v>
      </c>
      <c r="W114" t="s">
        <v>528</v>
      </c>
      <c r="X114" t="s">
        <v>548</v>
      </c>
      <c r="Z114" t="s">
        <v>1925</v>
      </c>
      <c r="AA114" t="s">
        <v>2179</v>
      </c>
      <c r="AB114" t="s">
        <v>902</v>
      </c>
      <c r="AC114" t="s">
        <v>905</v>
      </c>
      <c r="AF114" t="s">
        <v>923</v>
      </c>
      <c r="AI114">
        <v>0</v>
      </c>
      <c r="AJ114" t="s">
        <v>558</v>
      </c>
      <c r="AK114" t="s">
        <v>949</v>
      </c>
      <c r="AL114" t="s">
        <v>274</v>
      </c>
      <c r="AS114" t="s">
        <v>1061</v>
      </c>
      <c r="AT114">
        <v>0</v>
      </c>
      <c r="AU114">
        <v>1</v>
      </c>
      <c r="AV114" t="s">
        <v>273</v>
      </c>
      <c r="AY114" t="s">
        <v>273</v>
      </c>
      <c r="BB114">
        <v>0</v>
      </c>
      <c r="BC114">
        <v>0</v>
      </c>
      <c r="BD114">
        <v>0</v>
      </c>
      <c r="BE114">
        <v>0</v>
      </c>
      <c r="BF114" t="s">
        <v>1063</v>
      </c>
      <c r="BG114" t="s">
        <v>2504</v>
      </c>
      <c r="BH114">
        <v>39</v>
      </c>
      <c r="BI114" t="s">
        <v>1291</v>
      </c>
      <c r="BK114">
        <v>1904177</v>
      </c>
    </row>
    <row r="115" spans="1:64">
      <c r="A115" s="1">
        <f>HYPERLINK("https://lsnyc.legalserver.org/matter/dynamic-profile/view/1903563","19-1903563")</f>
        <v>0</v>
      </c>
      <c r="B115" t="s">
        <v>1420</v>
      </c>
      <c r="C115" t="s">
        <v>1640</v>
      </c>
      <c r="D115" t="s">
        <v>253</v>
      </c>
      <c r="E115" t="s">
        <v>1645</v>
      </c>
      <c r="F115" t="s">
        <v>273</v>
      </c>
      <c r="G115" t="s">
        <v>275</v>
      </c>
      <c r="H115">
        <v>23.3</v>
      </c>
      <c r="I115" t="s">
        <v>274</v>
      </c>
      <c r="K115" t="s">
        <v>1681</v>
      </c>
      <c r="M115" t="s">
        <v>472</v>
      </c>
      <c r="N115" t="s">
        <v>1811</v>
      </c>
      <c r="P115" t="s">
        <v>492</v>
      </c>
      <c r="Q115" t="s">
        <v>501</v>
      </c>
      <c r="S115" t="s">
        <v>503</v>
      </c>
      <c r="T115" t="s">
        <v>507</v>
      </c>
      <c r="U115" t="s">
        <v>511</v>
      </c>
      <c r="V115">
        <v>11417</v>
      </c>
      <c r="W115" t="s">
        <v>528</v>
      </c>
      <c r="X115" t="s">
        <v>548</v>
      </c>
      <c r="Z115" t="s">
        <v>613</v>
      </c>
      <c r="AA115" t="s">
        <v>2180</v>
      </c>
      <c r="AB115" t="s">
        <v>902</v>
      </c>
      <c r="AC115" t="s">
        <v>905</v>
      </c>
      <c r="AI115">
        <v>0.1</v>
      </c>
      <c r="AK115" t="s">
        <v>949</v>
      </c>
      <c r="AL115" t="s">
        <v>274</v>
      </c>
      <c r="AS115" t="s">
        <v>1061</v>
      </c>
      <c r="AT115">
        <v>3</v>
      </c>
      <c r="AU115">
        <v>1</v>
      </c>
      <c r="AV115" t="s">
        <v>273</v>
      </c>
      <c r="AY115" t="s">
        <v>273</v>
      </c>
      <c r="BB115">
        <v>0</v>
      </c>
      <c r="BC115">
        <v>0</v>
      </c>
      <c r="BD115">
        <v>0</v>
      </c>
      <c r="BE115">
        <v>0</v>
      </c>
      <c r="BF115" t="s">
        <v>1063</v>
      </c>
      <c r="BG115" t="s">
        <v>2505</v>
      </c>
      <c r="BH115">
        <v>44</v>
      </c>
      <c r="BI115" t="s">
        <v>1266</v>
      </c>
      <c r="BK115">
        <v>1904213</v>
      </c>
    </row>
    <row r="116" spans="1:64">
      <c r="A116" s="1">
        <f>HYPERLINK("https://lsnyc.legalserver.org/matter/dynamic-profile/view/1902969","19-1902969")</f>
        <v>0</v>
      </c>
      <c r="B116" t="s">
        <v>1421</v>
      </c>
      <c r="C116" t="s">
        <v>1640</v>
      </c>
      <c r="D116" t="s">
        <v>253</v>
      </c>
      <c r="E116" t="s">
        <v>1649</v>
      </c>
      <c r="F116" t="s">
        <v>275</v>
      </c>
      <c r="G116" t="s">
        <v>275</v>
      </c>
      <c r="H116">
        <v>215.26</v>
      </c>
      <c r="I116" t="s">
        <v>274</v>
      </c>
      <c r="K116" t="s">
        <v>306</v>
      </c>
      <c r="L116" t="s">
        <v>1662</v>
      </c>
      <c r="O116" t="s">
        <v>275</v>
      </c>
      <c r="P116" t="s">
        <v>493</v>
      </c>
      <c r="Q116" t="s">
        <v>502</v>
      </c>
      <c r="S116" t="s">
        <v>503</v>
      </c>
      <c r="T116" t="s">
        <v>508</v>
      </c>
      <c r="U116" t="s">
        <v>511</v>
      </c>
      <c r="V116">
        <v>11368</v>
      </c>
      <c r="X116" t="s">
        <v>548</v>
      </c>
      <c r="Y116" t="s">
        <v>275</v>
      </c>
      <c r="Z116" t="s">
        <v>1926</v>
      </c>
      <c r="AA116" t="s">
        <v>2143</v>
      </c>
      <c r="AB116" t="s">
        <v>902</v>
      </c>
      <c r="AC116" t="s">
        <v>905</v>
      </c>
      <c r="AD116" t="s">
        <v>275</v>
      </c>
      <c r="AE116" t="s">
        <v>920</v>
      </c>
      <c r="AF116" t="s">
        <v>928</v>
      </c>
      <c r="AI116">
        <v>7.5</v>
      </c>
      <c r="AJ116" t="s">
        <v>558</v>
      </c>
      <c r="AK116" t="s">
        <v>941</v>
      </c>
      <c r="AL116" t="s">
        <v>274</v>
      </c>
      <c r="AQ116" t="s">
        <v>1033</v>
      </c>
      <c r="AR116" t="s">
        <v>1051</v>
      </c>
      <c r="AT116">
        <v>1</v>
      </c>
      <c r="AU116">
        <v>1</v>
      </c>
      <c r="AV116" t="s">
        <v>273</v>
      </c>
      <c r="AY116" t="s">
        <v>273</v>
      </c>
      <c r="BB116">
        <v>0</v>
      </c>
      <c r="BC116">
        <v>0</v>
      </c>
      <c r="BD116">
        <v>0</v>
      </c>
      <c r="BE116">
        <v>0</v>
      </c>
      <c r="BF116" t="s">
        <v>493</v>
      </c>
      <c r="BG116" t="s">
        <v>2506</v>
      </c>
      <c r="BH116">
        <v>16</v>
      </c>
      <c r="BI116" t="s">
        <v>1317</v>
      </c>
      <c r="BK116">
        <v>1903624</v>
      </c>
    </row>
    <row r="117" spans="1:64">
      <c r="A117" s="1">
        <f>HYPERLINK("https://lsnyc.legalserver.org/matter/dynamic-profile/view/1902737","19-1902737")</f>
        <v>0</v>
      </c>
      <c r="B117" t="s">
        <v>1422</v>
      </c>
      <c r="C117" t="s">
        <v>1640</v>
      </c>
      <c r="D117" t="s">
        <v>253</v>
      </c>
      <c r="E117" t="s">
        <v>1647</v>
      </c>
      <c r="F117" t="s">
        <v>273</v>
      </c>
      <c r="G117" t="s">
        <v>275</v>
      </c>
      <c r="H117">
        <v>124.9</v>
      </c>
      <c r="I117" t="s">
        <v>274</v>
      </c>
      <c r="K117" t="s">
        <v>307</v>
      </c>
      <c r="M117" t="s">
        <v>473</v>
      </c>
      <c r="N117" t="s">
        <v>1812</v>
      </c>
      <c r="O117" t="s">
        <v>275</v>
      </c>
      <c r="P117" t="s">
        <v>492</v>
      </c>
      <c r="Q117" t="s">
        <v>501</v>
      </c>
      <c r="S117" t="s">
        <v>503</v>
      </c>
      <c r="T117" t="s">
        <v>508</v>
      </c>
      <c r="U117" t="s">
        <v>511</v>
      </c>
      <c r="V117">
        <v>11368</v>
      </c>
      <c r="W117" t="s">
        <v>528</v>
      </c>
      <c r="X117" t="s">
        <v>548</v>
      </c>
      <c r="Y117" t="s">
        <v>275</v>
      </c>
      <c r="Z117" t="s">
        <v>1927</v>
      </c>
      <c r="AA117" t="s">
        <v>729</v>
      </c>
      <c r="AB117" t="s">
        <v>902</v>
      </c>
      <c r="AC117" t="s">
        <v>905</v>
      </c>
      <c r="AF117" t="s">
        <v>923</v>
      </c>
      <c r="AI117">
        <v>3</v>
      </c>
      <c r="AK117" t="s">
        <v>949</v>
      </c>
      <c r="AL117" t="s">
        <v>274</v>
      </c>
      <c r="AM117" t="s">
        <v>973</v>
      </c>
      <c r="AN117" t="s">
        <v>1812</v>
      </c>
      <c r="AT117">
        <v>0</v>
      </c>
      <c r="AU117">
        <v>1</v>
      </c>
      <c r="AV117" t="s">
        <v>273</v>
      </c>
      <c r="AY117" t="s">
        <v>273</v>
      </c>
      <c r="BB117">
        <v>0</v>
      </c>
      <c r="BC117">
        <v>0</v>
      </c>
      <c r="BD117">
        <v>0</v>
      </c>
      <c r="BE117">
        <v>0</v>
      </c>
      <c r="BF117" t="s">
        <v>1063</v>
      </c>
      <c r="BG117" t="s">
        <v>2507</v>
      </c>
      <c r="BH117">
        <v>23</v>
      </c>
      <c r="BI117" t="s">
        <v>1270</v>
      </c>
      <c r="BK117">
        <v>1886031</v>
      </c>
      <c r="BL117" t="s">
        <v>274</v>
      </c>
    </row>
    <row r="118" spans="1:64">
      <c r="A118" s="1">
        <f>HYPERLINK("https://lsnyc.legalserver.org/matter/dynamic-profile/view/1902931","19-1902931")</f>
        <v>0</v>
      </c>
      <c r="B118" t="s">
        <v>1423</v>
      </c>
      <c r="C118" t="s">
        <v>1640</v>
      </c>
      <c r="D118" t="s">
        <v>253</v>
      </c>
      <c r="E118" t="s">
        <v>1645</v>
      </c>
      <c r="F118" t="s">
        <v>273</v>
      </c>
      <c r="G118" t="s">
        <v>275</v>
      </c>
      <c r="H118">
        <v>106.45</v>
      </c>
      <c r="I118" t="s">
        <v>274</v>
      </c>
      <c r="K118" t="s">
        <v>307</v>
      </c>
      <c r="M118" t="s">
        <v>472</v>
      </c>
      <c r="N118" t="s">
        <v>1680</v>
      </c>
      <c r="O118" t="s">
        <v>274</v>
      </c>
      <c r="P118" t="s">
        <v>492</v>
      </c>
      <c r="Q118" t="s">
        <v>501</v>
      </c>
      <c r="S118" t="s">
        <v>503</v>
      </c>
      <c r="T118" t="s">
        <v>508</v>
      </c>
      <c r="U118" t="s">
        <v>511</v>
      </c>
      <c r="V118">
        <v>11368</v>
      </c>
      <c r="W118" t="s">
        <v>528</v>
      </c>
      <c r="X118" t="s">
        <v>548</v>
      </c>
      <c r="Z118" t="s">
        <v>1928</v>
      </c>
      <c r="AA118" t="s">
        <v>2181</v>
      </c>
      <c r="AB118" t="s">
        <v>902</v>
      </c>
      <c r="AC118" t="s">
        <v>905</v>
      </c>
      <c r="AF118" t="s">
        <v>923</v>
      </c>
      <c r="AI118">
        <v>3.7</v>
      </c>
      <c r="AK118" t="s">
        <v>933</v>
      </c>
      <c r="AL118" t="s">
        <v>274</v>
      </c>
      <c r="AM118" t="s">
        <v>973</v>
      </c>
      <c r="AN118" t="s">
        <v>1680</v>
      </c>
      <c r="AT118">
        <v>1</v>
      </c>
      <c r="AU118">
        <v>1</v>
      </c>
      <c r="AV118" t="s">
        <v>273</v>
      </c>
      <c r="AY118" t="s">
        <v>273</v>
      </c>
      <c r="BB118">
        <v>0</v>
      </c>
      <c r="BC118">
        <v>0</v>
      </c>
      <c r="BD118">
        <v>0</v>
      </c>
      <c r="BE118">
        <v>0</v>
      </c>
      <c r="BF118" t="s">
        <v>1063</v>
      </c>
      <c r="BG118" t="s">
        <v>2508</v>
      </c>
      <c r="BH118">
        <v>24</v>
      </c>
      <c r="BI118" t="s">
        <v>1289</v>
      </c>
      <c r="BK118">
        <v>1880650</v>
      </c>
    </row>
    <row r="119" spans="1:64">
      <c r="A119" s="1">
        <f>HYPERLINK("https://lsnyc.legalserver.org/matter/dynamic-profile/view/1902933","19-1902933")</f>
        <v>0</v>
      </c>
      <c r="B119" t="s">
        <v>1424</v>
      </c>
      <c r="C119" t="s">
        <v>1640</v>
      </c>
      <c r="D119" t="s">
        <v>257</v>
      </c>
      <c r="E119" t="s">
        <v>1645</v>
      </c>
      <c r="F119" t="s">
        <v>273</v>
      </c>
      <c r="G119" t="s">
        <v>275</v>
      </c>
      <c r="H119">
        <v>30.75</v>
      </c>
      <c r="I119" t="s">
        <v>274</v>
      </c>
      <c r="K119" t="s">
        <v>307</v>
      </c>
      <c r="M119" t="s">
        <v>474</v>
      </c>
      <c r="N119" t="s">
        <v>1004</v>
      </c>
      <c r="P119" t="s">
        <v>492</v>
      </c>
      <c r="Q119" t="s">
        <v>501</v>
      </c>
      <c r="S119" t="s">
        <v>503</v>
      </c>
      <c r="T119" t="s">
        <v>508</v>
      </c>
      <c r="U119" t="s">
        <v>511</v>
      </c>
      <c r="V119">
        <v>10457</v>
      </c>
      <c r="W119" t="s">
        <v>524</v>
      </c>
      <c r="X119" t="s">
        <v>549</v>
      </c>
      <c r="Z119" t="s">
        <v>1929</v>
      </c>
      <c r="AA119" t="s">
        <v>2182</v>
      </c>
      <c r="AB119" t="s">
        <v>902</v>
      </c>
      <c r="AC119" t="s">
        <v>905</v>
      </c>
      <c r="AF119" t="s">
        <v>923</v>
      </c>
      <c r="AI119">
        <v>0.8</v>
      </c>
      <c r="AK119" t="s">
        <v>950</v>
      </c>
      <c r="AL119" t="s">
        <v>274</v>
      </c>
      <c r="AM119" t="s">
        <v>973</v>
      </c>
      <c r="AN119" t="s">
        <v>2386</v>
      </c>
      <c r="AT119">
        <v>1</v>
      </c>
      <c r="AU119">
        <v>1</v>
      </c>
      <c r="AV119" t="s">
        <v>273</v>
      </c>
      <c r="AY119" t="s">
        <v>273</v>
      </c>
      <c r="BB119">
        <v>0</v>
      </c>
      <c r="BC119">
        <v>0</v>
      </c>
      <c r="BD119">
        <v>0</v>
      </c>
      <c r="BE119">
        <v>0</v>
      </c>
      <c r="BF119" t="s">
        <v>1063</v>
      </c>
      <c r="BG119" t="s">
        <v>2509</v>
      </c>
      <c r="BH119">
        <v>38</v>
      </c>
      <c r="BI119" t="s">
        <v>1258</v>
      </c>
      <c r="BK119">
        <v>1889021</v>
      </c>
    </row>
    <row r="120" spans="1:64">
      <c r="A120" s="1">
        <f>HYPERLINK("https://lsnyc.legalserver.org/matter/dynamic-profile/view/1902801","19-1902801")</f>
        <v>0</v>
      </c>
      <c r="B120" t="s">
        <v>1425</v>
      </c>
      <c r="C120" t="s">
        <v>1640</v>
      </c>
      <c r="D120" t="s">
        <v>253</v>
      </c>
      <c r="E120" t="s">
        <v>1650</v>
      </c>
      <c r="F120" t="s">
        <v>273</v>
      </c>
      <c r="G120" t="s">
        <v>275</v>
      </c>
      <c r="H120">
        <v>170.31</v>
      </c>
      <c r="K120" t="s">
        <v>308</v>
      </c>
      <c r="O120" t="s">
        <v>274</v>
      </c>
      <c r="P120" t="s">
        <v>498</v>
      </c>
      <c r="Q120" t="s">
        <v>501</v>
      </c>
      <c r="S120" t="s">
        <v>503</v>
      </c>
      <c r="T120" t="s">
        <v>507</v>
      </c>
      <c r="U120" t="s">
        <v>511</v>
      </c>
      <c r="V120">
        <v>11368</v>
      </c>
      <c r="X120" t="s">
        <v>548</v>
      </c>
      <c r="Z120" t="s">
        <v>1930</v>
      </c>
      <c r="AA120" t="s">
        <v>2183</v>
      </c>
      <c r="AB120" t="s">
        <v>902</v>
      </c>
      <c r="AC120" t="s">
        <v>904</v>
      </c>
      <c r="AF120" t="s">
        <v>928</v>
      </c>
      <c r="AI120">
        <v>0.5</v>
      </c>
      <c r="AJ120" t="s">
        <v>558</v>
      </c>
      <c r="AK120" t="s">
        <v>949</v>
      </c>
      <c r="AT120">
        <v>0</v>
      </c>
      <c r="AU120">
        <v>2</v>
      </c>
      <c r="AV120" t="s">
        <v>273</v>
      </c>
      <c r="AY120" t="s">
        <v>273</v>
      </c>
      <c r="BB120">
        <v>0</v>
      </c>
      <c r="BC120">
        <v>0</v>
      </c>
      <c r="BD120">
        <v>0</v>
      </c>
      <c r="BE120">
        <v>0</v>
      </c>
      <c r="BF120" t="s">
        <v>1063</v>
      </c>
      <c r="BG120" t="s">
        <v>2510</v>
      </c>
      <c r="BH120">
        <v>34</v>
      </c>
      <c r="BI120" t="s">
        <v>2744</v>
      </c>
      <c r="BK120">
        <v>1903456</v>
      </c>
    </row>
    <row r="121" spans="1:64">
      <c r="A121" s="1">
        <f>HYPERLINK("https://lsnyc.legalserver.org/matter/dynamic-profile/view/1902690","19-1902690")</f>
        <v>0</v>
      </c>
      <c r="B121" t="s">
        <v>1426</v>
      </c>
      <c r="C121" t="s">
        <v>1640</v>
      </c>
      <c r="D121" t="s">
        <v>253</v>
      </c>
      <c r="E121" t="s">
        <v>1650</v>
      </c>
      <c r="F121" t="s">
        <v>273</v>
      </c>
      <c r="G121" t="s">
        <v>275</v>
      </c>
      <c r="H121">
        <v>112.63</v>
      </c>
      <c r="I121" t="s">
        <v>274</v>
      </c>
      <c r="K121" t="s">
        <v>1682</v>
      </c>
      <c r="M121" t="s">
        <v>472</v>
      </c>
      <c r="N121" t="s">
        <v>444</v>
      </c>
      <c r="O121" t="s">
        <v>275</v>
      </c>
      <c r="P121" t="s">
        <v>492</v>
      </c>
      <c r="Q121" t="s">
        <v>501</v>
      </c>
      <c r="S121" t="s">
        <v>503</v>
      </c>
      <c r="T121" t="s">
        <v>508</v>
      </c>
      <c r="U121" t="s">
        <v>511</v>
      </c>
      <c r="V121">
        <v>11368</v>
      </c>
      <c r="W121" t="s">
        <v>1831</v>
      </c>
      <c r="X121" t="s">
        <v>549</v>
      </c>
      <c r="Y121" t="s">
        <v>275</v>
      </c>
      <c r="Z121" t="s">
        <v>1931</v>
      </c>
      <c r="AA121" t="s">
        <v>2184</v>
      </c>
      <c r="AB121" t="s">
        <v>903</v>
      </c>
      <c r="AF121" t="s">
        <v>923</v>
      </c>
      <c r="AI121">
        <v>8.85</v>
      </c>
      <c r="AJ121" t="s">
        <v>558</v>
      </c>
      <c r="AK121" t="s">
        <v>2367</v>
      </c>
      <c r="AL121" t="s">
        <v>274</v>
      </c>
      <c r="AM121" t="s">
        <v>973</v>
      </c>
      <c r="AN121" t="s">
        <v>444</v>
      </c>
      <c r="AT121">
        <v>2</v>
      </c>
      <c r="AU121">
        <v>1</v>
      </c>
      <c r="AV121" t="s">
        <v>273</v>
      </c>
      <c r="AY121" t="s">
        <v>273</v>
      </c>
      <c r="BB121">
        <v>0</v>
      </c>
      <c r="BC121">
        <v>0</v>
      </c>
      <c r="BD121">
        <v>0</v>
      </c>
      <c r="BE121">
        <v>0</v>
      </c>
      <c r="BF121" t="s">
        <v>1063</v>
      </c>
      <c r="BG121" t="s">
        <v>2511</v>
      </c>
      <c r="BH121">
        <v>54</v>
      </c>
      <c r="BI121" t="s">
        <v>2745</v>
      </c>
      <c r="BK121">
        <v>1903345</v>
      </c>
    </row>
    <row r="122" spans="1:64">
      <c r="A122" s="1">
        <f>HYPERLINK("https://lsnyc.legalserver.org/matter/dynamic-profile/view/1902554","19-1902554")</f>
        <v>0</v>
      </c>
      <c r="B122" t="s">
        <v>1427</v>
      </c>
      <c r="C122" t="s">
        <v>1640</v>
      </c>
      <c r="D122" t="s">
        <v>253</v>
      </c>
      <c r="E122" t="s">
        <v>1650</v>
      </c>
      <c r="F122" t="s">
        <v>273</v>
      </c>
      <c r="G122" t="s">
        <v>275</v>
      </c>
      <c r="H122">
        <v>175.59</v>
      </c>
      <c r="K122" t="s">
        <v>1683</v>
      </c>
      <c r="M122" t="s">
        <v>472</v>
      </c>
      <c r="N122" t="s">
        <v>1669</v>
      </c>
      <c r="O122" t="s">
        <v>274</v>
      </c>
      <c r="Q122" t="s">
        <v>501</v>
      </c>
      <c r="S122" t="s">
        <v>503</v>
      </c>
      <c r="T122" t="s">
        <v>508</v>
      </c>
      <c r="U122" t="s">
        <v>511</v>
      </c>
      <c r="V122">
        <v>11377</v>
      </c>
      <c r="W122" t="s">
        <v>517</v>
      </c>
      <c r="X122" t="s">
        <v>549</v>
      </c>
      <c r="Z122" t="s">
        <v>1932</v>
      </c>
      <c r="AA122" t="s">
        <v>2185</v>
      </c>
      <c r="AB122" t="s">
        <v>902</v>
      </c>
      <c r="AC122" t="s">
        <v>904</v>
      </c>
      <c r="AF122" t="s">
        <v>923</v>
      </c>
      <c r="AI122">
        <v>7.27</v>
      </c>
      <c r="AJ122" t="s">
        <v>558</v>
      </c>
      <c r="AK122" t="s">
        <v>943</v>
      </c>
      <c r="AT122">
        <v>1</v>
      </c>
      <c r="AU122">
        <v>1</v>
      </c>
      <c r="AV122" t="s">
        <v>273</v>
      </c>
      <c r="AY122" t="s">
        <v>273</v>
      </c>
      <c r="BB122">
        <v>0</v>
      </c>
      <c r="BC122">
        <v>0</v>
      </c>
      <c r="BD122">
        <v>0</v>
      </c>
      <c r="BE122">
        <v>0</v>
      </c>
      <c r="BF122" t="s">
        <v>1063</v>
      </c>
      <c r="BG122" t="s">
        <v>2512</v>
      </c>
      <c r="BH122">
        <v>47</v>
      </c>
      <c r="BI122" t="s">
        <v>2746</v>
      </c>
      <c r="BK122">
        <v>1903208</v>
      </c>
    </row>
    <row r="123" spans="1:64">
      <c r="A123" s="1">
        <f>HYPERLINK("https://lsnyc.legalserver.org/matter/dynamic-profile/view/1912779","19-1912779")</f>
        <v>0</v>
      </c>
      <c r="B123" t="s">
        <v>1428</v>
      </c>
      <c r="C123" t="s">
        <v>1640</v>
      </c>
      <c r="D123" t="s">
        <v>253</v>
      </c>
      <c r="E123" t="s">
        <v>1647</v>
      </c>
      <c r="F123" t="s">
        <v>273</v>
      </c>
      <c r="G123" t="s">
        <v>275</v>
      </c>
      <c r="H123">
        <v>0</v>
      </c>
      <c r="I123" t="s">
        <v>274</v>
      </c>
      <c r="K123" t="s">
        <v>983</v>
      </c>
      <c r="M123" t="s">
        <v>473</v>
      </c>
      <c r="N123" t="s">
        <v>484</v>
      </c>
      <c r="O123" t="s">
        <v>275</v>
      </c>
      <c r="P123" t="s">
        <v>492</v>
      </c>
      <c r="Q123" t="s">
        <v>502</v>
      </c>
      <c r="S123" t="s">
        <v>503</v>
      </c>
      <c r="T123" t="s">
        <v>507</v>
      </c>
      <c r="U123" t="s">
        <v>511</v>
      </c>
      <c r="V123">
        <v>11432</v>
      </c>
      <c r="W123" t="s">
        <v>518</v>
      </c>
      <c r="X123" t="s">
        <v>548</v>
      </c>
      <c r="Y123" t="s">
        <v>275</v>
      </c>
      <c r="Z123" t="s">
        <v>1933</v>
      </c>
      <c r="AA123" t="s">
        <v>2186</v>
      </c>
      <c r="AB123" t="s">
        <v>902</v>
      </c>
      <c r="AC123" t="s">
        <v>905</v>
      </c>
      <c r="AF123" t="s">
        <v>926</v>
      </c>
      <c r="AI123">
        <v>1.25</v>
      </c>
      <c r="AJ123" t="s">
        <v>558</v>
      </c>
      <c r="AK123" t="s">
        <v>934</v>
      </c>
      <c r="AL123" t="s">
        <v>274</v>
      </c>
      <c r="AT123">
        <v>1</v>
      </c>
      <c r="AU123">
        <v>1</v>
      </c>
      <c r="AV123" t="s">
        <v>273</v>
      </c>
      <c r="AY123" t="s">
        <v>273</v>
      </c>
      <c r="BB123">
        <v>0</v>
      </c>
      <c r="BC123">
        <v>0</v>
      </c>
      <c r="BD123">
        <v>0</v>
      </c>
      <c r="BE123">
        <v>0</v>
      </c>
      <c r="BF123" t="s">
        <v>1063</v>
      </c>
      <c r="BG123" t="s">
        <v>2513</v>
      </c>
      <c r="BH123">
        <v>4</v>
      </c>
      <c r="BI123" t="s">
        <v>1247</v>
      </c>
      <c r="BK123">
        <v>1913442</v>
      </c>
      <c r="BL123" t="s">
        <v>274</v>
      </c>
    </row>
    <row r="124" spans="1:64">
      <c r="A124" s="1">
        <f>HYPERLINK("https://lsnyc.legalserver.org/matter/dynamic-profile/view/1902242","19-1902242")</f>
        <v>0</v>
      </c>
      <c r="B124" t="s">
        <v>1429</v>
      </c>
      <c r="C124" t="s">
        <v>1640</v>
      </c>
      <c r="D124" t="s">
        <v>252</v>
      </c>
      <c r="E124" t="s">
        <v>1647</v>
      </c>
      <c r="F124" t="s">
        <v>273</v>
      </c>
      <c r="G124" t="s">
        <v>275</v>
      </c>
      <c r="H124">
        <v>0</v>
      </c>
      <c r="I124" t="s">
        <v>275</v>
      </c>
      <c r="K124" t="s">
        <v>309</v>
      </c>
      <c r="O124" t="s">
        <v>275</v>
      </c>
      <c r="P124" t="s">
        <v>495</v>
      </c>
      <c r="Q124" t="s">
        <v>501</v>
      </c>
      <c r="S124" t="s">
        <v>503</v>
      </c>
      <c r="T124" t="s">
        <v>508</v>
      </c>
      <c r="U124" t="s">
        <v>511</v>
      </c>
      <c r="V124">
        <v>11235</v>
      </c>
      <c r="W124" t="s">
        <v>518</v>
      </c>
      <c r="X124" t="s">
        <v>548</v>
      </c>
      <c r="Y124" t="s">
        <v>275</v>
      </c>
      <c r="Z124" t="s">
        <v>1924</v>
      </c>
      <c r="AA124" t="s">
        <v>2187</v>
      </c>
      <c r="AB124" t="s">
        <v>902</v>
      </c>
      <c r="AC124" t="s">
        <v>905</v>
      </c>
      <c r="AF124" t="s">
        <v>928</v>
      </c>
      <c r="AI124">
        <v>1</v>
      </c>
      <c r="AJ124" t="s">
        <v>558</v>
      </c>
      <c r="AK124" t="s">
        <v>936</v>
      </c>
      <c r="AL124" t="s">
        <v>275</v>
      </c>
      <c r="AS124" t="s">
        <v>1061</v>
      </c>
      <c r="AT124">
        <v>2</v>
      </c>
      <c r="AU124">
        <v>1</v>
      </c>
      <c r="AV124" t="s">
        <v>273</v>
      </c>
      <c r="AY124" t="s">
        <v>273</v>
      </c>
      <c r="BB124">
        <v>0</v>
      </c>
      <c r="BC124">
        <v>0</v>
      </c>
      <c r="BD124">
        <v>0</v>
      </c>
      <c r="BE124">
        <v>0</v>
      </c>
      <c r="BF124" t="s">
        <v>1063</v>
      </c>
      <c r="BG124" t="s">
        <v>2514</v>
      </c>
      <c r="BH124">
        <v>33</v>
      </c>
      <c r="BI124" t="s">
        <v>1247</v>
      </c>
      <c r="BK124">
        <v>1902896</v>
      </c>
    </row>
    <row r="125" spans="1:64">
      <c r="A125" s="1">
        <f>HYPERLINK("https://lsnyc.legalserver.org/matter/dynamic-profile/view/1903217","19-1903217")</f>
        <v>0</v>
      </c>
      <c r="B125" t="s">
        <v>1422</v>
      </c>
      <c r="C125" t="s">
        <v>1640</v>
      </c>
      <c r="D125" t="s">
        <v>253</v>
      </c>
      <c r="E125" t="s">
        <v>1647</v>
      </c>
      <c r="F125" t="s">
        <v>273</v>
      </c>
      <c r="G125" t="s">
        <v>275</v>
      </c>
      <c r="H125">
        <v>124.9</v>
      </c>
      <c r="I125" t="s">
        <v>274</v>
      </c>
      <c r="K125" t="s">
        <v>310</v>
      </c>
      <c r="M125" t="s">
        <v>471</v>
      </c>
      <c r="N125" t="s">
        <v>290</v>
      </c>
      <c r="P125" t="s">
        <v>492</v>
      </c>
      <c r="Q125" t="s">
        <v>501</v>
      </c>
      <c r="S125" t="s">
        <v>503</v>
      </c>
      <c r="T125" t="s">
        <v>508</v>
      </c>
      <c r="U125" t="s">
        <v>511</v>
      </c>
      <c r="V125">
        <v>11368</v>
      </c>
      <c r="W125" t="s">
        <v>518</v>
      </c>
      <c r="X125" t="s">
        <v>548</v>
      </c>
      <c r="Y125" t="s">
        <v>275</v>
      </c>
      <c r="Z125" t="s">
        <v>1927</v>
      </c>
      <c r="AA125" t="s">
        <v>729</v>
      </c>
      <c r="AB125" t="s">
        <v>902</v>
      </c>
      <c r="AC125" t="s">
        <v>905</v>
      </c>
      <c r="AF125" t="s">
        <v>926</v>
      </c>
      <c r="AI125">
        <v>8</v>
      </c>
      <c r="AJ125" t="s">
        <v>558</v>
      </c>
      <c r="AK125" t="s">
        <v>949</v>
      </c>
      <c r="AL125" t="s">
        <v>274</v>
      </c>
      <c r="AT125">
        <v>0</v>
      </c>
      <c r="AU125">
        <v>1</v>
      </c>
      <c r="AV125" t="s">
        <v>273</v>
      </c>
      <c r="AY125" t="s">
        <v>273</v>
      </c>
      <c r="BB125">
        <v>0</v>
      </c>
      <c r="BC125">
        <v>0</v>
      </c>
      <c r="BD125">
        <v>0</v>
      </c>
      <c r="BE125">
        <v>0</v>
      </c>
      <c r="BF125" t="s">
        <v>1063</v>
      </c>
      <c r="BG125" t="s">
        <v>2507</v>
      </c>
      <c r="BH125">
        <v>23</v>
      </c>
      <c r="BI125" t="s">
        <v>1270</v>
      </c>
      <c r="BK125">
        <v>1886031</v>
      </c>
    </row>
    <row r="126" spans="1:64">
      <c r="A126" s="1">
        <f>HYPERLINK("https://lsnyc.legalserver.org/matter/dynamic-profile/view/1901928","19-1901928")</f>
        <v>0</v>
      </c>
      <c r="B126" t="s">
        <v>1430</v>
      </c>
      <c r="C126" t="s">
        <v>1640</v>
      </c>
      <c r="D126" t="s">
        <v>252</v>
      </c>
      <c r="E126" t="s">
        <v>1643</v>
      </c>
      <c r="F126" t="s">
        <v>275</v>
      </c>
      <c r="G126" t="s">
        <v>275</v>
      </c>
      <c r="H126">
        <v>0</v>
      </c>
      <c r="I126" t="s">
        <v>275</v>
      </c>
      <c r="K126" t="s">
        <v>1684</v>
      </c>
      <c r="L126" t="s">
        <v>478</v>
      </c>
      <c r="P126" t="s">
        <v>493</v>
      </c>
      <c r="Q126" t="s">
        <v>501</v>
      </c>
      <c r="R126" t="s">
        <v>1817</v>
      </c>
      <c r="S126" t="s">
        <v>503</v>
      </c>
      <c r="T126" t="s">
        <v>507</v>
      </c>
      <c r="U126" t="s">
        <v>511</v>
      </c>
      <c r="V126">
        <v>11203</v>
      </c>
      <c r="W126" t="s">
        <v>522</v>
      </c>
      <c r="Z126" t="s">
        <v>1934</v>
      </c>
      <c r="AA126" t="s">
        <v>2188</v>
      </c>
      <c r="AB126" t="s">
        <v>902</v>
      </c>
      <c r="AC126" t="s">
        <v>904</v>
      </c>
      <c r="AD126" t="s">
        <v>275</v>
      </c>
      <c r="AE126" t="s">
        <v>920</v>
      </c>
      <c r="AF126" t="s">
        <v>927</v>
      </c>
      <c r="AI126">
        <v>2.4</v>
      </c>
      <c r="AL126" t="s">
        <v>275</v>
      </c>
      <c r="AM126" t="s">
        <v>975</v>
      </c>
      <c r="AN126" t="s">
        <v>1675</v>
      </c>
      <c r="AQ126" t="s">
        <v>1033</v>
      </c>
      <c r="AR126" t="s">
        <v>1051</v>
      </c>
      <c r="AS126" t="s">
        <v>2406</v>
      </c>
      <c r="AT126">
        <v>0</v>
      </c>
      <c r="AU126">
        <v>1</v>
      </c>
      <c r="AV126" t="s">
        <v>273</v>
      </c>
      <c r="AY126" t="s">
        <v>273</v>
      </c>
      <c r="BB126">
        <v>0</v>
      </c>
      <c r="BC126">
        <v>0</v>
      </c>
      <c r="BD126">
        <v>0</v>
      </c>
      <c r="BE126">
        <v>0</v>
      </c>
      <c r="BF126" t="s">
        <v>493</v>
      </c>
      <c r="BG126" t="s">
        <v>2515</v>
      </c>
      <c r="BH126">
        <v>40</v>
      </c>
      <c r="BI126" t="s">
        <v>1247</v>
      </c>
      <c r="BK126">
        <v>1902582</v>
      </c>
    </row>
    <row r="127" spans="1:64">
      <c r="A127" s="1">
        <f>HYPERLINK("https://lsnyc.legalserver.org/matter/dynamic-profile/view/1901748","19-1901748")</f>
        <v>0</v>
      </c>
      <c r="B127" t="s">
        <v>1431</v>
      </c>
      <c r="C127" t="s">
        <v>1640</v>
      </c>
      <c r="D127" t="s">
        <v>253</v>
      </c>
      <c r="E127" t="s">
        <v>1644</v>
      </c>
      <c r="F127" t="s">
        <v>273</v>
      </c>
      <c r="G127" t="s">
        <v>275</v>
      </c>
      <c r="H127">
        <v>196.91</v>
      </c>
      <c r="K127" t="s">
        <v>1685</v>
      </c>
      <c r="Q127" t="s">
        <v>501</v>
      </c>
      <c r="S127" t="s">
        <v>506</v>
      </c>
      <c r="T127" t="s">
        <v>508</v>
      </c>
      <c r="U127" t="s">
        <v>1821</v>
      </c>
      <c r="V127">
        <v>11412</v>
      </c>
      <c r="W127" t="s">
        <v>1828</v>
      </c>
      <c r="X127" t="s">
        <v>548</v>
      </c>
      <c r="Z127" t="s">
        <v>1935</v>
      </c>
      <c r="AA127" t="s">
        <v>843</v>
      </c>
      <c r="AB127" t="s">
        <v>902</v>
      </c>
      <c r="AC127" t="s">
        <v>905</v>
      </c>
      <c r="AI127">
        <v>1.75</v>
      </c>
      <c r="AT127">
        <v>1</v>
      </c>
      <c r="AU127">
        <v>2</v>
      </c>
      <c r="AV127" t="s">
        <v>273</v>
      </c>
      <c r="AY127" t="s">
        <v>273</v>
      </c>
      <c r="BB127">
        <v>0</v>
      </c>
      <c r="BC127">
        <v>0</v>
      </c>
      <c r="BD127">
        <v>0</v>
      </c>
      <c r="BE127">
        <v>0</v>
      </c>
      <c r="BF127" t="s">
        <v>1063</v>
      </c>
      <c r="BG127" t="s">
        <v>2516</v>
      </c>
      <c r="BH127">
        <v>5</v>
      </c>
      <c r="BI127" t="s">
        <v>2747</v>
      </c>
      <c r="BK127">
        <v>1835931</v>
      </c>
    </row>
    <row r="128" spans="1:64">
      <c r="A128" s="1">
        <f>HYPERLINK("https://lsnyc.legalserver.org/matter/dynamic-profile/view/1901304","19-1901304")</f>
        <v>0</v>
      </c>
      <c r="B128" t="s">
        <v>1432</v>
      </c>
      <c r="C128" t="s">
        <v>1640</v>
      </c>
      <c r="D128" t="s">
        <v>253</v>
      </c>
      <c r="E128" t="s">
        <v>1644</v>
      </c>
      <c r="F128" t="s">
        <v>273</v>
      </c>
      <c r="G128" t="s">
        <v>275</v>
      </c>
      <c r="H128">
        <v>56.26</v>
      </c>
      <c r="K128" t="s">
        <v>1686</v>
      </c>
      <c r="P128" t="s">
        <v>492</v>
      </c>
      <c r="Q128" t="s">
        <v>501</v>
      </c>
      <c r="S128" t="s">
        <v>503</v>
      </c>
      <c r="T128" t="s">
        <v>508</v>
      </c>
      <c r="U128" t="s">
        <v>511</v>
      </c>
      <c r="V128">
        <v>11368</v>
      </c>
      <c r="W128" t="s">
        <v>538</v>
      </c>
      <c r="X128" t="s">
        <v>548</v>
      </c>
      <c r="Z128" t="s">
        <v>606</v>
      </c>
      <c r="AA128" t="s">
        <v>2189</v>
      </c>
      <c r="AB128" t="s">
        <v>902</v>
      </c>
      <c r="AC128" t="s">
        <v>906</v>
      </c>
      <c r="AI128">
        <v>3.45</v>
      </c>
      <c r="AT128">
        <v>2</v>
      </c>
      <c r="AU128">
        <v>1</v>
      </c>
      <c r="AV128" t="s">
        <v>273</v>
      </c>
      <c r="AY128" t="s">
        <v>273</v>
      </c>
      <c r="BB128">
        <v>0</v>
      </c>
      <c r="BC128">
        <v>0</v>
      </c>
      <c r="BD128">
        <v>0</v>
      </c>
      <c r="BE128">
        <v>0</v>
      </c>
      <c r="BF128" t="s">
        <v>1063</v>
      </c>
      <c r="BG128" t="s">
        <v>2517</v>
      </c>
      <c r="BH128">
        <v>32</v>
      </c>
      <c r="BI128" t="s">
        <v>1267</v>
      </c>
      <c r="BK128">
        <v>748430</v>
      </c>
    </row>
    <row r="129" spans="1:64">
      <c r="A129" s="1">
        <f>HYPERLINK("https://lsnyc.legalserver.org/matter/dynamic-profile/view/1902415","19-1902415")</f>
        <v>0</v>
      </c>
      <c r="B129" t="s">
        <v>1433</v>
      </c>
      <c r="C129" t="s">
        <v>1640</v>
      </c>
      <c r="D129" t="s">
        <v>253</v>
      </c>
      <c r="E129" t="s">
        <v>1647</v>
      </c>
      <c r="F129" t="s">
        <v>273</v>
      </c>
      <c r="G129" t="s">
        <v>275</v>
      </c>
      <c r="H129">
        <v>46.6</v>
      </c>
      <c r="I129" t="s">
        <v>274</v>
      </c>
      <c r="K129" t="s">
        <v>311</v>
      </c>
      <c r="M129" t="s">
        <v>474</v>
      </c>
      <c r="N129" t="s">
        <v>297</v>
      </c>
      <c r="P129" t="s">
        <v>492</v>
      </c>
      <c r="Q129" t="s">
        <v>501</v>
      </c>
      <c r="S129" t="s">
        <v>503</v>
      </c>
      <c r="T129" t="s">
        <v>508</v>
      </c>
      <c r="U129" t="s">
        <v>511</v>
      </c>
      <c r="V129">
        <v>11102</v>
      </c>
      <c r="W129" t="s">
        <v>518</v>
      </c>
      <c r="X129" t="s">
        <v>548</v>
      </c>
      <c r="Y129" t="s">
        <v>275</v>
      </c>
      <c r="Z129" t="s">
        <v>1936</v>
      </c>
      <c r="AA129" t="s">
        <v>2190</v>
      </c>
      <c r="AB129" t="s">
        <v>902</v>
      </c>
      <c r="AC129" t="s">
        <v>905</v>
      </c>
      <c r="AF129" t="s">
        <v>926</v>
      </c>
      <c r="AI129">
        <v>4.25</v>
      </c>
      <c r="AJ129" t="s">
        <v>558</v>
      </c>
      <c r="AK129" t="s">
        <v>933</v>
      </c>
      <c r="AL129" t="s">
        <v>274</v>
      </c>
      <c r="AT129">
        <v>3</v>
      </c>
      <c r="AU129">
        <v>1</v>
      </c>
      <c r="AV129" t="s">
        <v>273</v>
      </c>
      <c r="AY129" t="s">
        <v>273</v>
      </c>
      <c r="BB129">
        <v>0</v>
      </c>
      <c r="BC129">
        <v>0</v>
      </c>
      <c r="BD129">
        <v>0</v>
      </c>
      <c r="BE129">
        <v>0</v>
      </c>
      <c r="BF129" t="s">
        <v>1063</v>
      </c>
      <c r="BG129" t="s">
        <v>2518</v>
      </c>
      <c r="BH129">
        <v>35</v>
      </c>
      <c r="BI129" t="s">
        <v>1267</v>
      </c>
      <c r="BK129">
        <v>1865574</v>
      </c>
      <c r="BL129" t="s">
        <v>275</v>
      </c>
    </row>
    <row r="130" spans="1:64">
      <c r="A130" s="1">
        <f>HYPERLINK("https://lsnyc.legalserver.org/matter/dynamic-profile/view/1901170","19-1901170")</f>
        <v>0</v>
      </c>
      <c r="B130" t="s">
        <v>1434</v>
      </c>
      <c r="C130" t="s">
        <v>1640</v>
      </c>
      <c r="D130" t="s">
        <v>253</v>
      </c>
      <c r="E130" t="s">
        <v>1643</v>
      </c>
      <c r="F130" t="s">
        <v>273</v>
      </c>
      <c r="G130" t="s">
        <v>275</v>
      </c>
      <c r="H130">
        <v>0</v>
      </c>
      <c r="I130" t="s">
        <v>274</v>
      </c>
      <c r="K130" t="s">
        <v>1687</v>
      </c>
      <c r="M130" t="s">
        <v>474</v>
      </c>
      <c r="N130" t="s">
        <v>444</v>
      </c>
      <c r="P130" t="s">
        <v>492</v>
      </c>
      <c r="Q130" t="s">
        <v>501</v>
      </c>
      <c r="S130" t="s">
        <v>503</v>
      </c>
      <c r="T130" t="s">
        <v>508</v>
      </c>
      <c r="U130" t="s">
        <v>511</v>
      </c>
      <c r="V130">
        <v>11418</v>
      </c>
      <c r="W130" t="s">
        <v>518</v>
      </c>
      <c r="X130" t="s">
        <v>548</v>
      </c>
      <c r="Z130" t="s">
        <v>1937</v>
      </c>
      <c r="AA130" t="s">
        <v>2191</v>
      </c>
      <c r="AB130" t="s">
        <v>902</v>
      </c>
      <c r="AC130" t="s">
        <v>905</v>
      </c>
      <c r="AF130" t="s">
        <v>923</v>
      </c>
      <c r="AI130">
        <v>14.85</v>
      </c>
      <c r="AK130" t="s">
        <v>936</v>
      </c>
      <c r="AL130" t="s">
        <v>274</v>
      </c>
      <c r="AT130">
        <v>1</v>
      </c>
      <c r="AU130">
        <v>1</v>
      </c>
      <c r="AV130" t="s">
        <v>273</v>
      </c>
      <c r="AY130" t="s">
        <v>273</v>
      </c>
      <c r="BB130">
        <v>0</v>
      </c>
      <c r="BC130">
        <v>0</v>
      </c>
      <c r="BD130">
        <v>0</v>
      </c>
      <c r="BE130">
        <v>0</v>
      </c>
      <c r="BF130" t="s">
        <v>1063</v>
      </c>
      <c r="BG130" t="s">
        <v>2519</v>
      </c>
      <c r="BH130">
        <v>24</v>
      </c>
      <c r="BI130" t="s">
        <v>1247</v>
      </c>
      <c r="BK130">
        <v>1901822</v>
      </c>
    </row>
    <row r="131" spans="1:64">
      <c r="A131" s="1">
        <f>HYPERLINK("https://lsnyc.legalserver.org/matter/dynamic-profile/view/1900720","19-1900720")</f>
        <v>0</v>
      </c>
      <c r="B131" t="s">
        <v>1435</v>
      </c>
      <c r="C131" t="s">
        <v>1640</v>
      </c>
      <c r="D131" t="s">
        <v>255</v>
      </c>
      <c r="E131" t="s">
        <v>1647</v>
      </c>
      <c r="F131" t="s">
        <v>273</v>
      </c>
      <c r="G131" t="s">
        <v>275</v>
      </c>
      <c r="H131">
        <v>212.89</v>
      </c>
      <c r="I131" t="s">
        <v>274</v>
      </c>
      <c r="K131" t="s">
        <v>985</v>
      </c>
      <c r="M131" t="s">
        <v>474</v>
      </c>
      <c r="N131" t="s">
        <v>992</v>
      </c>
      <c r="O131" t="s">
        <v>275</v>
      </c>
      <c r="P131" t="s">
        <v>492</v>
      </c>
      <c r="Q131" t="s">
        <v>501</v>
      </c>
      <c r="S131" t="s">
        <v>503</v>
      </c>
      <c r="T131" t="s">
        <v>507</v>
      </c>
      <c r="U131" t="s">
        <v>511</v>
      </c>
      <c r="V131">
        <v>10039</v>
      </c>
      <c r="W131" t="s">
        <v>520</v>
      </c>
      <c r="X131" t="s">
        <v>548</v>
      </c>
      <c r="Y131" t="s">
        <v>275</v>
      </c>
      <c r="Z131" t="s">
        <v>564</v>
      </c>
      <c r="AA131" t="s">
        <v>2192</v>
      </c>
      <c r="AB131" t="s">
        <v>902</v>
      </c>
      <c r="AC131" t="s">
        <v>905</v>
      </c>
      <c r="AF131" t="s">
        <v>923</v>
      </c>
      <c r="AI131">
        <v>2.25</v>
      </c>
      <c r="AJ131" t="s">
        <v>558</v>
      </c>
      <c r="AK131" t="s">
        <v>945</v>
      </c>
      <c r="AL131" t="s">
        <v>274</v>
      </c>
      <c r="AT131">
        <v>0</v>
      </c>
      <c r="AU131">
        <v>2</v>
      </c>
      <c r="AV131" t="s">
        <v>273</v>
      </c>
      <c r="AY131" t="s">
        <v>273</v>
      </c>
      <c r="BB131">
        <v>0</v>
      </c>
      <c r="BC131">
        <v>0</v>
      </c>
      <c r="BD131">
        <v>0</v>
      </c>
      <c r="BE131">
        <v>0</v>
      </c>
      <c r="BF131" t="s">
        <v>1063</v>
      </c>
      <c r="BG131" t="s">
        <v>2520</v>
      </c>
      <c r="BH131">
        <v>33</v>
      </c>
      <c r="BI131" t="s">
        <v>2748</v>
      </c>
      <c r="BK131">
        <v>769543</v>
      </c>
    </row>
    <row r="132" spans="1:64">
      <c r="A132" s="1">
        <f>HYPERLINK("https://lsnyc.legalserver.org/matter/dynamic-profile/view/1900743","19-1900743")</f>
        <v>0</v>
      </c>
      <c r="B132" t="s">
        <v>1412</v>
      </c>
      <c r="C132" t="s">
        <v>1640</v>
      </c>
      <c r="D132" t="s">
        <v>253</v>
      </c>
      <c r="E132" t="s">
        <v>1649</v>
      </c>
      <c r="F132" t="s">
        <v>273</v>
      </c>
      <c r="G132" t="s">
        <v>275</v>
      </c>
      <c r="H132">
        <v>0</v>
      </c>
      <c r="I132" t="s">
        <v>274</v>
      </c>
      <c r="K132" t="s">
        <v>985</v>
      </c>
      <c r="M132" t="s">
        <v>471</v>
      </c>
      <c r="N132" t="s">
        <v>1671</v>
      </c>
      <c r="O132" t="s">
        <v>275</v>
      </c>
      <c r="P132" t="s">
        <v>492</v>
      </c>
      <c r="Q132" t="s">
        <v>502</v>
      </c>
      <c r="S132" t="s">
        <v>503</v>
      </c>
      <c r="T132" t="s">
        <v>508</v>
      </c>
      <c r="U132" t="s">
        <v>511</v>
      </c>
      <c r="V132">
        <v>11368</v>
      </c>
      <c r="W132" t="s">
        <v>519</v>
      </c>
      <c r="X132" t="s">
        <v>548</v>
      </c>
      <c r="Y132" t="s">
        <v>275</v>
      </c>
      <c r="Z132" t="s">
        <v>1920</v>
      </c>
      <c r="AA132" t="s">
        <v>2172</v>
      </c>
      <c r="AB132" t="s">
        <v>902</v>
      </c>
      <c r="AC132" t="s">
        <v>906</v>
      </c>
      <c r="AF132" t="s">
        <v>926</v>
      </c>
      <c r="AI132">
        <v>160.07</v>
      </c>
      <c r="AJ132" t="s">
        <v>558</v>
      </c>
      <c r="AK132" t="s">
        <v>941</v>
      </c>
      <c r="AL132" t="s">
        <v>274</v>
      </c>
      <c r="AT132">
        <v>2</v>
      </c>
      <c r="AU132">
        <v>1</v>
      </c>
      <c r="AV132" t="s">
        <v>273</v>
      </c>
      <c r="AY132" t="s">
        <v>273</v>
      </c>
      <c r="BB132">
        <v>0</v>
      </c>
      <c r="BC132">
        <v>0</v>
      </c>
      <c r="BD132">
        <v>0</v>
      </c>
      <c r="BE132">
        <v>0</v>
      </c>
      <c r="BF132" t="s">
        <v>1063</v>
      </c>
      <c r="BG132" t="s">
        <v>2497</v>
      </c>
      <c r="BH132">
        <v>14</v>
      </c>
      <c r="BI132" t="s">
        <v>1247</v>
      </c>
      <c r="BK132">
        <v>1888755</v>
      </c>
    </row>
    <row r="133" spans="1:64">
      <c r="A133" s="1">
        <f>HYPERLINK("https://lsnyc.legalserver.org/matter/dynamic-profile/view/1900766","19-1900766")</f>
        <v>0</v>
      </c>
      <c r="B133" t="s">
        <v>1436</v>
      </c>
      <c r="C133" t="s">
        <v>1640</v>
      </c>
      <c r="D133" t="s">
        <v>253</v>
      </c>
      <c r="E133" t="s">
        <v>1649</v>
      </c>
      <c r="F133" t="s">
        <v>273</v>
      </c>
      <c r="G133" t="s">
        <v>275</v>
      </c>
      <c r="H133">
        <v>92.25</v>
      </c>
      <c r="I133" t="s">
        <v>274</v>
      </c>
      <c r="K133" t="s">
        <v>985</v>
      </c>
      <c r="M133" t="s">
        <v>474</v>
      </c>
      <c r="N133" t="s">
        <v>467</v>
      </c>
      <c r="O133" t="s">
        <v>275</v>
      </c>
      <c r="P133" t="s">
        <v>492</v>
      </c>
      <c r="Q133" t="s">
        <v>502</v>
      </c>
      <c r="S133" t="s">
        <v>503</v>
      </c>
      <c r="T133" t="s">
        <v>508</v>
      </c>
      <c r="U133" t="s">
        <v>511</v>
      </c>
      <c r="V133">
        <v>11418</v>
      </c>
      <c r="W133" t="s">
        <v>518</v>
      </c>
      <c r="X133" t="s">
        <v>548</v>
      </c>
      <c r="Y133" t="s">
        <v>275</v>
      </c>
      <c r="Z133" t="s">
        <v>1938</v>
      </c>
      <c r="AA133" t="s">
        <v>2193</v>
      </c>
      <c r="AB133" t="s">
        <v>902</v>
      </c>
      <c r="AC133" t="s">
        <v>910</v>
      </c>
      <c r="AF133" t="s">
        <v>926</v>
      </c>
      <c r="AI133">
        <v>0.6</v>
      </c>
      <c r="AJ133" t="s">
        <v>558</v>
      </c>
      <c r="AK133" t="s">
        <v>936</v>
      </c>
      <c r="AL133" t="s">
        <v>274</v>
      </c>
      <c r="AT133">
        <v>1</v>
      </c>
      <c r="AU133">
        <v>1</v>
      </c>
      <c r="AV133" t="s">
        <v>273</v>
      </c>
      <c r="AY133" t="s">
        <v>273</v>
      </c>
      <c r="BB133">
        <v>0</v>
      </c>
      <c r="BC133">
        <v>0</v>
      </c>
      <c r="BD133">
        <v>0</v>
      </c>
      <c r="BE133">
        <v>0</v>
      </c>
      <c r="BF133" t="s">
        <v>1063</v>
      </c>
      <c r="BG133" t="s">
        <v>2521</v>
      </c>
      <c r="BH133">
        <v>21</v>
      </c>
      <c r="BI133" t="s">
        <v>1270</v>
      </c>
      <c r="BK133">
        <v>1890520</v>
      </c>
    </row>
    <row r="134" spans="1:64">
      <c r="A134" s="1">
        <f>HYPERLINK("https://lsnyc.legalserver.org/matter/dynamic-profile/view/1900767","19-1900767")</f>
        <v>0</v>
      </c>
      <c r="B134" t="s">
        <v>1437</v>
      </c>
      <c r="C134" t="s">
        <v>1640</v>
      </c>
      <c r="D134" t="s">
        <v>253</v>
      </c>
      <c r="E134" t="s">
        <v>1649</v>
      </c>
      <c r="F134" t="s">
        <v>273</v>
      </c>
      <c r="G134" t="s">
        <v>275</v>
      </c>
      <c r="H134">
        <v>0</v>
      </c>
      <c r="I134" t="s">
        <v>274</v>
      </c>
      <c r="K134" t="s">
        <v>985</v>
      </c>
      <c r="O134" t="s">
        <v>275</v>
      </c>
      <c r="P134" t="s">
        <v>492</v>
      </c>
      <c r="Q134" t="s">
        <v>502</v>
      </c>
      <c r="S134" t="s">
        <v>503</v>
      </c>
      <c r="T134" t="s">
        <v>508</v>
      </c>
      <c r="U134" t="s">
        <v>511</v>
      </c>
      <c r="V134">
        <v>11418</v>
      </c>
      <c r="W134" t="s">
        <v>518</v>
      </c>
      <c r="X134" t="s">
        <v>548</v>
      </c>
      <c r="Y134" t="s">
        <v>275</v>
      </c>
      <c r="Z134" t="s">
        <v>1939</v>
      </c>
      <c r="AA134" t="s">
        <v>2194</v>
      </c>
      <c r="AB134" t="s">
        <v>902</v>
      </c>
      <c r="AC134" t="s">
        <v>910</v>
      </c>
      <c r="AF134" t="s">
        <v>926</v>
      </c>
      <c r="AI134">
        <v>0</v>
      </c>
      <c r="AJ134" t="s">
        <v>558</v>
      </c>
      <c r="AK134" t="s">
        <v>936</v>
      </c>
      <c r="AL134" t="s">
        <v>274</v>
      </c>
      <c r="AT134">
        <v>1</v>
      </c>
      <c r="AU134">
        <v>1</v>
      </c>
      <c r="AV134" t="s">
        <v>273</v>
      </c>
      <c r="AY134" t="s">
        <v>273</v>
      </c>
      <c r="BB134">
        <v>0</v>
      </c>
      <c r="BC134">
        <v>0</v>
      </c>
      <c r="BD134">
        <v>0</v>
      </c>
      <c r="BE134">
        <v>0</v>
      </c>
      <c r="BF134" t="s">
        <v>1063</v>
      </c>
      <c r="BG134" t="s">
        <v>2522</v>
      </c>
      <c r="BH134">
        <v>5</v>
      </c>
      <c r="BI134" t="s">
        <v>1247</v>
      </c>
      <c r="BK134">
        <v>1890520</v>
      </c>
    </row>
    <row r="135" spans="1:64">
      <c r="A135" s="1">
        <f>HYPERLINK("https://lsnyc.legalserver.org/matter/dynamic-profile/view/1900768","19-1900768")</f>
        <v>0</v>
      </c>
      <c r="B135" t="s">
        <v>1438</v>
      </c>
      <c r="C135" t="s">
        <v>1640</v>
      </c>
      <c r="D135" t="s">
        <v>253</v>
      </c>
      <c r="E135" t="s">
        <v>1643</v>
      </c>
      <c r="F135" t="s">
        <v>273</v>
      </c>
      <c r="G135" t="s">
        <v>275</v>
      </c>
      <c r="H135">
        <v>0</v>
      </c>
      <c r="I135" t="s">
        <v>274</v>
      </c>
      <c r="K135" t="s">
        <v>985</v>
      </c>
      <c r="M135" t="s">
        <v>474</v>
      </c>
      <c r="N135" t="s">
        <v>485</v>
      </c>
      <c r="P135" t="s">
        <v>492</v>
      </c>
      <c r="Q135" t="s">
        <v>502</v>
      </c>
      <c r="S135" t="s">
        <v>503</v>
      </c>
      <c r="T135" t="s">
        <v>507</v>
      </c>
      <c r="U135" t="s">
        <v>511</v>
      </c>
      <c r="V135">
        <v>11435</v>
      </c>
      <c r="W135" t="s">
        <v>529</v>
      </c>
      <c r="X135" t="s">
        <v>548</v>
      </c>
      <c r="Y135" t="s">
        <v>275</v>
      </c>
      <c r="Z135" t="s">
        <v>1940</v>
      </c>
      <c r="AA135" t="s">
        <v>2195</v>
      </c>
      <c r="AB135" t="s">
        <v>902</v>
      </c>
      <c r="AC135" t="s">
        <v>905</v>
      </c>
      <c r="AF135" t="s">
        <v>923</v>
      </c>
      <c r="AI135">
        <v>29</v>
      </c>
      <c r="AJ135" t="s">
        <v>558</v>
      </c>
      <c r="AK135" t="s">
        <v>941</v>
      </c>
      <c r="AL135" t="s">
        <v>274</v>
      </c>
      <c r="AT135">
        <v>1</v>
      </c>
      <c r="AU135">
        <v>1</v>
      </c>
      <c r="AV135" t="s">
        <v>273</v>
      </c>
      <c r="AY135" t="s">
        <v>273</v>
      </c>
      <c r="BB135">
        <v>0</v>
      </c>
      <c r="BC135">
        <v>0</v>
      </c>
      <c r="BD135">
        <v>0</v>
      </c>
      <c r="BE135">
        <v>0</v>
      </c>
      <c r="BF135" t="s">
        <v>1063</v>
      </c>
      <c r="BG135" t="s">
        <v>2523</v>
      </c>
      <c r="BH135">
        <v>17</v>
      </c>
      <c r="BI135" t="s">
        <v>1247</v>
      </c>
      <c r="BK135">
        <v>1895457</v>
      </c>
    </row>
    <row r="136" spans="1:64">
      <c r="A136" s="1">
        <f>HYPERLINK("https://lsnyc.legalserver.org/matter/dynamic-profile/view/1900769","19-1900769")</f>
        <v>0</v>
      </c>
      <c r="B136" t="s">
        <v>1438</v>
      </c>
      <c r="C136" t="s">
        <v>1640</v>
      </c>
      <c r="D136" t="s">
        <v>253</v>
      </c>
      <c r="E136" t="s">
        <v>1643</v>
      </c>
      <c r="F136" t="s">
        <v>273</v>
      </c>
      <c r="G136" t="s">
        <v>275</v>
      </c>
      <c r="H136">
        <v>0</v>
      </c>
      <c r="I136" t="s">
        <v>274</v>
      </c>
      <c r="K136" t="s">
        <v>985</v>
      </c>
      <c r="M136" t="s">
        <v>471</v>
      </c>
      <c r="N136" t="s">
        <v>1667</v>
      </c>
      <c r="O136" t="s">
        <v>275</v>
      </c>
      <c r="P136" t="s">
        <v>492</v>
      </c>
      <c r="Q136" t="s">
        <v>502</v>
      </c>
      <c r="S136" t="s">
        <v>503</v>
      </c>
      <c r="T136" t="s">
        <v>507</v>
      </c>
      <c r="U136" t="s">
        <v>511</v>
      </c>
      <c r="V136">
        <v>11435</v>
      </c>
      <c r="W136" t="s">
        <v>1823</v>
      </c>
      <c r="X136" t="s">
        <v>548</v>
      </c>
      <c r="Y136" t="s">
        <v>275</v>
      </c>
      <c r="Z136" t="s">
        <v>1940</v>
      </c>
      <c r="AA136" t="s">
        <v>2195</v>
      </c>
      <c r="AB136" t="s">
        <v>902</v>
      </c>
      <c r="AC136" t="s">
        <v>905</v>
      </c>
      <c r="AF136" t="s">
        <v>924</v>
      </c>
      <c r="AI136">
        <v>18.75</v>
      </c>
      <c r="AJ136" t="s">
        <v>558</v>
      </c>
      <c r="AK136" t="s">
        <v>941</v>
      </c>
      <c r="AL136" t="s">
        <v>274</v>
      </c>
      <c r="AT136">
        <v>1</v>
      </c>
      <c r="AU136">
        <v>1</v>
      </c>
      <c r="AV136" t="s">
        <v>273</v>
      </c>
      <c r="AY136" t="s">
        <v>273</v>
      </c>
      <c r="BB136">
        <v>0</v>
      </c>
      <c r="BC136">
        <v>0</v>
      </c>
      <c r="BD136">
        <v>0</v>
      </c>
      <c r="BE136">
        <v>0</v>
      </c>
      <c r="BF136" t="s">
        <v>1063</v>
      </c>
      <c r="BG136" t="s">
        <v>2523</v>
      </c>
      <c r="BH136">
        <v>17</v>
      </c>
      <c r="BI136" t="s">
        <v>1247</v>
      </c>
      <c r="BK136">
        <v>1895457</v>
      </c>
    </row>
    <row r="137" spans="1:64">
      <c r="A137" s="1">
        <f>HYPERLINK("https://lsnyc.legalserver.org/matter/dynamic-profile/view/1900770","19-1900770")</f>
        <v>0</v>
      </c>
      <c r="B137" t="s">
        <v>1407</v>
      </c>
      <c r="C137" t="s">
        <v>1640</v>
      </c>
      <c r="D137" t="s">
        <v>253</v>
      </c>
      <c r="E137" t="s">
        <v>1643</v>
      </c>
      <c r="F137" t="s">
        <v>273</v>
      </c>
      <c r="G137" t="s">
        <v>275</v>
      </c>
      <c r="H137">
        <v>0</v>
      </c>
      <c r="I137" t="s">
        <v>274</v>
      </c>
      <c r="K137" t="s">
        <v>985</v>
      </c>
      <c r="M137" t="s">
        <v>473</v>
      </c>
      <c r="N137" t="s">
        <v>465</v>
      </c>
      <c r="O137" t="s">
        <v>275</v>
      </c>
      <c r="P137" t="s">
        <v>492</v>
      </c>
      <c r="Q137" t="s">
        <v>502</v>
      </c>
      <c r="S137" t="s">
        <v>503</v>
      </c>
      <c r="T137" t="s">
        <v>507</v>
      </c>
      <c r="U137" t="s">
        <v>511</v>
      </c>
      <c r="V137">
        <v>11433</v>
      </c>
      <c r="W137" t="s">
        <v>529</v>
      </c>
      <c r="X137" t="s">
        <v>548</v>
      </c>
      <c r="Y137" t="s">
        <v>275</v>
      </c>
      <c r="Z137" t="s">
        <v>1916</v>
      </c>
      <c r="AA137" t="s">
        <v>2167</v>
      </c>
      <c r="AB137" t="s">
        <v>902</v>
      </c>
      <c r="AC137" t="s">
        <v>905</v>
      </c>
      <c r="AF137" t="s">
        <v>923</v>
      </c>
      <c r="AI137">
        <v>22.5</v>
      </c>
      <c r="AJ137" t="s">
        <v>558</v>
      </c>
      <c r="AK137" t="s">
        <v>934</v>
      </c>
      <c r="AL137" t="s">
        <v>274</v>
      </c>
      <c r="AT137">
        <v>2</v>
      </c>
      <c r="AU137">
        <v>1</v>
      </c>
      <c r="AV137" t="s">
        <v>273</v>
      </c>
      <c r="AY137" t="s">
        <v>273</v>
      </c>
      <c r="BB137">
        <v>0</v>
      </c>
      <c r="BC137">
        <v>0</v>
      </c>
      <c r="BD137">
        <v>0</v>
      </c>
      <c r="BE137">
        <v>0</v>
      </c>
      <c r="BF137" t="s">
        <v>1063</v>
      </c>
      <c r="BG137" t="s">
        <v>2492</v>
      </c>
      <c r="BH137">
        <v>16</v>
      </c>
      <c r="BI137" t="s">
        <v>1247</v>
      </c>
      <c r="BK137">
        <v>1895373</v>
      </c>
    </row>
    <row r="138" spans="1:64">
      <c r="A138" s="1">
        <f>HYPERLINK("https://lsnyc.legalserver.org/matter/dynamic-profile/view/1900508","19-1900508")</f>
        <v>0</v>
      </c>
      <c r="B138" t="s">
        <v>1373</v>
      </c>
      <c r="C138" t="s">
        <v>1640</v>
      </c>
      <c r="D138" t="s">
        <v>253</v>
      </c>
      <c r="E138" t="s">
        <v>1643</v>
      </c>
      <c r="F138" t="s">
        <v>273</v>
      </c>
      <c r="G138" t="s">
        <v>275</v>
      </c>
      <c r="H138">
        <v>0</v>
      </c>
      <c r="I138" t="s">
        <v>274</v>
      </c>
      <c r="K138" t="s">
        <v>1688</v>
      </c>
      <c r="M138" t="s">
        <v>472</v>
      </c>
      <c r="N138" t="s">
        <v>1671</v>
      </c>
      <c r="O138" t="s">
        <v>275</v>
      </c>
      <c r="P138" t="s">
        <v>492</v>
      </c>
      <c r="Q138" t="s">
        <v>502</v>
      </c>
      <c r="S138" t="s">
        <v>503</v>
      </c>
      <c r="T138" t="s">
        <v>507</v>
      </c>
      <c r="U138" t="s">
        <v>511</v>
      </c>
      <c r="V138">
        <v>11432</v>
      </c>
      <c r="W138" t="s">
        <v>518</v>
      </c>
      <c r="X138" t="s">
        <v>548</v>
      </c>
      <c r="Z138" t="s">
        <v>1891</v>
      </c>
      <c r="AA138" t="s">
        <v>2136</v>
      </c>
      <c r="AB138" t="s">
        <v>902</v>
      </c>
      <c r="AC138" t="s">
        <v>905</v>
      </c>
      <c r="AF138" t="s">
        <v>926</v>
      </c>
      <c r="AI138">
        <v>8.6</v>
      </c>
      <c r="AJ138" t="s">
        <v>558</v>
      </c>
      <c r="AK138" t="s">
        <v>934</v>
      </c>
      <c r="AL138" t="s">
        <v>274</v>
      </c>
      <c r="AT138">
        <v>1</v>
      </c>
      <c r="AU138">
        <v>1</v>
      </c>
      <c r="AV138" t="s">
        <v>273</v>
      </c>
      <c r="AY138" t="s">
        <v>273</v>
      </c>
      <c r="BB138">
        <v>0</v>
      </c>
      <c r="BC138">
        <v>0</v>
      </c>
      <c r="BD138">
        <v>0</v>
      </c>
      <c r="BE138">
        <v>0</v>
      </c>
      <c r="BF138" t="s">
        <v>1063</v>
      </c>
      <c r="BG138" t="s">
        <v>2524</v>
      </c>
      <c r="BH138">
        <v>7</v>
      </c>
      <c r="BI138" t="s">
        <v>1247</v>
      </c>
      <c r="BK138">
        <v>1888261</v>
      </c>
    </row>
    <row r="139" spans="1:64">
      <c r="A139" s="1">
        <f>HYPERLINK("https://lsnyc.legalserver.org/matter/dynamic-profile/view/1900510","19-1900510")</f>
        <v>0</v>
      </c>
      <c r="B139" t="s">
        <v>1439</v>
      </c>
      <c r="C139" t="s">
        <v>1640</v>
      </c>
      <c r="D139" t="s">
        <v>253</v>
      </c>
      <c r="E139" t="s">
        <v>1643</v>
      </c>
      <c r="F139" t="s">
        <v>273</v>
      </c>
      <c r="G139" t="s">
        <v>275</v>
      </c>
      <c r="H139">
        <v>92.25</v>
      </c>
      <c r="I139" t="s">
        <v>274</v>
      </c>
      <c r="K139" t="s">
        <v>1688</v>
      </c>
      <c r="M139" t="s">
        <v>474</v>
      </c>
      <c r="N139" t="s">
        <v>298</v>
      </c>
      <c r="P139" t="s">
        <v>492</v>
      </c>
      <c r="Q139" t="s">
        <v>501</v>
      </c>
      <c r="S139" t="s">
        <v>503</v>
      </c>
      <c r="T139" t="s">
        <v>508</v>
      </c>
      <c r="U139" t="s">
        <v>511</v>
      </c>
      <c r="V139">
        <v>11432</v>
      </c>
      <c r="W139" t="s">
        <v>519</v>
      </c>
      <c r="X139" t="s">
        <v>548</v>
      </c>
      <c r="Z139" t="s">
        <v>1941</v>
      </c>
      <c r="AA139" t="s">
        <v>828</v>
      </c>
      <c r="AB139" t="s">
        <v>902</v>
      </c>
      <c r="AC139" t="s">
        <v>905</v>
      </c>
      <c r="AF139" t="s">
        <v>923</v>
      </c>
      <c r="AI139">
        <v>41.82</v>
      </c>
      <c r="AK139" t="s">
        <v>934</v>
      </c>
      <c r="AL139" t="s">
        <v>274</v>
      </c>
      <c r="AT139">
        <v>1</v>
      </c>
      <c r="AU139">
        <v>1</v>
      </c>
      <c r="AV139" t="s">
        <v>273</v>
      </c>
      <c r="AY139" t="s">
        <v>273</v>
      </c>
      <c r="BB139">
        <v>0</v>
      </c>
      <c r="BC139">
        <v>0</v>
      </c>
      <c r="BD139">
        <v>0</v>
      </c>
      <c r="BE139">
        <v>0</v>
      </c>
      <c r="BF139" t="s">
        <v>1063</v>
      </c>
      <c r="BG139" t="s">
        <v>2525</v>
      </c>
      <c r="BH139">
        <v>39</v>
      </c>
      <c r="BI139" t="s">
        <v>1270</v>
      </c>
      <c r="BK139">
        <v>1888261</v>
      </c>
    </row>
    <row r="140" spans="1:64">
      <c r="A140" s="1">
        <f>HYPERLINK("https://lsnyc.legalserver.org/matter/dynamic-profile/view/1900357","19-1900357")</f>
        <v>0</v>
      </c>
      <c r="B140" t="s">
        <v>1440</v>
      </c>
      <c r="C140" t="s">
        <v>1640</v>
      </c>
      <c r="D140" t="s">
        <v>253</v>
      </c>
      <c r="E140" t="s">
        <v>1644</v>
      </c>
      <c r="F140" t="s">
        <v>273</v>
      </c>
      <c r="G140" t="s">
        <v>275</v>
      </c>
      <c r="H140">
        <v>151.46</v>
      </c>
      <c r="K140" t="s">
        <v>1002</v>
      </c>
      <c r="O140" t="s">
        <v>275</v>
      </c>
      <c r="P140" t="s">
        <v>492</v>
      </c>
      <c r="Q140" t="s">
        <v>501</v>
      </c>
      <c r="S140" t="s">
        <v>503</v>
      </c>
      <c r="T140" t="s">
        <v>508</v>
      </c>
      <c r="U140" t="s">
        <v>511</v>
      </c>
      <c r="V140">
        <v>11369</v>
      </c>
      <c r="W140" t="s">
        <v>520</v>
      </c>
      <c r="X140" t="s">
        <v>549</v>
      </c>
      <c r="Z140" t="s">
        <v>1942</v>
      </c>
      <c r="AA140" t="s">
        <v>2196</v>
      </c>
      <c r="AB140" t="s">
        <v>902</v>
      </c>
      <c r="AC140" t="s">
        <v>2359</v>
      </c>
      <c r="AI140">
        <v>2.45</v>
      </c>
      <c r="AK140" t="s">
        <v>933</v>
      </c>
      <c r="AT140">
        <v>2</v>
      </c>
      <c r="AU140">
        <v>2</v>
      </c>
      <c r="AV140" t="s">
        <v>273</v>
      </c>
      <c r="AY140" t="s">
        <v>273</v>
      </c>
      <c r="BB140">
        <v>0</v>
      </c>
      <c r="BC140">
        <v>0</v>
      </c>
      <c r="BD140">
        <v>0</v>
      </c>
      <c r="BE140">
        <v>0</v>
      </c>
      <c r="BF140" t="s">
        <v>1063</v>
      </c>
      <c r="BG140" t="s">
        <v>2526</v>
      </c>
      <c r="BH140">
        <v>23</v>
      </c>
      <c r="BI140" t="s">
        <v>1273</v>
      </c>
      <c r="BK140">
        <v>748724</v>
      </c>
    </row>
    <row r="141" spans="1:64">
      <c r="A141" s="1">
        <f>HYPERLINK("https://lsnyc.legalserver.org/matter/dynamic-profile/view/1900214","19-1900214")</f>
        <v>0</v>
      </c>
      <c r="B141" t="s">
        <v>1441</v>
      </c>
      <c r="C141" t="s">
        <v>1640</v>
      </c>
      <c r="D141" t="s">
        <v>255</v>
      </c>
      <c r="E141" t="s">
        <v>1645</v>
      </c>
      <c r="F141" t="s">
        <v>273</v>
      </c>
      <c r="G141" t="s">
        <v>275</v>
      </c>
      <c r="H141">
        <v>0</v>
      </c>
      <c r="I141" t="s">
        <v>274</v>
      </c>
      <c r="K141" t="s">
        <v>1005</v>
      </c>
      <c r="M141" t="s">
        <v>473</v>
      </c>
      <c r="N141" t="s">
        <v>289</v>
      </c>
      <c r="O141" t="s">
        <v>275</v>
      </c>
      <c r="P141" t="s">
        <v>492</v>
      </c>
      <c r="Q141" t="s">
        <v>501</v>
      </c>
      <c r="S141" t="s">
        <v>503</v>
      </c>
      <c r="T141" t="s">
        <v>508</v>
      </c>
      <c r="U141" t="s">
        <v>511</v>
      </c>
      <c r="V141">
        <v>10003</v>
      </c>
      <c r="W141" t="s">
        <v>519</v>
      </c>
      <c r="X141" t="s">
        <v>548</v>
      </c>
      <c r="Y141" t="s">
        <v>275</v>
      </c>
      <c r="Z141" t="s">
        <v>1868</v>
      </c>
      <c r="AA141" t="s">
        <v>2197</v>
      </c>
      <c r="AB141" t="s">
        <v>902</v>
      </c>
      <c r="AC141" t="s">
        <v>905</v>
      </c>
      <c r="AF141" t="s">
        <v>926</v>
      </c>
      <c r="AI141">
        <v>16.9</v>
      </c>
      <c r="AJ141" t="s">
        <v>558</v>
      </c>
      <c r="AK141" t="s">
        <v>933</v>
      </c>
      <c r="AL141" t="s">
        <v>274</v>
      </c>
      <c r="AT141">
        <v>0</v>
      </c>
      <c r="AU141">
        <v>1</v>
      </c>
      <c r="AV141" t="s">
        <v>273</v>
      </c>
      <c r="AY141" t="s">
        <v>273</v>
      </c>
      <c r="BB141">
        <v>0</v>
      </c>
      <c r="BC141">
        <v>0</v>
      </c>
      <c r="BD141">
        <v>0</v>
      </c>
      <c r="BE141">
        <v>0</v>
      </c>
      <c r="BF141" t="s">
        <v>1063</v>
      </c>
      <c r="BG141" t="s">
        <v>2527</v>
      </c>
      <c r="BH141">
        <v>43</v>
      </c>
      <c r="BI141" t="s">
        <v>1247</v>
      </c>
      <c r="BK141">
        <v>1900864</v>
      </c>
    </row>
    <row r="142" spans="1:64">
      <c r="A142" s="1">
        <f>HYPERLINK("https://lsnyc.legalserver.org/matter/dynamic-profile/view/1900771","19-1900771")</f>
        <v>0</v>
      </c>
      <c r="B142" t="s">
        <v>1321</v>
      </c>
      <c r="C142" t="s">
        <v>1640</v>
      </c>
      <c r="D142" t="s">
        <v>253</v>
      </c>
      <c r="E142" t="s">
        <v>1643</v>
      </c>
      <c r="F142" t="s">
        <v>273</v>
      </c>
      <c r="G142" t="s">
        <v>275</v>
      </c>
      <c r="H142">
        <v>24.02</v>
      </c>
      <c r="I142" t="s">
        <v>274</v>
      </c>
      <c r="K142" t="s">
        <v>312</v>
      </c>
      <c r="M142" t="s">
        <v>473</v>
      </c>
      <c r="N142" t="s">
        <v>485</v>
      </c>
      <c r="P142" t="s">
        <v>492</v>
      </c>
      <c r="Q142" t="s">
        <v>501</v>
      </c>
      <c r="S142" t="s">
        <v>503</v>
      </c>
      <c r="T142" t="s">
        <v>507</v>
      </c>
      <c r="U142" t="s">
        <v>511</v>
      </c>
      <c r="V142">
        <v>11415</v>
      </c>
      <c r="W142" t="s">
        <v>537</v>
      </c>
      <c r="X142" t="s">
        <v>1835</v>
      </c>
      <c r="Z142" t="s">
        <v>1845</v>
      </c>
      <c r="AA142" t="s">
        <v>2091</v>
      </c>
      <c r="AB142" t="s">
        <v>902</v>
      </c>
      <c r="AC142" t="s">
        <v>914</v>
      </c>
      <c r="AF142" t="s">
        <v>923</v>
      </c>
      <c r="AI142">
        <v>62.82</v>
      </c>
      <c r="AK142" t="s">
        <v>2368</v>
      </c>
      <c r="AL142" t="s">
        <v>274</v>
      </c>
      <c r="AM142" t="s">
        <v>973</v>
      </c>
      <c r="AN142" t="s">
        <v>485</v>
      </c>
      <c r="AT142">
        <v>0</v>
      </c>
      <c r="AU142">
        <v>1</v>
      </c>
      <c r="AV142" t="s">
        <v>273</v>
      </c>
      <c r="AY142" t="s">
        <v>273</v>
      </c>
      <c r="BB142">
        <v>0</v>
      </c>
      <c r="BC142">
        <v>0</v>
      </c>
      <c r="BD142">
        <v>0</v>
      </c>
      <c r="BE142">
        <v>0</v>
      </c>
      <c r="BF142" t="s">
        <v>1063</v>
      </c>
      <c r="BG142" t="s">
        <v>2408</v>
      </c>
      <c r="BH142">
        <v>46</v>
      </c>
      <c r="BI142" t="s">
        <v>2749</v>
      </c>
      <c r="BK142">
        <v>811804</v>
      </c>
    </row>
    <row r="143" spans="1:64">
      <c r="A143" s="1">
        <f>HYPERLINK("https://lsnyc.legalserver.org/matter/dynamic-profile/view/1900024","19-1900024")</f>
        <v>0</v>
      </c>
      <c r="B143" t="s">
        <v>1376</v>
      </c>
      <c r="C143" t="s">
        <v>1640</v>
      </c>
      <c r="D143" t="s">
        <v>253</v>
      </c>
      <c r="E143" t="s">
        <v>1645</v>
      </c>
      <c r="F143" t="s">
        <v>273</v>
      </c>
      <c r="G143" t="s">
        <v>275</v>
      </c>
      <c r="H143">
        <v>175.8</v>
      </c>
      <c r="I143" t="s">
        <v>274</v>
      </c>
      <c r="K143" t="s">
        <v>995</v>
      </c>
      <c r="O143" t="s">
        <v>275</v>
      </c>
      <c r="P143" t="s">
        <v>492</v>
      </c>
      <c r="Q143" t="s">
        <v>501</v>
      </c>
      <c r="S143" t="s">
        <v>503</v>
      </c>
      <c r="T143" t="s">
        <v>508</v>
      </c>
      <c r="U143" t="s">
        <v>511</v>
      </c>
      <c r="V143">
        <v>11368</v>
      </c>
      <c r="W143" t="s">
        <v>521</v>
      </c>
      <c r="X143" t="s">
        <v>548</v>
      </c>
      <c r="Z143" t="s">
        <v>1892</v>
      </c>
      <c r="AA143" t="s">
        <v>2138</v>
      </c>
      <c r="AB143" t="s">
        <v>902</v>
      </c>
      <c r="AC143" t="s">
        <v>905</v>
      </c>
      <c r="AF143" t="s">
        <v>923</v>
      </c>
      <c r="AI143">
        <v>7.7</v>
      </c>
      <c r="AJ143" t="s">
        <v>558</v>
      </c>
      <c r="AK143" t="s">
        <v>945</v>
      </c>
      <c r="AL143" t="s">
        <v>274</v>
      </c>
      <c r="AT143">
        <v>3</v>
      </c>
      <c r="AU143">
        <v>2</v>
      </c>
      <c r="AV143" t="s">
        <v>273</v>
      </c>
      <c r="AY143" t="s">
        <v>273</v>
      </c>
      <c r="BB143">
        <v>0</v>
      </c>
      <c r="BC143">
        <v>0</v>
      </c>
      <c r="BD143">
        <v>0</v>
      </c>
      <c r="BE143">
        <v>0</v>
      </c>
      <c r="BF143" t="s">
        <v>1063</v>
      </c>
      <c r="BG143" t="s">
        <v>2462</v>
      </c>
      <c r="BH143">
        <v>43</v>
      </c>
      <c r="BI143" t="s">
        <v>2750</v>
      </c>
      <c r="BK143">
        <v>1848237</v>
      </c>
    </row>
    <row r="144" spans="1:64">
      <c r="A144" s="1">
        <f>HYPERLINK("https://lsnyc.legalserver.org/matter/dynamic-profile/view/1907311","19-1907311")</f>
        <v>0</v>
      </c>
      <c r="B144" t="s">
        <v>1442</v>
      </c>
      <c r="C144" t="s">
        <v>1640</v>
      </c>
      <c r="D144" t="s">
        <v>253</v>
      </c>
      <c r="E144" t="s">
        <v>1645</v>
      </c>
      <c r="F144" t="s">
        <v>273</v>
      </c>
      <c r="G144" t="s">
        <v>275</v>
      </c>
      <c r="H144">
        <v>85.33</v>
      </c>
      <c r="I144" t="s">
        <v>274</v>
      </c>
      <c r="K144" t="s">
        <v>1689</v>
      </c>
      <c r="M144" t="s">
        <v>472</v>
      </c>
      <c r="N144" t="s">
        <v>1672</v>
      </c>
      <c r="P144" t="s">
        <v>492</v>
      </c>
      <c r="Q144" t="s">
        <v>501</v>
      </c>
      <c r="S144" t="s">
        <v>503</v>
      </c>
      <c r="T144" t="s">
        <v>508</v>
      </c>
      <c r="U144" t="s">
        <v>511</v>
      </c>
      <c r="V144">
        <v>11427</v>
      </c>
      <c r="W144" t="s">
        <v>524</v>
      </c>
      <c r="X144" t="s">
        <v>549</v>
      </c>
      <c r="Z144" t="s">
        <v>1943</v>
      </c>
      <c r="AA144" t="s">
        <v>2198</v>
      </c>
      <c r="AB144" t="s">
        <v>902</v>
      </c>
      <c r="AC144" t="s">
        <v>905</v>
      </c>
      <c r="AF144" t="s">
        <v>923</v>
      </c>
      <c r="AI144">
        <v>1.69</v>
      </c>
      <c r="AK144" t="s">
        <v>965</v>
      </c>
      <c r="AL144" t="s">
        <v>274</v>
      </c>
      <c r="AM144" t="s">
        <v>973</v>
      </c>
      <c r="AN144" t="s">
        <v>1672</v>
      </c>
      <c r="AS144" t="s">
        <v>1061</v>
      </c>
      <c r="AT144">
        <v>2</v>
      </c>
      <c r="AU144">
        <v>1</v>
      </c>
      <c r="AV144" t="s">
        <v>273</v>
      </c>
      <c r="AY144" t="s">
        <v>273</v>
      </c>
      <c r="BB144">
        <v>0</v>
      </c>
      <c r="BC144">
        <v>0</v>
      </c>
      <c r="BD144">
        <v>0</v>
      </c>
      <c r="BE144">
        <v>0</v>
      </c>
      <c r="BF144" t="s">
        <v>1063</v>
      </c>
      <c r="BG144" t="s">
        <v>2528</v>
      </c>
      <c r="BH144">
        <v>24</v>
      </c>
      <c r="BI144" t="s">
        <v>1260</v>
      </c>
      <c r="BK144">
        <v>1896742</v>
      </c>
    </row>
    <row r="145" spans="1:64">
      <c r="A145" s="1">
        <f>HYPERLINK("https://lsnyc.legalserver.org/matter/dynamic-profile/view/1899789","19-1899789")</f>
        <v>0</v>
      </c>
      <c r="B145" t="s">
        <v>1407</v>
      </c>
      <c r="C145" t="s">
        <v>1640</v>
      </c>
      <c r="D145" t="s">
        <v>253</v>
      </c>
      <c r="E145" t="s">
        <v>1643</v>
      </c>
      <c r="F145" t="s">
        <v>273</v>
      </c>
      <c r="G145" t="s">
        <v>275</v>
      </c>
      <c r="H145">
        <v>97.52</v>
      </c>
      <c r="I145" t="s">
        <v>274</v>
      </c>
      <c r="K145" t="s">
        <v>987</v>
      </c>
      <c r="L145" t="s">
        <v>478</v>
      </c>
      <c r="P145" t="s">
        <v>493</v>
      </c>
      <c r="Q145" t="s">
        <v>502</v>
      </c>
      <c r="S145" t="s">
        <v>503</v>
      </c>
      <c r="T145" t="s">
        <v>507</v>
      </c>
      <c r="U145" t="s">
        <v>511</v>
      </c>
      <c r="V145">
        <v>11433</v>
      </c>
      <c r="W145" t="s">
        <v>520</v>
      </c>
      <c r="X145" t="s">
        <v>548</v>
      </c>
      <c r="Y145" t="s">
        <v>275</v>
      </c>
      <c r="Z145" t="s">
        <v>1916</v>
      </c>
      <c r="AA145" t="s">
        <v>2167</v>
      </c>
      <c r="AB145" t="s">
        <v>902</v>
      </c>
      <c r="AC145" t="s">
        <v>905</v>
      </c>
      <c r="AD145" t="s">
        <v>275</v>
      </c>
      <c r="AE145" t="s">
        <v>920</v>
      </c>
      <c r="AF145" t="s">
        <v>923</v>
      </c>
      <c r="AI145">
        <v>3.25</v>
      </c>
      <c r="AJ145" t="s">
        <v>558</v>
      </c>
      <c r="AK145" t="s">
        <v>934</v>
      </c>
      <c r="AL145" t="s">
        <v>274</v>
      </c>
      <c r="AQ145" t="s">
        <v>1033</v>
      </c>
      <c r="AR145" t="s">
        <v>1051</v>
      </c>
      <c r="AT145">
        <v>2</v>
      </c>
      <c r="AU145">
        <v>1</v>
      </c>
      <c r="AV145" t="s">
        <v>273</v>
      </c>
      <c r="AY145" t="s">
        <v>273</v>
      </c>
      <c r="BB145">
        <v>0</v>
      </c>
      <c r="BC145">
        <v>0</v>
      </c>
      <c r="BD145">
        <v>0</v>
      </c>
      <c r="BE145">
        <v>0</v>
      </c>
      <c r="BF145" t="s">
        <v>493</v>
      </c>
      <c r="BG145" t="s">
        <v>2492</v>
      </c>
      <c r="BH145">
        <v>16</v>
      </c>
      <c r="BI145" t="s">
        <v>1261</v>
      </c>
      <c r="BK145">
        <v>1895373</v>
      </c>
    </row>
    <row r="146" spans="1:64">
      <c r="A146" s="1">
        <f>HYPERLINK("https://lsnyc.legalserver.org/matter/dynamic-profile/view/1899560","19-1899560")</f>
        <v>0</v>
      </c>
      <c r="B146" t="s">
        <v>1443</v>
      </c>
      <c r="C146" t="s">
        <v>1640</v>
      </c>
      <c r="D146" t="s">
        <v>253</v>
      </c>
      <c r="E146" t="s">
        <v>1647</v>
      </c>
      <c r="F146" t="s">
        <v>273</v>
      </c>
      <c r="G146" t="s">
        <v>275</v>
      </c>
      <c r="H146">
        <v>141.36</v>
      </c>
      <c r="I146" t="s">
        <v>274</v>
      </c>
      <c r="K146" t="s">
        <v>313</v>
      </c>
      <c r="M146" t="s">
        <v>474</v>
      </c>
      <c r="N146" t="s">
        <v>1668</v>
      </c>
      <c r="P146" t="s">
        <v>492</v>
      </c>
      <c r="Q146" t="s">
        <v>502</v>
      </c>
      <c r="S146" t="s">
        <v>504</v>
      </c>
      <c r="T146" t="s">
        <v>507</v>
      </c>
      <c r="U146" t="s">
        <v>512</v>
      </c>
      <c r="V146">
        <v>11429</v>
      </c>
      <c r="X146" t="s">
        <v>548</v>
      </c>
      <c r="Y146" t="s">
        <v>275</v>
      </c>
      <c r="Z146" t="s">
        <v>1944</v>
      </c>
      <c r="AA146" t="s">
        <v>2199</v>
      </c>
      <c r="AB146" t="s">
        <v>902</v>
      </c>
      <c r="AC146" t="s">
        <v>905</v>
      </c>
      <c r="AF146" t="s">
        <v>924</v>
      </c>
      <c r="AI146">
        <v>4.25</v>
      </c>
      <c r="AJ146" t="s">
        <v>558</v>
      </c>
      <c r="AK146" t="s">
        <v>934</v>
      </c>
      <c r="AL146" t="s">
        <v>274</v>
      </c>
      <c r="AT146">
        <v>1</v>
      </c>
      <c r="AU146">
        <v>3</v>
      </c>
      <c r="AV146" t="s">
        <v>273</v>
      </c>
      <c r="AY146" t="s">
        <v>273</v>
      </c>
      <c r="BB146">
        <v>0</v>
      </c>
      <c r="BC146">
        <v>0</v>
      </c>
      <c r="BD146">
        <v>0</v>
      </c>
      <c r="BE146">
        <v>0</v>
      </c>
      <c r="BF146" t="s">
        <v>1063</v>
      </c>
      <c r="BG146" t="s">
        <v>2529</v>
      </c>
      <c r="BH146">
        <v>19</v>
      </c>
      <c r="BI146" t="s">
        <v>1317</v>
      </c>
      <c r="BK146">
        <v>1891974</v>
      </c>
      <c r="BL146" t="s">
        <v>274</v>
      </c>
    </row>
    <row r="147" spans="1:64">
      <c r="A147" s="1">
        <f>HYPERLINK("https://lsnyc.legalserver.org/matter/dynamic-profile/view/1899591","19-1899591")</f>
        <v>0</v>
      </c>
      <c r="B147" t="s">
        <v>1444</v>
      </c>
      <c r="C147" t="s">
        <v>1640</v>
      </c>
      <c r="D147" t="s">
        <v>253</v>
      </c>
      <c r="E147" t="s">
        <v>1650</v>
      </c>
      <c r="F147" t="s">
        <v>273</v>
      </c>
      <c r="G147" t="s">
        <v>275</v>
      </c>
      <c r="H147">
        <v>161.68</v>
      </c>
      <c r="I147" t="s">
        <v>274</v>
      </c>
      <c r="K147" t="s">
        <v>313</v>
      </c>
      <c r="O147" t="s">
        <v>275</v>
      </c>
      <c r="P147" t="s">
        <v>492</v>
      </c>
      <c r="Q147" t="s">
        <v>501</v>
      </c>
      <c r="S147" t="s">
        <v>503</v>
      </c>
      <c r="T147" t="s">
        <v>508</v>
      </c>
      <c r="U147" t="s">
        <v>511</v>
      </c>
      <c r="V147">
        <v>11435</v>
      </c>
      <c r="W147" t="s">
        <v>517</v>
      </c>
      <c r="X147" t="s">
        <v>549</v>
      </c>
      <c r="Y147" t="s">
        <v>275</v>
      </c>
      <c r="Z147" t="s">
        <v>1945</v>
      </c>
      <c r="AA147" t="s">
        <v>2200</v>
      </c>
      <c r="AB147" t="s">
        <v>902</v>
      </c>
      <c r="AC147" t="s">
        <v>904</v>
      </c>
      <c r="AF147" t="s">
        <v>923</v>
      </c>
      <c r="AI147">
        <v>7.75</v>
      </c>
      <c r="AJ147" t="s">
        <v>558</v>
      </c>
      <c r="AK147" t="s">
        <v>952</v>
      </c>
      <c r="AL147" t="s">
        <v>274</v>
      </c>
      <c r="AT147">
        <v>0</v>
      </c>
      <c r="AU147">
        <v>2</v>
      </c>
      <c r="AV147" t="s">
        <v>273</v>
      </c>
      <c r="AY147" t="s">
        <v>273</v>
      </c>
      <c r="BB147">
        <v>0</v>
      </c>
      <c r="BC147">
        <v>0</v>
      </c>
      <c r="BD147">
        <v>0</v>
      </c>
      <c r="BE147">
        <v>0</v>
      </c>
      <c r="BF147" t="s">
        <v>1063</v>
      </c>
      <c r="BG147" t="s">
        <v>2530</v>
      </c>
      <c r="BH147">
        <v>59</v>
      </c>
      <c r="BI147" t="s">
        <v>2751</v>
      </c>
      <c r="BK147">
        <v>1900239</v>
      </c>
    </row>
    <row r="148" spans="1:64">
      <c r="A148" s="1">
        <f>HYPERLINK("https://lsnyc.legalserver.org/matter/dynamic-profile/view/1899602","19-1899602")</f>
        <v>0</v>
      </c>
      <c r="B148" t="s">
        <v>1445</v>
      </c>
      <c r="C148" t="s">
        <v>1640</v>
      </c>
      <c r="D148" t="s">
        <v>253</v>
      </c>
      <c r="E148" t="s">
        <v>1650</v>
      </c>
      <c r="F148" t="s">
        <v>273</v>
      </c>
      <c r="G148" t="s">
        <v>275</v>
      </c>
      <c r="H148">
        <v>166.95</v>
      </c>
      <c r="I148" t="s">
        <v>274</v>
      </c>
      <c r="K148" t="s">
        <v>313</v>
      </c>
      <c r="O148" t="s">
        <v>275</v>
      </c>
      <c r="P148" t="s">
        <v>492</v>
      </c>
      <c r="Q148" t="s">
        <v>501</v>
      </c>
      <c r="S148" t="s">
        <v>503</v>
      </c>
      <c r="T148" t="s">
        <v>508</v>
      </c>
      <c r="U148" t="s">
        <v>511</v>
      </c>
      <c r="V148">
        <v>11423</v>
      </c>
      <c r="W148" t="s">
        <v>525</v>
      </c>
      <c r="X148" t="s">
        <v>549</v>
      </c>
      <c r="Y148" t="s">
        <v>274</v>
      </c>
      <c r="Z148" t="s">
        <v>1946</v>
      </c>
      <c r="AA148" t="s">
        <v>575</v>
      </c>
      <c r="AB148" t="s">
        <v>902</v>
      </c>
      <c r="AC148" t="s">
        <v>904</v>
      </c>
      <c r="AF148" t="s">
        <v>923</v>
      </c>
      <c r="AI148">
        <v>2.25</v>
      </c>
      <c r="AJ148" t="s">
        <v>558</v>
      </c>
      <c r="AK148" t="s">
        <v>937</v>
      </c>
      <c r="AL148" t="s">
        <v>274</v>
      </c>
      <c r="AT148">
        <v>0</v>
      </c>
      <c r="AU148">
        <v>1</v>
      </c>
      <c r="AV148" t="s">
        <v>273</v>
      </c>
      <c r="AY148" t="s">
        <v>273</v>
      </c>
      <c r="BB148">
        <v>0</v>
      </c>
      <c r="BC148">
        <v>0</v>
      </c>
      <c r="BD148">
        <v>0</v>
      </c>
      <c r="BE148">
        <v>0</v>
      </c>
      <c r="BF148" t="s">
        <v>1063</v>
      </c>
      <c r="BG148" t="s">
        <v>2531</v>
      </c>
      <c r="BH148">
        <v>56</v>
      </c>
      <c r="BI148" t="s">
        <v>2752</v>
      </c>
      <c r="BK148">
        <v>1900250</v>
      </c>
    </row>
    <row r="149" spans="1:64">
      <c r="A149" s="1">
        <f>HYPERLINK("https://lsnyc.legalserver.org/matter/dynamic-profile/view/1899625","19-1899625")</f>
        <v>0</v>
      </c>
      <c r="B149" t="s">
        <v>1446</v>
      </c>
      <c r="C149" t="s">
        <v>1640</v>
      </c>
      <c r="D149" t="s">
        <v>1641</v>
      </c>
      <c r="E149" t="s">
        <v>1647</v>
      </c>
      <c r="F149" t="s">
        <v>273</v>
      </c>
      <c r="G149" t="s">
        <v>275</v>
      </c>
      <c r="H149">
        <v>70.95999999999999</v>
      </c>
      <c r="I149" t="s">
        <v>274</v>
      </c>
      <c r="K149" t="s">
        <v>313</v>
      </c>
      <c r="M149" t="s">
        <v>471</v>
      </c>
      <c r="N149" t="s">
        <v>299</v>
      </c>
      <c r="P149" t="s">
        <v>492</v>
      </c>
      <c r="Q149" t="s">
        <v>501</v>
      </c>
      <c r="S149" t="s">
        <v>503</v>
      </c>
      <c r="T149" t="s">
        <v>508</v>
      </c>
      <c r="U149" t="s">
        <v>511</v>
      </c>
      <c r="V149">
        <v>11550</v>
      </c>
      <c r="W149" t="s">
        <v>518</v>
      </c>
      <c r="X149" t="s">
        <v>548</v>
      </c>
      <c r="Y149" t="s">
        <v>275</v>
      </c>
      <c r="Z149" t="s">
        <v>593</v>
      </c>
      <c r="AA149" t="s">
        <v>2201</v>
      </c>
      <c r="AB149" t="s">
        <v>902</v>
      </c>
      <c r="AC149" t="s">
        <v>905</v>
      </c>
      <c r="AF149" t="s">
        <v>926</v>
      </c>
      <c r="AI149">
        <v>149.65</v>
      </c>
      <c r="AJ149" t="s">
        <v>558</v>
      </c>
      <c r="AK149" t="s">
        <v>934</v>
      </c>
      <c r="AL149" t="s">
        <v>274</v>
      </c>
      <c r="AT149">
        <v>1</v>
      </c>
      <c r="AU149">
        <v>1</v>
      </c>
      <c r="AV149" t="s">
        <v>273</v>
      </c>
      <c r="AY149" t="s">
        <v>273</v>
      </c>
      <c r="BB149">
        <v>0</v>
      </c>
      <c r="BC149">
        <v>0</v>
      </c>
      <c r="BD149">
        <v>0</v>
      </c>
      <c r="BE149">
        <v>0</v>
      </c>
      <c r="BF149" t="s">
        <v>1063</v>
      </c>
      <c r="BG149" t="s">
        <v>2532</v>
      </c>
      <c r="BH149">
        <v>35</v>
      </c>
      <c r="BI149" t="s">
        <v>1267</v>
      </c>
      <c r="BK149">
        <v>815861</v>
      </c>
    </row>
    <row r="150" spans="1:64">
      <c r="A150" s="1">
        <f>HYPERLINK("https://lsnyc.legalserver.org/matter/dynamic-profile/view/1899640","19-1899640")</f>
        <v>0</v>
      </c>
      <c r="B150" t="s">
        <v>1447</v>
      </c>
      <c r="C150" t="s">
        <v>1640</v>
      </c>
      <c r="D150" t="s">
        <v>253</v>
      </c>
      <c r="E150" t="s">
        <v>1643</v>
      </c>
      <c r="F150" t="s">
        <v>273</v>
      </c>
      <c r="G150" t="s">
        <v>275</v>
      </c>
      <c r="H150">
        <v>0</v>
      </c>
      <c r="I150" t="s">
        <v>274</v>
      </c>
      <c r="K150" t="s">
        <v>313</v>
      </c>
      <c r="M150" t="s">
        <v>474</v>
      </c>
      <c r="N150" t="s">
        <v>291</v>
      </c>
      <c r="P150" t="s">
        <v>492</v>
      </c>
      <c r="Q150" t="s">
        <v>501</v>
      </c>
      <c r="S150" t="s">
        <v>503</v>
      </c>
      <c r="T150" t="s">
        <v>508</v>
      </c>
      <c r="U150" t="s">
        <v>511</v>
      </c>
      <c r="V150">
        <v>11372</v>
      </c>
      <c r="W150" t="s">
        <v>532</v>
      </c>
      <c r="X150" t="s">
        <v>549</v>
      </c>
      <c r="Z150" t="s">
        <v>1947</v>
      </c>
      <c r="AA150" t="s">
        <v>2202</v>
      </c>
      <c r="AB150" t="s">
        <v>902</v>
      </c>
      <c r="AC150" t="s">
        <v>906</v>
      </c>
      <c r="AF150" t="s">
        <v>923</v>
      </c>
      <c r="AI150">
        <v>11.5</v>
      </c>
      <c r="AK150" t="s">
        <v>2368</v>
      </c>
      <c r="AL150" t="s">
        <v>274</v>
      </c>
      <c r="AS150" t="s">
        <v>1061</v>
      </c>
      <c r="AT150">
        <v>1</v>
      </c>
      <c r="AU150">
        <v>1</v>
      </c>
      <c r="AV150" t="s">
        <v>273</v>
      </c>
      <c r="AY150" t="s">
        <v>273</v>
      </c>
      <c r="BB150">
        <v>0</v>
      </c>
      <c r="BC150">
        <v>0</v>
      </c>
      <c r="BD150">
        <v>0</v>
      </c>
      <c r="BE150">
        <v>0</v>
      </c>
      <c r="BF150" t="s">
        <v>1063</v>
      </c>
      <c r="BG150" t="s">
        <v>2533</v>
      </c>
      <c r="BH150">
        <v>35</v>
      </c>
      <c r="BI150" t="s">
        <v>1247</v>
      </c>
      <c r="BK150">
        <v>1885406</v>
      </c>
    </row>
    <row r="151" spans="1:64">
      <c r="A151" s="1">
        <f>HYPERLINK("https://lsnyc.legalserver.org/matter/dynamic-profile/view/1899037","19-1899037")</f>
        <v>0</v>
      </c>
      <c r="B151" t="s">
        <v>1448</v>
      </c>
      <c r="C151" t="s">
        <v>1640</v>
      </c>
      <c r="D151" t="s">
        <v>253</v>
      </c>
      <c r="E151" t="s">
        <v>1643</v>
      </c>
      <c r="F151" t="s">
        <v>273</v>
      </c>
      <c r="G151" t="s">
        <v>275</v>
      </c>
      <c r="H151">
        <v>67.51000000000001</v>
      </c>
      <c r="I151" t="s">
        <v>274</v>
      </c>
      <c r="K151" t="s">
        <v>316</v>
      </c>
      <c r="M151" t="s">
        <v>474</v>
      </c>
      <c r="N151" t="s">
        <v>1031</v>
      </c>
      <c r="Q151" t="s">
        <v>501</v>
      </c>
      <c r="S151" t="s">
        <v>503</v>
      </c>
      <c r="T151" t="s">
        <v>508</v>
      </c>
      <c r="U151" t="s">
        <v>511</v>
      </c>
      <c r="V151">
        <v>11428</v>
      </c>
      <c r="W151" t="s">
        <v>521</v>
      </c>
      <c r="X151" t="s">
        <v>1840</v>
      </c>
      <c r="Y151" t="s">
        <v>275</v>
      </c>
      <c r="Z151" t="s">
        <v>1948</v>
      </c>
      <c r="AA151" t="s">
        <v>2203</v>
      </c>
      <c r="AB151" t="s">
        <v>902</v>
      </c>
      <c r="AC151" t="s">
        <v>905</v>
      </c>
      <c r="AF151" t="s">
        <v>923</v>
      </c>
      <c r="AI151">
        <v>13.95</v>
      </c>
      <c r="AK151" t="s">
        <v>2369</v>
      </c>
      <c r="AL151" t="s">
        <v>274</v>
      </c>
      <c r="AT151">
        <v>2</v>
      </c>
      <c r="AU151">
        <v>1</v>
      </c>
      <c r="AV151" t="s">
        <v>273</v>
      </c>
      <c r="AY151" t="s">
        <v>273</v>
      </c>
      <c r="BB151">
        <v>0</v>
      </c>
      <c r="BC151">
        <v>0</v>
      </c>
      <c r="BD151">
        <v>0</v>
      </c>
      <c r="BE151">
        <v>0</v>
      </c>
      <c r="BF151" t="s">
        <v>1063</v>
      </c>
      <c r="BG151" t="s">
        <v>2534</v>
      </c>
      <c r="BH151">
        <v>36</v>
      </c>
      <c r="BI151" t="s">
        <v>1253</v>
      </c>
      <c r="BK151">
        <v>1890756</v>
      </c>
    </row>
    <row r="152" spans="1:64">
      <c r="A152" s="1">
        <f>HYPERLINK("https://lsnyc.legalserver.org/matter/dynamic-profile/view/1899649","19-1899649")</f>
        <v>0</v>
      </c>
      <c r="B152" t="s">
        <v>1449</v>
      </c>
      <c r="C152" t="s">
        <v>1640</v>
      </c>
      <c r="D152" t="s">
        <v>253</v>
      </c>
      <c r="E152" t="s">
        <v>1647</v>
      </c>
      <c r="F152" t="s">
        <v>273</v>
      </c>
      <c r="G152" t="s">
        <v>275</v>
      </c>
      <c r="H152">
        <v>307.45</v>
      </c>
      <c r="I152" t="s">
        <v>274</v>
      </c>
      <c r="K152" t="s">
        <v>998</v>
      </c>
      <c r="M152" t="s">
        <v>472</v>
      </c>
      <c r="N152" t="s">
        <v>1008</v>
      </c>
      <c r="P152" t="s">
        <v>492</v>
      </c>
      <c r="Q152" t="s">
        <v>501</v>
      </c>
      <c r="S152" t="s">
        <v>503</v>
      </c>
      <c r="T152" t="s">
        <v>507</v>
      </c>
      <c r="U152" t="s">
        <v>511</v>
      </c>
      <c r="V152">
        <v>11368</v>
      </c>
      <c r="W152" t="s">
        <v>520</v>
      </c>
      <c r="X152" t="s">
        <v>548</v>
      </c>
      <c r="Y152" t="s">
        <v>275</v>
      </c>
      <c r="Z152" t="s">
        <v>1949</v>
      </c>
      <c r="AA152" t="s">
        <v>2204</v>
      </c>
      <c r="AB152" t="s">
        <v>902</v>
      </c>
      <c r="AC152" t="s">
        <v>905</v>
      </c>
      <c r="AF152" t="s">
        <v>923</v>
      </c>
      <c r="AI152">
        <v>2.42</v>
      </c>
      <c r="AJ152" t="s">
        <v>558</v>
      </c>
      <c r="AK152" t="s">
        <v>934</v>
      </c>
      <c r="AL152" t="s">
        <v>274</v>
      </c>
      <c r="AM152" t="s">
        <v>973</v>
      </c>
      <c r="AT152">
        <v>0</v>
      </c>
      <c r="AU152">
        <v>1</v>
      </c>
      <c r="AV152" t="s">
        <v>273</v>
      </c>
      <c r="AY152" t="s">
        <v>273</v>
      </c>
      <c r="BB152">
        <v>0</v>
      </c>
      <c r="BC152">
        <v>0</v>
      </c>
      <c r="BD152">
        <v>0</v>
      </c>
      <c r="BE152">
        <v>0</v>
      </c>
      <c r="BF152" t="s">
        <v>1063</v>
      </c>
      <c r="BG152" t="s">
        <v>2535</v>
      </c>
      <c r="BH152">
        <v>23</v>
      </c>
      <c r="BI152" t="s">
        <v>2753</v>
      </c>
      <c r="BK152">
        <v>809828</v>
      </c>
    </row>
    <row r="153" spans="1:64">
      <c r="A153" s="1">
        <f>HYPERLINK("https://lsnyc.legalserver.org/matter/dynamic-profile/view/1898430","19-1898430")</f>
        <v>0</v>
      </c>
      <c r="B153" t="s">
        <v>1450</v>
      </c>
      <c r="C153" t="s">
        <v>1640</v>
      </c>
      <c r="D153" t="s">
        <v>253</v>
      </c>
      <c r="E153" t="s">
        <v>1645</v>
      </c>
      <c r="F153" t="s">
        <v>273</v>
      </c>
      <c r="G153" t="s">
        <v>275</v>
      </c>
      <c r="H153">
        <v>0</v>
      </c>
      <c r="I153" t="s">
        <v>274</v>
      </c>
      <c r="K153" t="s">
        <v>318</v>
      </c>
      <c r="M153" t="s">
        <v>472</v>
      </c>
      <c r="N153" t="s">
        <v>285</v>
      </c>
      <c r="P153" t="s">
        <v>492</v>
      </c>
      <c r="Q153" t="s">
        <v>501</v>
      </c>
      <c r="S153" t="s">
        <v>503</v>
      </c>
      <c r="T153" t="s">
        <v>508</v>
      </c>
      <c r="U153" t="s">
        <v>511</v>
      </c>
      <c r="V153">
        <v>11422</v>
      </c>
      <c r="W153" t="s">
        <v>524</v>
      </c>
      <c r="X153" t="s">
        <v>549</v>
      </c>
      <c r="Z153" t="s">
        <v>1950</v>
      </c>
      <c r="AA153" t="s">
        <v>2205</v>
      </c>
      <c r="AB153" t="s">
        <v>902</v>
      </c>
      <c r="AC153" t="s">
        <v>905</v>
      </c>
      <c r="AF153" t="s">
        <v>923</v>
      </c>
      <c r="AI153">
        <v>4.05</v>
      </c>
      <c r="AK153" t="s">
        <v>939</v>
      </c>
      <c r="AL153" t="s">
        <v>274</v>
      </c>
      <c r="AM153" t="s">
        <v>973</v>
      </c>
      <c r="AN153" t="s">
        <v>285</v>
      </c>
      <c r="AS153" t="s">
        <v>1061</v>
      </c>
      <c r="AT153">
        <v>0</v>
      </c>
      <c r="AU153">
        <v>1</v>
      </c>
      <c r="AV153" t="s">
        <v>273</v>
      </c>
      <c r="AY153" t="s">
        <v>273</v>
      </c>
      <c r="BB153">
        <v>0</v>
      </c>
      <c r="BC153">
        <v>0</v>
      </c>
      <c r="BD153">
        <v>0</v>
      </c>
      <c r="BE153">
        <v>0</v>
      </c>
      <c r="BF153" t="s">
        <v>1063</v>
      </c>
      <c r="BG153" t="s">
        <v>2536</v>
      </c>
      <c r="BH153">
        <v>44</v>
      </c>
      <c r="BI153" t="s">
        <v>1247</v>
      </c>
      <c r="BK153">
        <v>1879492</v>
      </c>
    </row>
    <row r="154" spans="1:64">
      <c r="A154" s="1">
        <f>HYPERLINK("https://lsnyc.legalserver.org/matter/dynamic-profile/view/1898195","19-1898195")</f>
        <v>0</v>
      </c>
      <c r="B154" t="s">
        <v>1443</v>
      </c>
      <c r="C154" t="s">
        <v>1640</v>
      </c>
      <c r="D154" t="s">
        <v>253</v>
      </c>
      <c r="E154" t="s">
        <v>1647</v>
      </c>
      <c r="F154" t="s">
        <v>273</v>
      </c>
      <c r="G154" t="s">
        <v>275</v>
      </c>
      <c r="H154">
        <v>141.36</v>
      </c>
      <c r="I154" t="s">
        <v>274</v>
      </c>
      <c r="K154" t="s">
        <v>1020</v>
      </c>
      <c r="M154" t="s">
        <v>474</v>
      </c>
      <c r="N154" t="s">
        <v>1668</v>
      </c>
      <c r="O154" t="s">
        <v>275</v>
      </c>
      <c r="P154" t="s">
        <v>492</v>
      </c>
      <c r="Q154" t="s">
        <v>502</v>
      </c>
      <c r="S154" t="s">
        <v>503</v>
      </c>
      <c r="T154" t="s">
        <v>507</v>
      </c>
      <c r="U154" t="s">
        <v>511</v>
      </c>
      <c r="V154">
        <v>11429</v>
      </c>
      <c r="W154" t="s">
        <v>529</v>
      </c>
      <c r="X154" t="s">
        <v>548</v>
      </c>
      <c r="Y154" t="s">
        <v>275</v>
      </c>
      <c r="Z154" t="s">
        <v>1944</v>
      </c>
      <c r="AA154" t="s">
        <v>2199</v>
      </c>
      <c r="AB154" t="s">
        <v>902</v>
      </c>
      <c r="AC154" t="s">
        <v>905</v>
      </c>
      <c r="AF154" t="s">
        <v>923</v>
      </c>
      <c r="AI154">
        <v>13.05</v>
      </c>
      <c r="AJ154" t="s">
        <v>558</v>
      </c>
      <c r="AK154" t="s">
        <v>934</v>
      </c>
      <c r="AL154" t="s">
        <v>274</v>
      </c>
      <c r="AT154">
        <v>1</v>
      </c>
      <c r="AU154">
        <v>3</v>
      </c>
      <c r="AV154" t="s">
        <v>273</v>
      </c>
      <c r="AY154" t="s">
        <v>273</v>
      </c>
      <c r="BB154">
        <v>0</v>
      </c>
      <c r="BC154">
        <v>0</v>
      </c>
      <c r="BD154">
        <v>0</v>
      </c>
      <c r="BE154">
        <v>0</v>
      </c>
      <c r="BF154" t="s">
        <v>1063</v>
      </c>
      <c r="BG154" t="s">
        <v>2529</v>
      </c>
      <c r="BH154">
        <v>19</v>
      </c>
      <c r="BI154" t="s">
        <v>1317</v>
      </c>
      <c r="BK154">
        <v>1891974</v>
      </c>
      <c r="BL154" t="s">
        <v>274</v>
      </c>
    </row>
    <row r="155" spans="1:64">
      <c r="A155" s="1">
        <f>HYPERLINK("https://lsnyc.legalserver.org/matter/dynamic-profile/view/1898137","19-1898137")</f>
        <v>0</v>
      </c>
      <c r="B155" t="s">
        <v>1451</v>
      </c>
      <c r="C155" t="s">
        <v>1640</v>
      </c>
      <c r="D155" t="s">
        <v>251</v>
      </c>
      <c r="E155" t="s">
        <v>1648</v>
      </c>
      <c r="F155" t="s">
        <v>273</v>
      </c>
      <c r="G155" t="s">
        <v>275</v>
      </c>
      <c r="H155">
        <v>150.9</v>
      </c>
      <c r="I155" t="s">
        <v>274</v>
      </c>
      <c r="K155" t="s">
        <v>319</v>
      </c>
      <c r="P155" t="s">
        <v>495</v>
      </c>
      <c r="Q155" t="s">
        <v>501</v>
      </c>
      <c r="S155" t="s">
        <v>503</v>
      </c>
      <c r="T155" t="s">
        <v>508</v>
      </c>
      <c r="U155" t="s">
        <v>511</v>
      </c>
      <c r="V155">
        <v>11967</v>
      </c>
      <c r="W155" t="s">
        <v>520</v>
      </c>
      <c r="X155" t="s">
        <v>548</v>
      </c>
      <c r="Y155" t="s">
        <v>274</v>
      </c>
      <c r="Z155" t="s">
        <v>1951</v>
      </c>
      <c r="AA155" t="s">
        <v>2206</v>
      </c>
      <c r="AB155" t="s">
        <v>902</v>
      </c>
      <c r="AC155" t="s">
        <v>906</v>
      </c>
      <c r="AF155" t="s">
        <v>923</v>
      </c>
      <c r="AI155">
        <v>6.94</v>
      </c>
      <c r="AK155" t="s">
        <v>934</v>
      </c>
      <c r="AL155" t="s">
        <v>274</v>
      </c>
      <c r="AM155" t="s">
        <v>973</v>
      </c>
      <c r="AN155" t="s">
        <v>1686</v>
      </c>
      <c r="AT155">
        <v>2</v>
      </c>
      <c r="AU155">
        <v>1</v>
      </c>
      <c r="AV155" t="s">
        <v>273</v>
      </c>
      <c r="AY155" t="s">
        <v>273</v>
      </c>
      <c r="BB155">
        <v>0</v>
      </c>
      <c r="BC155">
        <v>0</v>
      </c>
      <c r="BD155">
        <v>0</v>
      </c>
      <c r="BE155">
        <v>0</v>
      </c>
      <c r="BF155" t="s">
        <v>1063</v>
      </c>
      <c r="BG155" t="s">
        <v>2537</v>
      </c>
      <c r="BH155">
        <v>31</v>
      </c>
      <c r="BI155" t="s">
        <v>2754</v>
      </c>
      <c r="BK155">
        <v>1846368</v>
      </c>
    </row>
    <row r="156" spans="1:64">
      <c r="A156" s="1">
        <f>HYPERLINK("https://lsnyc.legalserver.org/matter/dynamic-profile/view/1898106","19-1898106")</f>
        <v>0</v>
      </c>
      <c r="B156" t="s">
        <v>1410</v>
      </c>
      <c r="C156" t="s">
        <v>1640</v>
      </c>
      <c r="D156" t="s">
        <v>253</v>
      </c>
      <c r="E156" t="s">
        <v>1645</v>
      </c>
      <c r="F156" t="s">
        <v>273</v>
      </c>
      <c r="G156" t="s">
        <v>275</v>
      </c>
      <c r="H156">
        <v>5.91</v>
      </c>
      <c r="I156" t="s">
        <v>274</v>
      </c>
      <c r="K156" t="s">
        <v>1690</v>
      </c>
      <c r="M156" t="s">
        <v>474</v>
      </c>
      <c r="N156" t="s">
        <v>453</v>
      </c>
      <c r="P156" t="s">
        <v>492</v>
      </c>
      <c r="Q156" t="s">
        <v>501</v>
      </c>
      <c r="S156" t="s">
        <v>503</v>
      </c>
      <c r="T156" t="s">
        <v>508</v>
      </c>
      <c r="U156" t="s">
        <v>511</v>
      </c>
      <c r="V156">
        <v>11369</v>
      </c>
      <c r="W156" t="s">
        <v>1832</v>
      </c>
      <c r="X156" t="s">
        <v>548</v>
      </c>
      <c r="Z156" t="s">
        <v>1918</v>
      </c>
      <c r="AA156" t="s">
        <v>2170</v>
      </c>
      <c r="AB156" t="s">
        <v>902</v>
      </c>
      <c r="AC156" t="s">
        <v>905</v>
      </c>
      <c r="AF156" t="s">
        <v>926</v>
      </c>
      <c r="AI156">
        <v>7.35</v>
      </c>
      <c r="AJ156" t="s">
        <v>558</v>
      </c>
      <c r="AK156" t="s">
        <v>950</v>
      </c>
      <c r="AL156" t="s">
        <v>274</v>
      </c>
      <c r="AT156">
        <v>1</v>
      </c>
      <c r="AU156">
        <v>1</v>
      </c>
      <c r="AV156" t="s">
        <v>273</v>
      </c>
      <c r="AY156" t="s">
        <v>273</v>
      </c>
      <c r="BB156">
        <v>0</v>
      </c>
      <c r="BC156">
        <v>0</v>
      </c>
      <c r="BD156">
        <v>0</v>
      </c>
      <c r="BE156">
        <v>0</v>
      </c>
      <c r="BF156" t="s">
        <v>1063</v>
      </c>
      <c r="BG156" t="s">
        <v>2495</v>
      </c>
      <c r="BH156">
        <v>37</v>
      </c>
      <c r="BI156" t="s">
        <v>2741</v>
      </c>
      <c r="BK156">
        <v>1882843</v>
      </c>
    </row>
    <row r="157" spans="1:64">
      <c r="A157" s="1">
        <f>HYPERLINK("https://lsnyc.legalserver.org/matter/dynamic-profile/view/1897222","19-1897222")</f>
        <v>0</v>
      </c>
      <c r="B157" t="s">
        <v>1452</v>
      </c>
      <c r="C157" t="s">
        <v>1640</v>
      </c>
      <c r="D157" t="s">
        <v>253</v>
      </c>
      <c r="E157" t="s">
        <v>1649</v>
      </c>
      <c r="F157" t="s">
        <v>273</v>
      </c>
      <c r="G157" t="s">
        <v>275</v>
      </c>
      <c r="H157">
        <v>0</v>
      </c>
      <c r="I157" t="s">
        <v>274</v>
      </c>
      <c r="K157" t="s">
        <v>1691</v>
      </c>
      <c r="M157" t="s">
        <v>474</v>
      </c>
      <c r="N157" t="s">
        <v>445</v>
      </c>
      <c r="O157" t="s">
        <v>275</v>
      </c>
      <c r="P157" t="s">
        <v>492</v>
      </c>
      <c r="Q157" t="s">
        <v>502</v>
      </c>
      <c r="S157" t="s">
        <v>503</v>
      </c>
      <c r="T157" t="s">
        <v>507</v>
      </c>
      <c r="U157" t="s">
        <v>511</v>
      </c>
      <c r="V157">
        <v>11355</v>
      </c>
      <c r="W157" t="s">
        <v>518</v>
      </c>
      <c r="X157" t="s">
        <v>548</v>
      </c>
      <c r="Y157" t="s">
        <v>275</v>
      </c>
      <c r="Z157" t="s">
        <v>1952</v>
      </c>
      <c r="AA157" t="s">
        <v>2207</v>
      </c>
      <c r="AB157" t="s">
        <v>902</v>
      </c>
      <c r="AC157" t="s">
        <v>905</v>
      </c>
      <c r="AF157" t="s">
        <v>926</v>
      </c>
      <c r="AI157">
        <v>22.15</v>
      </c>
      <c r="AJ157" t="s">
        <v>558</v>
      </c>
      <c r="AK157" t="s">
        <v>936</v>
      </c>
      <c r="AL157" t="s">
        <v>274</v>
      </c>
      <c r="AT157">
        <v>2</v>
      </c>
      <c r="AU157">
        <v>1</v>
      </c>
      <c r="AV157" t="s">
        <v>273</v>
      </c>
      <c r="AY157" t="s">
        <v>273</v>
      </c>
      <c r="BB157">
        <v>0</v>
      </c>
      <c r="BC157">
        <v>0</v>
      </c>
      <c r="BD157">
        <v>0</v>
      </c>
      <c r="BE157">
        <v>0</v>
      </c>
      <c r="BF157" t="s">
        <v>1063</v>
      </c>
      <c r="BG157" t="s">
        <v>2538</v>
      </c>
      <c r="BH157">
        <v>17</v>
      </c>
      <c r="BI157" t="s">
        <v>1247</v>
      </c>
      <c r="BK157">
        <v>1884543</v>
      </c>
    </row>
    <row r="158" spans="1:64">
      <c r="A158" s="1">
        <f>HYPERLINK("https://lsnyc.legalserver.org/matter/dynamic-profile/view/1896873","19-1896873")</f>
        <v>0</v>
      </c>
      <c r="B158" t="s">
        <v>1453</v>
      </c>
      <c r="C158" t="s">
        <v>1640</v>
      </c>
      <c r="D158" t="s">
        <v>252</v>
      </c>
      <c r="E158" t="s">
        <v>1647</v>
      </c>
      <c r="F158" t="s">
        <v>273</v>
      </c>
      <c r="G158" t="s">
        <v>275</v>
      </c>
      <c r="H158">
        <v>0</v>
      </c>
      <c r="I158" t="s">
        <v>275</v>
      </c>
      <c r="K158" t="s">
        <v>1692</v>
      </c>
      <c r="O158" t="s">
        <v>275</v>
      </c>
      <c r="P158" t="s">
        <v>498</v>
      </c>
      <c r="Q158" t="s">
        <v>501</v>
      </c>
      <c r="S158" t="s">
        <v>503</v>
      </c>
      <c r="T158" t="s">
        <v>507</v>
      </c>
      <c r="U158" t="s">
        <v>511</v>
      </c>
      <c r="V158">
        <v>11208</v>
      </c>
      <c r="W158" t="s">
        <v>524</v>
      </c>
      <c r="X158" t="s">
        <v>548</v>
      </c>
      <c r="Y158" t="s">
        <v>275</v>
      </c>
      <c r="Z158" t="s">
        <v>1953</v>
      </c>
      <c r="AA158" t="s">
        <v>2208</v>
      </c>
      <c r="AB158" t="s">
        <v>902</v>
      </c>
      <c r="AC158" t="s">
        <v>909</v>
      </c>
      <c r="AF158" t="s">
        <v>928</v>
      </c>
      <c r="AI158">
        <v>2.75</v>
      </c>
      <c r="AJ158" t="s">
        <v>2361</v>
      </c>
      <c r="AK158" t="s">
        <v>949</v>
      </c>
      <c r="AL158" t="s">
        <v>275</v>
      </c>
      <c r="AM158" t="s">
        <v>975</v>
      </c>
      <c r="AT158">
        <v>0</v>
      </c>
      <c r="AU158">
        <v>2</v>
      </c>
      <c r="AV158" t="s">
        <v>273</v>
      </c>
      <c r="AY158" t="s">
        <v>273</v>
      </c>
      <c r="BB158">
        <v>0</v>
      </c>
      <c r="BC158">
        <v>0</v>
      </c>
      <c r="BD158">
        <v>0</v>
      </c>
      <c r="BE158">
        <v>0</v>
      </c>
      <c r="BF158" t="s">
        <v>1063</v>
      </c>
      <c r="BG158" t="s">
        <v>1079</v>
      </c>
      <c r="BH158">
        <v>62</v>
      </c>
      <c r="BI158" t="s">
        <v>1247</v>
      </c>
      <c r="BK158">
        <v>1897516</v>
      </c>
    </row>
    <row r="159" spans="1:64">
      <c r="A159" s="1">
        <f>HYPERLINK("https://lsnyc.legalserver.org/matter/dynamic-profile/view/1896961","19-1896961")</f>
        <v>0</v>
      </c>
      <c r="B159" t="s">
        <v>1454</v>
      </c>
      <c r="C159" t="s">
        <v>1640</v>
      </c>
      <c r="D159" t="s">
        <v>253</v>
      </c>
      <c r="E159" t="s">
        <v>1649</v>
      </c>
      <c r="F159" t="s">
        <v>273</v>
      </c>
      <c r="G159" t="s">
        <v>275</v>
      </c>
      <c r="H159">
        <v>0</v>
      </c>
      <c r="I159" t="s">
        <v>274</v>
      </c>
      <c r="K159" t="s">
        <v>1692</v>
      </c>
      <c r="M159" t="s">
        <v>471</v>
      </c>
      <c r="N159" t="s">
        <v>280</v>
      </c>
      <c r="O159" t="s">
        <v>275</v>
      </c>
      <c r="P159" t="s">
        <v>492</v>
      </c>
      <c r="Q159" t="s">
        <v>501</v>
      </c>
      <c r="S159" t="s">
        <v>503</v>
      </c>
      <c r="T159" t="s">
        <v>508</v>
      </c>
      <c r="U159" t="s">
        <v>511</v>
      </c>
      <c r="V159">
        <v>11355</v>
      </c>
      <c r="W159" t="s">
        <v>519</v>
      </c>
      <c r="X159" t="s">
        <v>548</v>
      </c>
      <c r="Z159" t="s">
        <v>601</v>
      </c>
      <c r="AA159" t="s">
        <v>2209</v>
      </c>
      <c r="AB159" t="s">
        <v>902</v>
      </c>
      <c r="AC159" t="s">
        <v>905</v>
      </c>
      <c r="AF159" t="s">
        <v>926</v>
      </c>
      <c r="AI159">
        <v>31.99</v>
      </c>
      <c r="AJ159" t="s">
        <v>558</v>
      </c>
      <c r="AK159" t="s">
        <v>936</v>
      </c>
      <c r="AL159" t="s">
        <v>274</v>
      </c>
      <c r="AT159">
        <v>1</v>
      </c>
      <c r="AU159">
        <v>1</v>
      </c>
      <c r="AV159" t="s">
        <v>273</v>
      </c>
      <c r="AY159" t="s">
        <v>273</v>
      </c>
      <c r="BB159">
        <v>0</v>
      </c>
      <c r="BC159">
        <v>0</v>
      </c>
      <c r="BD159">
        <v>0</v>
      </c>
      <c r="BE159">
        <v>0</v>
      </c>
      <c r="BF159" t="s">
        <v>1063</v>
      </c>
      <c r="BG159" t="s">
        <v>2539</v>
      </c>
      <c r="BH159">
        <v>36</v>
      </c>
      <c r="BI159" t="s">
        <v>1247</v>
      </c>
      <c r="BK159">
        <v>1881835</v>
      </c>
    </row>
    <row r="160" spans="1:64">
      <c r="A160" s="1">
        <f>HYPERLINK("https://lsnyc.legalserver.org/matter/dynamic-profile/view/1896962","19-1896962")</f>
        <v>0</v>
      </c>
      <c r="B160" t="s">
        <v>1455</v>
      </c>
      <c r="C160" t="s">
        <v>1640</v>
      </c>
      <c r="D160" t="s">
        <v>253</v>
      </c>
      <c r="E160" t="s">
        <v>1649</v>
      </c>
      <c r="F160" t="s">
        <v>273</v>
      </c>
      <c r="G160" t="s">
        <v>275</v>
      </c>
      <c r="H160">
        <v>0</v>
      </c>
      <c r="I160" t="s">
        <v>274</v>
      </c>
      <c r="K160" t="s">
        <v>1692</v>
      </c>
      <c r="M160" t="s">
        <v>471</v>
      </c>
      <c r="N160" t="s">
        <v>290</v>
      </c>
      <c r="O160" t="s">
        <v>275</v>
      </c>
      <c r="P160" t="s">
        <v>492</v>
      </c>
      <c r="Q160" t="s">
        <v>502</v>
      </c>
      <c r="S160" t="s">
        <v>503</v>
      </c>
      <c r="T160" t="s">
        <v>508</v>
      </c>
      <c r="U160" t="s">
        <v>511</v>
      </c>
      <c r="V160">
        <v>11355</v>
      </c>
      <c r="W160" t="s">
        <v>521</v>
      </c>
      <c r="X160" t="s">
        <v>548</v>
      </c>
      <c r="Y160" t="s">
        <v>275</v>
      </c>
      <c r="Z160" t="s">
        <v>1954</v>
      </c>
      <c r="AA160" t="s">
        <v>2209</v>
      </c>
      <c r="AB160" t="s">
        <v>902</v>
      </c>
      <c r="AC160" t="s">
        <v>905</v>
      </c>
      <c r="AF160" t="s">
        <v>926</v>
      </c>
      <c r="AI160">
        <v>83.47</v>
      </c>
      <c r="AJ160" t="s">
        <v>558</v>
      </c>
      <c r="AK160" t="s">
        <v>936</v>
      </c>
      <c r="AL160" t="s">
        <v>274</v>
      </c>
      <c r="AT160">
        <v>1</v>
      </c>
      <c r="AU160">
        <v>1</v>
      </c>
      <c r="AV160" t="s">
        <v>273</v>
      </c>
      <c r="AY160" t="s">
        <v>273</v>
      </c>
      <c r="BB160">
        <v>0</v>
      </c>
      <c r="BC160">
        <v>0</v>
      </c>
      <c r="BD160">
        <v>0</v>
      </c>
      <c r="BE160">
        <v>0</v>
      </c>
      <c r="BF160" t="s">
        <v>1063</v>
      </c>
      <c r="BG160" t="s">
        <v>2540</v>
      </c>
      <c r="BH160">
        <v>15</v>
      </c>
      <c r="BI160" t="s">
        <v>1247</v>
      </c>
      <c r="BK160">
        <v>1884543</v>
      </c>
    </row>
    <row r="161" spans="1:63">
      <c r="A161" s="1">
        <f>HYPERLINK("https://lsnyc.legalserver.org/matter/dynamic-profile/view/1896838","19-1896838")</f>
        <v>0</v>
      </c>
      <c r="B161" t="s">
        <v>1456</v>
      </c>
      <c r="C161" t="s">
        <v>1640</v>
      </c>
      <c r="D161" t="s">
        <v>253</v>
      </c>
      <c r="E161" t="s">
        <v>1645</v>
      </c>
      <c r="F161" t="s">
        <v>273</v>
      </c>
      <c r="G161" t="s">
        <v>275</v>
      </c>
      <c r="H161">
        <v>0</v>
      </c>
      <c r="I161" t="s">
        <v>274</v>
      </c>
      <c r="K161" t="s">
        <v>1693</v>
      </c>
      <c r="M161" t="s">
        <v>472</v>
      </c>
      <c r="N161" t="s">
        <v>328</v>
      </c>
      <c r="P161" t="s">
        <v>492</v>
      </c>
      <c r="Q161" t="s">
        <v>501</v>
      </c>
      <c r="S161" t="s">
        <v>503</v>
      </c>
      <c r="T161" t="s">
        <v>507</v>
      </c>
      <c r="U161" t="s">
        <v>511</v>
      </c>
      <c r="V161">
        <v>11373</v>
      </c>
      <c r="W161" t="s">
        <v>536</v>
      </c>
      <c r="X161" t="s">
        <v>548</v>
      </c>
      <c r="Z161" t="s">
        <v>1955</v>
      </c>
      <c r="AA161" t="s">
        <v>2210</v>
      </c>
      <c r="AB161" t="s">
        <v>902</v>
      </c>
      <c r="AC161" t="s">
        <v>905</v>
      </c>
      <c r="AF161" t="s">
        <v>923</v>
      </c>
      <c r="AI161">
        <v>12.9</v>
      </c>
      <c r="AK161" t="s">
        <v>945</v>
      </c>
      <c r="AL161" t="s">
        <v>274</v>
      </c>
      <c r="AT161">
        <v>0</v>
      </c>
      <c r="AU161">
        <v>1</v>
      </c>
      <c r="AV161" t="s">
        <v>273</v>
      </c>
      <c r="AY161" t="s">
        <v>273</v>
      </c>
      <c r="BB161">
        <v>0</v>
      </c>
      <c r="BC161">
        <v>0</v>
      </c>
      <c r="BD161">
        <v>0</v>
      </c>
      <c r="BE161">
        <v>0</v>
      </c>
      <c r="BF161" t="s">
        <v>1063</v>
      </c>
      <c r="BG161" t="s">
        <v>2433</v>
      </c>
      <c r="BH161">
        <v>38</v>
      </c>
      <c r="BI161" t="s">
        <v>1247</v>
      </c>
      <c r="BK161">
        <v>807406</v>
      </c>
    </row>
    <row r="162" spans="1:63">
      <c r="A162" s="1">
        <f>HYPERLINK("https://lsnyc.legalserver.org/matter/dynamic-profile/view/1896724","19-1896724")</f>
        <v>0</v>
      </c>
      <c r="B162" t="s">
        <v>1457</v>
      </c>
      <c r="C162" t="s">
        <v>1640</v>
      </c>
      <c r="D162" t="s">
        <v>257</v>
      </c>
      <c r="E162" t="s">
        <v>1643</v>
      </c>
      <c r="F162" t="s">
        <v>273</v>
      </c>
      <c r="G162" t="s">
        <v>275</v>
      </c>
      <c r="H162">
        <v>0</v>
      </c>
      <c r="I162" t="s">
        <v>274</v>
      </c>
      <c r="K162" t="s">
        <v>1694</v>
      </c>
      <c r="L162" t="s">
        <v>476</v>
      </c>
      <c r="P162" t="s">
        <v>495</v>
      </c>
      <c r="Q162" t="s">
        <v>501</v>
      </c>
      <c r="R162" t="s">
        <v>1818</v>
      </c>
      <c r="S162" t="s">
        <v>503</v>
      </c>
      <c r="T162" t="s">
        <v>507</v>
      </c>
      <c r="U162" t="s">
        <v>511</v>
      </c>
      <c r="V162">
        <v>10461</v>
      </c>
      <c r="W162" t="s">
        <v>520</v>
      </c>
      <c r="X162" t="s">
        <v>1839</v>
      </c>
      <c r="Z162" t="s">
        <v>1956</v>
      </c>
      <c r="AA162" t="s">
        <v>2211</v>
      </c>
      <c r="AB162" t="s">
        <v>902</v>
      </c>
      <c r="AC162" t="s">
        <v>2360</v>
      </c>
      <c r="AD162" t="s">
        <v>275</v>
      </c>
      <c r="AE162" t="s">
        <v>919</v>
      </c>
      <c r="AF162" t="s">
        <v>923</v>
      </c>
      <c r="AI162">
        <v>13.22</v>
      </c>
      <c r="AK162" t="s">
        <v>2370</v>
      </c>
      <c r="AL162" t="s">
        <v>274</v>
      </c>
      <c r="AM162" t="s">
        <v>978</v>
      </c>
      <c r="AN162" t="s">
        <v>1668</v>
      </c>
      <c r="AQ162" t="s">
        <v>1036</v>
      </c>
      <c r="AR162" t="s">
        <v>1051</v>
      </c>
      <c r="AS162" t="s">
        <v>2406</v>
      </c>
      <c r="AT162">
        <v>0</v>
      </c>
      <c r="AU162">
        <v>1</v>
      </c>
      <c r="AV162" t="s">
        <v>273</v>
      </c>
      <c r="AY162" t="s">
        <v>273</v>
      </c>
      <c r="BB162">
        <v>0</v>
      </c>
      <c r="BC162">
        <v>0</v>
      </c>
      <c r="BD162">
        <v>0</v>
      </c>
      <c r="BE162">
        <v>0</v>
      </c>
      <c r="BF162" t="s">
        <v>493</v>
      </c>
      <c r="BG162" t="s">
        <v>2541</v>
      </c>
      <c r="BH162">
        <v>37</v>
      </c>
      <c r="BI162" t="s">
        <v>1247</v>
      </c>
      <c r="BK162">
        <v>1897366</v>
      </c>
    </row>
    <row r="163" spans="1:63">
      <c r="A163" s="1">
        <f>HYPERLINK("https://lsnyc.legalserver.org/matter/dynamic-profile/view/1897066","19-1897066")</f>
        <v>0</v>
      </c>
      <c r="B163" t="s">
        <v>1446</v>
      </c>
      <c r="C163" t="s">
        <v>1640</v>
      </c>
      <c r="D163" t="s">
        <v>1641</v>
      </c>
      <c r="E163" t="s">
        <v>1647</v>
      </c>
      <c r="F163" t="s">
        <v>273</v>
      </c>
      <c r="G163" t="s">
        <v>275</v>
      </c>
      <c r="H163">
        <v>70.95999999999999</v>
      </c>
      <c r="I163" t="s">
        <v>274</v>
      </c>
      <c r="K163" t="s">
        <v>1694</v>
      </c>
      <c r="M163" t="s">
        <v>473</v>
      </c>
      <c r="N163" t="s">
        <v>465</v>
      </c>
      <c r="O163" t="s">
        <v>275</v>
      </c>
      <c r="P163" t="s">
        <v>492</v>
      </c>
      <c r="Q163" t="s">
        <v>501</v>
      </c>
      <c r="S163" t="s">
        <v>503</v>
      </c>
      <c r="T163" t="s">
        <v>508</v>
      </c>
      <c r="U163" t="s">
        <v>511</v>
      </c>
      <c r="V163">
        <v>11550</v>
      </c>
      <c r="W163" t="s">
        <v>520</v>
      </c>
      <c r="X163" t="s">
        <v>548</v>
      </c>
      <c r="Y163" t="s">
        <v>275</v>
      </c>
      <c r="Z163" t="s">
        <v>593</v>
      </c>
      <c r="AA163" t="s">
        <v>2201</v>
      </c>
      <c r="AB163" t="s">
        <v>902</v>
      </c>
      <c r="AC163" t="s">
        <v>905</v>
      </c>
      <c r="AF163" t="s">
        <v>923</v>
      </c>
      <c r="AI163">
        <v>51.95</v>
      </c>
      <c r="AJ163" t="s">
        <v>558</v>
      </c>
      <c r="AK163" t="s">
        <v>934</v>
      </c>
      <c r="AL163" t="s">
        <v>274</v>
      </c>
      <c r="AM163" t="s">
        <v>973</v>
      </c>
      <c r="AN163" t="s">
        <v>465</v>
      </c>
      <c r="AT163">
        <v>1</v>
      </c>
      <c r="AU163">
        <v>1</v>
      </c>
      <c r="AV163" t="s">
        <v>273</v>
      </c>
      <c r="AY163" t="s">
        <v>273</v>
      </c>
      <c r="BB163">
        <v>0</v>
      </c>
      <c r="BC163">
        <v>0</v>
      </c>
      <c r="BD163">
        <v>0</v>
      </c>
      <c r="BE163">
        <v>0</v>
      </c>
      <c r="BF163" t="s">
        <v>1063</v>
      </c>
      <c r="BG163" t="s">
        <v>2532</v>
      </c>
      <c r="BH163">
        <v>35</v>
      </c>
      <c r="BI163" t="s">
        <v>1267</v>
      </c>
      <c r="BK163">
        <v>815861</v>
      </c>
    </row>
    <row r="164" spans="1:63">
      <c r="A164" s="1">
        <f>HYPERLINK("https://lsnyc.legalserver.org/matter/dynamic-profile/view/1908457","19-1908457")</f>
        <v>0</v>
      </c>
      <c r="B164" t="s">
        <v>1458</v>
      </c>
      <c r="C164" t="s">
        <v>1640</v>
      </c>
      <c r="D164" t="s">
        <v>253</v>
      </c>
      <c r="E164" t="s">
        <v>1645</v>
      </c>
      <c r="F164" t="s">
        <v>273</v>
      </c>
      <c r="G164" t="s">
        <v>275</v>
      </c>
      <c r="H164">
        <v>0</v>
      </c>
      <c r="I164" t="s">
        <v>274</v>
      </c>
      <c r="K164" t="s">
        <v>997</v>
      </c>
      <c r="M164" t="s">
        <v>472</v>
      </c>
      <c r="N164" t="s">
        <v>1008</v>
      </c>
      <c r="P164" t="s">
        <v>492</v>
      </c>
      <c r="Q164" t="s">
        <v>501</v>
      </c>
      <c r="S164" t="s">
        <v>503</v>
      </c>
      <c r="T164" t="s">
        <v>508</v>
      </c>
      <c r="U164" t="s">
        <v>511</v>
      </c>
      <c r="V164">
        <v>11385</v>
      </c>
      <c r="W164" t="s">
        <v>524</v>
      </c>
      <c r="X164" t="s">
        <v>548</v>
      </c>
      <c r="Z164" t="s">
        <v>1957</v>
      </c>
      <c r="AA164" t="s">
        <v>2212</v>
      </c>
      <c r="AB164" t="s">
        <v>902</v>
      </c>
      <c r="AC164" t="s">
        <v>905</v>
      </c>
      <c r="AF164" t="s">
        <v>923</v>
      </c>
      <c r="AI164">
        <v>1.86</v>
      </c>
      <c r="AK164" t="s">
        <v>933</v>
      </c>
      <c r="AL164" t="s">
        <v>274</v>
      </c>
      <c r="AM164" t="s">
        <v>973</v>
      </c>
      <c r="AN164" t="s">
        <v>455</v>
      </c>
      <c r="AS164" t="s">
        <v>1061</v>
      </c>
      <c r="AT164">
        <v>3</v>
      </c>
      <c r="AU164">
        <v>1</v>
      </c>
      <c r="AV164" t="s">
        <v>273</v>
      </c>
      <c r="AY164" t="s">
        <v>273</v>
      </c>
      <c r="BB164">
        <v>0</v>
      </c>
      <c r="BC164">
        <v>0</v>
      </c>
      <c r="BD164">
        <v>0</v>
      </c>
      <c r="BE164">
        <v>0</v>
      </c>
      <c r="BF164" t="s">
        <v>1063</v>
      </c>
      <c r="BG164" t="s">
        <v>2542</v>
      </c>
      <c r="BH164">
        <v>32</v>
      </c>
      <c r="BI164" t="s">
        <v>1247</v>
      </c>
      <c r="BK164">
        <v>1894423</v>
      </c>
    </row>
    <row r="165" spans="1:63">
      <c r="A165" s="1">
        <f>HYPERLINK("https://lsnyc.legalserver.org/matter/dynamic-profile/view/1896432","19-1896432")</f>
        <v>0</v>
      </c>
      <c r="B165" t="s">
        <v>1459</v>
      </c>
      <c r="C165" t="s">
        <v>1640</v>
      </c>
      <c r="D165" t="s">
        <v>253</v>
      </c>
      <c r="E165" t="s">
        <v>1644</v>
      </c>
      <c r="F165" t="s">
        <v>274</v>
      </c>
      <c r="G165" t="s">
        <v>274</v>
      </c>
      <c r="H165">
        <v>30.75</v>
      </c>
      <c r="K165" t="s">
        <v>322</v>
      </c>
      <c r="O165" t="s">
        <v>275</v>
      </c>
      <c r="P165" t="s">
        <v>492</v>
      </c>
      <c r="Q165" t="s">
        <v>501</v>
      </c>
      <c r="S165" t="s">
        <v>503</v>
      </c>
      <c r="T165" t="s">
        <v>508</v>
      </c>
      <c r="U165" t="s">
        <v>511</v>
      </c>
      <c r="V165">
        <v>11432</v>
      </c>
      <c r="W165" t="s">
        <v>536</v>
      </c>
      <c r="X165" t="s">
        <v>548</v>
      </c>
      <c r="Z165" t="s">
        <v>1958</v>
      </c>
      <c r="AA165" t="s">
        <v>2213</v>
      </c>
      <c r="AB165" t="s">
        <v>902</v>
      </c>
      <c r="AC165" t="s">
        <v>905</v>
      </c>
      <c r="AI165">
        <v>2.1</v>
      </c>
      <c r="AJ165" t="s">
        <v>931</v>
      </c>
      <c r="AK165" t="s">
        <v>949</v>
      </c>
      <c r="AT165">
        <v>1</v>
      </c>
      <c r="AU165">
        <v>1</v>
      </c>
      <c r="AV165" t="s">
        <v>273</v>
      </c>
      <c r="AY165" t="s">
        <v>273</v>
      </c>
      <c r="BB165">
        <v>0</v>
      </c>
      <c r="BC165">
        <v>0</v>
      </c>
      <c r="BD165">
        <v>0</v>
      </c>
      <c r="BE165">
        <v>0</v>
      </c>
      <c r="BF165" t="s">
        <v>1063</v>
      </c>
      <c r="BG165" t="s">
        <v>2543</v>
      </c>
      <c r="BH165">
        <v>29</v>
      </c>
      <c r="BI165" t="s">
        <v>1258</v>
      </c>
      <c r="BK165">
        <v>1897074</v>
      </c>
    </row>
    <row r="166" spans="1:63">
      <c r="A166" s="1">
        <f>HYPERLINK("https://lsnyc.legalserver.org/matter/dynamic-profile/view/1896445","19-1896445")</f>
        <v>0</v>
      </c>
      <c r="B166" t="s">
        <v>1460</v>
      </c>
      <c r="C166" t="s">
        <v>1640</v>
      </c>
      <c r="D166" t="s">
        <v>253</v>
      </c>
      <c r="E166" t="s">
        <v>1650</v>
      </c>
      <c r="F166" t="s">
        <v>273</v>
      </c>
      <c r="G166" t="s">
        <v>275</v>
      </c>
      <c r="H166">
        <v>153.76</v>
      </c>
      <c r="I166" t="s">
        <v>275</v>
      </c>
      <c r="K166" t="s">
        <v>322</v>
      </c>
      <c r="O166" t="s">
        <v>275</v>
      </c>
      <c r="P166" t="s">
        <v>492</v>
      </c>
      <c r="Q166" t="s">
        <v>501</v>
      </c>
      <c r="S166" t="s">
        <v>503</v>
      </c>
      <c r="T166" t="s">
        <v>507</v>
      </c>
      <c r="U166" t="s">
        <v>511</v>
      </c>
      <c r="V166">
        <v>11373</v>
      </c>
      <c r="W166" t="s">
        <v>523</v>
      </c>
      <c r="X166" t="s">
        <v>548</v>
      </c>
      <c r="Y166" t="s">
        <v>275</v>
      </c>
      <c r="Z166" t="s">
        <v>1883</v>
      </c>
      <c r="AA166" t="s">
        <v>2214</v>
      </c>
      <c r="AB166" t="s">
        <v>903</v>
      </c>
      <c r="AF166" t="s">
        <v>925</v>
      </c>
      <c r="AI166">
        <v>1.25</v>
      </c>
      <c r="AJ166" t="s">
        <v>931</v>
      </c>
      <c r="AK166" t="s">
        <v>949</v>
      </c>
      <c r="AL166" t="s">
        <v>275</v>
      </c>
      <c r="AT166">
        <v>0</v>
      </c>
      <c r="AU166">
        <v>2</v>
      </c>
      <c r="AV166" t="s">
        <v>273</v>
      </c>
      <c r="AY166" t="s">
        <v>273</v>
      </c>
      <c r="BB166">
        <v>0</v>
      </c>
      <c r="BC166">
        <v>0</v>
      </c>
      <c r="BD166">
        <v>0</v>
      </c>
      <c r="BE166">
        <v>0</v>
      </c>
      <c r="BF166" t="s">
        <v>1063</v>
      </c>
      <c r="BG166" t="s">
        <v>2544</v>
      </c>
      <c r="BH166">
        <v>20</v>
      </c>
      <c r="BI166" t="s">
        <v>1279</v>
      </c>
      <c r="BK166">
        <v>1897087</v>
      </c>
    </row>
    <row r="167" spans="1:63">
      <c r="A167" s="1">
        <f>HYPERLINK("https://lsnyc.legalserver.org/matter/dynamic-profile/view/1896458","19-1896458")</f>
        <v>0</v>
      </c>
      <c r="B167" t="s">
        <v>1461</v>
      </c>
      <c r="C167" t="s">
        <v>1640</v>
      </c>
      <c r="D167" t="s">
        <v>253</v>
      </c>
      <c r="E167" t="s">
        <v>1643</v>
      </c>
      <c r="F167" t="s">
        <v>275</v>
      </c>
      <c r="G167" t="s">
        <v>275</v>
      </c>
      <c r="H167">
        <v>105.1</v>
      </c>
      <c r="I167" t="s">
        <v>274</v>
      </c>
      <c r="K167" t="s">
        <v>323</v>
      </c>
      <c r="L167" t="s">
        <v>446</v>
      </c>
      <c r="P167" t="s">
        <v>493</v>
      </c>
      <c r="Q167" t="s">
        <v>501</v>
      </c>
      <c r="S167" t="s">
        <v>503</v>
      </c>
      <c r="T167" t="s">
        <v>507</v>
      </c>
      <c r="U167" t="s">
        <v>511</v>
      </c>
      <c r="V167">
        <v>11418</v>
      </c>
      <c r="W167" t="s">
        <v>518</v>
      </c>
      <c r="X167" t="s">
        <v>549</v>
      </c>
      <c r="Z167" t="s">
        <v>1959</v>
      </c>
      <c r="AA167" t="s">
        <v>2215</v>
      </c>
      <c r="AB167" t="s">
        <v>902</v>
      </c>
      <c r="AC167" t="s">
        <v>905</v>
      </c>
      <c r="AD167" t="s">
        <v>275</v>
      </c>
      <c r="AE167" t="s">
        <v>920</v>
      </c>
      <c r="AF167" t="s">
        <v>927</v>
      </c>
      <c r="AI167">
        <v>20.85</v>
      </c>
      <c r="AJ167" t="s">
        <v>2361</v>
      </c>
      <c r="AK167" t="s">
        <v>2371</v>
      </c>
      <c r="AL167" t="s">
        <v>274</v>
      </c>
      <c r="AM167" t="s">
        <v>975</v>
      </c>
      <c r="AQ167" t="s">
        <v>1033</v>
      </c>
      <c r="AR167" t="s">
        <v>1051</v>
      </c>
      <c r="AT167">
        <v>5</v>
      </c>
      <c r="AU167">
        <v>2</v>
      </c>
      <c r="AV167" t="s">
        <v>273</v>
      </c>
      <c r="AY167" t="s">
        <v>273</v>
      </c>
      <c r="BB167">
        <v>0</v>
      </c>
      <c r="BC167">
        <v>0</v>
      </c>
      <c r="BD167">
        <v>0</v>
      </c>
      <c r="BE167">
        <v>0</v>
      </c>
      <c r="BF167" t="s">
        <v>493</v>
      </c>
      <c r="BG167" t="s">
        <v>2545</v>
      </c>
      <c r="BH167">
        <v>34</v>
      </c>
      <c r="BI167" t="s">
        <v>1303</v>
      </c>
      <c r="BK167">
        <v>1897100</v>
      </c>
    </row>
    <row r="168" spans="1:63">
      <c r="A168" s="1">
        <f>HYPERLINK("https://lsnyc.legalserver.org/matter/dynamic-profile/view/1896195","19-1896195")</f>
        <v>0</v>
      </c>
      <c r="B168" t="s">
        <v>1462</v>
      </c>
      <c r="C168" t="s">
        <v>1640</v>
      </c>
      <c r="D168" t="s">
        <v>253</v>
      </c>
      <c r="E168" t="s">
        <v>1650</v>
      </c>
      <c r="F168" t="s">
        <v>273</v>
      </c>
      <c r="G168" t="s">
        <v>275</v>
      </c>
      <c r="H168">
        <v>183.31</v>
      </c>
      <c r="I168" t="s">
        <v>274</v>
      </c>
      <c r="K168" t="s">
        <v>323</v>
      </c>
      <c r="O168" t="s">
        <v>274</v>
      </c>
      <c r="Q168" t="s">
        <v>501</v>
      </c>
      <c r="S168" t="s">
        <v>503</v>
      </c>
      <c r="T168" t="s">
        <v>508</v>
      </c>
      <c r="U168" t="s">
        <v>511</v>
      </c>
      <c r="V168">
        <v>11411</v>
      </c>
      <c r="W168" t="s">
        <v>517</v>
      </c>
      <c r="X168" t="s">
        <v>549</v>
      </c>
      <c r="Y168" t="s">
        <v>275</v>
      </c>
      <c r="Z168" t="s">
        <v>1960</v>
      </c>
      <c r="AA168" t="s">
        <v>2216</v>
      </c>
      <c r="AB168" t="s">
        <v>902</v>
      </c>
      <c r="AC168" t="s">
        <v>904</v>
      </c>
      <c r="AF168" t="s">
        <v>923</v>
      </c>
      <c r="AI168">
        <v>1.6</v>
      </c>
      <c r="AJ168" t="s">
        <v>558</v>
      </c>
      <c r="AK168" t="s">
        <v>937</v>
      </c>
      <c r="AL168" t="s">
        <v>274</v>
      </c>
      <c r="AT168">
        <v>2</v>
      </c>
      <c r="AU168">
        <v>1</v>
      </c>
      <c r="AV168" t="s">
        <v>273</v>
      </c>
      <c r="AY168" t="s">
        <v>273</v>
      </c>
      <c r="BB168">
        <v>0</v>
      </c>
      <c r="BC168">
        <v>0</v>
      </c>
      <c r="BD168">
        <v>0</v>
      </c>
      <c r="BE168">
        <v>0</v>
      </c>
      <c r="BF168" t="s">
        <v>1063</v>
      </c>
      <c r="BG168" t="s">
        <v>2546</v>
      </c>
      <c r="BH168">
        <v>38</v>
      </c>
      <c r="BI168" t="s">
        <v>2755</v>
      </c>
      <c r="BK168">
        <v>1856295</v>
      </c>
    </row>
    <row r="169" spans="1:63">
      <c r="A169" s="1">
        <f>HYPERLINK("https://lsnyc.legalserver.org/matter/dynamic-profile/view/1896100","19-1896100")</f>
        <v>0</v>
      </c>
      <c r="B169" t="s">
        <v>1442</v>
      </c>
      <c r="C169" t="s">
        <v>1640</v>
      </c>
      <c r="D169" t="s">
        <v>253</v>
      </c>
      <c r="E169" t="s">
        <v>1645</v>
      </c>
      <c r="F169" t="s">
        <v>273</v>
      </c>
      <c r="G169" t="s">
        <v>275</v>
      </c>
      <c r="H169">
        <v>107.63</v>
      </c>
      <c r="I169" t="s">
        <v>274</v>
      </c>
      <c r="K169" t="s">
        <v>1695</v>
      </c>
      <c r="M169" t="s">
        <v>474</v>
      </c>
      <c r="N169" t="s">
        <v>297</v>
      </c>
      <c r="O169" t="s">
        <v>275</v>
      </c>
      <c r="P169" t="s">
        <v>492</v>
      </c>
      <c r="Q169" t="s">
        <v>501</v>
      </c>
      <c r="R169" t="s">
        <v>1816</v>
      </c>
      <c r="S169" t="s">
        <v>503</v>
      </c>
      <c r="T169" t="s">
        <v>508</v>
      </c>
      <c r="U169" t="s">
        <v>511</v>
      </c>
      <c r="V169">
        <v>11427</v>
      </c>
      <c r="W169" t="s">
        <v>518</v>
      </c>
      <c r="X169" t="s">
        <v>549</v>
      </c>
      <c r="Z169" t="s">
        <v>1943</v>
      </c>
      <c r="AA169" t="s">
        <v>2198</v>
      </c>
      <c r="AB169" t="s">
        <v>902</v>
      </c>
      <c r="AC169" t="s">
        <v>905</v>
      </c>
      <c r="AD169" t="s">
        <v>274</v>
      </c>
      <c r="AF169" t="s">
        <v>926</v>
      </c>
      <c r="AI169">
        <v>23.7</v>
      </c>
      <c r="AJ169" t="s">
        <v>558</v>
      </c>
      <c r="AK169" t="s">
        <v>965</v>
      </c>
      <c r="AL169" t="s">
        <v>274</v>
      </c>
      <c r="AT169">
        <v>1</v>
      </c>
      <c r="AU169">
        <v>1</v>
      </c>
      <c r="AV169" t="s">
        <v>273</v>
      </c>
      <c r="AY169" t="s">
        <v>273</v>
      </c>
      <c r="BB169">
        <v>0</v>
      </c>
      <c r="BC169">
        <v>0</v>
      </c>
      <c r="BD169">
        <v>0</v>
      </c>
      <c r="BE169">
        <v>0</v>
      </c>
      <c r="BF169" t="s">
        <v>1063</v>
      </c>
      <c r="BG169" t="s">
        <v>2528</v>
      </c>
      <c r="BH169">
        <v>23</v>
      </c>
      <c r="BI169" t="s">
        <v>1260</v>
      </c>
      <c r="BK169">
        <v>1896742</v>
      </c>
    </row>
    <row r="170" spans="1:63">
      <c r="A170" s="1">
        <f>HYPERLINK("https://lsnyc.legalserver.org/matter/dynamic-profile/view/1895887","19-1895887")</f>
        <v>0</v>
      </c>
      <c r="B170" t="s">
        <v>1463</v>
      </c>
      <c r="C170" t="s">
        <v>1640</v>
      </c>
      <c r="D170" t="s">
        <v>253</v>
      </c>
      <c r="E170" t="s">
        <v>1650</v>
      </c>
      <c r="F170" t="s">
        <v>273</v>
      </c>
      <c r="G170" t="s">
        <v>275</v>
      </c>
      <c r="H170">
        <v>249.8</v>
      </c>
      <c r="I170" t="s">
        <v>274</v>
      </c>
      <c r="K170" t="s">
        <v>1696</v>
      </c>
      <c r="O170" t="s">
        <v>274</v>
      </c>
      <c r="P170" t="s">
        <v>498</v>
      </c>
      <c r="Q170" t="s">
        <v>501</v>
      </c>
      <c r="S170" t="s">
        <v>503</v>
      </c>
      <c r="T170" t="s">
        <v>508</v>
      </c>
      <c r="U170" t="s">
        <v>511</v>
      </c>
      <c r="V170">
        <v>11368</v>
      </c>
      <c r="W170" t="s">
        <v>517</v>
      </c>
      <c r="X170" t="s">
        <v>549</v>
      </c>
      <c r="Y170" t="s">
        <v>275</v>
      </c>
      <c r="Z170" t="s">
        <v>1961</v>
      </c>
      <c r="AA170" t="s">
        <v>2217</v>
      </c>
      <c r="AB170" t="s">
        <v>902</v>
      </c>
      <c r="AC170" t="s">
        <v>904</v>
      </c>
      <c r="AF170" t="s">
        <v>925</v>
      </c>
      <c r="AI170">
        <v>1.1</v>
      </c>
      <c r="AJ170" t="s">
        <v>558</v>
      </c>
      <c r="AK170" t="s">
        <v>950</v>
      </c>
      <c r="AL170" t="s">
        <v>274</v>
      </c>
      <c r="AT170">
        <v>0</v>
      </c>
      <c r="AU170">
        <v>1</v>
      </c>
      <c r="AV170" t="s">
        <v>273</v>
      </c>
      <c r="AY170" t="s">
        <v>273</v>
      </c>
      <c r="BB170">
        <v>0</v>
      </c>
      <c r="BC170">
        <v>0</v>
      </c>
      <c r="BD170">
        <v>0</v>
      </c>
      <c r="BE170">
        <v>0</v>
      </c>
      <c r="BF170" t="s">
        <v>1063</v>
      </c>
      <c r="BG170" t="s">
        <v>2547</v>
      </c>
      <c r="BH170">
        <v>26</v>
      </c>
      <c r="BI170" t="s">
        <v>1254</v>
      </c>
      <c r="BK170">
        <v>1896529</v>
      </c>
    </row>
    <row r="171" spans="1:63">
      <c r="A171" s="1">
        <f>HYPERLINK("https://lsnyc.legalserver.org/matter/dynamic-profile/view/1894732","19-1894732")</f>
        <v>0</v>
      </c>
      <c r="B171" t="s">
        <v>1407</v>
      </c>
      <c r="C171" t="s">
        <v>1640</v>
      </c>
      <c r="D171" t="s">
        <v>253</v>
      </c>
      <c r="E171" t="s">
        <v>1643</v>
      </c>
      <c r="F171" t="s">
        <v>273</v>
      </c>
      <c r="G171" t="s">
        <v>275</v>
      </c>
      <c r="H171">
        <v>0</v>
      </c>
      <c r="I171" t="s">
        <v>274</v>
      </c>
      <c r="K171" t="s">
        <v>986</v>
      </c>
      <c r="M171" t="s">
        <v>472</v>
      </c>
      <c r="N171" t="s">
        <v>1678</v>
      </c>
      <c r="P171" t="s">
        <v>492</v>
      </c>
      <c r="Q171" t="s">
        <v>502</v>
      </c>
      <c r="S171" t="s">
        <v>503</v>
      </c>
      <c r="T171" t="s">
        <v>507</v>
      </c>
      <c r="U171" t="s">
        <v>511</v>
      </c>
      <c r="V171">
        <v>11433</v>
      </c>
      <c r="W171" t="s">
        <v>518</v>
      </c>
      <c r="X171" t="s">
        <v>548</v>
      </c>
      <c r="Y171" t="s">
        <v>275</v>
      </c>
      <c r="Z171" t="s">
        <v>1916</v>
      </c>
      <c r="AA171" t="s">
        <v>2167</v>
      </c>
      <c r="AB171" t="s">
        <v>902</v>
      </c>
      <c r="AC171" t="s">
        <v>905</v>
      </c>
      <c r="AF171" t="s">
        <v>926</v>
      </c>
      <c r="AI171">
        <v>24.2</v>
      </c>
      <c r="AJ171" t="s">
        <v>558</v>
      </c>
      <c r="AK171" t="s">
        <v>934</v>
      </c>
      <c r="AL171" t="s">
        <v>274</v>
      </c>
      <c r="AT171">
        <v>2</v>
      </c>
      <c r="AU171">
        <v>1</v>
      </c>
      <c r="AV171" t="s">
        <v>273</v>
      </c>
      <c r="AY171" t="s">
        <v>273</v>
      </c>
      <c r="BB171">
        <v>0</v>
      </c>
      <c r="BC171">
        <v>0</v>
      </c>
      <c r="BD171">
        <v>0</v>
      </c>
      <c r="BE171">
        <v>0</v>
      </c>
      <c r="BF171" t="s">
        <v>1063</v>
      </c>
      <c r="BG171" t="s">
        <v>2492</v>
      </c>
      <c r="BH171">
        <v>16</v>
      </c>
      <c r="BI171" t="s">
        <v>1247</v>
      </c>
      <c r="BK171">
        <v>1895373</v>
      </c>
    </row>
    <row r="172" spans="1:63">
      <c r="A172" s="1">
        <f>HYPERLINK("https://lsnyc.legalserver.org/matter/dynamic-profile/view/1894731","19-1894731")</f>
        <v>0</v>
      </c>
      <c r="B172" t="s">
        <v>1373</v>
      </c>
      <c r="C172" t="s">
        <v>1640</v>
      </c>
      <c r="D172" t="s">
        <v>253</v>
      </c>
      <c r="E172" t="s">
        <v>1643</v>
      </c>
      <c r="F172" t="s">
        <v>273</v>
      </c>
      <c r="G172" t="s">
        <v>275</v>
      </c>
      <c r="H172">
        <v>56.77</v>
      </c>
      <c r="I172" t="s">
        <v>274</v>
      </c>
      <c r="K172" t="s">
        <v>326</v>
      </c>
      <c r="M172" t="s">
        <v>474</v>
      </c>
      <c r="N172" t="s">
        <v>291</v>
      </c>
      <c r="P172" t="s">
        <v>492</v>
      </c>
      <c r="Q172" t="s">
        <v>502</v>
      </c>
      <c r="S172" t="s">
        <v>503</v>
      </c>
      <c r="T172" t="s">
        <v>507</v>
      </c>
      <c r="U172" t="s">
        <v>511</v>
      </c>
      <c r="V172">
        <v>11432</v>
      </c>
      <c r="W172" t="s">
        <v>519</v>
      </c>
      <c r="X172" t="s">
        <v>548</v>
      </c>
      <c r="Z172" t="s">
        <v>1891</v>
      </c>
      <c r="AA172" t="s">
        <v>2136</v>
      </c>
      <c r="AB172" t="s">
        <v>902</v>
      </c>
      <c r="AC172" t="s">
        <v>905</v>
      </c>
      <c r="AF172" t="s">
        <v>926</v>
      </c>
      <c r="AI172">
        <v>77.72</v>
      </c>
      <c r="AK172" t="s">
        <v>934</v>
      </c>
      <c r="AL172" t="s">
        <v>274</v>
      </c>
      <c r="AT172">
        <v>1</v>
      </c>
      <c r="AU172">
        <v>1</v>
      </c>
      <c r="AV172" t="s">
        <v>273</v>
      </c>
      <c r="AY172" t="s">
        <v>273</v>
      </c>
      <c r="BB172">
        <v>0</v>
      </c>
      <c r="BC172">
        <v>0</v>
      </c>
      <c r="BD172">
        <v>0</v>
      </c>
      <c r="BE172">
        <v>0</v>
      </c>
      <c r="BF172" t="s">
        <v>1063</v>
      </c>
      <c r="BG172" t="s">
        <v>2524</v>
      </c>
      <c r="BH172">
        <v>7</v>
      </c>
      <c r="BI172" t="s">
        <v>1280</v>
      </c>
      <c r="BK172">
        <v>1888261</v>
      </c>
    </row>
    <row r="173" spans="1:63">
      <c r="A173" s="1">
        <f>HYPERLINK("https://lsnyc.legalserver.org/matter/dynamic-profile/view/1894749","19-1894749")</f>
        <v>0</v>
      </c>
      <c r="B173" t="s">
        <v>1464</v>
      </c>
      <c r="C173" t="s">
        <v>1640</v>
      </c>
      <c r="D173" t="s">
        <v>253</v>
      </c>
      <c r="E173" t="s">
        <v>1650</v>
      </c>
      <c r="F173" t="s">
        <v>273</v>
      </c>
      <c r="G173" t="s">
        <v>275</v>
      </c>
      <c r="H173">
        <v>163.31</v>
      </c>
      <c r="I173" t="s">
        <v>274</v>
      </c>
      <c r="K173" t="s">
        <v>327</v>
      </c>
      <c r="O173" t="s">
        <v>274</v>
      </c>
      <c r="P173" t="s">
        <v>492</v>
      </c>
      <c r="Q173" t="s">
        <v>501</v>
      </c>
      <c r="S173" t="s">
        <v>503</v>
      </c>
      <c r="T173" t="s">
        <v>507</v>
      </c>
      <c r="U173" t="s">
        <v>511</v>
      </c>
      <c r="V173">
        <v>11435</v>
      </c>
      <c r="W173" t="s">
        <v>517</v>
      </c>
      <c r="X173" t="s">
        <v>549</v>
      </c>
      <c r="Y173" t="s">
        <v>275</v>
      </c>
      <c r="Z173" t="s">
        <v>1962</v>
      </c>
      <c r="AA173" t="s">
        <v>2200</v>
      </c>
      <c r="AB173" t="s">
        <v>902</v>
      </c>
      <c r="AC173" t="s">
        <v>904</v>
      </c>
      <c r="AF173" t="s">
        <v>923</v>
      </c>
      <c r="AI173">
        <v>9.68</v>
      </c>
      <c r="AJ173" t="s">
        <v>558</v>
      </c>
      <c r="AK173" t="s">
        <v>944</v>
      </c>
      <c r="AL173" t="s">
        <v>274</v>
      </c>
      <c r="AT173">
        <v>0</v>
      </c>
      <c r="AU173">
        <v>2</v>
      </c>
      <c r="AV173" t="s">
        <v>273</v>
      </c>
      <c r="AY173" t="s">
        <v>273</v>
      </c>
      <c r="BB173">
        <v>0</v>
      </c>
      <c r="BC173">
        <v>0</v>
      </c>
      <c r="BD173">
        <v>0</v>
      </c>
      <c r="BE173">
        <v>0</v>
      </c>
      <c r="BF173" t="s">
        <v>1063</v>
      </c>
      <c r="BG173" t="s">
        <v>2548</v>
      </c>
      <c r="BH173">
        <v>63</v>
      </c>
      <c r="BI173" t="s">
        <v>2756</v>
      </c>
      <c r="BK173">
        <v>804422</v>
      </c>
    </row>
    <row r="174" spans="1:63">
      <c r="A174" s="1">
        <f>HYPERLINK("https://lsnyc.legalserver.org/matter/dynamic-profile/view/1894760","19-1894760")</f>
        <v>0</v>
      </c>
      <c r="B174" t="s">
        <v>1465</v>
      </c>
      <c r="C174" t="s">
        <v>1640</v>
      </c>
      <c r="D174" t="s">
        <v>253</v>
      </c>
      <c r="E174" t="s">
        <v>1644</v>
      </c>
      <c r="F174" t="s">
        <v>273</v>
      </c>
      <c r="G174" t="s">
        <v>275</v>
      </c>
      <c r="H174">
        <v>56.26</v>
      </c>
      <c r="K174" t="s">
        <v>327</v>
      </c>
      <c r="P174" t="s">
        <v>492</v>
      </c>
      <c r="Q174" t="s">
        <v>502</v>
      </c>
      <c r="S174" t="s">
        <v>503</v>
      </c>
      <c r="T174" t="s">
        <v>508</v>
      </c>
      <c r="U174" t="s">
        <v>511</v>
      </c>
      <c r="V174">
        <v>11412</v>
      </c>
      <c r="W174" t="s">
        <v>529</v>
      </c>
      <c r="X174" t="s">
        <v>549</v>
      </c>
      <c r="Z174" t="s">
        <v>1963</v>
      </c>
      <c r="AA174" t="s">
        <v>2218</v>
      </c>
      <c r="AB174" t="s">
        <v>902</v>
      </c>
      <c r="AC174" t="s">
        <v>905</v>
      </c>
      <c r="AI174">
        <v>2.12</v>
      </c>
      <c r="AS174" t="s">
        <v>1061</v>
      </c>
      <c r="AT174">
        <v>2</v>
      </c>
      <c r="AU174">
        <v>1</v>
      </c>
      <c r="AV174" t="s">
        <v>273</v>
      </c>
      <c r="AY174" t="s">
        <v>273</v>
      </c>
      <c r="BB174">
        <v>0</v>
      </c>
      <c r="BC174">
        <v>0</v>
      </c>
      <c r="BD174">
        <v>0</v>
      </c>
      <c r="BE174">
        <v>0</v>
      </c>
      <c r="BF174" t="s">
        <v>1063</v>
      </c>
      <c r="BG174" t="s">
        <v>2549</v>
      </c>
      <c r="BH174">
        <v>7</v>
      </c>
      <c r="BI174" t="s">
        <v>1267</v>
      </c>
      <c r="BK174">
        <v>1895401</v>
      </c>
    </row>
    <row r="175" spans="1:63">
      <c r="A175" s="1">
        <f>HYPERLINK("https://lsnyc.legalserver.org/matter/dynamic-profile/view/1894762","19-1894762")</f>
        <v>0</v>
      </c>
      <c r="B175" t="s">
        <v>1465</v>
      </c>
      <c r="C175" t="s">
        <v>1640</v>
      </c>
      <c r="D175" t="s">
        <v>253</v>
      </c>
      <c r="E175" t="s">
        <v>1644</v>
      </c>
      <c r="F175" t="s">
        <v>273</v>
      </c>
      <c r="G175" t="s">
        <v>275</v>
      </c>
      <c r="H175">
        <v>56.26</v>
      </c>
      <c r="K175" t="s">
        <v>327</v>
      </c>
      <c r="P175" t="s">
        <v>492</v>
      </c>
      <c r="Q175" t="s">
        <v>502</v>
      </c>
      <c r="S175" t="s">
        <v>503</v>
      </c>
      <c r="T175" t="s">
        <v>508</v>
      </c>
      <c r="U175" t="s">
        <v>511</v>
      </c>
      <c r="V175">
        <v>11412</v>
      </c>
      <c r="W175" t="s">
        <v>518</v>
      </c>
      <c r="X175" t="s">
        <v>549</v>
      </c>
      <c r="Z175" t="s">
        <v>1963</v>
      </c>
      <c r="AA175" t="s">
        <v>2218</v>
      </c>
      <c r="AB175" t="s">
        <v>902</v>
      </c>
      <c r="AC175" t="s">
        <v>905</v>
      </c>
      <c r="AF175" t="s">
        <v>926</v>
      </c>
      <c r="AI175">
        <v>1.5</v>
      </c>
      <c r="AK175" t="s">
        <v>941</v>
      </c>
      <c r="AT175">
        <v>2</v>
      </c>
      <c r="AU175">
        <v>1</v>
      </c>
      <c r="AV175" t="s">
        <v>273</v>
      </c>
      <c r="AY175" t="s">
        <v>273</v>
      </c>
      <c r="BB175">
        <v>0</v>
      </c>
      <c r="BC175">
        <v>0</v>
      </c>
      <c r="BD175">
        <v>0</v>
      </c>
      <c r="BE175">
        <v>0</v>
      </c>
      <c r="BF175" t="s">
        <v>1063</v>
      </c>
      <c r="BG175" t="s">
        <v>2549</v>
      </c>
      <c r="BH175">
        <v>7</v>
      </c>
      <c r="BI175" t="s">
        <v>1267</v>
      </c>
      <c r="BK175">
        <v>1895401</v>
      </c>
    </row>
    <row r="176" spans="1:63">
      <c r="A176" s="1">
        <f>HYPERLINK("https://lsnyc.legalserver.org/matter/dynamic-profile/view/1894816","19-1894816")</f>
        <v>0</v>
      </c>
      <c r="B176" t="s">
        <v>1438</v>
      </c>
      <c r="C176" t="s">
        <v>1640</v>
      </c>
      <c r="D176" t="s">
        <v>253</v>
      </c>
      <c r="E176" t="s">
        <v>1643</v>
      </c>
      <c r="F176" t="s">
        <v>273</v>
      </c>
      <c r="G176" t="s">
        <v>275</v>
      </c>
      <c r="H176">
        <v>0</v>
      </c>
      <c r="I176" t="s">
        <v>274</v>
      </c>
      <c r="K176" t="s">
        <v>327</v>
      </c>
      <c r="M176" t="s">
        <v>472</v>
      </c>
      <c r="N176" t="s">
        <v>1678</v>
      </c>
      <c r="P176" t="s">
        <v>492</v>
      </c>
      <c r="Q176" t="s">
        <v>502</v>
      </c>
      <c r="S176" t="s">
        <v>503</v>
      </c>
      <c r="T176" t="s">
        <v>507</v>
      </c>
      <c r="U176" t="s">
        <v>511</v>
      </c>
      <c r="V176">
        <v>11435</v>
      </c>
      <c r="W176" t="s">
        <v>518</v>
      </c>
      <c r="X176" t="s">
        <v>548</v>
      </c>
      <c r="Y176" t="s">
        <v>275</v>
      </c>
      <c r="Z176" t="s">
        <v>1940</v>
      </c>
      <c r="AA176" t="s">
        <v>2195</v>
      </c>
      <c r="AB176" t="s">
        <v>902</v>
      </c>
      <c r="AC176" t="s">
        <v>905</v>
      </c>
      <c r="AF176" t="s">
        <v>926</v>
      </c>
      <c r="AI176">
        <v>12.5</v>
      </c>
      <c r="AJ176" t="s">
        <v>558</v>
      </c>
      <c r="AK176" t="s">
        <v>941</v>
      </c>
      <c r="AL176" t="s">
        <v>274</v>
      </c>
      <c r="AT176">
        <v>1</v>
      </c>
      <c r="AU176">
        <v>1</v>
      </c>
      <c r="AV176" t="s">
        <v>273</v>
      </c>
      <c r="AY176" t="s">
        <v>273</v>
      </c>
      <c r="BB176">
        <v>0</v>
      </c>
      <c r="BC176">
        <v>0</v>
      </c>
      <c r="BD176">
        <v>0</v>
      </c>
      <c r="BE176">
        <v>0</v>
      </c>
      <c r="BF176" t="s">
        <v>1063</v>
      </c>
      <c r="BG176" t="s">
        <v>2523</v>
      </c>
      <c r="BH176">
        <v>17</v>
      </c>
      <c r="BI176" t="s">
        <v>1247</v>
      </c>
      <c r="BK176">
        <v>1895457</v>
      </c>
    </row>
    <row r="177" spans="1:63">
      <c r="A177" s="1">
        <f>HYPERLINK("https://lsnyc.legalserver.org/matter/dynamic-profile/view/1894328","19-1894328")</f>
        <v>0</v>
      </c>
      <c r="B177" t="s">
        <v>1466</v>
      </c>
      <c r="C177" t="s">
        <v>1640</v>
      </c>
      <c r="D177" t="s">
        <v>253</v>
      </c>
      <c r="E177" t="s">
        <v>1643</v>
      </c>
      <c r="F177" t="s">
        <v>273</v>
      </c>
      <c r="G177" t="s">
        <v>275</v>
      </c>
      <c r="H177">
        <v>157.52</v>
      </c>
      <c r="I177" t="s">
        <v>274</v>
      </c>
      <c r="K177" t="s">
        <v>330</v>
      </c>
      <c r="L177" t="s">
        <v>1809</v>
      </c>
      <c r="O177" t="s">
        <v>274</v>
      </c>
      <c r="P177" t="s">
        <v>493</v>
      </c>
      <c r="Q177" t="s">
        <v>501</v>
      </c>
      <c r="S177" t="s">
        <v>503</v>
      </c>
      <c r="T177" t="s">
        <v>508</v>
      </c>
      <c r="U177" t="s">
        <v>511</v>
      </c>
      <c r="V177">
        <v>11355</v>
      </c>
      <c r="W177" t="s">
        <v>519</v>
      </c>
      <c r="X177" t="s">
        <v>548</v>
      </c>
      <c r="Z177" t="s">
        <v>1964</v>
      </c>
      <c r="AA177" t="s">
        <v>2219</v>
      </c>
      <c r="AB177" t="s">
        <v>902</v>
      </c>
      <c r="AC177" t="s">
        <v>905</v>
      </c>
      <c r="AD177" t="s">
        <v>275</v>
      </c>
      <c r="AE177" t="s">
        <v>920</v>
      </c>
      <c r="AF177" t="s">
        <v>927</v>
      </c>
      <c r="AI177">
        <v>2</v>
      </c>
      <c r="AJ177" t="s">
        <v>931</v>
      </c>
      <c r="AK177" t="s">
        <v>936</v>
      </c>
      <c r="AL177" t="s">
        <v>274</v>
      </c>
      <c r="AM177" t="s">
        <v>975</v>
      </c>
      <c r="AN177" t="s">
        <v>327</v>
      </c>
      <c r="AQ177" t="s">
        <v>1033</v>
      </c>
      <c r="AR177" t="s">
        <v>1051</v>
      </c>
      <c r="AT177">
        <v>1</v>
      </c>
      <c r="AU177">
        <v>2</v>
      </c>
      <c r="AV177" t="s">
        <v>273</v>
      </c>
      <c r="AY177" t="s">
        <v>273</v>
      </c>
      <c r="BB177">
        <v>0</v>
      </c>
      <c r="BC177">
        <v>0</v>
      </c>
      <c r="BD177">
        <v>0</v>
      </c>
      <c r="BE177">
        <v>0</v>
      </c>
      <c r="BF177" t="s">
        <v>493</v>
      </c>
      <c r="BG177" t="s">
        <v>2550</v>
      </c>
      <c r="BH177">
        <v>20</v>
      </c>
      <c r="BI177" t="s">
        <v>2757</v>
      </c>
      <c r="BK177">
        <v>1894967</v>
      </c>
    </row>
    <row r="178" spans="1:63">
      <c r="A178" s="1">
        <f>HYPERLINK("https://lsnyc.legalserver.org/matter/dynamic-profile/view/1894194","19-1894194")</f>
        <v>0</v>
      </c>
      <c r="B178" t="s">
        <v>1397</v>
      </c>
      <c r="C178" t="s">
        <v>1640</v>
      </c>
      <c r="D178" t="s">
        <v>253</v>
      </c>
      <c r="E178" t="s">
        <v>1643</v>
      </c>
      <c r="F178" t="s">
        <v>273</v>
      </c>
      <c r="G178" t="s">
        <v>275</v>
      </c>
      <c r="H178">
        <v>120.02</v>
      </c>
      <c r="I178" t="s">
        <v>274</v>
      </c>
      <c r="K178" t="s">
        <v>330</v>
      </c>
      <c r="M178" t="s">
        <v>473</v>
      </c>
      <c r="N178" t="s">
        <v>297</v>
      </c>
      <c r="P178" t="s">
        <v>492</v>
      </c>
      <c r="Q178" t="s">
        <v>501</v>
      </c>
      <c r="S178" t="s">
        <v>503</v>
      </c>
      <c r="T178" t="s">
        <v>508</v>
      </c>
      <c r="U178" t="s">
        <v>511</v>
      </c>
      <c r="V178">
        <v>11356</v>
      </c>
      <c r="W178" t="s">
        <v>529</v>
      </c>
      <c r="X178" t="s">
        <v>548</v>
      </c>
      <c r="Z178" t="s">
        <v>1909</v>
      </c>
      <c r="AA178" t="s">
        <v>2158</v>
      </c>
      <c r="AB178" t="s">
        <v>902</v>
      </c>
      <c r="AC178" t="s">
        <v>905</v>
      </c>
      <c r="AF178" t="s">
        <v>923</v>
      </c>
      <c r="AI178">
        <v>58.55</v>
      </c>
      <c r="AK178" t="s">
        <v>947</v>
      </c>
      <c r="AL178" t="s">
        <v>274</v>
      </c>
      <c r="AT178">
        <v>0</v>
      </c>
      <c r="AU178">
        <v>3</v>
      </c>
      <c r="AV178" t="s">
        <v>273</v>
      </c>
      <c r="AY178" t="s">
        <v>273</v>
      </c>
      <c r="BB178">
        <v>0</v>
      </c>
      <c r="BC178">
        <v>0</v>
      </c>
      <c r="BD178">
        <v>0</v>
      </c>
      <c r="BE178">
        <v>0</v>
      </c>
      <c r="BF178" t="s">
        <v>1063</v>
      </c>
      <c r="BG178" t="s">
        <v>2482</v>
      </c>
      <c r="BH178">
        <v>19</v>
      </c>
      <c r="BI178" t="s">
        <v>2740</v>
      </c>
      <c r="BK178">
        <v>1890084</v>
      </c>
    </row>
    <row r="179" spans="1:63">
      <c r="A179" s="1">
        <f>HYPERLINK("https://lsnyc.legalserver.org/matter/dynamic-profile/view/1894212","19-1894212")</f>
        <v>0</v>
      </c>
      <c r="B179" t="s">
        <v>1467</v>
      </c>
      <c r="C179" t="s">
        <v>1640</v>
      </c>
      <c r="D179" t="s">
        <v>257</v>
      </c>
      <c r="E179" t="s">
        <v>1643</v>
      </c>
      <c r="F179" t="s">
        <v>273</v>
      </c>
      <c r="G179" t="s">
        <v>275</v>
      </c>
      <c r="H179">
        <v>37.51</v>
      </c>
      <c r="I179" t="s">
        <v>274</v>
      </c>
      <c r="K179" t="s">
        <v>330</v>
      </c>
      <c r="M179" t="s">
        <v>472</v>
      </c>
      <c r="P179" t="s">
        <v>492</v>
      </c>
      <c r="Q179" t="s">
        <v>501</v>
      </c>
      <c r="S179" t="s">
        <v>503</v>
      </c>
      <c r="T179" t="s">
        <v>507</v>
      </c>
      <c r="U179" t="s">
        <v>511</v>
      </c>
      <c r="V179">
        <v>10458</v>
      </c>
      <c r="W179" t="s">
        <v>521</v>
      </c>
      <c r="X179" t="s">
        <v>548</v>
      </c>
      <c r="Z179" t="s">
        <v>1965</v>
      </c>
      <c r="AA179" t="s">
        <v>2220</v>
      </c>
      <c r="AB179" t="s">
        <v>902</v>
      </c>
      <c r="AC179" t="s">
        <v>910</v>
      </c>
      <c r="AF179" t="s">
        <v>923</v>
      </c>
      <c r="AI179">
        <v>11.5</v>
      </c>
      <c r="AK179" t="s">
        <v>945</v>
      </c>
      <c r="AL179" t="s">
        <v>274</v>
      </c>
      <c r="AT179">
        <v>0</v>
      </c>
      <c r="AU179">
        <v>3</v>
      </c>
      <c r="AV179" t="s">
        <v>273</v>
      </c>
      <c r="AY179" t="s">
        <v>273</v>
      </c>
      <c r="BB179">
        <v>0</v>
      </c>
      <c r="BC179">
        <v>0</v>
      </c>
      <c r="BD179">
        <v>0</v>
      </c>
      <c r="BE179">
        <v>0</v>
      </c>
      <c r="BF179" t="s">
        <v>1063</v>
      </c>
      <c r="BG179" t="s">
        <v>2551</v>
      </c>
      <c r="BH179">
        <v>27</v>
      </c>
      <c r="BI179" t="s">
        <v>2758</v>
      </c>
      <c r="BK179">
        <v>1894851</v>
      </c>
    </row>
    <row r="180" spans="1:63">
      <c r="A180" s="1">
        <f>HYPERLINK("https://lsnyc.legalserver.org/matter/dynamic-profile/view/1894148","19-1894148")</f>
        <v>0</v>
      </c>
      <c r="B180" t="s">
        <v>1468</v>
      </c>
      <c r="C180" t="s">
        <v>1640</v>
      </c>
      <c r="D180" t="s">
        <v>253</v>
      </c>
      <c r="E180" t="s">
        <v>1643</v>
      </c>
      <c r="F180" t="s">
        <v>273</v>
      </c>
      <c r="G180" t="s">
        <v>275</v>
      </c>
      <c r="H180">
        <v>0</v>
      </c>
      <c r="I180" t="s">
        <v>274</v>
      </c>
      <c r="K180" t="s">
        <v>331</v>
      </c>
      <c r="M180" t="s">
        <v>474</v>
      </c>
      <c r="N180" t="s">
        <v>451</v>
      </c>
      <c r="P180" t="s">
        <v>492</v>
      </c>
      <c r="Q180" t="s">
        <v>501</v>
      </c>
      <c r="S180" t="s">
        <v>503</v>
      </c>
      <c r="T180" t="s">
        <v>508</v>
      </c>
      <c r="U180" t="s">
        <v>511</v>
      </c>
      <c r="V180">
        <v>11413</v>
      </c>
      <c r="W180" t="s">
        <v>518</v>
      </c>
      <c r="X180" t="s">
        <v>549</v>
      </c>
      <c r="Y180" t="s">
        <v>274</v>
      </c>
      <c r="Z180" t="s">
        <v>1858</v>
      </c>
      <c r="AA180" t="s">
        <v>2105</v>
      </c>
      <c r="AB180" t="s">
        <v>902</v>
      </c>
      <c r="AC180" t="s">
        <v>909</v>
      </c>
      <c r="AF180" t="s">
        <v>926</v>
      </c>
      <c r="AI180">
        <v>37.15</v>
      </c>
      <c r="AJ180" t="s">
        <v>558</v>
      </c>
      <c r="AK180" t="s">
        <v>939</v>
      </c>
      <c r="AL180" t="s">
        <v>274</v>
      </c>
      <c r="AT180">
        <v>0</v>
      </c>
      <c r="AU180">
        <v>4</v>
      </c>
      <c r="AV180" t="s">
        <v>273</v>
      </c>
      <c r="AY180" t="s">
        <v>273</v>
      </c>
      <c r="BB180">
        <v>0</v>
      </c>
      <c r="BC180">
        <v>0</v>
      </c>
      <c r="BD180">
        <v>0</v>
      </c>
      <c r="BE180">
        <v>0</v>
      </c>
      <c r="BF180" t="s">
        <v>1063</v>
      </c>
      <c r="BG180" t="s">
        <v>2423</v>
      </c>
      <c r="BH180">
        <v>22</v>
      </c>
      <c r="BI180" t="s">
        <v>1247</v>
      </c>
      <c r="BK180">
        <v>753977</v>
      </c>
    </row>
    <row r="181" spans="1:63">
      <c r="A181" s="1">
        <f>HYPERLINK("https://lsnyc.legalserver.org/matter/dynamic-profile/view/1894730","19-1894730")</f>
        <v>0</v>
      </c>
      <c r="B181" t="s">
        <v>1469</v>
      </c>
      <c r="C181" t="s">
        <v>1640</v>
      </c>
      <c r="D181" t="s">
        <v>253</v>
      </c>
      <c r="E181" t="s">
        <v>1643</v>
      </c>
      <c r="F181" t="s">
        <v>273</v>
      </c>
      <c r="G181" t="s">
        <v>275</v>
      </c>
      <c r="H181">
        <v>112.52</v>
      </c>
      <c r="I181" t="s">
        <v>274</v>
      </c>
      <c r="K181" t="s">
        <v>331</v>
      </c>
      <c r="M181" t="s">
        <v>474</v>
      </c>
      <c r="N181" t="s">
        <v>455</v>
      </c>
      <c r="P181" t="s">
        <v>492</v>
      </c>
      <c r="Q181" t="s">
        <v>501</v>
      </c>
      <c r="R181" t="s">
        <v>501</v>
      </c>
      <c r="S181" t="s">
        <v>503</v>
      </c>
      <c r="T181" t="s">
        <v>508</v>
      </c>
      <c r="U181" t="s">
        <v>511</v>
      </c>
      <c r="V181">
        <v>11356</v>
      </c>
      <c r="W181" t="s">
        <v>532</v>
      </c>
      <c r="X181" t="s">
        <v>548</v>
      </c>
      <c r="Z181" t="s">
        <v>1966</v>
      </c>
      <c r="AA181" t="s">
        <v>2221</v>
      </c>
      <c r="AB181" t="s">
        <v>902</v>
      </c>
      <c r="AC181" t="s">
        <v>907</v>
      </c>
      <c r="AF181" t="s">
        <v>923</v>
      </c>
      <c r="AI181">
        <v>8.050000000000001</v>
      </c>
      <c r="AK181" t="s">
        <v>947</v>
      </c>
      <c r="AL181" t="s">
        <v>274</v>
      </c>
      <c r="AT181">
        <v>0</v>
      </c>
      <c r="AU181">
        <v>3</v>
      </c>
      <c r="AV181" t="s">
        <v>273</v>
      </c>
      <c r="AY181" t="s">
        <v>273</v>
      </c>
      <c r="BB181">
        <v>0</v>
      </c>
      <c r="BC181">
        <v>0</v>
      </c>
      <c r="BD181">
        <v>0</v>
      </c>
      <c r="BE181">
        <v>0</v>
      </c>
      <c r="BF181" t="s">
        <v>1063</v>
      </c>
      <c r="BG181" t="s">
        <v>2552</v>
      </c>
      <c r="BH181">
        <v>47</v>
      </c>
      <c r="BI181" t="s">
        <v>1259</v>
      </c>
      <c r="BK181">
        <v>1895371</v>
      </c>
    </row>
    <row r="182" spans="1:63">
      <c r="A182" s="1">
        <f>HYPERLINK("https://lsnyc.legalserver.org/matter/dynamic-profile/view/1893839","19-1893839")</f>
        <v>0</v>
      </c>
      <c r="B182" t="s">
        <v>1470</v>
      </c>
      <c r="C182" t="s">
        <v>1640</v>
      </c>
      <c r="D182" t="s">
        <v>255</v>
      </c>
      <c r="E182" t="s">
        <v>1649</v>
      </c>
      <c r="F182" t="s">
        <v>275</v>
      </c>
      <c r="G182" t="s">
        <v>275</v>
      </c>
      <c r="H182">
        <v>0</v>
      </c>
      <c r="I182" t="s">
        <v>274</v>
      </c>
      <c r="K182" t="s">
        <v>1013</v>
      </c>
      <c r="L182" t="s">
        <v>1662</v>
      </c>
      <c r="O182" t="s">
        <v>275</v>
      </c>
      <c r="P182" t="s">
        <v>493</v>
      </c>
      <c r="Q182" t="s">
        <v>501</v>
      </c>
      <c r="S182" t="s">
        <v>503</v>
      </c>
      <c r="T182" t="s">
        <v>507</v>
      </c>
      <c r="U182" t="s">
        <v>511</v>
      </c>
      <c r="V182">
        <v>10016</v>
      </c>
      <c r="W182" t="s">
        <v>518</v>
      </c>
      <c r="X182" t="s">
        <v>548</v>
      </c>
      <c r="Z182" t="s">
        <v>1967</v>
      </c>
      <c r="AA182" t="s">
        <v>2222</v>
      </c>
      <c r="AB182" t="s">
        <v>902</v>
      </c>
      <c r="AC182" t="s">
        <v>905</v>
      </c>
      <c r="AD182" t="s">
        <v>275</v>
      </c>
      <c r="AE182" t="s">
        <v>920</v>
      </c>
      <c r="AF182" t="s">
        <v>928</v>
      </c>
      <c r="AI182">
        <v>4.6</v>
      </c>
      <c r="AK182" t="s">
        <v>945</v>
      </c>
      <c r="AL182" t="s">
        <v>274</v>
      </c>
      <c r="AQ182" t="s">
        <v>1033</v>
      </c>
      <c r="AR182" t="s">
        <v>1051</v>
      </c>
      <c r="AT182">
        <v>0</v>
      </c>
      <c r="AU182">
        <v>1</v>
      </c>
      <c r="AV182" t="s">
        <v>273</v>
      </c>
      <c r="AY182" t="s">
        <v>273</v>
      </c>
      <c r="BB182">
        <v>0</v>
      </c>
      <c r="BC182">
        <v>0</v>
      </c>
      <c r="BD182">
        <v>0</v>
      </c>
      <c r="BE182">
        <v>0</v>
      </c>
      <c r="BF182" t="s">
        <v>493</v>
      </c>
      <c r="BG182" t="s">
        <v>2553</v>
      </c>
      <c r="BH182">
        <v>38</v>
      </c>
      <c r="BI182" t="s">
        <v>1247</v>
      </c>
      <c r="BK182">
        <v>1894477</v>
      </c>
    </row>
    <row r="183" spans="1:63">
      <c r="A183" s="1">
        <f>HYPERLINK("https://lsnyc.legalserver.org/matter/dynamic-profile/view/1893707","19-1893707")</f>
        <v>0</v>
      </c>
      <c r="B183" t="s">
        <v>1397</v>
      </c>
      <c r="C183" t="s">
        <v>1640</v>
      </c>
      <c r="D183" t="s">
        <v>253</v>
      </c>
      <c r="E183" t="s">
        <v>1643</v>
      </c>
      <c r="F183" t="s">
        <v>273</v>
      </c>
      <c r="G183" t="s">
        <v>275</v>
      </c>
      <c r="H183">
        <v>193.16</v>
      </c>
      <c r="I183" t="s">
        <v>274</v>
      </c>
      <c r="K183" t="s">
        <v>1013</v>
      </c>
      <c r="M183" t="s">
        <v>472</v>
      </c>
      <c r="P183" t="s">
        <v>492</v>
      </c>
      <c r="Q183" t="s">
        <v>502</v>
      </c>
      <c r="S183" t="s">
        <v>503</v>
      </c>
      <c r="T183" t="s">
        <v>508</v>
      </c>
      <c r="U183" t="s">
        <v>511</v>
      </c>
      <c r="V183">
        <v>11356</v>
      </c>
      <c r="W183" t="s">
        <v>532</v>
      </c>
      <c r="X183" t="s">
        <v>548</v>
      </c>
      <c r="Z183" t="s">
        <v>1909</v>
      </c>
      <c r="AA183" t="s">
        <v>2158</v>
      </c>
      <c r="AB183" t="s">
        <v>902</v>
      </c>
      <c r="AC183" t="s">
        <v>905</v>
      </c>
      <c r="AF183" t="s">
        <v>923</v>
      </c>
      <c r="AI183">
        <v>4.7</v>
      </c>
      <c r="AJ183" t="s">
        <v>558</v>
      </c>
      <c r="AK183" t="s">
        <v>947</v>
      </c>
      <c r="AL183" t="s">
        <v>274</v>
      </c>
      <c r="AM183" t="s">
        <v>975</v>
      </c>
      <c r="AT183">
        <v>0</v>
      </c>
      <c r="AU183">
        <v>3</v>
      </c>
      <c r="AV183" t="s">
        <v>273</v>
      </c>
      <c r="AY183" t="s">
        <v>273</v>
      </c>
      <c r="BB183">
        <v>0</v>
      </c>
      <c r="BC183">
        <v>0</v>
      </c>
      <c r="BD183">
        <v>0</v>
      </c>
      <c r="BE183">
        <v>0</v>
      </c>
      <c r="BF183" t="s">
        <v>1063</v>
      </c>
      <c r="BG183" t="s">
        <v>2482</v>
      </c>
      <c r="BH183">
        <v>19</v>
      </c>
      <c r="BI183" t="s">
        <v>2759</v>
      </c>
      <c r="BK183">
        <v>1890084</v>
      </c>
    </row>
    <row r="184" spans="1:63">
      <c r="A184" s="1">
        <f>HYPERLINK("https://lsnyc.legalserver.org/matter/dynamic-profile/view/1893536","19-1893536")</f>
        <v>0</v>
      </c>
      <c r="B184" t="s">
        <v>1396</v>
      </c>
      <c r="C184" t="s">
        <v>1640</v>
      </c>
      <c r="D184" t="s">
        <v>253</v>
      </c>
      <c r="E184" t="s">
        <v>1643</v>
      </c>
      <c r="F184" t="s">
        <v>273</v>
      </c>
      <c r="G184" t="s">
        <v>275</v>
      </c>
      <c r="H184">
        <v>193.16</v>
      </c>
      <c r="I184" t="s">
        <v>274</v>
      </c>
      <c r="K184" t="s">
        <v>990</v>
      </c>
      <c r="M184" t="s">
        <v>474</v>
      </c>
      <c r="N184" t="s">
        <v>455</v>
      </c>
      <c r="P184" t="s">
        <v>492</v>
      </c>
      <c r="Q184" t="s">
        <v>501</v>
      </c>
      <c r="S184" t="s">
        <v>503</v>
      </c>
      <c r="T184" t="s">
        <v>508</v>
      </c>
      <c r="U184" t="s">
        <v>511</v>
      </c>
      <c r="V184">
        <v>11356</v>
      </c>
      <c r="W184" t="s">
        <v>532</v>
      </c>
      <c r="X184" t="s">
        <v>548</v>
      </c>
      <c r="Z184" t="s">
        <v>1908</v>
      </c>
      <c r="AA184" t="s">
        <v>2157</v>
      </c>
      <c r="AB184" t="s">
        <v>902</v>
      </c>
      <c r="AC184" t="s">
        <v>2358</v>
      </c>
      <c r="AF184" t="s">
        <v>923</v>
      </c>
      <c r="AI184">
        <v>17.5</v>
      </c>
      <c r="AK184" t="s">
        <v>947</v>
      </c>
      <c r="AL184" t="s">
        <v>274</v>
      </c>
      <c r="AT184">
        <v>0</v>
      </c>
      <c r="AU184">
        <v>3</v>
      </c>
      <c r="AV184" t="s">
        <v>273</v>
      </c>
      <c r="AY184" t="s">
        <v>273</v>
      </c>
      <c r="BB184">
        <v>0</v>
      </c>
      <c r="BC184">
        <v>0</v>
      </c>
      <c r="BD184">
        <v>0</v>
      </c>
      <c r="BE184">
        <v>0</v>
      </c>
      <c r="BF184" t="s">
        <v>1063</v>
      </c>
      <c r="BG184" t="s">
        <v>2481</v>
      </c>
      <c r="BH184">
        <v>18</v>
      </c>
      <c r="BI184" t="s">
        <v>2759</v>
      </c>
      <c r="BK184">
        <v>1894173</v>
      </c>
    </row>
    <row r="185" spans="1:63">
      <c r="A185" s="1">
        <f>HYPERLINK("https://lsnyc.legalserver.org/matter/dynamic-profile/view/1893542","19-1893542")</f>
        <v>0</v>
      </c>
      <c r="B185" t="s">
        <v>1396</v>
      </c>
      <c r="C185" t="s">
        <v>1640</v>
      </c>
      <c r="D185" t="s">
        <v>253</v>
      </c>
      <c r="E185" t="s">
        <v>1643</v>
      </c>
      <c r="F185" t="s">
        <v>273</v>
      </c>
      <c r="G185" t="s">
        <v>275</v>
      </c>
      <c r="H185">
        <v>120.02</v>
      </c>
      <c r="I185" t="s">
        <v>274</v>
      </c>
      <c r="K185" t="s">
        <v>990</v>
      </c>
      <c r="M185" t="s">
        <v>474</v>
      </c>
      <c r="N185" t="s">
        <v>455</v>
      </c>
      <c r="P185" t="s">
        <v>492</v>
      </c>
      <c r="Q185" t="s">
        <v>501</v>
      </c>
      <c r="S185" t="s">
        <v>503</v>
      </c>
      <c r="T185" t="s">
        <v>508</v>
      </c>
      <c r="U185" t="s">
        <v>511</v>
      </c>
      <c r="V185">
        <v>11356</v>
      </c>
      <c r="W185" t="s">
        <v>529</v>
      </c>
      <c r="X185" t="s">
        <v>548</v>
      </c>
      <c r="Z185" t="s">
        <v>1908</v>
      </c>
      <c r="AA185" t="s">
        <v>2157</v>
      </c>
      <c r="AB185" t="s">
        <v>902</v>
      </c>
      <c r="AC185" t="s">
        <v>2358</v>
      </c>
      <c r="AF185" t="s">
        <v>923</v>
      </c>
      <c r="AI185">
        <v>49.65</v>
      </c>
      <c r="AK185" t="s">
        <v>947</v>
      </c>
      <c r="AL185" t="s">
        <v>274</v>
      </c>
      <c r="AT185">
        <v>0</v>
      </c>
      <c r="AU185">
        <v>3</v>
      </c>
      <c r="AV185" t="s">
        <v>273</v>
      </c>
      <c r="AY185" t="s">
        <v>273</v>
      </c>
      <c r="BB185">
        <v>0</v>
      </c>
      <c r="BC185">
        <v>0</v>
      </c>
      <c r="BD185">
        <v>0</v>
      </c>
      <c r="BE185">
        <v>0</v>
      </c>
      <c r="BF185" t="s">
        <v>1063</v>
      </c>
      <c r="BG185" t="s">
        <v>2481</v>
      </c>
      <c r="BH185">
        <v>18</v>
      </c>
      <c r="BI185" t="s">
        <v>2740</v>
      </c>
      <c r="BK185">
        <v>1894173</v>
      </c>
    </row>
    <row r="186" spans="1:63">
      <c r="A186" s="1">
        <f>HYPERLINK("https://lsnyc.legalserver.org/matter/dynamic-profile/view/1893074","19-1893074")</f>
        <v>0</v>
      </c>
      <c r="B186" t="s">
        <v>1342</v>
      </c>
      <c r="C186" t="s">
        <v>1640</v>
      </c>
      <c r="D186" t="s">
        <v>253</v>
      </c>
      <c r="E186" t="s">
        <v>1644</v>
      </c>
      <c r="F186" t="s">
        <v>273</v>
      </c>
      <c r="G186" t="s">
        <v>275</v>
      </c>
      <c r="H186">
        <v>0</v>
      </c>
      <c r="K186" t="s">
        <v>991</v>
      </c>
      <c r="P186" t="s">
        <v>492</v>
      </c>
      <c r="Q186" t="s">
        <v>501</v>
      </c>
      <c r="S186" t="s">
        <v>503</v>
      </c>
      <c r="T186" t="s">
        <v>508</v>
      </c>
      <c r="U186" t="s">
        <v>511</v>
      </c>
      <c r="V186">
        <v>11368</v>
      </c>
      <c r="W186" t="s">
        <v>519</v>
      </c>
      <c r="X186" t="s">
        <v>548</v>
      </c>
      <c r="Z186" t="s">
        <v>1864</v>
      </c>
      <c r="AA186" t="s">
        <v>2109</v>
      </c>
      <c r="AB186" t="s">
        <v>902</v>
      </c>
      <c r="AC186" t="s">
        <v>905</v>
      </c>
      <c r="AI186">
        <v>17.25</v>
      </c>
      <c r="AK186" t="s">
        <v>941</v>
      </c>
      <c r="AS186" t="s">
        <v>1061</v>
      </c>
      <c r="AT186">
        <v>2</v>
      </c>
      <c r="AU186">
        <v>1</v>
      </c>
      <c r="AV186" t="s">
        <v>273</v>
      </c>
      <c r="AY186" t="s">
        <v>273</v>
      </c>
      <c r="BB186">
        <v>0</v>
      </c>
      <c r="BC186">
        <v>0</v>
      </c>
      <c r="BD186">
        <v>0</v>
      </c>
      <c r="BE186">
        <v>0</v>
      </c>
      <c r="BF186" t="s">
        <v>1063</v>
      </c>
      <c r="BG186" t="s">
        <v>2429</v>
      </c>
      <c r="BH186">
        <v>16</v>
      </c>
      <c r="BI186" t="s">
        <v>1247</v>
      </c>
      <c r="BK186">
        <v>1893710</v>
      </c>
    </row>
    <row r="187" spans="1:63">
      <c r="A187" s="1">
        <f>HYPERLINK("https://lsnyc.legalserver.org/matter/dynamic-profile/view/1893134","19-1893134")</f>
        <v>0</v>
      </c>
      <c r="B187" t="s">
        <v>1471</v>
      </c>
      <c r="C187" t="s">
        <v>1640</v>
      </c>
      <c r="D187" t="s">
        <v>253</v>
      </c>
      <c r="E187" t="s">
        <v>1645</v>
      </c>
      <c r="F187" t="s">
        <v>273</v>
      </c>
      <c r="G187" t="s">
        <v>275</v>
      </c>
      <c r="H187">
        <v>0</v>
      </c>
      <c r="I187" t="s">
        <v>274</v>
      </c>
      <c r="K187" t="s">
        <v>991</v>
      </c>
      <c r="M187" t="s">
        <v>471</v>
      </c>
      <c r="N187" t="s">
        <v>488</v>
      </c>
      <c r="O187" t="s">
        <v>275</v>
      </c>
      <c r="P187" t="s">
        <v>492</v>
      </c>
      <c r="Q187" t="s">
        <v>501</v>
      </c>
      <c r="R187" t="s">
        <v>1816</v>
      </c>
      <c r="S187" t="s">
        <v>503</v>
      </c>
      <c r="T187" t="s">
        <v>508</v>
      </c>
      <c r="U187" t="s">
        <v>511</v>
      </c>
      <c r="V187">
        <v>11372</v>
      </c>
      <c r="W187" t="s">
        <v>518</v>
      </c>
      <c r="X187" t="s">
        <v>548</v>
      </c>
      <c r="Z187" t="s">
        <v>606</v>
      </c>
      <c r="AA187" t="s">
        <v>2223</v>
      </c>
      <c r="AB187" t="s">
        <v>902</v>
      </c>
      <c r="AC187" t="s">
        <v>905</v>
      </c>
      <c r="AF187" t="s">
        <v>926</v>
      </c>
      <c r="AI187">
        <v>35.8</v>
      </c>
      <c r="AJ187" t="s">
        <v>558</v>
      </c>
      <c r="AK187" t="s">
        <v>947</v>
      </c>
      <c r="AL187" t="s">
        <v>274</v>
      </c>
      <c r="AS187" t="s">
        <v>1061</v>
      </c>
      <c r="AT187">
        <v>1</v>
      </c>
      <c r="AU187">
        <v>1</v>
      </c>
      <c r="AV187" t="s">
        <v>273</v>
      </c>
      <c r="AY187" t="s">
        <v>273</v>
      </c>
      <c r="BB187">
        <v>0</v>
      </c>
      <c r="BC187">
        <v>0</v>
      </c>
      <c r="BD187">
        <v>0</v>
      </c>
      <c r="BE187">
        <v>0</v>
      </c>
      <c r="BF187" t="s">
        <v>1063</v>
      </c>
      <c r="BG187" t="s">
        <v>2554</v>
      </c>
      <c r="BH187">
        <v>41</v>
      </c>
      <c r="BI187" t="s">
        <v>1247</v>
      </c>
      <c r="BK187">
        <v>1863254</v>
      </c>
    </row>
    <row r="188" spans="1:63">
      <c r="A188" s="1">
        <f>HYPERLINK("https://lsnyc.legalserver.org/matter/dynamic-profile/view/1893850","19-1893850")</f>
        <v>0</v>
      </c>
      <c r="B188" t="s">
        <v>1472</v>
      </c>
      <c r="C188" t="s">
        <v>1640</v>
      </c>
      <c r="D188" t="s">
        <v>253</v>
      </c>
      <c r="E188" t="s">
        <v>1646</v>
      </c>
      <c r="F188" t="s">
        <v>273</v>
      </c>
      <c r="G188" t="s">
        <v>275</v>
      </c>
      <c r="H188">
        <v>115.29</v>
      </c>
      <c r="I188" t="s">
        <v>274</v>
      </c>
      <c r="K188" t="s">
        <v>991</v>
      </c>
      <c r="P188" t="s">
        <v>492</v>
      </c>
      <c r="Q188" t="s">
        <v>501</v>
      </c>
      <c r="S188" t="s">
        <v>503</v>
      </c>
      <c r="T188" t="s">
        <v>508</v>
      </c>
      <c r="U188" t="s">
        <v>511</v>
      </c>
      <c r="V188">
        <v>11370</v>
      </c>
      <c r="W188" t="s">
        <v>518</v>
      </c>
      <c r="X188" t="s">
        <v>549</v>
      </c>
      <c r="Y188" t="s">
        <v>274</v>
      </c>
      <c r="Z188" t="s">
        <v>1968</v>
      </c>
      <c r="AA188" t="s">
        <v>2224</v>
      </c>
      <c r="AB188" t="s">
        <v>902</v>
      </c>
      <c r="AC188" t="s">
        <v>904</v>
      </c>
      <c r="AF188" t="s">
        <v>926</v>
      </c>
      <c r="AI188">
        <v>9.5</v>
      </c>
      <c r="AJ188" t="s">
        <v>558</v>
      </c>
      <c r="AK188" t="s">
        <v>2372</v>
      </c>
      <c r="AL188" t="s">
        <v>274</v>
      </c>
      <c r="AT188">
        <v>0</v>
      </c>
      <c r="AU188">
        <v>1</v>
      </c>
      <c r="AV188" t="s">
        <v>273</v>
      </c>
      <c r="AY188" t="s">
        <v>273</v>
      </c>
      <c r="BB188">
        <v>0</v>
      </c>
      <c r="BC188">
        <v>0</v>
      </c>
      <c r="BD188">
        <v>0</v>
      </c>
      <c r="BE188">
        <v>0</v>
      </c>
      <c r="BF188" t="s">
        <v>1063</v>
      </c>
      <c r="BG188" t="s">
        <v>2555</v>
      </c>
      <c r="BH188">
        <v>37</v>
      </c>
      <c r="BI188" t="s">
        <v>1253</v>
      </c>
      <c r="BK188">
        <v>1888638</v>
      </c>
    </row>
    <row r="189" spans="1:63">
      <c r="A189" s="1">
        <f>HYPERLINK("https://lsnyc.legalserver.org/matter/dynamic-profile/view/1892816","19-1892816")</f>
        <v>0</v>
      </c>
      <c r="B189" t="s">
        <v>1378</v>
      </c>
      <c r="C189" t="s">
        <v>1640</v>
      </c>
      <c r="D189" t="s">
        <v>253</v>
      </c>
      <c r="E189" t="s">
        <v>1643</v>
      </c>
      <c r="F189" t="s">
        <v>273</v>
      </c>
      <c r="G189" t="s">
        <v>275</v>
      </c>
      <c r="H189">
        <v>153.76</v>
      </c>
      <c r="I189" t="s">
        <v>274</v>
      </c>
      <c r="K189" t="s">
        <v>334</v>
      </c>
      <c r="L189" t="s">
        <v>484</v>
      </c>
      <c r="M189" t="s">
        <v>474</v>
      </c>
      <c r="N189" t="s">
        <v>295</v>
      </c>
      <c r="O189" t="s">
        <v>275</v>
      </c>
      <c r="P189" t="s">
        <v>493</v>
      </c>
      <c r="Q189" t="s">
        <v>501</v>
      </c>
      <c r="R189" t="s">
        <v>1816</v>
      </c>
      <c r="S189" t="s">
        <v>503</v>
      </c>
      <c r="T189" t="s">
        <v>508</v>
      </c>
      <c r="U189" t="s">
        <v>511</v>
      </c>
      <c r="V189">
        <v>11434</v>
      </c>
      <c r="W189" t="s">
        <v>516</v>
      </c>
      <c r="X189" t="s">
        <v>549</v>
      </c>
      <c r="Z189" t="s">
        <v>1894</v>
      </c>
      <c r="AA189" t="s">
        <v>2140</v>
      </c>
      <c r="AB189" t="s">
        <v>902</v>
      </c>
      <c r="AC189" t="s">
        <v>911</v>
      </c>
      <c r="AD189" t="s">
        <v>274</v>
      </c>
      <c r="AE189" t="s">
        <v>920</v>
      </c>
      <c r="AF189" t="s">
        <v>923</v>
      </c>
      <c r="AI189">
        <v>12.4</v>
      </c>
      <c r="AK189" t="s">
        <v>939</v>
      </c>
      <c r="AL189" t="s">
        <v>274</v>
      </c>
      <c r="AM189" t="s">
        <v>975</v>
      </c>
      <c r="AQ189" t="s">
        <v>1033</v>
      </c>
      <c r="AR189" t="s">
        <v>1051</v>
      </c>
      <c r="AS189" t="s">
        <v>1061</v>
      </c>
      <c r="AT189">
        <v>1</v>
      </c>
      <c r="AU189">
        <v>1</v>
      </c>
      <c r="AV189" t="s">
        <v>273</v>
      </c>
      <c r="AY189" t="s">
        <v>273</v>
      </c>
      <c r="BB189">
        <v>0</v>
      </c>
      <c r="BC189">
        <v>0</v>
      </c>
      <c r="BD189">
        <v>0</v>
      </c>
      <c r="BE189">
        <v>0</v>
      </c>
      <c r="BF189" t="s">
        <v>493</v>
      </c>
      <c r="BG189" t="s">
        <v>2464</v>
      </c>
      <c r="BH189">
        <v>31</v>
      </c>
      <c r="BI189" t="s">
        <v>1279</v>
      </c>
      <c r="BK189">
        <v>1893452</v>
      </c>
    </row>
    <row r="190" spans="1:63">
      <c r="A190" s="1">
        <f>HYPERLINK("https://lsnyc.legalserver.org/matter/dynamic-profile/view/1892437","19-1892437")</f>
        <v>0</v>
      </c>
      <c r="B190" t="s">
        <v>1473</v>
      </c>
      <c r="C190" t="s">
        <v>1640</v>
      </c>
      <c r="D190" t="s">
        <v>253</v>
      </c>
      <c r="E190" t="s">
        <v>1650</v>
      </c>
      <c r="F190" t="s">
        <v>273</v>
      </c>
      <c r="G190" t="s">
        <v>275</v>
      </c>
      <c r="H190">
        <v>168.13</v>
      </c>
      <c r="I190" t="s">
        <v>274</v>
      </c>
      <c r="K190" t="s">
        <v>1021</v>
      </c>
      <c r="O190" t="s">
        <v>274</v>
      </c>
      <c r="Q190" t="s">
        <v>501</v>
      </c>
      <c r="S190" t="s">
        <v>503</v>
      </c>
      <c r="T190" t="s">
        <v>508</v>
      </c>
      <c r="U190" t="s">
        <v>511</v>
      </c>
      <c r="V190">
        <v>11435</v>
      </c>
      <c r="W190" t="s">
        <v>517</v>
      </c>
      <c r="X190" t="s">
        <v>549</v>
      </c>
      <c r="Y190" t="s">
        <v>275</v>
      </c>
      <c r="Z190" t="s">
        <v>584</v>
      </c>
      <c r="AA190" t="s">
        <v>2225</v>
      </c>
      <c r="AB190" t="s">
        <v>902</v>
      </c>
      <c r="AC190" t="s">
        <v>904</v>
      </c>
      <c r="AF190" t="s">
        <v>923</v>
      </c>
      <c r="AI190">
        <v>1.6</v>
      </c>
      <c r="AJ190" t="s">
        <v>558</v>
      </c>
      <c r="AK190" t="s">
        <v>941</v>
      </c>
      <c r="AL190" t="s">
        <v>274</v>
      </c>
      <c r="AT190">
        <v>0</v>
      </c>
      <c r="AU190">
        <v>1</v>
      </c>
      <c r="AV190" t="s">
        <v>273</v>
      </c>
      <c r="AY190" t="s">
        <v>273</v>
      </c>
      <c r="BB190">
        <v>0</v>
      </c>
      <c r="BC190">
        <v>0</v>
      </c>
      <c r="BD190">
        <v>0</v>
      </c>
      <c r="BE190">
        <v>0</v>
      </c>
      <c r="BF190" t="s">
        <v>1063</v>
      </c>
      <c r="BG190" t="s">
        <v>2556</v>
      </c>
      <c r="BH190">
        <v>52</v>
      </c>
      <c r="BI190" t="s">
        <v>2760</v>
      </c>
      <c r="BK190">
        <v>1893073</v>
      </c>
    </row>
    <row r="191" spans="1:63">
      <c r="A191" s="1">
        <f>HYPERLINK("https://lsnyc.legalserver.org/matter/dynamic-profile/view/1892460","19-1892460")</f>
        <v>0</v>
      </c>
      <c r="B191" t="s">
        <v>1474</v>
      </c>
      <c r="C191" t="s">
        <v>1640</v>
      </c>
      <c r="D191" t="s">
        <v>253</v>
      </c>
      <c r="E191" t="s">
        <v>1650</v>
      </c>
      <c r="F191" t="s">
        <v>273</v>
      </c>
      <c r="G191" t="s">
        <v>275</v>
      </c>
      <c r="H191">
        <v>161.55</v>
      </c>
      <c r="I191" t="s">
        <v>274</v>
      </c>
      <c r="K191" t="s">
        <v>1021</v>
      </c>
      <c r="O191" t="s">
        <v>274</v>
      </c>
      <c r="P191" t="s">
        <v>499</v>
      </c>
      <c r="Q191" t="s">
        <v>501</v>
      </c>
      <c r="S191" t="s">
        <v>503</v>
      </c>
      <c r="T191" t="s">
        <v>508</v>
      </c>
      <c r="U191" t="s">
        <v>511</v>
      </c>
      <c r="V191">
        <v>11368</v>
      </c>
      <c r="W191" t="s">
        <v>517</v>
      </c>
      <c r="X191" t="s">
        <v>548</v>
      </c>
      <c r="Y191" t="s">
        <v>275</v>
      </c>
      <c r="Z191" t="s">
        <v>1969</v>
      </c>
      <c r="AA191" t="s">
        <v>2226</v>
      </c>
      <c r="AB191" t="s">
        <v>902</v>
      </c>
      <c r="AC191" t="s">
        <v>904</v>
      </c>
      <c r="AF191" t="s">
        <v>923</v>
      </c>
      <c r="AI191">
        <v>5.5</v>
      </c>
      <c r="AJ191" t="s">
        <v>558</v>
      </c>
      <c r="AK191" t="s">
        <v>949</v>
      </c>
      <c r="AL191" t="s">
        <v>274</v>
      </c>
      <c r="AT191">
        <v>2</v>
      </c>
      <c r="AU191">
        <v>2</v>
      </c>
      <c r="AV191" t="s">
        <v>273</v>
      </c>
      <c r="AY191" t="s">
        <v>273</v>
      </c>
      <c r="BB191">
        <v>0</v>
      </c>
      <c r="BC191">
        <v>0</v>
      </c>
      <c r="BD191">
        <v>0</v>
      </c>
      <c r="BE191">
        <v>0</v>
      </c>
      <c r="BF191" t="s">
        <v>1063</v>
      </c>
      <c r="BG191" t="s">
        <v>2557</v>
      </c>
      <c r="BH191">
        <v>22</v>
      </c>
      <c r="BI191" t="s">
        <v>2721</v>
      </c>
      <c r="BK191">
        <v>1893096</v>
      </c>
    </row>
    <row r="192" spans="1:63">
      <c r="A192" s="1">
        <f>HYPERLINK("https://lsnyc.legalserver.org/matter/dynamic-profile/view/1892198","19-1892198")</f>
        <v>0</v>
      </c>
      <c r="B192" t="s">
        <v>1475</v>
      </c>
      <c r="C192" t="s">
        <v>1640</v>
      </c>
      <c r="D192" t="s">
        <v>253</v>
      </c>
      <c r="E192" t="s">
        <v>1650</v>
      </c>
      <c r="F192" t="s">
        <v>273</v>
      </c>
      <c r="G192" t="s">
        <v>275</v>
      </c>
      <c r="H192">
        <v>180.06</v>
      </c>
      <c r="I192" t="s">
        <v>274</v>
      </c>
      <c r="K192" t="s">
        <v>1697</v>
      </c>
      <c r="O192" t="s">
        <v>274</v>
      </c>
      <c r="Q192" t="s">
        <v>501</v>
      </c>
      <c r="S192" t="s">
        <v>503</v>
      </c>
      <c r="T192" t="s">
        <v>508</v>
      </c>
      <c r="U192" t="s">
        <v>511</v>
      </c>
      <c r="V192">
        <v>11420</v>
      </c>
      <c r="W192" t="s">
        <v>517</v>
      </c>
      <c r="X192" t="s">
        <v>548</v>
      </c>
      <c r="Y192" t="s">
        <v>275</v>
      </c>
      <c r="Z192" t="s">
        <v>1920</v>
      </c>
      <c r="AA192" t="s">
        <v>2227</v>
      </c>
      <c r="AB192" t="s">
        <v>902</v>
      </c>
      <c r="AC192" t="s">
        <v>904</v>
      </c>
      <c r="AF192" t="s">
        <v>923</v>
      </c>
      <c r="AI192">
        <v>3</v>
      </c>
      <c r="AJ192" t="s">
        <v>558</v>
      </c>
      <c r="AK192" t="s">
        <v>2373</v>
      </c>
      <c r="AL192" t="s">
        <v>274</v>
      </c>
      <c r="AT192">
        <v>0</v>
      </c>
      <c r="AU192">
        <v>2</v>
      </c>
      <c r="AV192" t="s">
        <v>273</v>
      </c>
      <c r="AY192" t="s">
        <v>273</v>
      </c>
      <c r="BB192">
        <v>0</v>
      </c>
      <c r="BC192">
        <v>0</v>
      </c>
      <c r="BD192">
        <v>0</v>
      </c>
      <c r="BE192">
        <v>0</v>
      </c>
      <c r="BF192" t="s">
        <v>1063</v>
      </c>
      <c r="BG192" t="s">
        <v>2558</v>
      </c>
      <c r="BH192">
        <v>68</v>
      </c>
      <c r="BI192" t="s">
        <v>2761</v>
      </c>
      <c r="BK192">
        <v>1892834</v>
      </c>
    </row>
    <row r="193" spans="1:64">
      <c r="A193" s="1">
        <f>HYPERLINK("https://lsnyc.legalserver.org/matter/dynamic-profile/view/1892168","19-1892168")</f>
        <v>0</v>
      </c>
      <c r="B193" t="s">
        <v>1476</v>
      </c>
      <c r="C193" t="s">
        <v>1640</v>
      </c>
      <c r="D193" t="s">
        <v>253</v>
      </c>
      <c r="E193" t="s">
        <v>1650</v>
      </c>
      <c r="F193" t="s">
        <v>273</v>
      </c>
      <c r="G193" t="s">
        <v>275</v>
      </c>
      <c r="H193">
        <v>195.03</v>
      </c>
      <c r="I193" t="s">
        <v>274</v>
      </c>
      <c r="K193" t="s">
        <v>337</v>
      </c>
      <c r="O193" t="s">
        <v>274</v>
      </c>
      <c r="P193" t="s">
        <v>492</v>
      </c>
      <c r="Q193" t="s">
        <v>501</v>
      </c>
      <c r="S193" t="s">
        <v>503</v>
      </c>
      <c r="T193" t="s">
        <v>507</v>
      </c>
      <c r="U193" t="s">
        <v>511</v>
      </c>
      <c r="V193">
        <v>11416</v>
      </c>
      <c r="W193" t="s">
        <v>517</v>
      </c>
      <c r="X193" t="s">
        <v>549</v>
      </c>
      <c r="Y193" t="s">
        <v>274</v>
      </c>
      <c r="Z193" t="s">
        <v>1970</v>
      </c>
      <c r="AA193" t="s">
        <v>2228</v>
      </c>
      <c r="AB193" t="s">
        <v>902</v>
      </c>
      <c r="AC193" t="s">
        <v>904</v>
      </c>
      <c r="AF193" t="s">
        <v>923</v>
      </c>
      <c r="AI193">
        <v>2.1</v>
      </c>
      <c r="AJ193" t="s">
        <v>558</v>
      </c>
      <c r="AK193" t="s">
        <v>965</v>
      </c>
      <c r="AL193" t="s">
        <v>274</v>
      </c>
      <c r="AT193">
        <v>1</v>
      </c>
      <c r="AU193">
        <v>2</v>
      </c>
      <c r="AV193" t="s">
        <v>273</v>
      </c>
      <c r="AY193" t="s">
        <v>273</v>
      </c>
      <c r="BB193">
        <v>0</v>
      </c>
      <c r="BC193">
        <v>0</v>
      </c>
      <c r="BD193">
        <v>0</v>
      </c>
      <c r="BE193">
        <v>0</v>
      </c>
      <c r="BF193" t="s">
        <v>1063</v>
      </c>
      <c r="BG193" t="s">
        <v>2559</v>
      </c>
      <c r="BH193">
        <v>49</v>
      </c>
      <c r="BI193" t="s">
        <v>2721</v>
      </c>
      <c r="BK193">
        <v>1892804</v>
      </c>
    </row>
    <row r="194" spans="1:64">
      <c r="A194" s="1">
        <f>HYPERLINK("https://lsnyc.legalserver.org/matter/dynamic-profile/view/1892025","19-1892025")</f>
        <v>0</v>
      </c>
      <c r="B194" t="s">
        <v>1477</v>
      </c>
      <c r="C194" t="s">
        <v>1640</v>
      </c>
      <c r="D194" t="s">
        <v>1641</v>
      </c>
      <c r="E194" t="s">
        <v>1645</v>
      </c>
      <c r="F194" t="s">
        <v>273</v>
      </c>
      <c r="G194" t="s">
        <v>275</v>
      </c>
      <c r="H194">
        <v>98.40000000000001</v>
      </c>
      <c r="I194" t="s">
        <v>274</v>
      </c>
      <c r="K194" t="s">
        <v>338</v>
      </c>
      <c r="M194" t="s">
        <v>472</v>
      </c>
      <c r="N194" t="s">
        <v>304</v>
      </c>
      <c r="O194" t="s">
        <v>275</v>
      </c>
      <c r="P194" t="s">
        <v>492</v>
      </c>
      <c r="Q194" t="s">
        <v>501</v>
      </c>
      <c r="S194" t="s">
        <v>503</v>
      </c>
      <c r="T194" t="s">
        <v>508</v>
      </c>
      <c r="U194" t="s">
        <v>511</v>
      </c>
      <c r="V194">
        <v>11001</v>
      </c>
      <c r="W194" t="s">
        <v>532</v>
      </c>
      <c r="X194" t="s">
        <v>548</v>
      </c>
      <c r="Y194" t="s">
        <v>275</v>
      </c>
      <c r="Z194" t="s">
        <v>1971</v>
      </c>
      <c r="AA194" t="s">
        <v>2229</v>
      </c>
      <c r="AB194" t="s">
        <v>902</v>
      </c>
      <c r="AC194" t="s">
        <v>905</v>
      </c>
      <c r="AF194" t="s">
        <v>923</v>
      </c>
      <c r="AI194">
        <v>15.52</v>
      </c>
      <c r="AK194" t="s">
        <v>936</v>
      </c>
      <c r="AL194" t="s">
        <v>274</v>
      </c>
      <c r="AM194" t="s">
        <v>973</v>
      </c>
      <c r="AN194" t="s">
        <v>468</v>
      </c>
      <c r="AT194">
        <v>1</v>
      </c>
      <c r="AU194">
        <v>1</v>
      </c>
      <c r="AV194" t="s">
        <v>273</v>
      </c>
      <c r="AY194" t="s">
        <v>273</v>
      </c>
      <c r="BB194">
        <v>0</v>
      </c>
      <c r="BC194">
        <v>0</v>
      </c>
      <c r="BD194">
        <v>0</v>
      </c>
      <c r="BE194">
        <v>0</v>
      </c>
      <c r="BF194" t="s">
        <v>1063</v>
      </c>
      <c r="BG194" t="s">
        <v>2560</v>
      </c>
      <c r="BH194">
        <v>38</v>
      </c>
      <c r="BI194" t="s">
        <v>1320</v>
      </c>
      <c r="BK194">
        <v>1892661</v>
      </c>
    </row>
    <row r="195" spans="1:64">
      <c r="A195" s="1">
        <f>HYPERLINK("https://lsnyc.legalserver.org/matter/dynamic-profile/view/1891762","19-1891762")</f>
        <v>0</v>
      </c>
      <c r="B195" t="s">
        <v>1478</v>
      </c>
      <c r="C195" t="s">
        <v>1640</v>
      </c>
      <c r="D195" t="s">
        <v>253</v>
      </c>
      <c r="E195" t="s">
        <v>1650</v>
      </c>
      <c r="F195" t="s">
        <v>273</v>
      </c>
      <c r="G195" t="s">
        <v>275</v>
      </c>
      <c r="H195">
        <v>184.51</v>
      </c>
      <c r="I195" t="s">
        <v>274</v>
      </c>
      <c r="K195" t="s">
        <v>339</v>
      </c>
      <c r="O195" t="s">
        <v>274</v>
      </c>
      <c r="P195" t="s">
        <v>492</v>
      </c>
      <c r="Q195" t="s">
        <v>501</v>
      </c>
      <c r="S195" t="s">
        <v>503</v>
      </c>
      <c r="T195" t="s">
        <v>507</v>
      </c>
      <c r="U195" t="s">
        <v>511</v>
      </c>
      <c r="V195">
        <v>11419</v>
      </c>
      <c r="W195" t="s">
        <v>517</v>
      </c>
      <c r="X195" t="s">
        <v>549</v>
      </c>
      <c r="Y195" t="s">
        <v>275</v>
      </c>
      <c r="Z195" t="s">
        <v>1972</v>
      </c>
      <c r="AA195" t="s">
        <v>2230</v>
      </c>
      <c r="AB195" t="s">
        <v>902</v>
      </c>
      <c r="AC195" t="s">
        <v>904</v>
      </c>
      <c r="AF195" t="s">
        <v>923</v>
      </c>
      <c r="AI195">
        <v>9.949999999999999</v>
      </c>
      <c r="AJ195" t="s">
        <v>558</v>
      </c>
      <c r="AK195" t="s">
        <v>965</v>
      </c>
      <c r="AL195" t="s">
        <v>274</v>
      </c>
      <c r="AT195">
        <v>0</v>
      </c>
      <c r="AU195">
        <v>2</v>
      </c>
      <c r="AV195" t="s">
        <v>273</v>
      </c>
      <c r="AY195" t="s">
        <v>273</v>
      </c>
      <c r="BB195">
        <v>0</v>
      </c>
      <c r="BC195">
        <v>0</v>
      </c>
      <c r="BD195">
        <v>0</v>
      </c>
      <c r="BE195">
        <v>0</v>
      </c>
      <c r="BF195" t="s">
        <v>1063</v>
      </c>
      <c r="BG195" t="s">
        <v>2561</v>
      </c>
      <c r="BH195">
        <v>56</v>
      </c>
      <c r="BI195" t="s">
        <v>1254</v>
      </c>
      <c r="BK195">
        <v>1892398</v>
      </c>
    </row>
    <row r="196" spans="1:64">
      <c r="A196" s="1">
        <f>HYPERLINK("https://lsnyc.legalserver.org/matter/dynamic-profile/view/1891770","19-1891770")</f>
        <v>0</v>
      </c>
      <c r="B196" t="s">
        <v>1479</v>
      </c>
      <c r="C196" t="s">
        <v>1640</v>
      </c>
      <c r="D196" t="s">
        <v>253</v>
      </c>
      <c r="E196" t="s">
        <v>1650</v>
      </c>
      <c r="F196" t="s">
        <v>273</v>
      </c>
      <c r="G196" t="s">
        <v>275</v>
      </c>
      <c r="H196">
        <v>184.51</v>
      </c>
      <c r="I196" t="s">
        <v>274</v>
      </c>
      <c r="K196" t="s">
        <v>339</v>
      </c>
      <c r="O196" t="s">
        <v>274</v>
      </c>
      <c r="P196" t="s">
        <v>492</v>
      </c>
      <c r="Q196" t="s">
        <v>501</v>
      </c>
      <c r="S196" t="s">
        <v>503</v>
      </c>
      <c r="T196" t="s">
        <v>508</v>
      </c>
      <c r="U196" t="s">
        <v>511</v>
      </c>
      <c r="V196">
        <v>11419</v>
      </c>
      <c r="W196" t="s">
        <v>517</v>
      </c>
      <c r="X196" t="s">
        <v>549</v>
      </c>
      <c r="Y196" t="s">
        <v>275</v>
      </c>
      <c r="Z196" t="s">
        <v>1973</v>
      </c>
      <c r="AA196" t="s">
        <v>2230</v>
      </c>
      <c r="AB196" t="s">
        <v>902</v>
      </c>
      <c r="AC196" t="s">
        <v>904</v>
      </c>
      <c r="AF196" t="s">
        <v>923</v>
      </c>
      <c r="AI196">
        <v>7.5</v>
      </c>
      <c r="AJ196" t="s">
        <v>558</v>
      </c>
      <c r="AK196" t="s">
        <v>965</v>
      </c>
      <c r="AL196" t="s">
        <v>274</v>
      </c>
      <c r="AT196">
        <v>0</v>
      </c>
      <c r="AU196">
        <v>2</v>
      </c>
      <c r="AV196" t="s">
        <v>273</v>
      </c>
      <c r="AY196" t="s">
        <v>273</v>
      </c>
      <c r="BB196">
        <v>0</v>
      </c>
      <c r="BC196">
        <v>0</v>
      </c>
      <c r="BD196">
        <v>0</v>
      </c>
      <c r="BE196">
        <v>0</v>
      </c>
      <c r="BF196" t="s">
        <v>1063</v>
      </c>
      <c r="BG196" t="s">
        <v>2562</v>
      </c>
      <c r="BH196">
        <v>52</v>
      </c>
      <c r="BI196" t="s">
        <v>1254</v>
      </c>
      <c r="BK196">
        <v>1892398</v>
      </c>
    </row>
    <row r="197" spans="1:64">
      <c r="A197" s="1">
        <f>HYPERLINK("https://lsnyc.legalserver.org/matter/dynamic-profile/view/1891459","19-1891459")</f>
        <v>0</v>
      </c>
      <c r="B197" t="s">
        <v>1480</v>
      </c>
      <c r="C197" t="s">
        <v>1640</v>
      </c>
      <c r="D197" t="s">
        <v>252</v>
      </c>
      <c r="E197" t="s">
        <v>1648</v>
      </c>
      <c r="F197" t="s">
        <v>273</v>
      </c>
      <c r="G197" t="s">
        <v>275</v>
      </c>
      <c r="H197">
        <v>0</v>
      </c>
      <c r="I197" t="s">
        <v>274</v>
      </c>
      <c r="K197" t="s">
        <v>1698</v>
      </c>
      <c r="M197" t="s">
        <v>475</v>
      </c>
      <c r="N197" t="s">
        <v>468</v>
      </c>
      <c r="O197" t="s">
        <v>275</v>
      </c>
      <c r="P197" t="s">
        <v>495</v>
      </c>
      <c r="Q197" t="s">
        <v>501</v>
      </c>
      <c r="S197" t="s">
        <v>503</v>
      </c>
      <c r="T197" t="s">
        <v>508</v>
      </c>
      <c r="U197" t="s">
        <v>511</v>
      </c>
      <c r="V197">
        <v>11238</v>
      </c>
      <c r="W197" t="s">
        <v>520</v>
      </c>
      <c r="X197" t="s">
        <v>549</v>
      </c>
      <c r="Y197" t="s">
        <v>275</v>
      </c>
      <c r="Z197" t="s">
        <v>1974</v>
      </c>
      <c r="AA197" t="s">
        <v>2231</v>
      </c>
      <c r="AB197" t="s">
        <v>902</v>
      </c>
      <c r="AC197" t="s">
        <v>908</v>
      </c>
      <c r="AF197" t="s">
        <v>923</v>
      </c>
      <c r="AI197">
        <v>10.17</v>
      </c>
      <c r="AK197" t="s">
        <v>965</v>
      </c>
      <c r="AL197" t="s">
        <v>274</v>
      </c>
      <c r="AM197" t="s">
        <v>973</v>
      </c>
      <c r="AN197" t="s">
        <v>2387</v>
      </c>
      <c r="AT197">
        <v>0</v>
      </c>
      <c r="AU197">
        <v>1</v>
      </c>
      <c r="AV197" t="s">
        <v>273</v>
      </c>
      <c r="AY197" t="s">
        <v>273</v>
      </c>
      <c r="BB197">
        <v>0</v>
      </c>
      <c r="BC197">
        <v>0</v>
      </c>
      <c r="BD197">
        <v>0</v>
      </c>
      <c r="BE197">
        <v>0</v>
      </c>
      <c r="BF197" t="s">
        <v>1063</v>
      </c>
      <c r="BG197" t="s">
        <v>2563</v>
      </c>
      <c r="BH197">
        <v>20</v>
      </c>
      <c r="BI197" t="s">
        <v>1247</v>
      </c>
      <c r="BK197">
        <v>1892092</v>
      </c>
    </row>
    <row r="198" spans="1:64">
      <c r="A198" s="1">
        <f>HYPERLINK("https://lsnyc.legalserver.org/matter/dynamic-profile/view/1891386","19-1891386")</f>
        <v>0</v>
      </c>
      <c r="B198" t="s">
        <v>1481</v>
      </c>
      <c r="C198" t="s">
        <v>1640</v>
      </c>
      <c r="D198" t="s">
        <v>253</v>
      </c>
      <c r="E198" t="s">
        <v>1649</v>
      </c>
      <c r="F198" t="s">
        <v>275</v>
      </c>
      <c r="G198" t="s">
        <v>275</v>
      </c>
      <c r="H198">
        <v>75.17</v>
      </c>
      <c r="I198" t="s">
        <v>274</v>
      </c>
      <c r="K198" t="s">
        <v>1699</v>
      </c>
      <c r="L198" t="s">
        <v>1662</v>
      </c>
      <c r="O198" t="s">
        <v>275</v>
      </c>
      <c r="P198" t="s">
        <v>493</v>
      </c>
      <c r="Q198" t="s">
        <v>502</v>
      </c>
      <c r="S198" t="s">
        <v>503</v>
      </c>
      <c r="T198" t="s">
        <v>507</v>
      </c>
      <c r="U198" t="s">
        <v>511</v>
      </c>
      <c r="V198">
        <v>11429</v>
      </c>
      <c r="W198" t="s">
        <v>529</v>
      </c>
      <c r="X198" t="s">
        <v>548</v>
      </c>
      <c r="Z198" t="s">
        <v>1975</v>
      </c>
      <c r="AA198" t="s">
        <v>2232</v>
      </c>
      <c r="AB198" t="s">
        <v>902</v>
      </c>
      <c r="AC198" t="s">
        <v>905</v>
      </c>
      <c r="AD198" t="s">
        <v>274</v>
      </c>
      <c r="AE198" t="s">
        <v>920</v>
      </c>
      <c r="AF198" t="s">
        <v>926</v>
      </c>
      <c r="AI198">
        <v>11.85</v>
      </c>
      <c r="AJ198" t="s">
        <v>931</v>
      </c>
      <c r="AK198" t="s">
        <v>941</v>
      </c>
      <c r="AL198" t="s">
        <v>274</v>
      </c>
      <c r="AQ198" t="s">
        <v>1033</v>
      </c>
      <c r="AR198" t="s">
        <v>1051</v>
      </c>
      <c r="AT198">
        <v>3</v>
      </c>
      <c r="AU198">
        <v>3</v>
      </c>
      <c r="AV198" t="s">
        <v>273</v>
      </c>
      <c r="AY198" t="s">
        <v>273</v>
      </c>
      <c r="BB198">
        <v>0</v>
      </c>
      <c r="BC198">
        <v>0</v>
      </c>
      <c r="BD198">
        <v>0</v>
      </c>
      <c r="BE198">
        <v>0</v>
      </c>
      <c r="BF198" t="s">
        <v>493</v>
      </c>
      <c r="BG198" t="s">
        <v>2564</v>
      </c>
      <c r="BH198">
        <v>17</v>
      </c>
      <c r="BI198" t="s">
        <v>1279</v>
      </c>
      <c r="BK198">
        <v>1892018</v>
      </c>
    </row>
    <row r="199" spans="1:64">
      <c r="A199" s="1">
        <f>HYPERLINK("https://lsnyc.legalserver.org/matter/dynamic-profile/view/1891012","19-1891012")</f>
        <v>0</v>
      </c>
      <c r="B199" t="s">
        <v>1482</v>
      </c>
      <c r="C199" t="s">
        <v>1640</v>
      </c>
      <c r="D199" t="s">
        <v>253</v>
      </c>
      <c r="E199" t="s">
        <v>1647</v>
      </c>
      <c r="F199" t="s">
        <v>273</v>
      </c>
      <c r="G199" t="s">
        <v>275</v>
      </c>
      <c r="H199">
        <v>291.43</v>
      </c>
      <c r="I199" t="s">
        <v>275</v>
      </c>
      <c r="K199" t="s">
        <v>1700</v>
      </c>
      <c r="M199" t="s">
        <v>474</v>
      </c>
      <c r="N199" t="s">
        <v>479</v>
      </c>
      <c r="O199" t="s">
        <v>275</v>
      </c>
      <c r="P199" t="s">
        <v>494</v>
      </c>
      <c r="Q199" t="s">
        <v>501</v>
      </c>
      <c r="S199" t="s">
        <v>503</v>
      </c>
      <c r="T199" t="s">
        <v>507</v>
      </c>
      <c r="U199" t="s">
        <v>511</v>
      </c>
      <c r="V199">
        <v>11435</v>
      </c>
      <c r="W199" t="s">
        <v>518</v>
      </c>
      <c r="X199" t="s">
        <v>548</v>
      </c>
      <c r="Y199" t="s">
        <v>275</v>
      </c>
      <c r="Z199" t="s">
        <v>1976</v>
      </c>
      <c r="AA199" t="s">
        <v>2233</v>
      </c>
      <c r="AB199" t="s">
        <v>902</v>
      </c>
      <c r="AC199" t="s">
        <v>2357</v>
      </c>
      <c r="AF199" t="s">
        <v>928</v>
      </c>
      <c r="AI199">
        <v>4.75</v>
      </c>
      <c r="AJ199" t="s">
        <v>931</v>
      </c>
      <c r="AK199" t="s">
        <v>933</v>
      </c>
      <c r="AL199" t="s">
        <v>275</v>
      </c>
      <c r="AM199" t="s">
        <v>975</v>
      </c>
      <c r="AN199" t="s">
        <v>479</v>
      </c>
      <c r="AT199">
        <v>0</v>
      </c>
      <c r="AU199">
        <v>1</v>
      </c>
      <c r="AV199" t="s">
        <v>273</v>
      </c>
      <c r="AY199" t="s">
        <v>273</v>
      </c>
      <c r="BB199">
        <v>0</v>
      </c>
      <c r="BC199">
        <v>0</v>
      </c>
      <c r="BD199">
        <v>0</v>
      </c>
      <c r="BE199">
        <v>0</v>
      </c>
      <c r="BF199" t="s">
        <v>1063</v>
      </c>
      <c r="BG199" t="s">
        <v>2565</v>
      </c>
      <c r="BH199">
        <v>32</v>
      </c>
      <c r="BI199" t="s">
        <v>1317</v>
      </c>
      <c r="BK199">
        <v>1891644</v>
      </c>
      <c r="BL199" t="s">
        <v>274</v>
      </c>
    </row>
    <row r="200" spans="1:64">
      <c r="A200" s="1">
        <f>HYPERLINK("https://lsnyc.legalserver.org/matter/dynamic-profile/view/1890873","19-1890873")</f>
        <v>0</v>
      </c>
      <c r="B200" t="s">
        <v>1335</v>
      </c>
      <c r="C200" t="s">
        <v>1640</v>
      </c>
      <c r="D200" t="s">
        <v>253</v>
      </c>
      <c r="E200" t="s">
        <v>1649</v>
      </c>
      <c r="F200" t="s">
        <v>273</v>
      </c>
      <c r="G200" t="s">
        <v>275</v>
      </c>
      <c r="H200">
        <v>0</v>
      </c>
      <c r="I200" t="s">
        <v>274</v>
      </c>
      <c r="K200" t="s">
        <v>1701</v>
      </c>
      <c r="M200" t="s">
        <v>471</v>
      </c>
      <c r="N200" t="s">
        <v>454</v>
      </c>
      <c r="O200" t="s">
        <v>275</v>
      </c>
      <c r="P200" t="s">
        <v>492</v>
      </c>
      <c r="Q200" t="s">
        <v>501</v>
      </c>
      <c r="S200" t="s">
        <v>503</v>
      </c>
      <c r="T200" t="s">
        <v>507</v>
      </c>
      <c r="U200" t="s">
        <v>511</v>
      </c>
      <c r="V200">
        <v>11373</v>
      </c>
      <c r="W200" t="s">
        <v>519</v>
      </c>
      <c r="X200" t="s">
        <v>548</v>
      </c>
      <c r="Z200" t="s">
        <v>1857</v>
      </c>
      <c r="AA200" t="s">
        <v>2104</v>
      </c>
      <c r="AB200" t="s">
        <v>902</v>
      </c>
      <c r="AC200" t="s">
        <v>905</v>
      </c>
      <c r="AF200" t="s">
        <v>926</v>
      </c>
      <c r="AI200">
        <v>89.69</v>
      </c>
      <c r="AJ200" t="s">
        <v>931</v>
      </c>
      <c r="AK200" t="s">
        <v>947</v>
      </c>
      <c r="AL200" t="s">
        <v>274</v>
      </c>
      <c r="AM200" t="s">
        <v>973</v>
      </c>
      <c r="AN200" t="s">
        <v>454</v>
      </c>
      <c r="AT200">
        <v>0</v>
      </c>
      <c r="AU200">
        <v>1</v>
      </c>
      <c r="AV200" t="s">
        <v>273</v>
      </c>
      <c r="AY200" t="s">
        <v>273</v>
      </c>
      <c r="BB200">
        <v>0</v>
      </c>
      <c r="BC200">
        <v>0</v>
      </c>
      <c r="BD200">
        <v>0</v>
      </c>
      <c r="BE200">
        <v>0</v>
      </c>
      <c r="BF200" t="s">
        <v>1063</v>
      </c>
      <c r="BG200" t="s">
        <v>2422</v>
      </c>
      <c r="BH200">
        <v>57</v>
      </c>
      <c r="BI200" t="s">
        <v>1247</v>
      </c>
      <c r="BK200">
        <v>1891505</v>
      </c>
    </row>
    <row r="201" spans="1:64">
      <c r="A201" s="1">
        <f>HYPERLINK("https://lsnyc.legalserver.org/matter/dynamic-profile/view/1904593","19-1904593")</f>
        <v>0</v>
      </c>
      <c r="B201" t="s">
        <v>1483</v>
      </c>
      <c r="C201" t="s">
        <v>1640</v>
      </c>
      <c r="D201" t="s">
        <v>253</v>
      </c>
      <c r="E201" t="s">
        <v>1645</v>
      </c>
      <c r="F201" t="s">
        <v>273</v>
      </c>
      <c r="G201" t="s">
        <v>275</v>
      </c>
      <c r="H201">
        <v>80.06</v>
      </c>
      <c r="I201" t="s">
        <v>274</v>
      </c>
      <c r="K201" t="s">
        <v>1701</v>
      </c>
      <c r="M201" t="s">
        <v>472</v>
      </c>
      <c r="N201" t="s">
        <v>1004</v>
      </c>
      <c r="P201" t="s">
        <v>492</v>
      </c>
      <c r="Q201" t="s">
        <v>501</v>
      </c>
      <c r="S201" t="s">
        <v>503</v>
      </c>
      <c r="T201" t="s">
        <v>508</v>
      </c>
      <c r="U201" t="s">
        <v>511</v>
      </c>
      <c r="V201">
        <v>11373</v>
      </c>
      <c r="W201" t="s">
        <v>524</v>
      </c>
      <c r="X201" t="s">
        <v>548</v>
      </c>
      <c r="Z201" t="s">
        <v>1977</v>
      </c>
      <c r="AA201" t="s">
        <v>2234</v>
      </c>
      <c r="AB201" t="s">
        <v>902</v>
      </c>
      <c r="AC201" t="s">
        <v>905</v>
      </c>
      <c r="AF201" t="s">
        <v>923</v>
      </c>
      <c r="AI201">
        <v>4.52</v>
      </c>
      <c r="AK201" t="s">
        <v>949</v>
      </c>
      <c r="AL201" t="s">
        <v>274</v>
      </c>
      <c r="AM201" t="s">
        <v>973</v>
      </c>
      <c r="AN201" t="s">
        <v>1004</v>
      </c>
      <c r="AS201" t="s">
        <v>1061</v>
      </c>
      <c r="AT201">
        <v>0</v>
      </c>
      <c r="AU201">
        <v>1</v>
      </c>
      <c r="AV201" t="s">
        <v>273</v>
      </c>
      <c r="AY201" t="s">
        <v>273</v>
      </c>
      <c r="BB201">
        <v>0</v>
      </c>
      <c r="BC201">
        <v>0</v>
      </c>
      <c r="BD201">
        <v>0</v>
      </c>
      <c r="BE201">
        <v>0</v>
      </c>
      <c r="BF201" t="s">
        <v>1063</v>
      </c>
      <c r="BG201" t="s">
        <v>2566</v>
      </c>
      <c r="BH201">
        <v>21</v>
      </c>
      <c r="BI201" t="s">
        <v>1268</v>
      </c>
      <c r="BK201">
        <v>1889745</v>
      </c>
    </row>
    <row r="202" spans="1:64">
      <c r="A202" s="1">
        <f>HYPERLINK("https://lsnyc.legalserver.org/matter/dynamic-profile/view/1891342","19-1891342")</f>
        <v>0</v>
      </c>
      <c r="B202" t="s">
        <v>1443</v>
      </c>
      <c r="C202" t="s">
        <v>1640</v>
      </c>
      <c r="D202" t="s">
        <v>253</v>
      </c>
      <c r="E202" t="s">
        <v>1647</v>
      </c>
      <c r="F202" t="s">
        <v>273</v>
      </c>
      <c r="G202" t="s">
        <v>275</v>
      </c>
      <c r="H202">
        <v>170.65</v>
      </c>
      <c r="I202" t="s">
        <v>274</v>
      </c>
      <c r="K202" t="s">
        <v>1702</v>
      </c>
      <c r="M202" t="s">
        <v>474</v>
      </c>
      <c r="N202" t="s">
        <v>1668</v>
      </c>
      <c r="O202" t="s">
        <v>275</v>
      </c>
      <c r="P202" t="s">
        <v>492</v>
      </c>
      <c r="Q202" t="s">
        <v>502</v>
      </c>
      <c r="S202" t="s">
        <v>503</v>
      </c>
      <c r="T202" t="s">
        <v>507</v>
      </c>
      <c r="U202" t="s">
        <v>511</v>
      </c>
      <c r="V202">
        <v>11429</v>
      </c>
      <c r="W202" t="s">
        <v>518</v>
      </c>
      <c r="X202" t="s">
        <v>548</v>
      </c>
      <c r="Y202" t="s">
        <v>275</v>
      </c>
      <c r="Z202" t="s">
        <v>1944</v>
      </c>
      <c r="AA202" t="s">
        <v>2199</v>
      </c>
      <c r="AB202" t="s">
        <v>902</v>
      </c>
      <c r="AC202" t="s">
        <v>905</v>
      </c>
      <c r="AF202" t="s">
        <v>926</v>
      </c>
      <c r="AI202">
        <v>21.15</v>
      </c>
      <c r="AJ202" t="s">
        <v>558</v>
      </c>
      <c r="AK202" t="s">
        <v>934</v>
      </c>
      <c r="AL202" t="s">
        <v>274</v>
      </c>
      <c r="AM202" t="s">
        <v>973</v>
      </c>
      <c r="AT202">
        <v>1</v>
      </c>
      <c r="AU202">
        <v>2</v>
      </c>
      <c r="AV202" t="s">
        <v>273</v>
      </c>
      <c r="AY202" t="s">
        <v>273</v>
      </c>
      <c r="BB202">
        <v>0</v>
      </c>
      <c r="BC202">
        <v>0</v>
      </c>
      <c r="BD202">
        <v>0</v>
      </c>
      <c r="BE202">
        <v>0</v>
      </c>
      <c r="BF202" t="s">
        <v>1063</v>
      </c>
      <c r="BG202" t="s">
        <v>2529</v>
      </c>
      <c r="BH202">
        <v>19</v>
      </c>
      <c r="BI202" t="s">
        <v>1317</v>
      </c>
      <c r="BK202">
        <v>1891974</v>
      </c>
      <c r="BL202" t="s">
        <v>274</v>
      </c>
    </row>
    <row r="203" spans="1:64">
      <c r="A203" s="1">
        <f>HYPERLINK("https://lsnyc.legalserver.org/matter/dynamic-profile/view/1890469","19-1890469")</f>
        <v>0</v>
      </c>
      <c r="B203" t="s">
        <v>1484</v>
      </c>
      <c r="C203" t="s">
        <v>1640</v>
      </c>
      <c r="D203" t="s">
        <v>253</v>
      </c>
      <c r="E203" t="s">
        <v>1648</v>
      </c>
      <c r="F203" t="s">
        <v>273</v>
      </c>
      <c r="G203" t="s">
        <v>275</v>
      </c>
      <c r="H203">
        <v>146.27</v>
      </c>
      <c r="I203" t="s">
        <v>274</v>
      </c>
      <c r="K203" t="s">
        <v>1703</v>
      </c>
      <c r="M203" t="s">
        <v>474</v>
      </c>
      <c r="N203" t="s">
        <v>1004</v>
      </c>
      <c r="P203" t="s">
        <v>492</v>
      </c>
      <c r="Q203" t="s">
        <v>502</v>
      </c>
      <c r="S203" t="s">
        <v>503</v>
      </c>
      <c r="T203" t="s">
        <v>508</v>
      </c>
      <c r="U203" t="s">
        <v>511</v>
      </c>
      <c r="V203">
        <v>11433</v>
      </c>
      <c r="W203" t="s">
        <v>518</v>
      </c>
      <c r="X203" t="s">
        <v>548</v>
      </c>
      <c r="Z203" t="s">
        <v>1978</v>
      </c>
      <c r="AA203" t="s">
        <v>2235</v>
      </c>
      <c r="AB203" t="s">
        <v>902</v>
      </c>
      <c r="AC203" t="s">
        <v>908</v>
      </c>
      <c r="AF203" t="s">
        <v>926</v>
      </c>
      <c r="AI203">
        <v>26.3</v>
      </c>
      <c r="AK203" t="s">
        <v>934</v>
      </c>
      <c r="AL203" t="s">
        <v>274</v>
      </c>
      <c r="AT203">
        <v>2</v>
      </c>
      <c r="AU203">
        <v>1</v>
      </c>
      <c r="AV203" t="s">
        <v>273</v>
      </c>
      <c r="AY203" t="s">
        <v>273</v>
      </c>
      <c r="BB203">
        <v>0</v>
      </c>
      <c r="BC203">
        <v>0</v>
      </c>
      <c r="BD203">
        <v>0</v>
      </c>
      <c r="BE203">
        <v>0</v>
      </c>
      <c r="BF203" t="s">
        <v>1063</v>
      </c>
      <c r="BG203" t="s">
        <v>2567</v>
      </c>
      <c r="BH203">
        <v>16</v>
      </c>
      <c r="BI203" t="s">
        <v>1254</v>
      </c>
      <c r="BK203">
        <v>1891101</v>
      </c>
    </row>
    <row r="204" spans="1:64">
      <c r="A204" s="1">
        <f>HYPERLINK("https://lsnyc.legalserver.org/matter/dynamic-profile/view/1889452","19-1889452")</f>
        <v>0</v>
      </c>
      <c r="B204" t="s">
        <v>1397</v>
      </c>
      <c r="C204" t="s">
        <v>1640</v>
      </c>
      <c r="D204" t="s">
        <v>253</v>
      </c>
      <c r="E204" t="s">
        <v>1643</v>
      </c>
      <c r="F204" t="s">
        <v>273</v>
      </c>
      <c r="G204" t="s">
        <v>275</v>
      </c>
      <c r="H204">
        <v>112.52</v>
      </c>
      <c r="I204" t="s">
        <v>274</v>
      </c>
      <c r="K204" t="s">
        <v>342</v>
      </c>
      <c r="M204" t="s">
        <v>471</v>
      </c>
      <c r="N204" t="s">
        <v>287</v>
      </c>
      <c r="P204" t="s">
        <v>492</v>
      </c>
      <c r="Q204" t="s">
        <v>502</v>
      </c>
      <c r="S204" t="s">
        <v>503</v>
      </c>
      <c r="T204" t="s">
        <v>508</v>
      </c>
      <c r="U204" t="s">
        <v>511</v>
      </c>
      <c r="V204">
        <v>11356</v>
      </c>
      <c r="W204" t="s">
        <v>518</v>
      </c>
      <c r="X204" t="s">
        <v>548</v>
      </c>
      <c r="Z204" t="s">
        <v>1909</v>
      </c>
      <c r="AA204" t="s">
        <v>2158</v>
      </c>
      <c r="AB204" t="s">
        <v>902</v>
      </c>
      <c r="AC204" t="s">
        <v>905</v>
      </c>
      <c r="AF204" t="s">
        <v>926</v>
      </c>
      <c r="AI204">
        <v>16</v>
      </c>
      <c r="AK204" t="s">
        <v>947</v>
      </c>
      <c r="AL204" t="s">
        <v>274</v>
      </c>
      <c r="AT204">
        <v>0</v>
      </c>
      <c r="AU204">
        <v>3</v>
      </c>
      <c r="AV204" t="s">
        <v>273</v>
      </c>
      <c r="AY204" t="s">
        <v>273</v>
      </c>
      <c r="BB204">
        <v>0</v>
      </c>
      <c r="BC204">
        <v>0</v>
      </c>
      <c r="BD204">
        <v>0</v>
      </c>
      <c r="BE204">
        <v>0</v>
      </c>
      <c r="BF204" t="s">
        <v>1063</v>
      </c>
      <c r="BG204" t="s">
        <v>2482</v>
      </c>
      <c r="BH204">
        <v>19</v>
      </c>
      <c r="BI204" t="s">
        <v>1259</v>
      </c>
      <c r="BK204">
        <v>1890084</v>
      </c>
    </row>
    <row r="205" spans="1:64">
      <c r="A205" s="1">
        <f>HYPERLINK("https://lsnyc.legalserver.org/matter/dynamic-profile/view/1889888","19-1889888")</f>
        <v>0</v>
      </c>
      <c r="B205" t="s">
        <v>1436</v>
      </c>
      <c r="C205" t="s">
        <v>1640</v>
      </c>
      <c r="D205" t="s">
        <v>253</v>
      </c>
      <c r="E205" t="s">
        <v>1649</v>
      </c>
      <c r="F205" t="s">
        <v>273</v>
      </c>
      <c r="G205" t="s">
        <v>275</v>
      </c>
      <c r="H205">
        <v>92.25</v>
      </c>
      <c r="I205" t="s">
        <v>274</v>
      </c>
      <c r="K205" t="s">
        <v>344</v>
      </c>
      <c r="O205" t="s">
        <v>275</v>
      </c>
      <c r="P205" t="s">
        <v>492</v>
      </c>
      <c r="Q205" t="s">
        <v>502</v>
      </c>
      <c r="S205" t="s">
        <v>503</v>
      </c>
      <c r="T205" t="s">
        <v>508</v>
      </c>
      <c r="U205" t="s">
        <v>511</v>
      </c>
      <c r="V205">
        <v>11418</v>
      </c>
      <c r="W205" t="s">
        <v>519</v>
      </c>
      <c r="X205" t="s">
        <v>548</v>
      </c>
      <c r="Y205" t="s">
        <v>275</v>
      </c>
      <c r="Z205" t="s">
        <v>1938</v>
      </c>
      <c r="AA205" t="s">
        <v>2193</v>
      </c>
      <c r="AB205" t="s">
        <v>902</v>
      </c>
      <c r="AC205" t="s">
        <v>910</v>
      </c>
      <c r="AF205" t="s">
        <v>926</v>
      </c>
      <c r="AI205">
        <v>34.6</v>
      </c>
      <c r="AJ205" t="s">
        <v>558</v>
      </c>
      <c r="AK205" t="s">
        <v>936</v>
      </c>
      <c r="AL205" t="s">
        <v>274</v>
      </c>
      <c r="AT205">
        <v>1</v>
      </c>
      <c r="AU205">
        <v>1</v>
      </c>
      <c r="AV205" t="s">
        <v>273</v>
      </c>
      <c r="AY205" t="s">
        <v>273</v>
      </c>
      <c r="BB205">
        <v>0</v>
      </c>
      <c r="BC205">
        <v>0</v>
      </c>
      <c r="BD205">
        <v>0</v>
      </c>
      <c r="BE205">
        <v>0</v>
      </c>
      <c r="BF205" t="s">
        <v>1063</v>
      </c>
      <c r="BG205" t="s">
        <v>2521</v>
      </c>
      <c r="BH205">
        <v>21</v>
      </c>
      <c r="BI205" t="s">
        <v>1270</v>
      </c>
      <c r="BK205">
        <v>1890520</v>
      </c>
    </row>
    <row r="206" spans="1:64">
      <c r="A206" s="1">
        <f>HYPERLINK("https://lsnyc.legalserver.org/matter/dynamic-profile/view/1889938","19-1889938")</f>
        <v>0</v>
      </c>
      <c r="B206" t="s">
        <v>1437</v>
      </c>
      <c r="C206" t="s">
        <v>1640</v>
      </c>
      <c r="D206" t="s">
        <v>253</v>
      </c>
      <c r="E206" t="s">
        <v>1649</v>
      </c>
      <c r="F206" t="s">
        <v>273</v>
      </c>
      <c r="G206" t="s">
        <v>275</v>
      </c>
      <c r="H206">
        <v>92.25</v>
      </c>
      <c r="I206" t="s">
        <v>274</v>
      </c>
      <c r="K206" t="s">
        <v>344</v>
      </c>
      <c r="O206" t="s">
        <v>275</v>
      </c>
      <c r="P206" t="s">
        <v>492</v>
      </c>
      <c r="Q206" t="s">
        <v>502</v>
      </c>
      <c r="S206" t="s">
        <v>503</v>
      </c>
      <c r="T206" t="s">
        <v>508</v>
      </c>
      <c r="U206" t="s">
        <v>511</v>
      </c>
      <c r="V206">
        <v>11418</v>
      </c>
      <c r="W206" t="s">
        <v>529</v>
      </c>
      <c r="X206" t="s">
        <v>548</v>
      </c>
      <c r="Y206" t="s">
        <v>275</v>
      </c>
      <c r="Z206" t="s">
        <v>1939</v>
      </c>
      <c r="AA206" t="s">
        <v>2194</v>
      </c>
      <c r="AB206" t="s">
        <v>902</v>
      </c>
      <c r="AC206" t="s">
        <v>910</v>
      </c>
      <c r="AF206" t="s">
        <v>923</v>
      </c>
      <c r="AI206">
        <v>1.25</v>
      </c>
      <c r="AJ206" t="s">
        <v>558</v>
      </c>
      <c r="AK206" t="s">
        <v>936</v>
      </c>
      <c r="AL206" t="s">
        <v>274</v>
      </c>
      <c r="AT206">
        <v>1</v>
      </c>
      <c r="AU206">
        <v>1</v>
      </c>
      <c r="AV206" t="s">
        <v>273</v>
      </c>
      <c r="AY206" t="s">
        <v>273</v>
      </c>
      <c r="BB206">
        <v>0</v>
      </c>
      <c r="BC206">
        <v>0</v>
      </c>
      <c r="BD206">
        <v>0</v>
      </c>
      <c r="BE206">
        <v>0</v>
      </c>
      <c r="BF206" t="s">
        <v>1063</v>
      </c>
      <c r="BG206" t="s">
        <v>2522</v>
      </c>
      <c r="BH206">
        <v>5</v>
      </c>
      <c r="BI206" t="s">
        <v>1270</v>
      </c>
      <c r="BK206">
        <v>1890520</v>
      </c>
    </row>
    <row r="207" spans="1:64">
      <c r="A207" s="1">
        <f>HYPERLINK("https://lsnyc.legalserver.org/matter/dynamic-profile/view/1889976","19-1889976")</f>
        <v>0</v>
      </c>
      <c r="B207" t="s">
        <v>1485</v>
      </c>
      <c r="C207" t="s">
        <v>1640</v>
      </c>
      <c r="D207" t="s">
        <v>253</v>
      </c>
      <c r="E207" t="s">
        <v>1648</v>
      </c>
      <c r="F207" t="s">
        <v>273</v>
      </c>
      <c r="G207" t="s">
        <v>275</v>
      </c>
      <c r="H207">
        <v>153.76</v>
      </c>
      <c r="I207" t="s">
        <v>274</v>
      </c>
      <c r="K207" t="s">
        <v>344</v>
      </c>
      <c r="Q207" t="s">
        <v>501</v>
      </c>
      <c r="S207" t="s">
        <v>503</v>
      </c>
      <c r="T207" t="s">
        <v>508</v>
      </c>
      <c r="U207" t="s">
        <v>511</v>
      </c>
      <c r="V207">
        <v>11433</v>
      </c>
      <c r="W207" t="s">
        <v>520</v>
      </c>
      <c r="Y207" t="s">
        <v>275</v>
      </c>
      <c r="Z207" t="s">
        <v>1979</v>
      </c>
      <c r="AA207" t="s">
        <v>2236</v>
      </c>
      <c r="AB207" t="s">
        <v>902</v>
      </c>
      <c r="AC207" t="s">
        <v>910</v>
      </c>
      <c r="AF207" t="s">
        <v>923</v>
      </c>
      <c r="AI207">
        <v>6.25</v>
      </c>
      <c r="AK207" t="s">
        <v>2374</v>
      </c>
      <c r="AL207" t="s">
        <v>274</v>
      </c>
      <c r="AM207" t="s">
        <v>973</v>
      </c>
      <c r="AN207" t="s">
        <v>309</v>
      </c>
      <c r="AT207">
        <v>0</v>
      </c>
      <c r="AU207">
        <v>2</v>
      </c>
      <c r="AV207" t="s">
        <v>273</v>
      </c>
      <c r="AY207" t="s">
        <v>273</v>
      </c>
      <c r="BB207">
        <v>0</v>
      </c>
      <c r="BC207">
        <v>0</v>
      </c>
      <c r="BD207">
        <v>0</v>
      </c>
      <c r="BE207">
        <v>0</v>
      </c>
      <c r="BF207" t="s">
        <v>1063</v>
      </c>
      <c r="BG207" t="s">
        <v>2568</v>
      </c>
      <c r="BH207">
        <v>54</v>
      </c>
      <c r="BI207" t="s">
        <v>1279</v>
      </c>
      <c r="BK207">
        <v>784046</v>
      </c>
    </row>
    <row r="208" spans="1:64">
      <c r="A208" s="1">
        <f>HYPERLINK("https://lsnyc.legalserver.org/matter/dynamic-profile/view/1889757","19-1889757")</f>
        <v>0</v>
      </c>
      <c r="B208" t="s">
        <v>1486</v>
      </c>
      <c r="C208" t="s">
        <v>1640</v>
      </c>
      <c r="D208" t="s">
        <v>253</v>
      </c>
      <c r="E208" t="s">
        <v>1652</v>
      </c>
      <c r="F208" t="s">
        <v>273</v>
      </c>
      <c r="G208" t="s">
        <v>275</v>
      </c>
      <c r="H208">
        <v>249.8</v>
      </c>
      <c r="I208" t="s">
        <v>274</v>
      </c>
      <c r="K208" t="s">
        <v>345</v>
      </c>
      <c r="O208" t="s">
        <v>275</v>
      </c>
      <c r="P208" t="s">
        <v>492</v>
      </c>
      <c r="Q208" t="s">
        <v>501</v>
      </c>
      <c r="S208" t="s">
        <v>503</v>
      </c>
      <c r="T208" t="s">
        <v>508</v>
      </c>
      <c r="U208" t="s">
        <v>511</v>
      </c>
      <c r="V208">
        <v>11420</v>
      </c>
      <c r="W208" t="s">
        <v>525</v>
      </c>
      <c r="X208" t="s">
        <v>549</v>
      </c>
      <c r="Y208" t="s">
        <v>275</v>
      </c>
      <c r="Z208" t="s">
        <v>1980</v>
      </c>
      <c r="AA208" t="s">
        <v>2237</v>
      </c>
      <c r="AB208" t="s">
        <v>902</v>
      </c>
      <c r="AC208" t="s">
        <v>904</v>
      </c>
      <c r="AF208" t="s">
        <v>923</v>
      </c>
      <c r="AI208">
        <v>10.47</v>
      </c>
      <c r="AJ208" t="s">
        <v>558</v>
      </c>
      <c r="AK208" t="s">
        <v>965</v>
      </c>
      <c r="AL208" t="s">
        <v>274</v>
      </c>
      <c r="AM208" t="s">
        <v>975</v>
      </c>
      <c r="AN208" t="s">
        <v>2387</v>
      </c>
      <c r="AO208" t="s">
        <v>973</v>
      </c>
      <c r="AP208" t="s">
        <v>332</v>
      </c>
      <c r="AT208">
        <v>0</v>
      </c>
      <c r="AU208">
        <v>1</v>
      </c>
      <c r="AV208" t="s">
        <v>273</v>
      </c>
      <c r="AY208" t="s">
        <v>273</v>
      </c>
      <c r="BB208">
        <v>0</v>
      </c>
      <c r="BC208">
        <v>0</v>
      </c>
      <c r="BD208">
        <v>0</v>
      </c>
      <c r="BE208">
        <v>0</v>
      </c>
      <c r="BF208" t="s">
        <v>1063</v>
      </c>
      <c r="BG208" t="s">
        <v>2569</v>
      </c>
      <c r="BH208">
        <v>50</v>
      </c>
      <c r="BI208" t="s">
        <v>1254</v>
      </c>
      <c r="BK208">
        <v>1890389</v>
      </c>
    </row>
    <row r="209" spans="1:64">
      <c r="A209" s="1">
        <f>HYPERLINK("https://lsnyc.legalserver.org/matter/dynamic-profile/view/1892513","19-1892513")</f>
        <v>0</v>
      </c>
      <c r="B209" t="s">
        <v>1487</v>
      </c>
      <c r="C209" t="s">
        <v>1640</v>
      </c>
      <c r="D209" t="s">
        <v>253</v>
      </c>
      <c r="E209" t="s">
        <v>1647</v>
      </c>
      <c r="F209" t="s">
        <v>273</v>
      </c>
      <c r="G209" t="s">
        <v>275</v>
      </c>
      <c r="H209">
        <v>90.2</v>
      </c>
      <c r="I209" t="s">
        <v>274</v>
      </c>
      <c r="K209" t="s">
        <v>345</v>
      </c>
      <c r="M209" t="s">
        <v>472</v>
      </c>
      <c r="N209" t="s">
        <v>280</v>
      </c>
      <c r="O209" t="s">
        <v>275</v>
      </c>
      <c r="P209" t="s">
        <v>496</v>
      </c>
      <c r="Q209" t="s">
        <v>501</v>
      </c>
      <c r="S209" t="s">
        <v>503</v>
      </c>
      <c r="T209" t="s">
        <v>508</v>
      </c>
      <c r="U209" t="s">
        <v>511</v>
      </c>
      <c r="V209">
        <v>11378</v>
      </c>
      <c r="W209" t="s">
        <v>520</v>
      </c>
      <c r="X209" t="s">
        <v>548</v>
      </c>
      <c r="Y209" t="s">
        <v>275</v>
      </c>
      <c r="Z209" t="s">
        <v>1981</v>
      </c>
      <c r="AA209" t="s">
        <v>2238</v>
      </c>
      <c r="AB209" t="s">
        <v>902</v>
      </c>
      <c r="AC209" t="s">
        <v>905</v>
      </c>
      <c r="AF209" t="s">
        <v>923</v>
      </c>
      <c r="AI209">
        <v>1.75</v>
      </c>
      <c r="AJ209" t="s">
        <v>558</v>
      </c>
      <c r="AK209" t="s">
        <v>933</v>
      </c>
      <c r="AL209" t="s">
        <v>274</v>
      </c>
      <c r="AM209" t="s">
        <v>973</v>
      </c>
      <c r="AN209" t="s">
        <v>336</v>
      </c>
      <c r="AT209">
        <v>4</v>
      </c>
      <c r="AU209">
        <v>2</v>
      </c>
      <c r="AV209" t="s">
        <v>273</v>
      </c>
      <c r="AY209" t="s">
        <v>273</v>
      </c>
      <c r="BB209">
        <v>0</v>
      </c>
      <c r="BC209">
        <v>0</v>
      </c>
      <c r="BD209">
        <v>0</v>
      </c>
      <c r="BE209">
        <v>0</v>
      </c>
      <c r="BF209" t="s">
        <v>1063</v>
      </c>
      <c r="BG209" t="s">
        <v>2541</v>
      </c>
      <c r="BH209">
        <v>37</v>
      </c>
      <c r="BI209" t="s">
        <v>1254</v>
      </c>
      <c r="BK209">
        <v>1846583</v>
      </c>
      <c r="BL209" t="s">
        <v>275</v>
      </c>
    </row>
    <row r="210" spans="1:64">
      <c r="A210" s="1">
        <f>HYPERLINK("https://lsnyc.legalserver.org/matter/dynamic-profile/view/1889600","19-1889600")</f>
        <v>0</v>
      </c>
      <c r="B210" t="s">
        <v>1367</v>
      </c>
      <c r="C210" t="s">
        <v>1640</v>
      </c>
      <c r="D210" t="s">
        <v>253</v>
      </c>
      <c r="E210" t="s">
        <v>1645</v>
      </c>
      <c r="F210" t="s">
        <v>273</v>
      </c>
      <c r="G210" t="s">
        <v>275</v>
      </c>
      <c r="H210">
        <v>0</v>
      </c>
      <c r="I210" t="s">
        <v>274</v>
      </c>
      <c r="K210" t="s">
        <v>1704</v>
      </c>
      <c r="M210" t="s">
        <v>472</v>
      </c>
      <c r="N210" t="s">
        <v>285</v>
      </c>
      <c r="O210" t="s">
        <v>275</v>
      </c>
      <c r="P210" t="s">
        <v>492</v>
      </c>
      <c r="Q210" t="s">
        <v>501</v>
      </c>
      <c r="S210" t="s">
        <v>503</v>
      </c>
      <c r="T210" t="s">
        <v>508</v>
      </c>
      <c r="U210" t="s">
        <v>511</v>
      </c>
      <c r="V210">
        <v>11419</v>
      </c>
      <c r="W210" t="s">
        <v>519</v>
      </c>
      <c r="X210" t="s">
        <v>548</v>
      </c>
      <c r="Y210" t="s">
        <v>274</v>
      </c>
      <c r="Z210" t="s">
        <v>1886</v>
      </c>
      <c r="AA210" t="s">
        <v>2130</v>
      </c>
      <c r="AB210" t="s">
        <v>902</v>
      </c>
      <c r="AC210" t="s">
        <v>905</v>
      </c>
      <c r="AF210" t="s">
        <v>926</v>
      </c>
      <c r="AI210">
        <v>36.49</v>
      </c>
      <c r="AJ210" t="s">
        <v>558</v>
      </c>
      <c r="AK210" t="s">
        <v>933</v>
      </c>
      <c r="AL210" t="s">
        <v>274</v>
      </c>
      <c r="AT210">
        <v>0</v>
      </c>
      <c r="AU210">
        <v>1</v>
      </c>
      <c r="AV210" t="s">
        <v>273</v>
      </c>
      <c r="AY210" t="s">
        <v>273</v>
      </c>
      <c r="BB210">
        <v>0</v>
      </c>
      <c r="BC210">
        <v>0</v>
      </c>
      <c r="BD210">
        <v>0</v>
      </c>
      <c r="BE210">
        <v>0</v>
      </c>
      <c r="BF210" t="s">
        <v>1063</v>
      </c>
      <c r="BG210" t="s">
        <v>2453</v>
      </c>
      <c r="BH210">
        <v>36</v>
      </c>
      <c r="BI210" t="s">
        <v>1247</v>
      </c>
      <c r="BK210">
        <v>1881140</v>
      </c>
    </row>
    <row r="211" spans="1:64">
      <c r="A211" s="1">
        <f>HYPERLINK("https://lsnyc.legalserver.org/matter/dynamic-profile/view/1889489","19-1889489")</f>
        <v>0</v>
      </c>
      <c r="B211" t="s">
        <v>1488</v>
      </c>
      <c r="C211" t="s">
        <v>1640</v>
      </c>
      <c r="D211" t="s">
        <v>253</v>
      </c>
      <c r="E211" t="s">
        <v>1644</v>
      </c>
      <c r="F211" t="s">
        <v>273</v>
      </c>
      <c r="G211" t="s">
        <v>275</v>
      </c>
      <c r="H211">
        <v>39.77</v>
      </c>
      <c r="K211" t="s">
        <v>348</v>
      </c>
      <c r="P211" t="s">
        <v>492</v>
      </c>
      <c r="Q211" t="s">
        <v>501</v>
      </c>
      <c r="S211" t="s">
        <v>506</v>
      </c>
      <c r="T211" t="s">
        <v>508</v>
      </c>
      <c r="U211" t="s">
        <v>1821</v>
      </c>
      <c r="V211">
        <v>11368</v>
      </c>
      <c r="W211" t="s">
        <v>1828</v>
      </c>
      <c r="X211" t="s">
        <v>548</v>
      </c>
      <c r="Z211" t="s">
        <v>584</v>
      </c>
      <c r="AA211" t="s">
        <v>2239</v>
      </c>
      <c r="AB211" t="s">
        <v>902</v>
      </c>
      <c r="AC211" t="s">
        <v>905</v>
      </c>
      <c r="AF211" t="s">
        <v>924</v>
      </c>
      <c r="AI211">
        <v>19.5</v>
      </c>
      <c r="AK211" t="s">
        <v>941</v>
      </c>
      <c r="AS211" t="s">
        <v>1061</v>
      </c>
      <c r="AT211">
        <v>4</v>
      </c>
      <c r="AU211">
        <v>1</v>
      </c>
      <c r="AV211" t="s">
        <v>273</v>
      </c>
      <c r="AY211" t="s">
        <v>273</v>
      </c>
      <c r="BB211">
        <v>0</v>
      </c>
      <c r="BC211">
        <v>0</v>
      </c>
      <c r="BD211">
        <v>0</v>
      </c>
      <c r="BE211">
        <v>0</v>
      </c>
      <c r="BF211" t="s">
        <v>1063</v>
      </c>
      <c r="BG211" t="s">
        <v>2570</v>
      </c>
      <c r="BH211">
        <v>42</v>
      </c>
      <c r="BI211" t="s">
        <v>1267</v>
      </c>
      <c r="BK211">
        <v>798193</v>
      </c>
    </row>
    <row r="212" spans="1:64">
      <c r="A212" s="1">
        <f>HYPERLINK("https://lsnyc.legalserver.org/matter/dynamic-profile/view/1889846","19-1889846")</f>
        <v>0</v>
      </c>
      <c r="B212" t="s">
        <v>1413</v>
      </c>
      <c r="C212" t="s">
        <v>1640</v>
      </c>
      <c r="D212" t="s">
        <v>1641</v>
      </c>
      <c r="E212" t="s">
        <v>1647</v>
      </c>
      <c r="F212" t="s">
        <v>273</v>
      </c>
      <c r="G212" t="s">
        <v>275</v>
      </c>
      <c r="H212">
        <v>76.88</v>
      </c>
      <c r="I212" t="s">
        <v>274</v>
      </c>
      <c r="K212" t="s">
        <v>349</v>
      </c>
      <c r="M212" t="s">
        <v>475</v>
      </c>
      <c r="N212" t="s">
        <v>485</v>
      </c>
      <c r="O212" t="s">
        <v>275</v>
      </c>
      <c r="P212" t="s">
        <v>492</v>
      </c>
      <c r="Q212" t="s">
        <v>502</v>
      </c>
      <c r="S212" t="s">
        <v>503</v>
      </c>
      <c r="T212" t="s">
        <v>508</v>
      </c>
      <c r="U212" t="s">
        <v>511</v>
      </c>
      <c r="V212">
        <v>11550</v>
      </c>
      <c r="W212" t="s">
        <v>520</v>
      </c>
      <c r="X212" t="s">
        <v>548</v>
      </c>
      <c r="Y212" t="s">
        <v>275</v>
      </c>
      <c r="Z212" t="s">
        <v>1921</v>
      </c>
      <c r="AA212" t="s">
        <v>2173</v>
      </c>
      <c r="AB212" t="s">
        <v>902</v>
      </c>
      <c r="AC212" t="s">
        <v>905</v>
      </c>
      <c r="AF212" t="s">
        <v>923</v>
      </c>
      <c r="AI212">
        <v>5.5</v>
      </c>
      <c r="AJ212" t="s">
        <v>558</v>
      </c>
      <c r="AK212" t="s">
        <v>934</v>
      </c>
      <c r="AL212" t="s">
        <v>274</v>
      </c>
      <c r="AT212">
        <v>1</v>
      </c>
      <c r="AU212">
        <v>1</v>
      </c>
      <c r="AV212" t="s">
        <v>273</v>
      </c>
      <c r="AY212" t="s">
        <v>273</v>
      </c>
      <c r="BB212">
        <v>0</v>
      </c>
      <c r="BC212">
        <v>0</v>
      </c>
      <c r="BD212">
        <v>0</v>
      </c>
      <c r="BE212">
        <v>0</v>
      </c>
      <c r="BF212" t="s">
        <v>1063</v>
      </c>
      <c r="BG212" t="s">
        <v>2498</v>
      </c>
      <c r="BH212">
        <v>16</v>
      </c>
      <c r="BI212" t="s">
        <v>1264</v>
      </c>
      <c r="BK212">
        <v>815861</v>
      </c>
    </row>
    <row r="213" spans="1:64">
      <c r="A213" s="1">
        <f>HYPERLINK("https://lsnyc.legalserver.org/matter/dynamic-profile/view/1889027","19-1889027")</f>
        <v>0</v>
      </c>
      <c r="B213" t="s">
        <v>1489</v>
      </c>
      <c r="C213" t="s">
        <v>1640</v>
      </c>
      <c r="D213" t="s">
        <v>253</v>
      </c>
      <c r="E213" t="s">
        <v>1643</v>
      </c>
      <c r="F213" t="s">
        <v>274</v>
      </c>
      <c r="G213" t="s">
        <v>274</v>
      </c>
      <c r="H213">
        <v>0</v>
      </c>
      <c r="I213" t="s">
        <v>274</v>
      </c>
      <c r="K213" t="s">
        <v>1705</v>
      </c>
      <c r="M213" t="s">
        <v>472</v>
      </c>
      <c r="P213" t="s">
        <v>492</v>
      </c>
      <c r="Q213" t="s">
        <v>501</v>
      </c>
      <c r="R213" t="s">
        <v>1816</v>
      </c>
      <c r="S213" t="s">
        <v>503</v>
      </c>
      <c r="T213" t="s">
        <v>508</v>
      </c>
      <c r="U213" t="s">
        <v>511</v>
      </c>
      <c r="V213">
        <v>11378</v>
      </c>
      <c r="W213" t="s">
        <v>536</v>
      </c>
      <c r="X213" t="s">
        <v>548</v>
      </c>
      <c r="Z213" t="s">
        <v>1982</v>
      </c>
      <c r="AA213" t="s">
        <v>2240</v>
      </c>
      <c r="AB213" t="s">
        <v>902</v>
      </c>
      <c r="AC213" t="s">
        <v>905</v>
      </c>
      <c r="AF213" t="s">
        <v>923</v>
      </c>
      <c r="AI213">
        <v>12.35</v>
      </c>
      <c r="AK213" t="s">
        <v>947</v>
      </c>
      <c r="AL213" t="s">
        <v>274</v>
      </c>
      <c r="AS213" t="s">
        <v>1061</v>
      </c>
      <c r="AT213">
        <v>3</v>
      </c>
      <c r="AU213">
        <v>1</v>
      </c>
      <c r="AV213" t="s">
        <v>273</v>
      </c>
      <c r="AY213" t="s">
        <v>273</v>
      </c>
      <c r="BB213">
        <v>0</v>
      </c>
      <c r="BC213">
        <v>0</v>
      </c>
      <c r="BD213">
        <v>0</v>
      </c>
      <c r="BE213">
        <v>0</v>
      </c>
      <c r="BF213" t="s">
        <v>1063</v>
      </c>
      <c r="BG213" t="s">
        <v>2571</v>
      </c>
      <c r="BH213">
        <v>37</v>
      </c>
      <c r="BI213" t="s">
        <v>1247</v>
      </c>
      <c r="BK213">
        <v>1889271</v>
      </c>
    </row>
    <row r="214" spans="1:64">
      <c r="A214" s="1">
        <f>HYPERLINK("https://lsnyc.legalserver.org/matter/dynamic-profile/view/1889110","19-1889110")</f>
        <v>0</v>
      </c>
      <c r="B214" t="s">
        <v>1490</v>
      </c>
      <c r="C214" t="s">
        <v>1640</v>
      </c>
      <c r="D214" t="s">
        <v>253</v>
      </c>
      <c r="E214" t="s">
        <v>1647</v>
      </c>
      <c r="F214" t="s">
        <v>273</v>
      </c>
      <c r="G214" t="s">
        <v>275</v>
      </c>
      <c r="H214">
        <v>36.82</v>
      </c>
      <c r="I214" t="s">
        <v>274</v>
      </c>
      <c r="K214" t="s">
        <v>1705</v>
      </c>
      <c r="M214" t="s">
        <v>474</v>
      </c>
      <c r="N214" t="s">
        <v>286</v>
      </c>
      <c r="O214" t="s">
        <v>275</v>
      </c>
      <c r="P214" t="s">
        <v>492</v>
      </c>
      <c r="Q214" t="s">
        <v>502</v>
      </c>
      <c r="S214" t="s">
        <v>503</v>
      </c>
      <c r="T214" t="s">
        <v>507</v>
      </c>
      <c r="U214" t="s">
        <v>511</v>
      </c>
      <c r="V214">
        <v>11377</v>
      </c>
      <c r="W214" t="s">
        <v>518</v>
      </c>
      <c r="X214" t="s">
        <v>548</v>
      </c>
      <c r="Y214" t="s">
        <v>275</v>
      </c>
      <c r="Z214" t="s">
        <v>1934</v>
      </c>
      <c r="AA214" t="s">
        <v>2241</v>
      </c>
      <c r="AB214" t="s">
        <v>902</v>
      </c>
      <c r="AC214" t="s">
        <v>905</v>
      </c>
      <c r="AF214" t="s">
        <v>926</v>
      </c>
      <c r="AI214">
        <v>4.9</v>
      </c>
      <c r="AJ214" t="s">
        <v>558</v>
      </c>
      <c r="AK214" t="s">
        <v>941</v>
      </c>
      <c r="AL214" t="s">
        <v>274</v>
      </c>
      <c r="AM214" t="s">
        <v>973</v>
      </c>
      <c r="AT214">
        <v>3</v>
      </c>
      <c r="AU214">
        <v>1</v>
      </c>
      <c r="AV214" t="s">
        <v>273</v>
      </c>
      <c r="AY214" t="s">
        <v>273</v>
      </c>
      <c r="BB214">
        <v>0</v>
      </c>
      <c r="BC214">
        <v>0</v>
      </c>
      <c r="BD214">
        <v>0</v>
      </c>
      <c r="BE214">
        <v>0</v>
      </c>
      <c r="BF214" t="s">
        <v>1063</v>
      </c>
      <c r="BG214" t="s">
        <v>2572</v>
      </c>
      <c r="BH214">
        <v>10</v>
      </c>
      <c r="BI214" t="s">
        <v>2762</v>
      </c>
      <c r="BK214">
        <v>1889742</v>
      </c>
      <c r="BL214" t="s">
        <v>274</v>
      </c>
    </row>
    <row r="215" spans="1:64">
      <c r="A215" s="1">
        <f>HYPERLINK("https://lsnyc.legalserver.org/matter/dynamic-profile/view/1889114","19-1889114")</f>
        <v>0</v>
      </c>
      <c r="B215" t="s">
        <v>1491</v>
      </c>
      <c r="C215" t="s">
        <v>1640</v>
      </c>
      <c r="D215" t="s">
        <v>253</v>
      </c>
      <c r="E215" t="s">
        <v>1647</v>
      </c>
      <c r="F215" t="s">
        <v>273</v>
      </c>
      <c r="G215" t="s">
        <v>275</v>
      </c>
      <c r="H215">
        <v>36.82</v>
      </c>
      <c r="I215" t="s">
        <v>274</v>
      </c>
      <c r="K215" t="s">
        <v>1705</v>
      </c>
      <c r="M215" t="s">
        <v>474</v>
      </c>
      <c r="N215" t="s">
        <v>286</v>
      </c>
      <c r="O215" t="s">
        <v>275</v>
      </c>
      <c r="P215" t="s">
        <v>492</v>
      </c>
      <c r="Q215" t="s">
        <v>502</v>
      </c>
      <c r="S215" t="s">
        <v>503</v>
      </c>
      <c r="T215" t="s">
        <v>508</v>
      </c>
      <c r="U215" t="s">
        <v>511</v>
      </c>
      <c r="V215">
        <v>11377</v>
      </c>
      <c r="W215" t="s">
        <v>518</v>
      </c>
      <c r="X215" t="s">
        <v>548</v>
      </c>
      <c r="Y215" t="s">
        <v>275</v>
      </c>
      <c r="Z215" t="s">
        <v>1983</v>
      </c>
      <c r="AA215" t="s">
        <v>2241</v>
      </c>
      <c r="AB215" t="s">
        <v>902</v>
      </c>
      <c r="AC215" t="s">
        <v>905</v>
      </c>
      <c r="AF215" t="s">
        <v>926</v>
      </c>
      <c r="AI215">
        <v>5.05</v>
      </c>
      <c r="AJ215" t="s">
        <v>558</v>
      </c>
      <c r="AK215" t="s">
        <v>941</v>
      </c>
      <c r="AL215" t="s">
        <v>274</v>
      </c>
      <c r="AM215" t="s">
        <v>973</v>
      </c>
      <c r="AT215">
        <v>3</v>
      </c>
      <c r="AU215">
        <v>1</v>
      </c>
      <c r="AV215" t="s">
        <v>273</v>
      </c>
      <c r="AY215" t="s">
        <v>273</v>
      </c>
      <c r="BB215">
        <v>0</v>
      </c>
      <c r="BC215">
        <v>0</v>
      </c>
      <c r="BD215">
        <v>0</v>
      </c>
      <c r="BE215">
        <v>0</v>
      </c>
      <c r="BF215" t="s">
        <v>1063</v>
      </c>
      <c r="BG215" t="s">
        <v>2573</v>
      </c>
      <c r="BH215">
        <v>14</v>
      </c>
      <c r="BI215" t="s">
        <v>2762</v>
      </c>
      <c r="BK215">
        <v>1889742</v>
      </c>
      <c r="BL215" t="s">
        <v>274</v>
      </c>
    </row>
    <row r="216" spans="1:64">
      <c r="A216" s="1">
        <f>HYPERLINK("https://lsnyc.legalserver.org/matter/dynamic-profile/view/1888901","19-1888901")</f>
        <v>0</v>
      </c>
      <c r="B216" t="s">
        <v>1492</v>
      </c>
      <c r="C216" t="s">
        <v>1640</v>
      </c>
      <c r="D216" t="s">
        <v>253</v>
      </c>
      <c r="E216" t="s">
        <v>1650</v>
      </c>
      <c r="F216" t="s">
        <v>273</v>
      </c>
      <c r="G216" t="s">
        <v>275</v>
      </c>
      <c r="H216">
        <v>196.91</v>
      </c>
      <c r="K216" t="s">
        <v>351</v>
      </c>
      <c r="O216" t="s">
        <v>274</v>
      </c>
      <c r="P216" t="s">
        <v>492</v>
      </c>
      <c r="Q216" t="s">
        <v>501</v>
      </c>
      <c r="S216" t="s">
        <v>503</v>
      </c>
      <c r="T216" t="s">
        <v>508</v>
      </c>
      <c r="U216" t="s">
        <v>511</v>
      </c>
      <c r="V216">
        <v>11419</v>
      </c>
      <c r="X216" t="s">
        <v>1841</v>
      </c>
      <c r="Z216" t="s">
        <v>1984</v>
      </c>
      <c r="AA216" t="s">
        <v>2203</v>
      </c>
      <c r="AB216" t="s">
        <v>902</v>
      </c>
      <c r="AC216" t="s">
        <v>904</v>
      </c>
      <c r="AI216">
        <v>0.5</v>
      </c>
      <c r="AJ216" t="s">
        <v>558</v>
      </c>
      <c r="AK216" t="s">
        <v>2369</v>
      </c>
      <c r="AT216">
        <v>1</v>
      </c>
      <c r="AU216">
        <v>2</v>
      </c>
      <c r="AV216" t="s">
        <v>273</v>
      </c>
      <c r="AY216" t="s">
        <v>273</v>
      </c>
      <c r="BB216">
        <v>0</v>
      </c>
      <c r="BC216">
        <v>0</v>
      </c>
      <c r="BD216">
        <v>0</v>
      </c>
      <c r="BE216">
        <v>0</v>
      </c>
      <c r="BF216" t="s">
        <v>1063</v>
      </c>
      <c r="BG216" t="s">
        <v>2574</v>
      </c>
      <c r="BH216">
        <v>40</v>
      </c>
      <c r="BI216" t="s">
        <v>2747</v>
      </c>
      <c r="BK216">
        <v>1889533</v>
      </c>
    </row>
    <row r="217" spans="1:64">
      <c r="A217" s="1">
        <f>HYPERLINK("https://lsnyc.legalserver.org/matter/dynamic-profile/view/1888781","19-1888781")</f>
        <v>0</v>
      </c>
      <c r="B217" t="s">
        <v>1493</v>
      </c>
      <c r="C217" t="s">
        <v>1640</v>
      </c>
      <c r="D217" t="s">
        <v>253</v>
      </c>
      <c r="E217" t="s">
        <v>1646</v>
      </c>
      <c r="F217" t="s">
        <v>275</v>
      </c>
      <c r="G217" t="s">
        <v>275</v>
      </c>
      <c r="H217">
        <v>0</v>
      </c>
      <c r="I217" t="s">
        <v>274</v>
      </c>
      <c r="K217" t="s">
        <v>1706</v>
      </c>
      <c r="L217" t="s">
        <v>481</v>
      </c>
      <c r="O217" t="s">
        <v>275</v>
      </c>
      <c r="P217" t="s">
        <v>493</v>
      </c>
      <c r="Q217" t="s">
        <v>501</v>
      </c>
      <c r="S217" t="s">
        <v>503</v>
      </c>
      <c r="T217" t="s">
        <v>508</v>
      </c>
      <c r="U217" t="s">
        <v>511</v>
      </c>
      <c r="V217">
        <v>11432</v>
      </c>
      <c r="W217" t="s">
        <v>525</v>
      </c>
      <c r="X217" t="s">
        <v>549</v>
      </c>
      <c r="Y217" t="s">
        <v>274</v>
      </c>
      <c r="Z217" t="s">
        <v>1985</v>
      </c>
      <c r="AA217" t="s">
        <v>2242</v>
      </c>
      <c r="AB217" t="s">
        <v>902</v>
      </c>
      <c r="AC217" t="s">
        <v>904</v>
      </c>
      <c r="AD217" t="s">
        <v>275</v>
      </c>
      <c r="AE217" t="s">
        <v>919</v>
      </c>
      <c r="AF217" t="s">
        <v>923</v>
      </c>
      <c r="AI217">
        <v>3.95</v>
      </c>
      <c r="AJ217" t="s">
        <v>558</v>
      </c>
      <c r="AK217" t="s">
        <v>965</v>
      </c>
      <c r="AL217" t="s">
        <v>274</v>
      </c>
      <c r="AM217" t="s">
        <v>973</v>
      </c>
      <c r="AN217" t="s">
        <v>343</v>
      </c>
      <c r="AO217" t="s">
        <v>976</v>
      </c>
      <c r="AP217" t="s">
        <v>995</v>
      </c>
      <c r="AQ217" t="s">
        <v>1038</v>
      </c>
      <c r="AR217" t="s">
        <v>1051</v>
      </c>
      <c r="AT217">
        <v>0</v>
      </c>
      <c r="AU217">
        <v>1</v>
      </c>
      <c r="AV217" t="s">
        <v>273</v>
      </c>
      <c r="AY217" t="s">
        <v>273</v>
      </c>
      <c r="BB217">
        <v>0</v>
      </c>
      <c r="BC217">
        <v>0</v>
      </c>
      <c r="BD217">
        <v>0</v>
      </c>
      <c r="BE217">
        <v>0</v>
      </c>
      <c r="BF217" t="s">
        <v>493</v>
      </c>
      <c r="BG217" t="s">
        <v>2575</v>
      </c>
      <c r="BH217">
        <v>46</v>
      </c>
      <c r="BI217" t="s">
        <v>1247</v>
      </c>
      <c r="BK217">
        <v>795050</v>
      </c>
    </row>
    <row r="218" spans="1:64">
      <c r="A218" s="1">
        <f>HYPERLINK("https://lsnyc.legalserver.org/matter/dynamic-profile/view/1888697","19-1888697")</f>
        <v>0</v>
      </c>
      <c r="B218" t="s">
        <v>1494</v>
      </c>
      <c r="C218" t="s">
        <v>1640</v>
      </c>
      <c r="D218" t="s">
        <v>253</v>
      </c>
      <c r="E218" t="s">
        <v>1645</v>
      </c>
      <c r="F218" t="s">
        <v>273</v>
      </c>
      <c r="G218" t="s">
        <v>275</v>
      </c>
      <c r="H218">
        <v>0</v>
      </c>
      <c r="I218" t="s">
        <v>274</v>
      </c>
      <c r="K218" t="s">
        <v>1707</v>
      </c>
      <c r="M218" t="s">
        <v>474</v>
      </c>
      <c r="N218" t="s">
        <v>451</v>
      </c>
      <c r="P218" t="s">
        <v>492</v>
      </c>
      <c r="Q218" t="s">
        <v>502</v>
      </c>
      <c r="S218" t="s">
        <v>503</v>
      </c>
      <c r="T218" t="s">
        <v>508</v>
      </c>
      <c r="U218" t="s">
        <v>511</v>
      </c>
      <c r="V218">
        <v>11691</v>
      </c>
      <c r="W218" t="s">
        <v>529</v>
      </c>
      <c r="X218" t="s">
        <v>548</v>
      </c>
      <c r="Y218" t="s">
        <v>275</v>
      </c>
      <c r="Z218" t="s">
        <v>1986</v>
      </c>
      <c r="AA218" t="s">
        <v>2121</v>
      </c>
      <c r="AB218" t="s">
        <v>902</v>
      </c>
      <c r="AC218" t="s">
        <v>905</v>
      </c>
      <c r="AF218" t="s">
        <v>923</v>
      </c>
      <c r="AI218">
        <v>28.9</v>
      </c>
      <c r="AJ218" t="s">
        <v>558</v>
      </c>
      <c r="AK218" t="s">
        <v>934</v>
      </c>
      <c r="AL218" t="s">
        <v>274</v>
      </c>
      <c r="AT218">
        <v>1</v>
      </c>
      <c r="AU218">
        <v>1</v>
      </c>
      <c r="AV218" t="s">
        <v>273</v>
      </c>
      <c r="AY218" t="s">
        <v>273</v>
      </c>
      <c r="BB218">
        <v>0</v>
      </c>
      <c r="BC218">
        <v>0</v>
      </c>
      <c r="BD218">
        <v>0</v>
      </c>
      <c r="BE218">
        <v>0</v>
      </c>
      <c r="BF218" t="s">
        <v>1063</v>
      </c>
      <c r="BG218" t="s">
        <v>2576</v>
      </c>
      <c r="BH218">
        <v>17</v>
      </c>
      <c r="BI218" t="s">
        <v>1247</v>
      </c>
      <c r="BK218">
        <v>1880625</v>
      </c>
    </row>
    <row r="219" spans="1:64">
      <c r="A219" s="1">
        <f>HYPERLINK("https://lsnyc.legalserver.org/matter/dynamic-profile/view/1888453","19-1888453")</f>
        <v>0</v>
      </c>
      <c r="B219" t="s">
        <v>1495</v>
      </c>
      <c r="C219" t="s">
        <v>1640</v>
      </c>
      <c r="D219" t="s">
        <v>255</v>
      </c>
      <c r="E219" t="s">
        <v>1646</v>
      </c>
      <c r="F219" t="s">
        <v>275</v>
      </c>
      <c r="G219" t="s">
        <v>275</v>
      </c>
      <c r="H219">
        <v>0</v>
      </c>
      <c r="I219" t="s">
        <v>274</v>
      </c>
      <c r="K219" t="s">
        <v>352</v>
      </c>
      <c r="L219" t="s">
        <v>1657</v>
      </c>
      <c r="O219" t="s">
        <v>275</v>
      </c>
      <c r="P219" t="s">
        <v>493</v>
      </c>
      <c r="Q219" t="s">
        <v>501</v>
      </c>
      <c r="S219" t="s">
        <v>503</v>
      </c>
      <c r="T219" t="s">
        <v>507</v>
      </c>
      <c r="U219" t="s">
        <v>511</v>
      </c>
      <c r="V219">
        <v>10034</v>
      </c>
      <c r="W219" t="s">
        <v>521</v>
      </c>
      <c r="X219" t="s">
        <v>548</v>
      </c>
      <c r="Z219" t="s">
        <v>1952</v>
      </c>
      <c r="AA219" t="s">
        <v>2243</v>
      </c>
      <c r="AB219" t="s">
        <v>902</v>
      </c>
      <c r="AC219" t="s">
        <v>905</v>
      </c>
      <c r="AD219" t="s">
        <v>275</v>
      </c>
      <c r="AE219" t="s">
        <v>920</v>
      </c>
      <c r="AF219" t="s">
        <v>928</v>
      </c>
      <c r="AI219">
        <v>0.75</v>
      </c>
      <c r="AJ219" t="s">
        <v>558</v>
      </c>
      <c r="AK219" t="s">
        <v>950</v>
      </c>
      <c r="AL219" t="s">
        <v>274</v>
      </c>
      <c r="AQ219" t="s">
        <v>1033</v>
      </c>
      <c r="AR219" t="s">
        <v>1051</v>
      </c>
      <c r="AT219">
        <v>0</v>
      </c>
      <c r="AU219">
        <v>1</v>
      </c>
      <c r="AV219" t="s">
        <v>273</v>
      </c>
      <c r="AY219" t="s">
        <v>273</v>
      </c>
      <c r="BB219">
        <v>0</v>
      </c>
      <c r="BC219">
        <v>0</v>
      </c>
      <c r="BD219">
        <v>0</v>
      </c>
      <c r="BE219">
        <v>0</v>
      </c>
      <c r="BF219" t="s">
        <v>493</v>
      </c>
      <c r="BG219" t="s">
        <v>2577</v>
      </c>
      <c r="BH219">
        <v>25</v>
      </c>
      <c r="BI219" t="s">
        <v>1247</v>
      </c>
      <c r="BK219">
        <v>1889084</v>
      </c>
    </row>
    <row r="220" spans="1:64">
      <c r="A220" s="1">
        <f>HYPERLINK("https://lsnyc.legalserver.org/matter/dynamic-profile/view/1888458","19-1888458")</f>
        <v>0</v>
      </c>
      <c r="B220" t="s">
        <v>1496</v>
      </c>
      <c r="C220" t="s">
        <v>1640</v>
      </c>
      <c r="D220" t="s">
        <v>255</v>
      </c>
      <c r="E220" t="s">
        <v>1646</v>
      </c>
      <c r="F220" t="s">
        <v>275</v>
      </c>
      <c r="G220" t="s">
        <v>275</v>
      </c>
      <c r="H220">
        <v>151.88</v>
      </c>
      <c r="I220" t="s">
        <v>274</v>
      </c>
      <c r="K220" t="s">
        <v>352</v>
      </c>
      <c r="L220" t="s">
        <v>1657</v>
      </c>
      <c r="O220" t="s">
        <v>275</v>
      </c>
      <c r="P220" t="s">
        <v>493</v>
      </c>
      <c r="Q220" t="s">
        <v>501</v>
      </c>
      <c r="S220" t="s">
        <v>503</v>
      </c>
      <c r="T220" t="s">
        <v>507</v>
      </c>
      <c r="U220" t="s">
        <v>511</v>
      </c>
      <c r="V220">
        <v>10003</v>
      </c>
      <c r="W220" t="s">
        <v>521</v>
      </c>
      <c r="X220" t="s">
        <v>1838</v>
      </c>
      <c r="Z220" t="s">
        <v>1987</v>
      </c>
      <c r="AA220" t="s">
        <v>2244</v>
      </c>
      <c r="AB220" t="s">
        <v>902</v>
      </c>
      <c r="AC220" t="s">
        <v>905</v>
      </c>
      <c r="AD220" t="s">
        <v>275</v>
      </c>
      <c r="AE220" t="s">
        <v>920</v>
      </c>
      <c r="AF220" t="s">
        <v>928</v>
      </c>
      <c r="AI220">
        <v>0.75</v>
      </c>
      <c r="AJ220" t="s">
        <v>558</v>
      </c>
      <c r="AK220" t="s">
        <v>2366</v>
      </c>
      <c r="AL220" t="s">
        <v>274</v>
      </c>
      <c r="AQ220" t="s">
        <v>1033</v>
      </c>
      <c r="AR220" t="s">
        <v>1051</v>
      </c>
      <c r="AT220">
        <v>0</v>
      </c>
      <c r="AU220">
        <v>2</v>
      </c>
      <c r="AV220" t="s">
        <v>273</v>
      </c>
      <c r="AY220" t="s">
        <v>273</v>
      </c>
      <c r="BB220">
        <v>0</v>
      </c>
      <c r="BC220">
        <v>0</v>
      </c>
      <c r="BD220">
        <v>0</v>
      </c>
      <c r="BE220">
        <v>0</v>
      </c>
      <c r="BF220" t="s">
        <v>493</v>
      </c>
      <c r="BG220" t="s">
        <v>2578</v>
      </c>
      <c r="BH220">
        <v>49</v>
      </c>
      <c r="BI220" t="s">
        <v>1274</v>
      </c>
      <c r="BK220">
        <v>1889089</v>
      </c>
    </row>
    <row r="221" spans="1:64">
      <c r="A221" s="1">
        <f>HYPERLINK("https://lsnyc.legalserver.org/matter/dynamic-profile/view/1888356","19-1888356")</f>
        <v>0</v>
      </c>
      <c r="B221" t="s">
        <v>1485</v>
      </c>
      <c r="C221" t="s">
        <v>1640</v>
      </c>
      <c r="D221" t="s">
        <v>253</v>
      </c>
      <c r="E221" t="s">
        <v>1648</v>
      </c>
      <c r="F221" t="s">
        <v>273</v>
      </c>
      <c r="G221" t="s">
        <v>275</v>
      </c>
      <c r="H221">
        <v>153.76</v>
      </c>
      <c r="I221" t="s">
        <v>274</v>
      </c>
      <c r="K221" t="s">
        <v>353</v>
      </c>
      <c r="Q221" t="s">
        <v>501</v>
      </c>
      <c r="S221" t="s">
        <v>503</v>
      </c>
      <c r="T221" t="s">
        <v>508</v>
      </c>
      <c r="U221" t="s">
        <v>511</v>
      </c>
      <c r="V221">
        <v>11433</v>
      </c>
      <c r="W221" t="s">
        <v>524</v>
      </c>
      <c r="Y221" t="s">
        <v>275</v>
      </c>
      <c r="Z221" t="s">
        <v>1979</v>
      </c>
      <c r="AA221" t="s">
        <v>2236</v>
      </c>
      <c r="AB221" t="s">
        <v>902</v>
      </c>
      <c r="AC221" t="s">
        <v>910</v>
      </c>
      <c r="AF221" t="s">
        <v>923</v>
      </c>
      <c r="AI221">
        <v>13.3</v>
      </c>
      <c r="AK221" t="s">
        <v>2374</v>
      </c>
      <c r="AL221" t="s">
        <v>274</v>
      </c>
      <c r="AM221" t="s">
        <v>973</v>
      </c>
      <c r="AN221" t="s">
        <v>308</v>
      </c>
      <c r="AT221">
        <v>0</v>
      </c>
      <c r="AU221">
        <v>2</v>
      </c>
      <c r="AV221" t="s">
        <v>273</v>
      </c>
      <c r="AY221" t="s">
        <v>273</v>
      </c>
      <c r="BB221">
        <v>0</v>
      </c>
      <c r="BC221">
        <v>0</v>
      </c>
      <c r="BD221">
        <v>0</v>
      </c>
      <c r="BE221">
        <v>0</v>
      </c>
      <c r="BF221" t="s">
        <v>1063</v>
      </c>
      <c r="BG221" t="s">
        <v>2568</v>
      </c>
      <c r="BH221">
        <v>54</v>
      </c>
      <c r="BI221" t="s">
        <v>1279</v>
      </c>
      <c r="BK221">
        <v>784046</v>
      </c>
    </row>
    <row r="222" spans="1:64">
      <c r="A222" s="1">
        <f>HYPERLINK("https://lsnyc.legalserver.org/matter/dynamic-profile/view/1888392","19-1888392")</f>
        <v>0</v>
      </c>
      <c r="B222" t="s">
        <v>1424</v>
      </c>
      <c r="C222" t="s">
        <v>1640</v>
      </c>
      <c r="D222" t="s">
        <v>257</v>
      </c>
      <c r="E222" t="s">
        <v>1645</v>
      </c>
      <c r="F222" t="s">
        <v>273</v>
      </c>
      <c r="G222" t="s">
        <v>275</v>
      </c>
      <c r="H222">
        <v>0</v>
      </c>
      <c r="I222" t="s">
        <v>274</v>
      </c>
      <c r="K222" t="s">
        <v>353</v>
      </c>
      <c r="M222" t="s">
        <v>474</v>
      </c>
      <c r="N222" t="s">
        <v>458</v>
      </c>
      <c r="O222" t="s">
        <v>275</v>
      </c>
      <c r="P222" t="s">
        <v>492</v>
      </c>
      <c r="Q222" t="s">
        <v>501</v>
      </c>
      <c r="S222" t="s">
        <v>503</v>
      </c>
      <c r="T222" t="s">
        <v>508</v>
      </c>
      <c r="U222" t="s">
        <v>511</v>
      </c>
      <c r="V222">
        <v>10457</v>
      </c>
      <c r="W222" t="s">
        <v>536</v>
      </c>
      <c r="X222" t="s">
        <v>549</v>
      </c>
      <c r="Y222" t="s">
        <v>275</v>
      </c>
      <c r="Z222" t="s">
        <v>1929</v>
      </c>
      <c r="AA222" t="s">
        <v>2182</v>
      </c>
      <c r="AB222" t="s">
        <v>902</v>
      </c>
      <c r="AC222" t="s">
        <v>905</v>
      </c>
      <c r="AF222" t="s">
        <v>923</v>
      </c>
      <c r="AI222">
        <v>30.97</v>
      </c>
      <c r="AJ222" t="s">
        <v>558</v>
      </c>
      <c r="AK222" t="s">
        <v>950</v>
      </c>
      <c r="AL222" t="s">
        <v>274</v>
      </c>
      <c r="AM222" t="s">
        <v>973</v>
      </c>
      <c r="AN222" t="s">
        <v>2386</v>
      </c>
      <c r="AT222">
        <v>1</v>
      </c>
      <c r="AU222">
        <v>2</v>
      </c>
      <c r="AV222" t="s">
        <v>273</v>
      </c>
      <c r="AY222" t="s">
        <v>273</v>
      </c>
      <c r="BB222">
        <v>0</v>
      </c>
      <c r="BC222">
        <v>0</v>
      </c>
      <c r="BD222">
        <v>0</v>
      </c>
      <c r="BE222">
        <v>0</v>
      </c>
      <c r="BF222" t="s">
        <v>1063</v>
      </c>
      <c r="BG222" t="s">
        <v>2509</v>
      </c>
      <c r="BH222">
        <v>37</v>
      </c>
      <c r="BI222" t="s">
        <v>1247</v>
      </c>
      <c r="BK222">
        <v>1889021</v>
      </c>
    </row>
    <row r="223" spans="1:64">
      <c r="A223" s="1">
        <f>HYPERLINK("https://lsnyc.legalserver.org/matter/dynamic-profile/view/1888529","19-1888529")</f>
        <v>0</v>
      </c>
      <c r="B223" t="s">
        <v>1497</v>
      </c>
      <c r="C223" t="s">
        <v>1640</v>
      </c>
      <c r="D223" t="s">
        <v>253</v>
      </c>
      <c r="E223" t="s">
        <v>1647</v>
      </c>
      <c r="F223" t="s">
        <v>273</v>
      </c>
      <c r="G223" t="s">
        <v>275</v>
      </c>
      <c r="H223">
        <v>151.46</v>
      </c>
      <c r="I223" t="s">
        <v>274</v>
      </c>
      <c r="K223" t="s">
        <v>353</v>
      </c>
      <c r="M223" t="s">
        <v>472</v>
      </c>
      <c r="N223" t="s">
        <v>291</v>
      </c>
      <c r="P223" t="s">
        <v>496</v>
      </c>
      <c r="Q223" t="s">
        <v>502</v>
      </c>
      <c r="S223" t="s">
        <v>503</v>
      </c>
      <c r="T223" t="s">
        <v>507</v>
      </c>
      <c r="U223" t="s">
        <v>511</v>
      </c>
      <c r="V223">
        <v>11435</v>
      </c>
      <c r="W223" t="s">
        <v>529</v>
      </c>
      <c r="X223" t="s">
        <v>548</v>
      </c>
      <c r="Y223" t="s">
        <v>275</v>
      </c>
      <c r="Z223" t="s">
        <v>1988</v>
      </c>
      <c r="AA223" t="s">
        <v>2245</v>
      </c>
      <c r="AB223" t="s">
        <v>902</v>
      </c>
      <c r="AC223" t="s">
        <v>905</v>
      </c>
      <c r="AF223" t="s">
        <v>923</v>
      </c>
      <c r="AI223">
        <v>2.7</v>
      </c>
      <c r="AJ223" t="s">
        <v>558</v>
      </c>
      <c r="AK223" t="s">
        <v>941</v>
      </c>
      <c r="AL223" t="s">
        <v>274</v>
      </c>
      <c r="AM223" t="s">
        <v>973</v>
      </c>
      <c r="AN223" t="s">
        <v>352</v>
      </c>
      <c r="AT223">
        <v>2</v>
      </c>
      <c r="AU223">
        <v>2</v>
      </c>
      <c r="AV223" t="s">
        <v>273</v>
      </c>
      <c r="AY223" t="s">
        <v>273</v>
      </c>
      <c r="BB223">
        <v>0</v>
      </c>
      <c r="BC223">
        <v>0</v>
      </c>
      <c r="BD223">
        <v>0</v>
      </c>
      <c r="BE223">
        <v>0</v>
      </c>
      <c r="BF223" t="s">
        <v>1063</v>
      </c>
      <c r="BG223" t="s">
        <v>2452</v>
      </c>
      <c r="BH223">
        <v>17</v>
      </c>
      <c r="BI223" t="s">
        <v>1273</v>
      </c>
      <c r="BK223">
        <v>1880169</v>
      </c>
    </row>
    <row r="224" spans="1:64">
      <c r="A224" s="1">
        <f>HYPERLINK("https://lsnyc.legalserver.org/matter/dynamic-profile/view/1888089","19-1888089")</f>
        <v>0</v>
      </c>
      <c r="B224" t="s">
        <v>1472</v>
      </c>
      <c r="C224" t="s">
        <v>1640</v>
      </c>
      <c r="D224" t="s">
        <v>253</v>
      </c>
      <c r="E224" t="s">
        <v>1646</v>
      </c>
      <c r="F224" t="s">
        <v>273</v>
      </c>
      <c r="G224" t="s">
        <v>275</v>
      </c>
      <c r="H224">
        <v>118.62</v>
      </c>
      <c r="I224" t="s">
        <v>274</v>
      </c>
      <c r="K224" t="s">
        <v>1708</v>
      </c>
      <c r="O224" t="s">
        <v>275</v>
      </c>
      <c r="P224" t="s">
        <v>492</v>
      </c>
      <c r="Q224" t="s">
        <v>501</v>
      </c>
      <c r="S224" t="s">
        <v>503</v>
      </c>
      <c r="T224" t="s">
        <v>508</v>
      </c>
      <c r="U224" t="s">
        <v>511</v>
      </c>
      <c r="V224">
        <v>11370</v>
      </c>
      <c r="W224" t="s">
        <v>522</v>
      </c>
      <c r="X224" t="s">
        <v>549</v>
      </c>
      <c r="Y224" t="s">
        <v>274</v>
      </c>
      <c r="Z224" t="s">
        <v>1968</v>
      </c>
      <c r="AA224" t="s">
        <v>2224</v>
      </c>
      <c r="AB224" t="s">
        <v>902</v>
      </c>
      <c r="AC224" t="s">
        <v>904</v>
      </c>
      <c r="AF224" t="s">
        <v>923</v>
      </c>
      <c r="AI224">
        <v>9.800000000000001</v>
      </c>
      <c r="AJ224" t="s">
        <v>558</v>
      </c>
      <c r="AK224" t="s">
        <v>2372</v>
      </c>
      <c r="AL224" t="s">
        <v>274</v>
      </c>
      <c r="AM224" t="s">
        <v>973</v>
      </c>
      <c r="AN224" t="s">
        <v>352</v>
      </c>
      <c r="AT224">
        <v>0</v>
      </c>
      <c r="AU224">
        <v>1</v>
      </c>
      <c r="AV224" t="s">
        <v>273</v>
      </c>
      <c r="AY224" t="s">
        <v>273</v>
      </c>
      <c r="BB224">
        <v>0</v>
      </c>
      <c r="BC224">
        <v>0</v>
      </c>
      <c r="BD224">
        <v>0</v>
      </c>
      <c r="BE224">
        <v>0</v>
      </c>
      <c r="BF224" t="s">
        <v>1063</v>
      </c>
      <c r="BG224" t="s">
        <v>2555</v>
      </c>
      <c r="BH224">
        <v>36</v>
      </c>
      <c r="BI224" t="s">
        <v>1253</v>
      </c>
      <c r="BK224">
        <v>1888638</v>
      </c>
    </row>
    <row r="225" spans="1:64">
      <c r="A225" s="1">
        <f>HYPERLINK("https://lsnyc.legalserver.org/matter/dynamic-profile/view/1888095","19-1888095")</f>
        <v>0</v>
      </c>
      <c r="B225" t="s">
        <v>1498</v>
      </c>
      <c r="C225" t="s">
        <v>1640</v>
      </c>
      <c r="D225" t="s">
        <v>253</v>
      </c>
      <c r="E225" t="s">
        <v>1645</v>
      </c>
      <c r="F225" t="s">
        <v>273</v>
      </c>
      <c r="G225" t="s">
        <v>275</v>
      </c>
      <c r="H225">
        <v>0</v>
      </c>
      <c r="I225" t="s">
        <v>274</v>
      </c>
      <c r="K225" t="s">
        <v>1709</v>
      </c>
      <c r="M225" t="s">
        <v>471</v>
      </c>
      <c r="N225" t="s">
        <v>1813</v>
      </c>
      <c r="O225" t="s">
        <v>275</v>
      </c>
      <c r="P225" t="s">
        <v>492</v>
      </c>
      <c r="Q225" t="s">
        <v>502</v>
      </c>
      <c r="S225" t="s">
        <v>503</v>
      </c>
      <c r="T225" t="s">
        <v>507</v>
      </c>
      <c r="U225" t="s">
        <v>511</v>
      </c>
      <c r="V225">
        <v>11368</v>
      </c>
      <c r="W225" t="s">
        <v>518</v>
      </c>
      <c r="X225" t="s">
        <v>548</v>
      </c>
      <c r="Y225" t="s">
        <v>275</v>
      </c>
      <c r="Z225" t="s">
        <v>1989</v>
      </c>
      <c r="AA225" t="s">
        <v>2172</v>
      </c>
      <c r="AB225" t="s">
        <v>902</v>
      </c>
      <c r="AC225" t="s">
        <v>906</v>
      </c>
      <c r="AF225" t="s">
        <v>923</v>
      </c>
      <c r="AI225">
        <v>2.5</v>
      </c>
      <c r="AJ225" t="s">
        <v>558</v>
      </c>
      <c r="AK225" t="s">
        <v>941</v>
      </c>
      <c r="AL225" t="s">
        <v>274</v>
      </c>
      <c r="AT225">
        <v>2</v>
      </c>
      <c r="AU225">
        <v>3</v>
      </c>
      <c r="AV225" t="s">
        <v>273</v>
      </c>
      <c r="AY225" t="s">
        <v>273</v>
      </c>
      <c r="BB225">
        <v>0</v>
      </c>
      <c r="BC225">
        <v>0</v>
      </c>
      <c r="BD225">
        <v>0</v>
      </c>
      <c r="BE225">
        <v>0</v>
      </c>
      <c r="BF225" t="s">
        <v>1063</v>
      </c>
      <c r="BG225" t="s">
        <v>2579</v>
      </c>
      <c r="BH225">
        <v>17</v>
      </c>
      <c r="BI225" t="s">
        <v>1247</v>
      </c>
      <c r="BK225">
        <v>1888724</v>
      </c>
    </row>
    <row r="226" spans="1:64">
      <c r="A226" s="1">
        <f>HYPERLINK("https://lsnyc.legalserver.org/matter/dynamic-profile/view/1888101","19-1888101")</f>
        <v>0</v>
      </c>
      <c r="B226" t="s">
        <v>1498</v>
      </c>
      <c r="C226" t="s">
        <v>1640</v>
      </c>
      <c r="D226" t="s">
        <v>253</v>
      </c>
      <c r="E226" t="s">
        <v>1645</v>
      </c>
      <c r="F226" t="s">
        <v>273</v>
      </c>
      <c r="G226" t="s">
        <v>275</v>
      </c>
      <c r="H226">
        <v>0</v>
      </c>
      <c r="I226" t="s">
        <v>274</v>
      </c>
      <c r="K226" t="s">
        <v>1709</v>
      </c>
      <c r="M226" t="s">
        <v>471</v>
      </c>
      <c r="N226" t="s">
        <v>1813</v>
      </c>
      <c r="P226" t="s">
        <v>492</v>
      </c>
      <c r="Q226" t="s">
        <v>502</v>
      </c>
      <c r="S226" t="s">
        <v>503</v>
      </c>
      <c r="T226" t="s">
        <v>507</v>
      </c>
      <c r="U226" t="s">
        <v>511</v>
      </c>
      <c r="V226">
        <v>11368</v>
      </c>
      <c r="W226" t="s">
        <v>529</v>
      </c>
      <c r="X226" t="s">
        <v>548</v>
      </c>
      <c r="Y226" t="s">
        <v>275</v>
      </c>
      <c r="Z226" t="s">
        <v>1989</v>
      </c>
      <c r="AA226" t="s">
        <v>2172</v>
      </c>
      <c r="AB226" t="s">
        <v>902</v>
      </c>
      <c r="AC226" t="s">
        <v>906</v>
      </c>
      <c r="AF226" t="s">
        <v>923</v>
      </c>
      <c r="AI226">
        <v>32.7</v>
      </c>
      <c r="AJ226" t="s">
        <v>558</v>
      </c>
      <c r="AK226" t="s">
        <v>941</v>
      </c>
      <c r="AL226" t="s">
        <v>274</v>
      </c>
      <c r="AT226">
        <v>2</v>
      </c>
      <c r="AU226">
        <v>1</v>
      </c>
      <c r="AV226" t="s">
        <v>273</v>
      </c>
      <c r="AY226" t="s">
        <v>273</v>
      </c>
      <c r="BB226">
        <v>0</v>
      </c>
      <c r="BC226">
        <v>0</v>
      </c>
      <c r="BD226">
        <v>0</v>
      </c>
      <c r="BE226">
        <v>0</v>
      </c>
      <c r="BF226" t="s">
        <v>1063</v>
      </c>
      <c r="BG226" t="s">
        <v>2579</v>
      </c>
      <c r="BH226">
        <v>17</v>
      </c>
      <c r="BI226" t="s">
        <v>1247</v>
      </c>
      <c r="BK226">
        <v>1888724</v>
      </c>
    </row>
    <row r="227" spans="1:64">
      <c r="A227" s="1">
        <f>HYPERLINK("https://lsnyc.legalserver.org/matter/dynamic-profile/view/1888126","19-1888126")</f>
        <v>0</v>
      </c>
      <c r="B227" t="s">
        <v>1412</v>
      </c>
      <c r="C227" t="s">
        <v>1640</v>
      </c>
      <c r="D227" t="s">
        <v>253</v>
      </c>
      <c r="E227" t="s">
        <v>1649</v>
      </c>
      <c r="F227" t="s">
        <v>273</v>
      </c>
      <c r="G227" t="s">
        <v>275</v>
      </c>
      <c r="H227">
        <v>0</v>
      </c>
      <c r="I227" t="s">
        <v>274</v>
      </c>
      <c r="K227" t="s">
        <v>1709</v>
      </c>
      <c r="M227" t="s">
        <v>471</v>
      </c>
      <c r="N227" t="s">
        <v>455</v>
      </c>
      <c r="O227" t="s">
        <v>275</v>
      </c>
      <c r="P227" t="s">
        <v>492</v>
      </c>
      <c r="Q227" t="s">
        <v>502</v>
      </c>
      <c r="S227" t="s">
        <v>503</v>
      </c>
      <c r="T227" t="s">
        <v>508</v>
      </c>
      <c r="U227" t="s">
        <v>511</v>
      </c>
      <c r="V227">
        <v>11368</v>
      </c>
      <c r="W227" t="s">
        <v>518</v>
      </c>
      <c r="X227" t="s">
        <v>548</v>
      </c>
      <c r="Y227" t="s">
        <v>275</v>
      </c>
      <c r="Z227" t="s">
        <v>1920</v>
      </c>
      <c r="AA227" t="s">
        <v>2172</v>
      </c>
      <c r="AB227" t="s">
        <v>902</v>
      </c>
      <c r="AC227" t="s">
        <v>906</v>
      </c>
      <c r="AF227" t="s">
        <v>926</v>
      </c>
      <c r="AI227">
        <v>60.9</v>
      </c>
      <c r="AJ227" t="s">
        <v>558</v>
      </c>
      <c r="AK227" t="s">
        <v>941</v>
      </c>
      <c r="AL227" t="s">
        <v>274</v>
      </c>
      <c r="AT227">
        <v>2</v>
      </c>
      <c r="AU227">
        <v>1</v>
      </c>
      <c r="AV227" t="s">
        <v>273</v>
      </c>
      <c r="AY227" t="s">
        <v>273</v>
      </c>
      <c r="BB227">
        <v>0</v>
      </c>
      <c r="BC227">
        <v>0</v>
      </c>
      <c r="BD227">
        <v>0</v>
      </c>
      <c r="BE227">
        <v>0</v>
      </c>
      <c r="BF227" t="s">
        <v>1063</v>
      </c>
      <c r="BG227" t="s">
        <v>2497</v>
      </c>
      <c r="BH227">
        <v>14</v>
      </c>
      <c r="BI227" t="s">
        <v>1247</v>
      </c>
      <c r="BK227">
        <v>1888755</v>
      </c>
    </row>
    <row r="228" spans="1:64">
      <c r="A228" s="1">
        <f>HYPERLINK("https://lsnyc.legalserver.org/matter/dynamic-profile/view/1888128","19-1888128")</f>
        <v>0</v>
      </c>
      <c r="B228" t="s">
        <v>1412</v>
      </c>
      <c r="C228" t="s">
        <v>1640</v>
      </c>
      <c r="D228" t="s">
        <v>253</v>
      </c>
      <c r="E228" t="s">
        <v>1649</v>
      </c>
      <c r="F228" t="s">
        <v>273</v>
      </c>
      <c r="G228" t="s">
        <v>275</v>
      </c>
      <c r="H228">
        <v>0</v>
      </c>
      <c r="I228" t="s">
        <v>274</v>
      </c>
      <c r="K228" t="s">
        <v>1709</v>
      </c>
      <c r="M228" t="s">
        <v>471</v>
      </c>
      <c r="N228" t="s">
        <v>485</v>
      </c>
      <c r="P228" t="s">
        <v>492</v>
      </c>
      <c r="Q228" t="s">
        <v>502</v>
      </c>
      <c r="S228" t="s">
        <v>503</v>
      </c>
      <c r="T228" t="s">
        <v>508</v>
      </c>
      <c r="U228" t="s">
        <v>511</v>
      </c>
      <c r="V228">
        <v>11368</v>
      </c>
      <c r="W228" t="s">
        <v>529</v>
      </c>
      <c r="X228" t="s">
        <v>548</v>
      </c>
      <c r="Y228" t="s">
        <v>275</v>
      </c>
      <c r="Z228" t="s">
        <v>1920</v>
      </c>
      <c r="AA228" t="s">
        <v>2172</v>
      </c>
      <c r="AB228" t="s">
        <v>902</v>
      </c>
      <c r="AC228" t="s">
        <v>906</v>
      </c>
      <c r="AF228" t="s">
        <v>923</v>
      </c>
      <c r="AI228">
        <v>53.75</v>
      </c>
      <c r="AJ228" t="s">
        <v>558</v>
      </c>
      <c r="AK228" t="s">
        <v>941</v>
      </c>
      <c r="AL228" t="s">
        <v>274</v>
      </c>
      <c r="AT228">
        <v>2</v>
      </c>
      <c r="AU228">
        <v>1</v>
      </c>
      <c r="AV228" t="s">
        <v>273</v>
      </c>
      <c r="AY228" t="s">
        <v>273</v>
      </c>
      <c r="BB228">
        <v>0</v>
      </c>
      <c r="BC228">
        <v>0</v>
      </c>
      <c r="BD228">
        <v>0</v>
      </c>
      <c r="BE228">
        <v>0</v>
      </c>
      <c r="BF228" t="s">
        <v>1063</v>
      </c>
      <c r="BG228" t="s">
        <v>2497</v>
      </c>
      <c r="BH228">
        <v>14</v>
      </c>
      <c r="BI228" t="s">
        <v>1247</v>
      </c>
      <c r="BK228">
        <v>1888755</v>
      </c>
    </row>
    <row r="229" spans="1:64">
      <c r="A229" s="1">
        <f>HYPERLINK("https://lsnyc.legalserver.org/matter/dynamic-profile/view/1888702","19-1888702")</f>
        <v>0</v>
      </c>
      <c r="B229" t="s">
        <v>1499</v>
      </c>
      <c r="C229" t="s">
        <v>1640</v>
      </c>
      <c r="D229" t="s">
        <v>253</v>
      </c>
      <c r="E229" t="s">
        <v>1647</v>
      </c>
      <c r="F229" t="s">
        <v>273</v>
      </c>
      <c r="G229" t="s">
        <v>275</v>
      </c>
      <c r="H229">
        <v>36.82</v>
      </c>
      <c r="I229" t="s">
        <v>274</v>
      </c>
      <c r="K229" t="s">
        <v>1709</v>
      </c>
      <c r="M229" t="s">
        <v>474</v>
      </c>
      <c r="N229" t="s">
        <v>286</v>
      </c>
      <c r="O229" t="s">
        <v>275</v>
      </c>
      <c r="P229" t="s">
        <v>492</v>
      </c>
      <c r="Q229" t="s">
        <v>501</v>
      </c>
      <c r="S229" t="s">
        <v>503</v>
      </c>
      <c r="T229" t="s">
        <v>508</v>
      </c>
      <c r="U229" t="s">
        <v>511</v>
      </c>
      <c r="V229">
        <v>11377</v>
      </c>
      <c r="W229" t="s">
        <v>518</v>
      </c>
      <c r="X229" t="s">
        <v>548</v>
      </c>
      <c r="Y229" t="s">
        <v>275</v>
      </c>
      <c r="Z229" t="s">
        <v>695</v>
      </c>
      <c r="AA229" t="s">
        <v>2246</v>
      </c>
      <c r="AB229" t="s">
        <v>902</v>
      </c>
      <c r="AC229" t="s">
        <v>905</v>
      </c>
      <c r="AF229" t="s">
        <v>926</v>
      </c>
      <c r="AI229">
        <v>7.25</v>
      </c>
      <c r="AJ229" t="s">
        <v>558</v>
      </c>
      <c r="AK229" t="s">
        <v>941</v>
      </c>
      <c r="AL229" t="s">
        <v>274</v>
      </c>
      <c r="AM229" t="s">
        <v>973</v>
      </c>
      <c r="AT229">
        <v>3</v>
      </c>
      <c r="AU229">
        <v>1</v>
      </c>
      <c r="AV229" t="s">
        <v>273</v>
      </c>
      <c r="AY229" t="s">
        <v>273</v>
      </c>
      <c r="BB229">
        <v>0</v>
      </c>
      <c r="BC229">
        <v>0</v>
      </c>
      <c r="BD229">
        <v>0</v>
      </c>
      <c r="BE229">
        <v>0</v>
      </c>
      <c r="BF229" t="s">
        <v>1063</v>
      </c>
      <c r="BG229" t="s">
        <v>2580</v>
      </c>
      <c r="BH229">
        <v>28</v>
      </c>
      <c r="BI229" t="s">
        <v>2762</v>
      </c>
      <c r="BK229">
        <v>1889742</v>
      </c>
      <c r="BL229" t="s">
        <v>274</v>
      </c>
    </row>
    <row r="230" spans="1:64">
      <c r="A230" s="1">
        <f>HYPERLINK("https://lsnyc.legalserver.org/matter/dynamic-profile/view/1887553","19-1887553")</f>
        <v>0</v>
      </c>
      <c r="B230" t="s">
        <v>1500</v>
      </c>
      <c r="C230" t="s">
        <v>1640</v>
      </c>
      <c r="D230" t="s">
        <v>253</v>
      </c>
      <c r="E230" t="s">
        <v>1646</v>
      </c>
      <c r="F230" t="s">
        <v>274</v>
      </c>
      <c r="G230" t="s">
        <v>274</v>
      </c>
      <c r="H230">
        <v>103.27</v>
      </c>
      <c r="I230" t="s">
        <v>274</v>
      </c>
      <c r="K230" t="s">
        <v>1710</v>
      </c>
      <c r="O230" t="s">
        <v>274</v>
      </c>
      <c r="P230" t="s">
        <v>497</v>
      </c>
      <c r="Q230" t="s">
        <v>501</v>
      </c>
      <c r="S230" t="s">
        <v>503</v>
      </c>
      <c r="T230" t="s">
        <v>508</v>
      </c>
      <c r="U230" t="s">
        <v>511</v>
      </c>
      <c r="V230">
        <v>11434</v>
      </c>
      <c r="W230" t="s">
        <v>1831</v>
      </c>
      <c r="X230" t="s">
        <v>549</v>
      </c>
      <c r="Z230" t="s">
        <v>1990</v>
      </c>
      <c r="AA230" t="s">
        <v>2247</v>
      </c>
      <c r="AB230" t="s">
        <v>902</v>
      </c>
      <c r="AC230" t="s">
        <v>904</v>
      </c>
      <c r="AF230" t="s">
        <v>923</v>
      </c>
      <c r="AI230">
        <v>3</v>
      </c>
      <c r="AJ230" t="s">
        <v>558</v>
      </c>
      <c r="AK230" t="s">
        <v>939</v>
      </c>
      <c r="AL230" t="s">
        <v>274</v>
      </c>
      <c r="AT230">
        <v>4</v>
      </c>
      <c r="AU230">
        <v>2</v>
      </c>
      <c r="AV230" t="s">
        <v>273</v>
      </c>
      <c r="AY230" t="s">
        <v>273</v>
      </c>
      <c r="BB230">
        <v>0</v>
      </c>
      <c r="BC230">
        <v>0</v>
      </c>
      <c r="BD230">
        <v>0</v>
      </c>
      <c r="BE230">
        <v>0</v>
      </c>
      <c r="BF230" t="s">
        <v>1063</v>
      </c>
      <c r="BG230" t="s">
        <v>2581</v>
      </c>
      <c r="BH230">
        <v>19</v>
      </c>
      <c r="BI230" t="s">
        <v>2763</v>
      </c>
      <c r="BK230">
        <v>1888181</v>
      </c>
    </row>
    <row r="231" spans="1:64">
      <c r="A231" s="1">
        <f>HYPERLINK("https://lsnyc.legalserver.org/matter/dynamic-profile/view/1887632","19-1887632")</f>
        <v>0</v>
      </c>
      <c r="B231" t="s">
        <v>1439</v>
      </c>
      <c r="C231" t="s">
        <v>1640</v>
      </c>
      <c r="D231" t="s">
        <v>253</v>
      </c>
      <c r="E231" t="s">
        <v>1643</v>
      </c>
      <c r="F231" t="s">
        <v>273</v>
      </c>
      <c r="G231" t="s">
        <v>275</v>
      </c>
      <c r="H231">
        <v>0</v>
      </c>
      <c r="I231" t="s">
        <v>274</v>
      </c>
      <c r="K231" t="s">
        <v>1710</v>
      </c>
      <c r="M231" t="s">
        <v>474</v>
      </c>
      <c r="N231" t="s">
        <v>1671</v>
      </c>
      <c r="O231" t="s">
        <v>275</v>
      </c>
      <c r="P231" t="s">
        <v>492</v>
      </c>
      <c r="Q231" t="s">
        <v>501</v>
      </c>
      <c r="S231" t="s">
        <v>503</v>
      </c>
      <c r="T231" t="s">
        <v>508</v>
      </c>
      <c r="U231" t="s">
        <v>511</v>
      </c>
      <c r="V231">
        <v>11432</v>
      </c>
      <c r="W231" t="s">
        <v>518</v>
      </c>
      <c r="X231" t="s">
        <v>548</v>
      </c>
      <c r="Y231" t="s">
        <v>275</v>
      </c>
      <c r="Z231" t="s">
        <v>1941</v>
      </c>
      <c r="AA231" t="s">
        <v>828</v>
      </c>
      <c r="AB231" t="s">
        <v>902</v>
      </c>
      <c r="AC231" t="s">
        <v>905</v>
      </c>
      <c r="AF231" t="s">
        <v>926</v>
      </c>
      <c r="AI231">
        <v>23.4</v>
      </c>
      <c r="AJ231" t="s">
        <v>558</v>
      </c>
      <c r="AK231" t="s">
        <v>934</v>
      </c>
      <c r="AL231" t="s">
        <v>274</v>
      </c>
      <c r="AM231" t="s">
        <v>973</v>
      </c>
      <c r="AN231" t="s">
        <v>1693</v>
      </c>
      <c r="AT231">
        <v>1</v>
      </c>
      <c r="AU231">
        <v>1</v>
      </c>
      <c r="AV231" t="s">
        <v>273</v>
      </c>
      <c r="AY231" t="s">
        <v>273</v>
      </c>
      <c r="BB231">
        <v>0</v>
      </c>
      <c r="BC231">
        <v>0</v>
      </c>
      <c r="BD231">
        <v>0</v>
      </c>
      <c r="BE231">
        <v>0</v>
      </c>
      <c r="BF231" t="s">
        <v>1063</v>
      </c>
      <c r="BG231" t="s">
        <v>2525</v>
      </c>
      <c r="BH231">
        <v>39</v>
      </c>
      <c r="BI231" t="s">
        <v>1247</v>
      </c>
      <c r="BK231">
        <v>1888261</v>
      </c>
    </row>
    <row r="232" spans="1:64">
      <c r="A232" s="1">
        <f>HYPERLINK("https://lsnyc.legalserver.org/matter/dynamic-profile/view/1887666","19-1887666")</f>
        <v>0</v>
      </c>
      <c r="B232" t="s">
        <v>1501</v>
      </c>
      <c r="C232" t="s">
        <v>1640</v>
      </c>
      <c r="D232" t="s">
        <v>252</v>
      </c>
      <c r="E232" t="s">
        <v>1645</v>
      </c>
      <c r="F232" t="s">
        <v>273</v>
      </c>
      <c r="G232" t="s">
        <v>275</v>
      </c>
      <c r="H232">
        <v>70.7</v>
      </c>
      <c r="I232" t="s">
        <v>274</v>
      </c>
      <c r="K232" t="s">
        <v>1710</v>
      </c>
      <c r="M232" t="s">
        <v>472</v>
      </c>
      <c r="N232" t="s">
        <v>1668</v>
      </c>
      <c r="O232" t="s">
        <v>275</v>
      </c>
      <c r="P232" t="s">
        <v>492</v>
      </c>
      <c r="Q232" t="s">
        <v>501</v>
      </c>
      <c r="R232" t="s">
        <v>1816</v>
      </c>
      <c r="S232" t="s">
        <v>503</v>
      </c>
      <c r="T232" t="s">
        <v>507</v>
      </c>
      <c r="U232" t="s">
        <v>511</v>
      </c>
      <c r="V232">
        <v>11226</v>
      </c>
      <c r="W232" t="s">
        <v>522</v>
      </c>
      <c r="X232" t="s">
        <v>548</v>
      </c>
      <c r="Y232" t="s">
        <v>275</v>
      </c>
      <c r="Z232" t="s">
        <v>1991</v>
      </c>
      <c r="AA232" t="s">
        <v>828</v>
      </c>
      <c r="AB232" t="s">
        <v>902</v>
      </c>
      <c r="AC232" t="s">
        <v>905</v>
      </c>
      <c r="AF232" t="s">
        <v>927</v>
      </c>
      <c r="AI232">
        <v>12.2</v>
      </c>
      <c r="AJ232" t="s">
        <v>558</v>
      </c>
      <c r="AK232" t="s">
        <v>933</v>
      </c>
      <c r="AL232" t="s">
        <v>274</v>
      </c>
      <c r="AS232" t="s">
        <v>1061</v>
      </c>
      <c r="AT232">
        <v>2</v>
      </c>
      <c r="AU232">
        <v>3</v>
      </c>
      <c r="AV232" t="s">
        <v>273</v>
      </c>
      <c r="AY232" t="s">
        <v>273</v>
      </c>
      <c r="BB232">
        <v>0</v>
      </c>
      <c r="BC232">
        <v>0</v>
      </c>
      <c r="BD232">
        <v>0</v>
      </c>
      <c r="BE232">
        <v>0</v>
      </c>
      <c r="BF232" t="s">
        <v>1063</v>
      </c>
      <c r="BG232" t="s">
        <v>2582</v>
      </c>
      <c r="BH232">
        <v>46</v>
      </c>
      <c r="BI232" t="s">
        <v>1261</v>
      </c>
      <c r="BK232">
        <v>1888295</v>
      </c>
    </row>
    <row r="233" spans="1:64">
      <c r="A233" s="1">
        <f>HYPERLINK("https://lsnyc.legalserver.org/matter/dynamic-profile/view/1887684","19-1887684")</f>
        <v>0</v>
      </c>
      <c r="B233" t="s">
        <v>1502</v>
      </c>
      <c r="C233" t="s">
        <v>1640</v>
      </c>
      <c r="D233" t="s">
        <v>253</v>
      </c>
      <c r="E233" t="s">
        <v>1645</v>
      </c>
      <c r="F233" t="s">
        <v>273</v>
      </c>
      <c r="G233" t="s">
        <v>275</v>
      </c>
      <c r="H233">
        <v>96.25</v>
      </c>
      <c r="I233" t="s">
        <v>274</v>
      </c>
      <c r="K233" t="s">
        <v>1710</v>
      </c>
      <c r="O233" t="s">
        <v>275</v>
      </c>
      <c r="P233" t="s">
        <v>492</v>
      </c>
      <c r="Q233" t="s">
        <v>501</v>
      </c>
      <c r="S233" t="s">
        <v>503</v>
      </c>
      <c r="T233" t="s">
        <v>508</v>
      </c>
      <c r="U233" t="s">
        <v>511</v>
      </c>
      <c r="V233">
        <v>11435</v>
      </c>
      <c r="W233" t="s">
        <v>1829</v>
      </c>
      <c r="X233" t="s">
        <v>548</v>
      </c>
      <c r="Y233" t="s">
        <v>275</v>
      </c>
      <c r="Z233" t="s">
        <v>1992</v>
      </c>
      <c r="AA233" t="s">
        <v>2248</v>
      </c>
      <c r="AB233" t="s">
        <v>902</v>
      </c>
      <c r="AC233" t="s">
        <v>914</v>
      </c>
      <c r="AF233" t="s">
        <v>923</v>
      </c>
      <c r="AI233">
        <v>3</v>
      </c>
      <c r="AJ233" t="s">
        <v>931</v>
      </c>
      <c r="AK233" t="s">
        <v>934</v>
      </c>
      <c r="AL233" t="s">
        <v>274</v>
      </c>
      <c r="AT233">
        <v>1</v>
      </c>
      <c r="AU233">
        <v>2</v>
      </c>
      <c r="AV233" t="s">
        <v>273</v>
      </c>
      <c r="AY233" t="s">
        <v>273</v>
      </c>
      <c r="BB233">
        <v>0</v>
      </c>
      <c r="BC233">
        <v>0</v>
      </c>
      <c r="BD233">
        <v>0</v>
      </c>
      <c r="BE233">
        <v>0</v>
      </c>
      <c r="BF233" t="s">
        <v>1063</v>
      </c>
      <c r="BG233" t="s">
        <v>2583</v>
      </c>
      <c r="BH233">
        <v>28</v>
      </c>
      <c r="BI233" t="s">
        <v>1251</v>
      </c>
      <c r="BK233">
        <v>1880934</v>
      </c>
    </row>
    <row r="234" spans="1:64">
      <c r="A234" s="1">
        <f>HYPERLINK("https://lsnyc.legalserver.org/matter/dynamic-profile/view/1887508","19-1887508")</f>
        <v>0</v>
      </c>
      <c r="B234" t="s">
        <v>1503</v>
      </c>
      <c r="C234" t="s">
        <v>1640</v>
      </c>
      <c r="D234" t="s">
        <v>253</v>
      </c>
      <c r="E234" t="s">
        <v>1646</v>
      </c>
      <c r="F234" t="s">
        <v>273</v>
      </c>
      <c r="G234" t="s">
        <v>275</v>
      </c>
      <c r="H234">
        <v>0</v>
      </c>
      <c r="I234" t="s">
        <v>274</v>
      </c>
      <c r="K234" t="s">
        <v>1711</v>
      </c>
      <c r="O234" t="s">
        <v>274</v>
      </c>
      <c r="P234" t="s">
        <v>492</v>
      </c>
      <c r="Q234" t="s">
        <v>501</v>
      </c>
      <c r="S234" t="s">
        <v>503</v>
      </c>
      <c r="T234" t="s">
        <v>508</v>
      </c>
      <c r="U234" t="s">
        <v>511</v>
      </c>
      <c r="V234">
        <v>11355</v>
      </c>
      <c r="W234" t="s">
        <v>525</v>
      </c>
      <c r="X234" t="s">
        <v>1842</v>
      </c>
      <c r="Y234" t="s">
        <v>275</v>
      </c>
      <c r="Z234" t="s">
        <v>1993</v>
      </c>
      <c r="AA234" t="s">
        <v>2249</v>
      </c>
      <c r="AB234" t="s">
        <v>902</v>
      </c>
      <c r="AC234" t="s">
        <v>904</v>
      </c>
      <c r="AD234" t="s">
        <v>274</v>
      </c>
      <c r="AF234" t="s">
        <v>923</v>
      </c>
      <c r="AI234">
        <v>8.9</v>
      </c>
      <c r="AJ234" t="s">
        <v>558</v>
      </c>
      <c r="AK234" t="s">
        <v>2375</v>
      </c>
      <c r="AL234" t="s">
        <v>274</v>
      </c>
      <c r="AM234" t="s">
        <v>975</v>
      </c>
      <c r="AN234" t="s">
        <v>1013</v>
      </c>
      <c r="AT234">
        <v>0</v>
      </c>
      <c r="AU234">
        <v>1</v>
      </c>
      <c r="AV234" t="s">
        <v>273</v>
      </c>
      <c r="AY234" t="s">
        <v>273</v>
      </c>
      <c r="BB234">
        <v>0</v>
      </c>
      <c r="BC234">
        <v>0</v>
      </c>
      <c r="BD234">
        <v>0</v>
      </c>
      <c r="BE234">
        <v>0</v>
      </c>
      <c r="BF234" t="s">
        <v>1063</v>
      </c>
      <c r="BG234" t="s">
        <v>2584</v>
      </c>
      <c r="BH234">
        <v>28</v>
      </c>
      <c r="BI234" t="s">
        <v>1247</v>
      </c>
      <c r="BK234">
        <v>1888537</v>
      </c>
    </row>
    <row r="235" spans="1:64">
      <c r="A235" s="1">
        <f>HYPERLINK("https://lsnyc.legalserver.org/matter/dynamic-profile/view/1887381","19-1887381")</f>
        <v>0</v>
      </c>
      <c r="B235" t="s">
        <v>1504</v>
      </c>
      <c r="C235" t="s">
        <v>1640</v>
      </c>
      <c r="D235" t="s">
        <v>253</v>
      </c>
      <c r="E235" t="s">
        <v>1648</v>
      </c>
      <c r="F235" t="s">
        <v>273</v>
      </c>
      <c r="G235" t="s">
        <v>275</v>
      </c>
      <c r="H235">
        <v>98.84999999999999</v>
      </c>
      <c r="I235" t="s">
        <v>274</v>
      </c>
      <c r="K235" t="s">
        <v>355</v>
      </c>
      <c r="P235" t="s">
        <v>492</v>
      </c>
      <c r="Q235" t="s">
        <v>501</v>
      </c>
      <c r="S235" t="s">
        <v>503</v>
      </c>
      <c r="T235" t="s">
        <v>508</v>
      </c>
      <c r="U235" t="s">
        <v>511</v>
      </c>
      <c r="V235">
        <v>11372</v>
      </c>
      <c r="W235" t="s">
        <v>534</v>
      </c>
      <c r="X235" t="s">
        <v>548</v>
      </c>
      <c r="Y235" t="s">
        <v>274</v>
      </c>
      <c r="Z235" t="s">
        <v>1885</v>
      </c>
      <c r="AA235" t="s">
        <v>2191</v>
      </c>
      <c r="AB235" t="s">
        <v>902</v>
      </c>
      <c r="AC235" t="s">
        <v>910</v>
      </c>
      <c r="AF235" t="s">
        <v>923</v>
      </c>
      <c r="AI235">
        <v>9.9</v>
      </c>
      <c r="AK235" t="s">
        <v>933</v>
      </c>
      <c r="AL235" t="s">
        <v>274</v>
      </c>
      <c r="AM235" t="s">
        <v>973</v>
      </c>
      <c r="AN235" t="s">
        <v>2388</v>
      </c>
      <c r="AT235">
        <v>0</v>
      </c>
      <c r="AU235">
        <v>1</v>
      </c>
      <c r="AV235" t="s">
        <v>273</v>
      </c>
      <c r="AY235" t="s">
        <v>273</v>
      </c>
      <c r="BB235">
        <v>0</v>
      </c>
      <c r="BC235">
        <v>0</v>
      </c>
      <c r="BD235">
        <v>0</v>
      </c>
      <c r="BE235">
        <v>0</v>
      </c>
      <c r="BF235" t="s">
        <v>1063</v>
      </c>
      <c r="BG235" t="s">
        <v>2585</v>
      </c>
      <c r="BH235">
        <v>42</v>
      </c>
      <c r="BI235" t="s">
        <v>1267</v>
      </c>
      <c r="BK235">
        <v>769072</v>
      </c>
    </row>
    <row r="236" spans="1:64">
      <c r="A236" s="1">
        <f>HYPERLINK("https://lsnyc.legalserver.org/matter/dynamic-profile/view/1887390","19-1887390")</f>
        <v>0</v>
      </c>
      <c r="B236" t="s">
        <v>1505</v>
      </c>
      <c r="C236" t="s">
        <v>1640</v>
      </c>
      <c r="D236" t="s">
        <v>253</v>
      </c>
      <c r="E236" t="s">
        <v>1644</v>
      </c>
      <c r="F236" t="s">
        <v>273</v>
      </c>
      <c r="G236" t="s">
        <v>275</v>
      </c>
      <c r="H236">
        <v>87.48</v>
      </c>
      <c r="K236" t="s">
        <v>355</v>
      </c>
      <c r="P236" t="s">
        <v>492</v>
      </c>
      <c r="Q236" t="s">
        <v>502</v>
      </c>
      <c r="S236" t="s">
        <v>503</v>
      </c>
      <c r="T236" t="s">
        <v>508</v>
      </c>
      <c r="U236" t="s">
        <v>511</v>
      </c>
      <c r="V236">
        <v>11412</v>
      </c>
      <c r="W236" t="s">
        <v>537</v>
      </c>
      <c r="X236" t="s">
        <v>548</v>
      </c>
      <c r="Z236" t="s">
        <v>1994</v>
      </c>
      <c r="AA236" t="s">
        <v>2250</v>
      </c>
      <c r="AB236" t="s">
        <v>902</v>
      </c>
      <c r="AC236" t="s">
        <v>905</v>
      </c>
      <c r="AI236">
        <v>11</v>
      </c>
      <c r="AK236" t="s">
        <v>941</v>
      </c>
      <c r="AS236" t="s">
        <v>2406</v>
      </c>
      <c r="AT236">
        <v>1</v>
      </c>
      <c r="AU236">
        <v>1</v>
      </c>
      <c r="AV236" t="s">
        <v>273</v>
      </c>
      <c r="AY236" t="s">
        <v>273</v>
      </c>
      <c r="BB236">
        <v>0</v>
      </c>
      <c r="BC236">
        <v>0</v>
      </c>
      <c r="BD236">
        <v>0</v>
      </c>
      <c r="BE236">
        <v>0</v>
      </c>
      <c r="BF236" t="s">
        <v>1063</v>
      </c>
      <c r="BG236" t="s">
        <v>2586</v>
      </c>
      <c r="BH236">
        <v>22</v>
      </c>
      <c r="BI236" t="s">
        <v>1253</v>
      </c>
      <c r="BK236">
        <v>798874</v>
      </c>
    </row>
    <row r="237" spans="1:64">
      <c r="A237" s="1">
        <f>HYPERLINK("https://lsnyc.legalserver.org/matter/dynamic-profile/view/1887203","19-1887203")</f>
        <v>0</v>
      </c>
      <c r="B237" t="s">
        <v>1506</v>
      </c>
      <c r="C237" t="s">
        <v>1640</v>
      </c>
      <c r="D237" t="s">
        <v>253</v>
      </c>
      <c r="E237" t="s">
        <v>1652</v>
      </c>
      <c r="F237" t="s">
        <v>273</v>
      </c>
      <c r="G237" t="s">
        <v>275</v>
      </c>
      <c r="H237">
        <v>0</v>
      </c>
      <c r="K237" t="s">
        <v>1712</v>
      </c>
      <c r="O237" t="s">
        <v>275</v>
      </c>
      <c r="P237" t="s">
        <v>492</v>
      </c>
      <c r="Q237" t="s">
        <v>501</v>
      </c>
      <c r="S237" t="s">
        <v>503</v>
      </c>
      <c r="T237" t="s">
        <v>508</v>
      </c>
      <c r="U237" t="s">
        <v>511</v>
      </c>
      <c r="V237">
        <v>11355</v>
      </c>
      <c r="W237" t="s">
        <v>518</v>
      </c>
      <c r="X237" t="s">
        <v>548</v>
      </c>
      <c r="Z237" t="s">
        <v>1995</v>
      </c>
      <c r="AA237" t="s">
        <v>2251</v>
      </c>
      <c r="AB237" t="s">
        <v>902</v>
      </c>
      <c r="AC237" t="s">
        <v>905</v>
      </c>
      <c r="AF237" t="s">
        <v>926</v>
      </c>
      <c r="AI237">
        <v>3.25</v>
      </c>
      <c r="AJ237" t="s">
        <v>558</v>
      </c>
      <c r="AK237" t="s">
        <v>936</v>
      </c>
      <c r="AT237">
        <v>2</v>
      </c>
      <c r="AU237">
        <v>1</v>
      </c>
      <c r="AV237" t="s">
        <v>273</v>
      </c>
      <c r="AY237" t="s">
        <v>273</v>
      </c>
      <c r="BB237">
        <v>0</v>
      </c>
      <c r="BC237">
        <v>0</v>
      </c>
      <c r="BD237">
        <v>0</v>
      </c>
      <c r="BE237">
        <v>0</v>
      </c>
      <c r="BF237" t="s">
        <v>1063</v>
      </c>
      <c r="BG237" t="s">
        <v>2587</v>
      </c>
      <c r="BH237">
        <v>24</v>
      </c>
      <c r="BI237" t="s">
        <v>1247</v>
      </c>
      <c r="BK237">
        <v>1887831</v>
      </c>
    </row>
    <row r="238" spans="1:64">
      <c r="A238" s="1">
        <f>HYPERLINK("https://lsnyc.legalserver.org/matter/dynamic-profile/view/1886955","19-1886955")</f>
        <v>0</v>
      </c>
      <c r="B238" t="s">
        <v>1507</v>
      </c>
      <c r="C238" t="s">
        <v>1640</v>
      </c>
      <c r="D238" t="s">
        <v>253</v>
      </c>
      <c r="E238" t="s">
        <v>1650</v>
      </c>
      <c r="F238" t="s">
        <v>273</v>
      </c>
      <c r="G238" t="s">
        <v>275</v>
      </c>
      <c r="H238">
        <v>254.63</v>
      </c>
      <c r="I238" t="s">
        <v>274</v>
      </c>
      <c r="K238" t="s">
        <v>356</v>
      </c>
      <c r="O238" t="s">
        <v>274</v>
      </c>
      <c r="P238" t="s">
        <v>498</v>
      </c>
      <c r="Q238" t="s">
        <v>501</v>
      </c>
      <c r="S238" t="s">
        <v>503</v>
      </c>
      <c r="T238" t="s">
        <v>507</v>
      </c>
      <c r="U238" t="s">
        <v>511</v>
      </c>
      <c r="V238">
        <v>11420</v>
      </c>
      <c r="W238" t="s">
        <v>517</v>
      </c>
      <c r="X238" t="s">
        <v>549</v>
      </c>
      <c r="Y238" t="s">
        <v>275</v>
      </c>
      <c r="Z238" t="s">
        <v>1996</v>
      </c>
      <c r="AA238" t="s">
        <v>2252</v>
      </c>
      <c r="AB238" t="s">
        <v>902</v>
      </c>
      <c r="AC238" t="s">
        <v>904</v>
      </c>
      <c r="AF238" t="s">
        <v>923</v>
      </c>
      <c r="AI238">
        <v>5.15</v>
      </c>
      <c r="AJ238" t="s">
        <v>558</v>
      </c>
      <c r="AK238" t="s">
        <v>965</v>
      </c>
      <c r="AL238" t="s">
        <v>274</v>
      </c>
      <c r="AT238">
        <v>0</v>
      </c>
      <c r="AU238">
        <v>2</v>
      </c>
      <c r="AV238" t="s">
        <v>273</v>
      </c>
      <c r="AY238" t="s">
        <v>273</v>
      </c>
      <c r="BB238">
        <v>0</v>
      </c>
      <c r="BC238">
        <v>0</v>
      </c>
      <c r="BD238">
        <v>0</v>
      </c>
      <c r="BE238">
        <v>0</v>
      </c>
      <c r="BF238" t="s">
        <v>1063</v>
      </c>
      <c r="BG238" t="s">
        <v>2588</v>
      </c>
      <c r="BH238">
        <v>64</v>
      </c>
      <c r="BI238" t="s">
        <v>2764</v>
      </c>
      <c r="BK238">
        <v>1887583</v>
      </c>
    </row>
    <row r="239" spans="1:64">
      <c r="A239" s="1">
        <f>HYPERLINK("https://lsnyc.legalserver.org/matter/dynamic-profile/view/1886999","19-1886999")</f>
        <v>0</v>
      </c>
      <c r="B239" t="s">
        <v>1508</v>
      </c>
      <c r="C239" t="s">
        <v>1640</v>
      </c>
      <c r="D239" t="s">
        <v>253</v>
      </c>
      <c r="E239" t="s">
        <v>1650</v>
      </c>
      <c r="F239" t="s">
        <v>273</v>
      </c>
      <c r="G239" t="s">
        <v>275</v>
      </c>
      <c r="H239">
        <v>228.88</v>
      </c>
      <c r="I239" t="s">
        <v>274</v>
      </c>
      <c r="K239" t="s">
        <v>356</v>
      </c>
      <c r="O239" t="s">
        <v>274</v>
      </c>
      <c r="Q239" t="s">
        <v>501</v>
      </c>
      <c r="S239" t="s">
        <v>503</v>
      </c>
      <c r="T239" t="s">
        <v>508</v>
      </c>
      <c r="U239" t="s">
        <v>511</v>
      </c>
      <c r="V239">
        <v>11420</v>
      </c>
      <c r="X239" t="s">
        <v>549</v>
      </c>
      <c r="Y239" t="s">
        <v>275</v>
      </c>
      <c r="Z239" t="s">
        <v>1997</v>
      </c>
      <c r="AA239" t="s">
        <v>2252</v>
      </c>
      <c r="AB239" t="s">
        <v>902</v>
      </c>
      <c r="AC239" t="s">
        <v>904</v>
      </c>
      <c r="AF239" t="s">
        <v>923</v>
      </c>
      <c r="AI239">
        <v>3.95</v>
      </c>
      <c r="AJ239" t="s">
        <v>558</v>
      </c>
      <c r="AK239" t="s">
        <v>2371</v>
      </c>
      <c r="AL239" t="s">
        <v>274</v>
      </c>
      <c r="AT239">
        <v>0</v>
      </c>
      <c r="AU239">
        <v>2</v>
      </c>
      <c r="AV239" t="s">
        <v>273</v>
      </c>
      <c r="AY239" t="s">
        <v>273</v>
      </c>
      <c r="BB239">
        <v>0</v>
      </c>
      <c r="BC239">
        <v>0</v>
      </c>
      <c r="BD239">
        <v>0</v>
      </c>
      <c r="BE239">
        <v>0</v>
      </c>
      <c r="BF239" t="s">
        <v>1063</v>
      </c>
      <c r="BG239" t="s">
        <v>2589</v>
      </c>
      <c r="BH239">
        <v>59</v>
      </c>
      <c r="BI239" t="s">
        <v>2765</v>
      </c>
      <c r="BK239">
        <v>1887627</v>
      </c>
      <c r="BL239" t="s">
        <v>275</v>
      </c>
    </row>
    <row r="240" spans="1:64">
      <c r="A240" s="1">
        <f>HYPERLINK("https://lsnyc.legalserver.org/matter/dynamic-profile/view/1886710","18-1886710")</f>
        <v>0</v>
      </c>
      <c r="B240" t="s">
        <v>1509</v>
      </c>
      <c r="C240" t="s">
        <v>1640</v>
      </c>
      <c r="D240" t="s">
        <v>253</v>
      </c>
      <c r="E240" t="s">
        <v>1645</v>
      </c>
      <c r="F240" t="s">
        <v>273</v>
      </c>
      <c r="G240" t="s">
        <v>275</v>
      </c>
      <c r="H240">
        <v>0</v>
      </c>
      <c r="I240" t="s">
        <v>274</v>
      </c>
      <c r="K240" t="s">
        <v>1713</v>
      </c>
      <c r="M240" t="s">
        <v>472</v>
      </c>
      <c r="N240" t="s">
        <v>1814</v>
      </c>
      <c r="O240" t="s">
        <v>275</v>
      </c>
      <c r="P240" t="s">
        <v>492</v>
      </c>
      <c r="Q240" t="s">
        <v>501</v>
      </c>
      <c r="S240" t="s">
        <v>503</v>
      </c>
      <c r="T240" t="s">
        <v>508</v>
      </c>
      <c r="U240" t="s">
        <v>511</v>
      </c>
      <c r="V240">
        <v>11433</v>
      </c>
      <c r="W240" t="s">
        <v>528</v>
      </c>
      <c r="X240" t="s">
        <v>548</v>
      </c>
      <c r="Y240" t="s">
        <v>275</v>
      </c>
      <c r="Z240" t="s">
        <v>1998</v>
      </c>
      <c r="AA240" t="s">
        <v>2253</v>
      </c>
      <c r="AB240" t="s">
        <v>902</v>
      </c>
      <c r="AC240" t="s">
        <v>905</v>
      </c>
      <c r="AF240" t="s">
        <v>923</v>
      </c>
      <c r="AI240">
        <v>0.9</v>
      </c>
      <c r="AJ240" t="s">
        <v>558</v>
      </c>
      <c r="AK240" t="s">
        <v>933</v>
      </c>
      <c r="AL240" t="s">
        <v>274</v>
      </c>
      <c r="AT240">
        <v>3</v>
      </c>
      <c r="AU240">
        <v>1</v>
      </c>
      <c r="AV240" t="s">
        <v>273</v>
      </c>
      <c r="AY240" t="s">
        <v>273</v>
      </c>
      <c r="BB240">
        <v>0</v>
      </c>
      <c r="BC240">
        <v>0</v>
      </c>
      <c r="BD240">
        <v>0</v>
      </c>
      <c r="BE240">
        <v>0</v>
      </c>
      <c r="BF240" t="s">
        <v>1063</v>
      </c>
      <c r="BG240" t="s">
        <v>2590</v>
      </c>
      <c r="BH240">
        <v>34</v>
      </c>
      <c r="BI240" t="s">
        <v>1247</v>
      </c>
      <c r="BK240">
        <v>1880060</v>
      </c>
    </row>
    <row r="241" spans="1:64">
      <c r="A241" s="1">
        <f>HYPERLINK("https://lsnyc.legalserver.org/matter/dynamic-profile/view/1885866","18-1885866")</f>
        <v>0</v>
      </c>
      <c r="B241" t="s">
        <v>1510</v>
      </c>
      <c r="C241" t="s">
        <v>1640</v>
      </c>
      <c r="D241" t="s">
        <v>253</v>
      </c>
      <c r="E241" t="s">
        <v>1645</v>
      </c>
      <c r="F241" t="s">
        <v>273</v>
      </c>
      <c r="G241" t="s">
        <v>275</v>
      </c>
      <c r="H241">
        <v>94.78</v>
      </c>
      <c r="I241" t="s">
        <v>274</v>
      </c>
      <c r="K241" t="s">
        <v>1714</v>
      </c>
      <c r="M241" t="s">
        <v>474</v>
      </c>
      <c r="N241" t="s">
        <v>466</v>
      </c>
      <c r="Q241" t="s">
        <v>501</v>
      </c>
      <c r="S241" t="s">
        <v>503</v>
      </c>
      <c r="T241" t="s">
        <v>508</v>
      </c>
      <c r="U241" t="s">
        <v>511</v>
      </c>
      <c r="V241">
        <v>11368</v>
      </c>
      <c r="W241" t="s">
        <v>528</v>
      </c>
      <c r="X241" t="s">
        <v>548</v>
      </c>
      <c r="Z241" t="s">
        <v>1862</v>
      </c>
      <c r="AA241" t="s">
        <v>2254</v>
      </c>
      <c r="AB241" t="s">
        <v>902</v>
      </c>
      <c r="AC241" t="s">
        <v>906</v>
      </c>
      <c r="AF241" t="s">
        <v>923</v>
      </c>
      <c r="AI241">
        <v>4.55</v>
      </c>
      <c r="AK241" t="s">
        <v>933</v>
      </c>
      <c r="AL241" t="s">
        <v>274</v>
      </c>
      <c r="AT241">
        <v>1</v>
      </c>
      <c r="AU241">
        <v>1</v>
      </c>
      <c r="AV241" t="s">
        <v>273</v>
      </c>
      <c r="AY241" t="s">
        <v>273</v>
      </c>
      <c r="BB241">
        <v>0</v>
      </c>
      <c r="BC241">
        <v>0</v>
      </c>
      <c r="BD241">
        <v>0</v>
      </c>
      <c r="BE241">
        <v>0</v>
      </c>
      <c r="BF241" t="s">
        <v>1063</v>
      </c>
      <c r="BG241" t="s">
        <v>2591</v>
      </c>
      <c r="BH241">
        <v>37</v>
      </c>
      <c r="BI241" t="s">
        <v>1270</v>
      </c>
      <c r="BK241">
        <v>775163</v>
      </c>
    </row>
    <row r="242" spans="1:64">
      <c r="A242" s="1">
        <f>HYPERLINK("https://lsnyc.legalserver.org/matter/dynamic-profile/view/1885895","18-1885895")</f>
        <v>0</v>
      </c>
      <c r="B242" t="s">
        <v>1510</v>
      </c>
      <c r="C242" t="s">
        <v>1640</v>
      </c>
      <c r="D242" t="s">
        <v>253</v>
      </c>
      <c r="E242" t="s">
        <v>1645</v>
      </c>
      <c r="F242" t="s">
        <v>273</v>
      </c>
      <c r="G242" t="s">
        <v>275</v>
      </c>
      <c r="H242">
        <v>94.78</v>
      </c>
      <c r="I242" t="s">
        <v>274</v>
      </c>
      <c r="K242" t="s">
        <v>1714</v>
      </c>
      <c r="Q242" t="s">
        <v>501</v>
      </c>
      <c r="S242" t="s">
        <v>503</v>
      </c>
      <c r="T242" t="s">
        <v>508</v>
      </c>
      <c r="U242" t="s">
        <v>511</v>
      </c>
      <c r="V242">
        <v>11368</v>
      </c>
      <c r="W242" t="s">
        <v>520</v>
      </c>
      <c r="X242" t="s">
        <v>548</v>
      </c>
      <c r="Z242" t="s">
        <v>1862</v>
      </c>
      <c r="AA242" t="s">
        <v>2254</v>
      </c>
      <c r="AB242" t="s">
        <v>902</v>
      </c>
      <c r="AC242" t="s">
        <v>906</v>
      </c>
      <c r="AF242" t="s">
        <v>923</v>
      </c>
      <c r="AI242">
        <v>2.95</v>
      </c>
      <c r="AK242" t="s">
        <v>949</v>
      </c>
      <c r="AL242" t="s">
        <v>274</v>
      </c>
      <c r="AT242">
        <v>1</v>
      </c>
      <c r="AU242">
        <v>1</v>
      </c>
      <c r="AV242" t="s">
        <v>273</v>
      </c>
      <c r="AY242" t="s">
        <v>273</v>
      </c>
      <c r="BB242">
        <v>0</v>
      </c>
      <c r="BC242">
        <v>0</v>
      </c>
      <c r="BD242">
        <v>0</v>
      </c>
      <c r="BE242">
        <v>0</v>
      </c>
      <c r="BF242" t="s">
        <v>1063</v>
      </c>
      <c r="BG242" t="s">
        <v>2591</v>
      </c>
      <c r="BH242">
        <v>37</v>
      </c>
      <c r="BI242" t="s">
        <v>1270</v>
      </c>
      <c r="BK242">
        <v>775163</v>
      </c>
    </row>
    <row r="243" spans="1:64">
      <c r="A243" s="1">
        <f>HYPERLINK("https://lsnyc.legalserver.org/matter/dynamic-profile/view/1885629","18-1885629")</f>
        <v>0</v>
      </c>
      <c r="B243" t="s">
        <v>1413</v>
      </c>
      <c r="C243" t="s">
        <v>1640</v>
      </c>
      <c r="D243" t="s">
        <v>1641</v>
      </c>
      <c r="E243" t="s">
        <v>1647</v>
      </c>
      <c r="F243" t="s">
        <v>273</v>
      </c>
      <c r="G243" t="s">
        <v>275</v>
      </c>
      <c r="H243">
        <v>0</v>
      </c>
      <c r="I243" t="s">
        <v>274</v>
      </c>
      <c r="K243" t="s">
        <v>1715</v>
      </c>
      <c r="M243" t="s">
        <v>473</v>
      </c>
      <c r="N243" t="s">
        <v>485</v>
      </c>
      <c r="P243" t="s">
        <v>492</v>
      </c>
      <c r="Q243" t="s">
        <v>502</v>
      </c>
      <c r="S243" t="s">
        <v>503</v>
      </c>
      <c r="T243" t="s">
        <v>508</v>
      </c>
      <c r="U243" t="s">
        <v>511</v>
      </c>
      <c r="V243">
        <v>11550</v>
      </c>
      <c r="W243" t="s">
        <v>529</v>
      </c>
      <c r="X243" t="s">
        <v>548</v>
      </c>
      <c r="Z243" t="s">
        <v>1921</v>
      </c>
      <c r="AA243" t="s">
        <v>2173</v>
      </c>
      <c r="AB243" t="s">
        <v>902</v>
      </c>
      <c r="AC243" t="s">
        <v>905</v>
      </c>
      <c r="AF243" t="s">
        <v>923</v>
      </c>
      <c r="AI243">
        <v>46.3</v>
      </c>
      <c r="AJ243" t="s">
        <v>558</v>
      </c>
      <c r="AK243" t="s">
        <v>934</v>
      </c>
      <c r="AL243" t="s">
        <v>274</v>
      </c>
      <c r="AT243">
        <v>3</v>
      </c>
      <c r="AU243">
        <v>3</v>
      </c>
      <c r="AV243" t="s">
        <v>273</v>
      </c>
      <c r="AY243" t="s">
        <v>273</v>
      </c>
      <c r="BB243">
        <v>0</v>
      </c>
      <c r="BC243">
        <v>0</v>
      </c>
      <c r="BD243">
        <v>0</v>
      </c>
      <c r="BE243">
        <v>0</v>
      </c>
      <c r="BF243" t="s">
        <v>1063</v>
      </c>
      <c r="BG243" t="s">
        <v>2498</v>
      </c>
      <c r="BH243">
        <v>16</v>
      </c>
      <c r="BI243" t="s">
        <v>1247</v>
      </c>
      <c r="BK243">
        <v>815861</v>
      </c>
    </row>
    <row r="244" spans="1:64">
      <c r="A244" s="1">
        <f>HYPERLINK("https://lsnyc.legalserver.org/matter/dynamic-profile/view/1880318","18-1880318")</f>
        <v>0</v>
      </c>
      <c r="B244" t="s">
        <v>1511</v>
      </c>
      <c r="C244" t="s">
        <v>1640</v>
      </c>
      <c r="D244" t="s">
        <v>253</v>
      </c>
      <c r="E244" t="s">
        <v>1645</v>
      </c>
      <c r="F244" t="s">
        <v>273</v>
      </c>
      <c r="G244" t="s">
        <v>275</v>
      </c>
      <c r="H244">
        <v>300.29</v>
      </c>
      <c r="K244" t="s">
        <v>359</v>
      </c>
      <c r="O244" t="s">
        <v>275</v>
      </c>
      <c r="P244" t="s">
        <v>492</v>
      </c>
      <c r="Q244" t="s">
        <v>501</v>
      </c>
      <c r="S244" t="s">
        <v>503</v>
      </c>
      <c r="T244" t="s">
        <v>508</v>
      </c>
      <c r="U244" t="s">
        <v>511</v>
      </c>
      <c r="V244">
        <v>11436</v>
      </c>
      <c r="W244" t="s">
        <v>521</v>
      </c>
      <c r="X244" t="s">
        <v>548</v>
      </c>
      <c r="Z244" t="s">
        <v>1992</v>
      </c>
      <c r="AA244" t="s">
        <v>2255</v>
      </c>
      <c r="AB244" t="s">
        <v>902</v>
      </c>
      <c r="AC244" t="s">
        <v>905</v>
      </c>
      <c r="AI244">
        <v>4</v>
      </c>
      <c r="AK244" t="s">
        <v>934</v>
      </c>
      <c r="AT244">
        <v>1</v>
      </c>
      <c r="AU244">
        <v>2</v>
      </c>
      <c r="AV244" t="s">
        <v>273</v>
      </c>
      <c r="AY244" t="s">
        <v>273</v>
      </c>
      <c r="BB244">
        <v>0</v>
      </c>
      <c r="BC244">
        <v>0</v>
      </c>
      <c r="BD244">
        <v>0</v>
      </c>
      <c r="BE244">
        <v>0</v>
      </c>
      <c r="BF244" t="s">
        <v>1063</v>
      </c>
      <c r="BG244" t="s">
        <v>2583</v>
      </c>
      <c r="BH244">
        <v>28</v>
      </c>
      <c r="BI244" t="s">
        <v>2766</v>
      </c>
      <c r="BK244">
        <v>1880934</v>
      </c>
    </row>
    <row r="245" spans="1:64">
      <c r="A245" s="1">
        <f>HYPERLINK("https://lsnyc.legalserver.org/matter/dynamic-profile/view/1885360","18-1885360")</f>
        <v>0</v>
      </c>
      <c r="B245" t="s">
        <v>1512</v>
      </c>
      <c r="C245" t="s">
        <v>1640</v>
      </c>
      <c r="D245" t="s">
        <v>253</v>
      </c>
      <c r="E245" t="s">
        <v>1645</v>
      </c>
      <c r="F245" t="s">
        <v>273</v>
      </c>
      <c r="G245" t="s">
        <v>275</v>
      </c>
      <c r="H245">
        <v>0</v>
      </c>
      <c r="I245" t="s">
        <v>274</v>
      </c>
      <c r="K245" t="s">
        <v>359</v>
      </c>
      <c r="O245" t="s">
        <v>275</v>
      </c>
      <c r="P245" t="s">
        <v>492</v>
      </c>
      <c r="Q245" t="s">
        <v>501</v>
      </c>
      <c r="S245" t="s">
        <v>503</v>
      </c>
      <c r="T245" t="s">
        <v>507</v>
      </c>
      <c r="U245" t="s">
        <v>511</v>
      </c>
      <c r="V245">
        <v>11434</v>
      </c>
      <c r="W245" t="s">
        <v>521</v>
      </c>
      <c r="X245" t="s">
        <v>557</v>
      </c>
      <c r="Y245" t="s">
        <v>275</v>
      </c>
      <c r="Z245" t="s">
        <v>1999</v>
      </c>
      <c r="AA245" t="s">
        <v>842</v>
      </c>
      <c r="AB245" t="s">
        <v>902</v>
      </c>
      <c r="AC245" t="s">
        <v>905</v>
      </c>
      <c r="AF245" t="s">
        <v>923</v>
      </c>
      <c r="AI245">
        <v>32.7</v>
      </c>
      <c r="AJ245" t="s">
        <v>931</v>
      </c>
      <c r="AK245" t="s">
        <v>967</v>
      </c>
      <c r="AL245" t="s">
        <v>274</v>
      </c>
      <c r="AT245">
        <v>2</v>
      </c>
      <c r="AU245">
        <v>1</v>
      </c>
      <c r="AV245" t="s">
        <v>273</v>
      </c>
      <c r="AY245" t="s">
        <v>273</v>
      </c>
      <c r="BB245">
        <v>0</v>
      </c>
      <c r="BC245">
        <v>0</v>
      </c>
      <c r="BD245">
        <v>0</v>
      </c>
      <c r="BE245">
        <v>0</v>
      </c>
      <c r="BF245" t="s">
        <v>1063</v>
      </c>
      <c r="BG245" t="s">
        <v>2592</v>
      </c>
      <c r="BH245">
        <v>43</v>
      </c>
      <c r="BI245" t="s">
        <v>1247</v>
      </c>
      <c r="BK245">
        <v>1885987</v>
      </c>
    </row>
    <row r="246" spans="1:64">
      <c r="A246" s="1">
        <f>HYPERLINK("https://lsnyc.legalserver.org/matter/dynamic-profile/view/1880348","18-1880348")</f>
        <v>0</v>
      </c>
      <c r="B246" t="s">
        <v>1513</v>
      </c>
      <c r="C246" t="s">
        <v>1640</v>
      </c>
      <c r="D246" t="s">
        <v>253</v>
      </c>
      <c r="E246" t="s">
        <v>1645</v>
      </c>
      <c r="F246" t="s">
        <v>273</v>
      </c>
      <c r="G246" t="s">
        <v>275</v>
      </c>
      <c r="H246">
        <v>82.87</v>
      </c>
      <c r="K246" t="s">
        <v>1716</v>
      </c>
      <c r="M246" t="s">
        <v>474</v>
      </c>
      <c r="N246" t="s">
        <v>469</v>
      </c>
      <c r="O246" t="s">
        <v>275</v>
      </c>
      <c r="P246" t="s">
        <v>492</v>
      </c>
      <c r="Q246" t="s">
        <v>501</v>
      </c>
      <c r="S246" t="s">
        <v>503</v>
      </c>
      <c r="T246" t="s">
        <v>508</v>
      </c>
      <c r="U246" t="s">
        <v>511</v>
      </c>
      <c r="V246">
        <v>11434</v>
      </c>
      <c r="W246" t="s">
        <v>536</v>
      </c>
      <c r="X246" t="s">
        <v>549</v>
      </c>
      <c r="Z246" t="s">
        <v>606</v>
      </c>
      <c r="AA246" t="s">
        <v>2256</v>
      </c>
      <c r="AB246" t="s">
        <v>902</v>
      </c>
      <c r="AC246" t="s">
        <v>909</v>
      </c>
      <c r="AF246" t="s">
        <v>923</v>
      </c>
      <c r="AI246">
        <v>23</v>
      </c>
      <c r="AK246" t="s">
        <v>933</v>
      </c>
      <c r="AT246">
        <v>3</v>
      </c>
      <c r="AU246">
        <v>1</v>
      </c>
      <c r="AV246" t="s">
        <v>273</v>
      </c>
      <c r="AY246" t="s">
        <v>273</v>
      </c>
      <c r="BB246">
        <v>0</v>
      </c>
      <c r="BC246">
        <v>0</v>
      </c>
      <c r="BD246">
        <v>0</v>
      </c>
      <c r="BE246">
        <v>0</v>
      </c>
      <c r="BF246" t="s">
        <v>1063</v>
      </c>
      <c r="BG246" t="s">
        <v>2593</v>
      </c>
      <c r="BH246">
        <v>29</v>
      </c>
      <c r="BI246" t="s">
        <v>1261</v>
      </c>
      <c r="BK246">
        <v>1880964</v>
      </c>
    </row>
    <row r="247" spans="1:64">
      <c r="A247" s="1">
        <f>HYPERLINK("https://lsnyc.legalserver.org/matter/dynamic-profile/view/1885253","18-1885253")</f>
        <v>0</v>
      </c>
      <c r="B247" t="s">
        <v>1514</v>
      </c>
      <c r="C247" t="s">
        <v>1640</v>
      </c>
      <c r="D247" t="s">
        <v>253</v>
      </c>
      <c r="E247" t="s">
        <v>1653</v>
      </c>
      <c r="F247" t="s">
        <v>273</v>
      </c>
      <c r="G247" t="s">
        <v>275</v>
      </c>
      <c r="H247">
        <v>197.57</v>
      </c>
      <c r="I247" t="s">
        <v>274</v>
      </c>
      <c r="K247" t="s">
        <v>1716</v>
      </c>
      <c r="O247" t="s">
        <v>274</v>
      </c>
      <c r="P247" t="s">
        <v>492</v>
      </c>
      <c r="Q247" t="s">
        <v>501</v>
      </c>
      <c r="S247" t="s">
        <v>503</v>
      </c>
      <c r="T247" t="s">
        <v>508</v>
      </c>
      <c r="U247" t="s">
        <v>511</v>
      </c>
      <c r="V247">
        <v>11375</v>
      </c>
      <c r="W247" t="s">
        <v>522</v>
      </c>
      <c r="X247" t="s">
        <v>549</v>
      </c>
      <c r="Y247" t="s">
        <v>275</v>
      </c>
      <c r="Z247" t="s">
        <v>584</v>
      </c>
      <c r="AA247" t="s">
        <v>2111</v>
      </c>
      <c r="AB247" t="s">
        <v>902</v>
      </c>
      <c r="AC247" t="s">
        <v>904</v>
      </c>
      <c r="AF247" t="s">
        <v>923</v>
      </c>
      <c r="AI247">
        <v>12.35</v>
      </c>
      <c r="AJ247" t="s">
        <v>558</v>
      </c>
      <c r="AK247" t="s">
        <v>947</v>
      </c>
      <c r="AL247" t="s">
        <v>274</v>
      </c>
      <c r="AT247">
        <v>0</v>
      </c>
      <c r="AU247">
        <v>2</v>
      </c>
      <c r="AV247" t="s">
        <v>273</v>
      </c>
      <c r="AY247" t="s">
        <v>273</v>
      </c>
      <c r="BB247">
        <v>0</v>
      </c>
      <c r="BC247">
        <v>0</v>
      </c>
      <c r="BD247">
        <v>0</v>
      </c>
      <c r="BE247">
        <v>0</v>
      </c>
      <c r="BF247" t="s">
        <v>1063</v>
      </c>
      <c r="BG247" t="s">
        <v>2594</v>
      </c>
      <c r="BH247">
        <v>67</v>
      </c>
      <c r="BI247" t="s">
        <v>2767</v>
      </c>
      <c r="BK247">
        <v>1885880</v>
      </c>
    </row>
    <row r="248" spans="1:64">
      <c r="A248" s="1">
        <f>HYPERLINK("https://lsnyc.legalserver.org/matter/dynamic-profile/view/1885101","18-1885101")</f>
        <v>0</v>
      </c>
      <c r="B248" t="s">
        <v>1515</v>
      </c>
      <c r="C248" t="s">
        <v>1640</v>
      </c>
      <c r="D248" t="s">
        <v>253</v>
      </c>
      <c r="E248" t="s">
        <v>1648</v>
      </c>
      <c r="F248" t="s">
        <v>275</v>
      </c>
      <c r="G248" t="s">
        <v>275</v>
      </c>
      <c r="H248">
        <v>63.18</v>
      </c>
      <c r="I248" t="s">
        <v>274</v>
      </c>
      <c r="K248" t="s">
        <v>1717</v>
      </c>
      <c r="L248" t="s">
        <v>467</v>
      </c>
      <c r="P248" t="s">
        <v>493</v>
      </c>
      <c r="Q248" t="s">
        <v>501</v>
      </c>
      <c r="S248" t="s">
        <v>503</v>
      </c>
      <c r="T248" t="s">
        <v>508</v>
      </c>
      <c r="U248" t="s">
        <v>511</v>
      </c>
      <c r="V248">
        <v>11368</v>
      </c>
      <c r="W248" t="s">
        <v>520</v>
      </c>
      <c r="X248" t="s">
        <v>548</v>
      </c>
      <c r="Y248" t="s">
        <v>275</v>
      </c>
      <c r="Z248" t="s">
        <v>2000</v>
      </c>
      <c r="AA248" t="s">
        <v>2257</v>
      </c>
      <c r="AB248" t="s">
        <v>902</v>
      </c>
      <c r="AC248" t="s">
        <v>905</v>
      </c>
      <c r="AD248" t="s">
        <v>274</v>
      </c>
      <c r="AE248" t="s">
        <v>919</v>
      </c>
      <c r="AF248" t="s">
        <v>923</v>
      </c>
      <c r="AI248">
        <v>6.55</v>
      </c>
      <c r="AK248" t="s">
        <v>947</v>
      </c>
      <c r="AL248" t="s">
        <v>274</v>
      </c>
      <c r="AM248" t="s">
        <v>973</v>
      </c>
      <c r="AN248" t="s">
        <v>2389</v>
      </c>
      <c r="AQ248" t="s">
        <v>1036</v>
      </c>
      <c r="AR248" t="s">
        <v>1051</v>
      </c>
      <c r="AT248">
        <v>1</v>
      </c>
      <c r="AU248">
        <v>1</v>
      </c>
      <c r="AV248" t="s">
        <v>273</v>
      </c>
      <c r="AY248" t="s">
        <v>273</v>
      </c>
      <c r="BB248">
        <v>0</v>
      </c>
      <c r="BC248">
        <v>0</v>
      </c>
      <c r="BD248">
        <v>0</v>
      </c>
      <c r="BE248">
        <v>0</v>
      </c>
      <c r="BF248" t="s">
        <v>493</v>
      </c>
      <c r="BG248" t="s">
        <v>2595</v>
      </c>
      <c r="BH248">
        <v>28</v>
      </c>
      <c r="BI248" t="s">
        <v>1301</v>
      </c>
      <c r="BK248">
        <v>1851503</v>
      </c>
    </row>
    <row r="249" spans="1:64">
      <c r="A249" s="1">
        <f>HYPERLINK("https://lsnyc.legalserver.org/matter/dynamic-profile/view/1885000","18-1885000")</f>
        <v>0</v>
      </c>
      <c r="B249" t="s">
        <v>1516</v>
      </c>
      <c r="C249" t="s">
        <v>1640</v>
      </c>
      <c r="D249" t="s">
        <v>253</v>
      </c>
      <c r="E249" t="s">
        <v>1649</v>
      </c>
      <c r="F249" t="s">
        <v>275</v>
      </c>
      <c r="G249" t="s">
        <v>275</v>
      </c>
      <c r="H249">
        <v>0</v>
      </c>
      <c r="I249" t="s">
        <v>274</v>
      </c>
      <c r="K249" t="s">
        <v>1718</v>
      </c>
      <c r="L249" t="s">
        <v>1662</v>
      </c>
      <c r="O249" t="s">
        <v>275</v>
      </c>
      <c r="P249" t="s">
        <v>493</v>
      </c>
      <c r="Q249" t="s">
        <v>501</v>
      </c>
      <c r="S249" t="s">
        <v>503</v>
      </c>
      <c r="T249" t="s">
        <v>508</v>
      </c>
      <c r="U249" t="s">
        <v>511</v>
      </c>
      <c r="V249">
        <v>11369</v>
      </c>
      <c r="W249" t="s">
        <v>518</v>
      </c>
      <c r="X249" t="s">
        <v>548</v>
      </c>
      <c r="Z249" t="s">
        <v>2001</v>
      </c>
      <c r="AA249" t="s">
        <v>2258</v>
      </c>
      <c r="AB249" t="s">
        <v>902</v>
      </c>
      <c r="AC249" t="s">
        <v>905</v>
      </c>
      <c r="AD249" t="s">
        <v>274</v>
      </c>
      <c r="AE249" t="s">
        <v>920</v>
      </c>
      <c r="AF249" t="s">
        <v>928</v>
      </c>
      <c r="AI249">
        <v>12.75</v>
      </c>
      <c r="AJ249" t="s">
        <v>931</v>
      </c>
      <c r="AK249" t="s">
        <v>934</v>
      </c>
      <c r="AL249" t="s">
        <v>274</v>
      </c>
      <c r="AQ249" t="s">
        <v>1033</v>
      </c>
      <c r="AR249" t="s">
        <v>1051</v>
      </c>
      <c r="AT249">
        <v>1</v>
      </c>
      <c r="AU249">
        <v>1</v>
      </c>
      <c r="AV249" t="s">
        <v>273</v>
      </c>
      <c r="AY249" t="s">
        <v>273</v>
      </c>
      <c r="BB249">
        <v>0</v>
      </c>
      <c r="BC249">
        <v>0</v>
      </c>
      <c r="BD249">
        <v>0</v>
      </c>
      <c r="BE249">
        <v>0</v>
      </c>
      <c r="BF249" t="s">
        <v>493</v>
      </c>
      <c r="BG249" t="s">
        <v>2596</v>
      </c>
      <c r="BH249">
        <v>22</v>
      </c>
      <c r="BI249" t="s">
        <v>1247</v>
      </c>
      <c r="BK249">
        <v>1885626</v>
      </c>
    </row>
    <row r="250" spans="1:64">
      <c r="A250" s="1">
        <f>HYPERLINK("https://lsnyc.legalserver.org/matter/dynamic-profile/view/1885213","18-1885213")</f>
        <v>0</v>
      </c>
      <c r="B250" t="s">
        <v>1517</v>
      </c>
      <c r="C250" t="s">
        <v>1640</v>
      </c>
      <c r="D250" t="s">
        <v>253</v>
      </c>
      <c r="E250" t="s">
        <v>1649</v>
      </c>
      <c r="F250" t="s">
        <v>275</v>
      </c>
      <c r="G250" t="s">
        <v>275</v>
      </c>
      <c r="H250">
        <v>0</v>
      </c>
      <c r="I250" t="s">
        <v>274</v>
      </c>
      <c r="K250" t="s">
        <v>1718</v>
      </c>
      <c r="L250" t="s">
        <v>1662</v>
      </c>
      <c r="O250" t="s">
        <v>275</v>
      </c>
      <c r="P250" t="s">
        <v>492</v>
      </c>
      <c r="Q250" t="s">
        <v>502</v>
      </c>
      <c r="S250" t="s">
        <v>503</v>
      </c>
      <c r="T250" t="s">
        <v>507</v>
      </c>
      <c r="U250" t="s">
        <v>511</v>
      </c>
      <c r="V250">
        <v>11356</v>
      </c>
      <c r="W250" t="s">
        <v>518</v>
      </c>
      <c r="X250" t="s">
        <v>548</v>
      </c>
      <c r="Y250" t="s">
        <v>275</v>
      </c>
      <c r="Z250" t="s">
        <v>946</v>
      </c>
      <c r="AA250" t="s">
        <v>2259</v>
      </c>
      <c r="AB250" t="s">
        <v>902</v>
      </c>
      <c r="AC250" t="s">
        <v>905</v>
      </c>
      <c r="AD250" t="s">
        <v>916</v>
      </c>
      <c r="AE250" t="s">
        <v>920</v>
      </c>
      <c r="AF250" t="s">
        <v>928</v>
      </c>
      <c r="AI250">
        <v>2.4</v>
      </c>
      <c r="AJ250" t="s">
        <v>558</v>
      </c>
      <c r="AK250" t="s">
        <v>941</v>
      </c>
      <c r="AL250" t="s">
        <v>274</v>
      </c>
      <c r="AM250" t="s">
        <v>975</v>
      </c>
      <c r="AN250" t="s">
        <v>1718</v>
      </c>
      <c r="AQ250" t="s">
        <v>1033</v>
      </c>
      <c r="AR250" t="s">
        <v>1051</v>
      </c>
      <c r="AT250">
        <v>2</v>
      </c>
      <c r="AU250">
        <v>1</v>
      </c>
      <c r="AV250" t="s">
        <v>273</v>
      </c>
      <c r="AY250" t="s">
        <v>273</v>
      </c>
      <c r="BB250">
        <v>0</v>
      </c>
      <c r="BC250">
        <v>0</v>
      </c>
      <c r="BD250">
        <v>0</v>
      </c>
      <c r="BE250">
        <v>0</v>
      </c>
      <c r="BF250" t="s">
        <v>493</v>
      </c>
      <c r="BG250" t="s">
        <v>2597</v>
      </c>
      <c r="BH250">
        <v>3</v>
      </c>
      <c r="BI250" t="s">
        <v>1247</v>
      </c>
      <c r="BK250">
        <v>1882995</v>
      </c>
    </row>
    <row r="251" spans="1:64">
      <c r="A251" s="1">
        <f>HYPERLINK("https://lsnyc.legalserver.org/matter/dynamic-profile/view/1884957","18-1884957")</f>
        <v>0</v>
      </c>
      <c r="B251" t="s">
        <v>1338</v>
      </c>
      <c r="C251" t="s">
        <v>1640</v>
      </c>
      <c r="D251" t="s">
        <v>253</v>
      </c>
      <c r="E251" t="s">
        <v>1649</v>
      </c>
      <c r="F251" t="s">
        <v>273</v>
      </c>
      <c r="G251" t="s">
        <v>275</v>
      </c>
      <c r="H251">
        <v>0</v>
      </c>
      <c r="I251" t="s">
        <v>274</v>
      </c>
      <c r="K251" t="s">
        <v>1718</v>
      </c>
      <c r="M251" t="s">
        <v>474</v>
      </c>
      <c r="N251" t="s">
        <v>1812</v>
      </c>
      <c r="O251" t="s">
        <v>275</v>
      </c>
      <c r="P251" t="s">
        <v>492</v>
      </c>
      <c r="Q251" t="s">
        <v>501</v>
      </c>
      <c r="S251" t="s">
        <v>503</v>
      </c>
      <c r="T251" t="s">
        <v>507</v>
      </c>
      <c r="U251" t="s">
        <v>511</v>
      </c>
      <c r="V251">
        <v>11369</v>
      </c>
      <c r="W251" t="s">
        <v>518</v>
      </c>
      <c r="X251" t="s">
        <v>548</v>
      </c>
      <c r="Z251" t="s">
        <v>1860</v>
      </c>
      <c r="AA251" t="s">
        <v>2106</v>
      </c>
      <c r="AB251" t="s">
        <v>902</v>
      </c>
      <c r="AC251" t="s">
        <v>905</v>
      </c>
      <c r="AF251" t="s">
        <v>926</v>
      </c>
      <c r="AI251">
        <v>106.32</v>
      </c>
      <c r="AJ251" t="s">
        <v>931</v>
      </c>
      <c r="AK251" t="s">
        <v>947</v>
      </c>
      <c r="AL251" t="s">
        <v>274</v>
      </c>
      <c r="AT251">
        <v>0</v>
      </c>
      <c r="AU251">
        <v>1</v>
      </c>
      <c r="AV251" t="s">
        <v>273</v>
      </c>
      <c r="AY251" t="s">
        <v>273</v>
      </c>
      <c r="BB251">
        <v>0</v>
      </c>
      <c r="BC251">
        <v>0</v>
      </c>
      <c r="BD251">
        <v>0</v>
      </c>
      <c r="BE251">
        <v>0</v>
      </c>
      <c r="BF251" t="s">
        <v>1063</v>
      </c>
      <c r="BG251" t="s">
        <v>2425</v>
      </c>
      <c r="BH251">
        <v>37</v>
      </c>
      <c r="BI251" t="s">
        <v>1247</v>
      </c>
      <c r="BK251">
        <v>1885583</v>
      </c>
    </row>
    <row r="252" spans="1:64">
      <c r="A252" s="1">
        <f>HYPERLINK("https://lsnyc.legalserver.org/matter/dynamic-profile/view/1885002","18-1885002")</f>
        <v>0</v>
      </c>
      <c r="B252" t="s">
        <v>1518</v>
      </c>
      <c r="C252" t="s">
        <v>1640</v>
      </c>
      <c r="D252" t="s">
        <v>253</v>
      </c>
      <c r="E252" t="s">
        <v>1647</v>
      </c>
      <c r="F252" t="s">
        <v>274</v>
      </c>
      <c r="G252" t="s">
        <v>274</v>
      </c>
      <c r="H252">
        <v>137.68</v>
      </c>
      <c r="I252" t="s">
        <v>274</v>
      </c>
      <c r="K252" t="s">
        <v>1718</v>
      </c>
      <c r="M252" t="s">
        <v>473</v>
      </c>
      <c r="N252" t="s">
        <v>284</v>
      </c>
      <c r="O252" t="s">
        <v>275</v>
      </c>
      <c r="P252" t="s">
        <v>492</v>
      </c>
      <c r="Q252" t="s">
        <v>501</v>
      </c>
      <c r="S252" t="s">
        <v>503</v>
      </c>
      <c r="T252" t="s">
        <v>508</v>
      </c>
      <c r="U252" t="s">
        <v>511</v>
      </c>
      <c r="V252">
        <v>11373</v>
      </c>
      <c r="W252" t="s">
        <v>538</v>
      </c>
      <c r="X252" t="s">
        <v>548</v>
      </c>
      <c r="Y252" t="s">
        <v>275</v>
      </c>
      <c r="Z252" t="s">
        <v>2002</v>
      </c>
      <c r="AA252" t="s">
        <v>2260</v>
      </c>
      <c r="AB252" t="s">
        <v>902</v>
      </c>
      <c r="AC252" t="s">
        <v>905</v>
      </c>
      <c r="AF252" t="s">
        <v>923</v>
      </c>
      <c r="AI252">
        <v>17.8</v>
      </c>
      <c r="AJ252" t="s">
        <v>558</v>
      </c>
      <c r="AK252" t="s">
        <v>933</v>
      </c>
      <c r="AL252" t="s">
        <v>274</v>
      </c>
      <c r="AT252">
        <v>4</v>
      </c>
      <c r="AU252">
        <v>3</v>
      </c>
      <c r="AV252" t="s">
        <v>273</v>
      </c>
      <c r="AY252" t="s">
        <v>273</v>
      </c>
      <c r="BB252">
        <v>0</v>
      </c>
      <c r="BC252">
        <v>0</v>
      </c>
      <c r="BD252">
        <v>0</v>
      </c>
      <c r="BE252">
        <v>0</v>
      </c>
      <c r="BF252" t="s">
        <v>1063</v>
      </c>
      <c r="BG252" t="s">
        <v>2598</v>
      </c>
      <c r="BH252">
        <v>48</v>
      </c>
      <c r="BI252" t="s">
        <v>2768</v>
      </c>
      <c r="BK252">
        <v>1885628</v>
      </c>
    </row>
    <row r="253" spans="1:64">
      <c r="A253" s="1">
        <f>HYPERLINK("https://lsnyc.legalserver.org/matter/dynamic-profile/view/1884834","18-1884834")</f>
        <v>0</v>
      </c>
      <c r="B253" t="s">
        <v>1519</v>
      </c>
      <c r="C253" t="s">
        <v>1640</v>
      </c>
      <c r="D253" t="s">
        <v>253</v>
      </c>
      <c r="E253" t="s">
        <v>1649</v>
      </c>
      <c r="F253" t="s">
        <v>273</v>
      </c>
      <c r="G253" t="s">
        <v>275</v>
      </c>
      <c r="H253">
        <v>0</v>
      </c>
      <c r="I253" t="s">
        <v>274</v>
      </c>
      <c r="K253" t="s">
        <v>1719</v>
      </c>
      <c r="O253" t="s">
        <v>275</v>
      </c>
      <c r="P253" t="s">
        <v>492</v>
      </c>
      <c r="Q253" t="s">
        <v>501</v>
      </c>
      <c r="S253" t="s">
        <v>503</v>
      </c>
      <c r="T253" t="s">
        <v>507</v>
      </c>
      <c r="U253" t="s">
        <v>511</v>
      </c>
      <c r="V253">
        <v>11104</v>
      </c>
      <c r="W253" t="s">
        <v>522</v>
      </c>
      <c r="X253" t="s">
        <v>548</v>
      </c>
      <c r="Z253" t="s">
        <v>2003</v>
      </c>
      <c r="AA253" t="s">
        <v>2261</v>
      </c>
      <c r="AB253" t="s">
        <v>902</v>
      </c>
      <c r="AC253" t="s">
        <v>905</v>
      </c>
      <c r="AF253" t="s">
        <v>927</v>
      </c>
      <c r="AI253">
        <v>5.4</v>
      </c>
      <c r="AK253" t="s">
        <v>936</v>
      </c>
      <c r="AL253" t="s">
        <v>274</v>
      </c>
      <c r="AT253">
        <v>0</v>
      </c>
      <c r="AU253">
        <v>1</v>
      </c>
      <c r="AV253" t="s">
        <v>273</v>
      </c>
      <c r="AY253" t="s">
        <v>273</v>
      </c>
      <c r="BB253">
        <v>0</v>
      </c>
      <c r="BC253">
        <v>0</v>
      </c>
      <c r="BD253">
        <v>0</v>
      </c>
      <c r="BE253">
        <v>0</v>
      </c>
      <c r="BF253" t="s">
        <v>1063</v>
      </c>
      <c r="BG253" t="s">
        <v>2599</v>
      </c>
      <c r="BH253">
        <v>45</v>
      </c>
      <c r="BI253" t="s">
        <v>1247</v>
      </c>
      <c r="BK253">
        <v>1884548</v>
      </c>
    </row>
    <row r="254" spans="1:64">
      <c r="A254" s="1">
        <f>HYPERLINK("https://lsnyc.legalserver.org/matter/dynamic-profile/view/1885143","18-1885143")</f>
        <v>0</v>
      </c>
      <c r="B254" t="s">
        <v>1497</v>
      </c>
      <c r="C254" t="s">
        <v>1640</v>
      </c>
      <c r="D254" t="s">
        <v>253</v>
      </c>
      <c r="E254" t="s">
        <v>1647</v>
      </c>
      <c r="F254" t="s">
        <v>273</v>
      </c>
      <c r="G254" t="s">
        <v>275</v>
      </c>
      <c r="H254">
        <v>155.38</v>
      </c>
      <c r="I254" t="s">
        <v>274</v>
      </c>
      <c r="K254" t="s">
        <v>1720</v>
      </c>
      <c r="O254" t="s">
        <v>275</v>
      </c>
      <c r="P254" t="s">
        <v>495</v>
      </c>
      <c r="Q254" t="s">
        <v>502</v>
      </c>
      <c r="S254" t="s">
        <v>504</v>
      </c>
      <c r="T254" t="s">
        <v>507</v>
      </c>
      <c r="U254" t="s">
        <v>512</v>
      </c>
      <c r="V254">
        <v>11435</v>
      </c>
      <c r="X254" t="s">
        <v>548</v>
      </c>
      <c r="Y254" t="s">
        <v>275</v>
      </c>
      <c r="Z254" t="s">
        <v>1988</v>
      </c>
      <c r="AA254" t="s">
        <v>2245</v>
      </c>
      <c r="AB254" t="s">
        <v>902</v>
      </c>
      <c r="AC254" t="s">
        <v>905</v>
      </c>
      <c r="AF254" t="s">
        <v>924</v>
      </c>
      <c r="AI254">
        <v>32</v>
      </c>
      <c r="AJ254" t="s">
        <v>558</v>
      </c>
      <c r="AK254" t="s">
        <v>941</v>
      </c>
      <c r="AL254" t="s">
        <v>274</v>
      </c>
      <c r="AM254" t="s">
        <v>978</v>
      </c>
      <c r="AN254" t="s">
        <v>2390</v>
      </c>
      <c r="AT254">
        <v>2</v>
      </c>
      <c r="AU254">
        <v>2</v>
      </c>
      <c r="AV254" t="s">
        <v>273</v>
      </c>
      <c r="AY254" t="s">
        <v>273</v>
      </c>
      <c r="BB254">
        <v>0</v>
      </c>
      <c r="BC254">
        <v>0</v>
      </c>
      <c r="BD254">
        <v>0</v>
      </c>
      <c r="BE254">
        <v>0</v>
      </c>
      <c r="BF254" t="s">
        <v>1063</v>
      </c>
      <c r="BG254" t="s">
        <v>2452</v>
      </c>
      <c r="BH254">
        <v>17</v>
      </c>
      <c r="BI254" t="s">
        <v>1273</v>
      </c>
      <c r="BK254">
        <v>1880169</v>
      </c>
      <c r="BL254" t="s">
        <v>274</v>
      </c>
    </row>
    <row r="255" spans="1:64">
      <c r="A255" s="1">
        <f>HYPERLINK("https://lsnyc.legalserver.org/matter/dynamic-profile/view/1885237","18-1885237")</f>
        <v>0</v>
      </c>
      <c r="B255" t="s">
        <v>1520</v>
      </c>
      <c r="C255" t="s">
        <v>1640</v>
      </c>
      <c r="D255" t="s">
        <v>253</v>
      </c>
      <c r="E255" t="s">
        <v>1647</v>
      </c>
      <c r="F255" t="s">
        <v>273</v>
      </c>
      <c r="G255" t="s">
        <v>275</v>
      </c>
      <c r="H255">
        <v>58.01</v>
      </c>
      <c r="I255" t="s">
        <v>274</v>
      </c>
      <c r="K255" t="s">
        <v>1720</v>
      </c>
      <c r="M255" t="s">
        <v>474</v>
      </c>
      <c r="N255" t="s">
        <v>281</v>
      </c>
      <c r="O255" t="s">
        <v>275</v>
      </c>
      <c r="P255" t="s">
        <v>492</v>
      </c>
      <c r="Q255" t="s">
        <v>501</v>
      </c>
      <c r="S255" t="s">
        <v>503</v>
      </c>
      <c r="T255" t="s">
        <v>508</v>
      </c>
      <c r="U255" t="s">
        <v>511</v>
      </c>
      <c r="V255">
        <v>11102</v>
      </c>
      <c r="W255" t="s">
        <v>520</v>
      </c>
      <c r="X255" t="s">
        <v>548</v>
      </c>
      <c r="Y255" t="s">
        <v>275</v>
      </c>
      <c r="Z255" t="s">
        <v>1936</v>
      </c>
      <c r="AA255" t="s">
        <v>2190</v>
      </c>
      <c r="AB255" t="s">
        <v>902</v>
      </c>
      <c r="AC255" t="s">
        <v>905</v>
      </c>
      <c r="AF255" t="s">
        <v>923</v>
      </c>
      <c r="AI255">
        <v>4.7</v>
      </c>
      <c r="AJ255" t="s">
        <v>558</v>
      </c>
      <c r="AK255" t="s">
        <v>933</v>
      </c>
      <c r="AL255" t="s">
        <v>274</v>
      </c>
      <c r="AM255" t="s">
        <v>973</v>
      </c>
      <c r="AT255">
        <v>3</v>
      </c>
      <c r="AU255">
        <v>1</v>
      </c>
      <c r="AV255" t="s">
        <v>273</v>
      </c>
      <c r="AY255" t="s">
        <v>273</v>
      </c>
      <c r="BB255">
        <v>0</v>
      </c>
      <c r="BC255">
        <v>0</v>
      </c>
      <c r="BD255">
        <v>0</v>
      </c>
      <c r="BE255">
        <v>0</v>
      </c>
      <c r="BF255" t="s">
        <v>1063</v>
      </c>
      <c r="BG255" t="s">
        <v>2518</v>
      </c>
      <c r="BH255">
        <v>34</v>
      </c>
      <c r="BI255" t="s">
        <v>2719</v>
      </c>
      <c r="BK255">
        <v>1865574</v>
      </c>
      <c r="BL255" t="s">
        <v>275</v>
      </c>
    </row>
    <row r="256" spans="1:64">
      <c r="A256" s="1">
        <f>HYPERLINK("https://lsnyc.legalserver.org/matter/dynamic-profile/view/1884452","18-1884452")</f>
        <v>0</v>
      </c>
      <c r="B256" t="s">
        <v>1521</v>
      </c>
      <c r="C256" t="s">
        <v>1640</v>
      </c>
      <c r="D256" t="s">
        <v>253</v>
      </c>
      <c r="E256" t="s">
        <v>1648</v>
      </c>
      <c r="F256" t="s">
        <v>273</v>
      </c>
      <c r="G256" t="s">
        <v>275</v>
      </c>
      <c r="H256">
        <v>202.12</v>
      </c>
      <c r="I256" t="s">
        <v>274</v>
      </c>
      <c r="K256" t="s">
        <v>1721</v>
      </c>
      <c r="M256" t="s">
        <v>474</v>
      </c>
      <c r="N256" t="s">
        <v>290</v>
      </c>
      <c r="Q256" t="s">
        <v>501</v>
      </c>
      <c r="S256" t="s">
        <v>503</v>
      </c>
      <c r="T256" t="s">
        <v>508</v>
      </c>
      <c r="U256" t="s">
        <v>511</v>
      </c>
      <c r="V256">
        <v>11429</v>
      </c>
      <c r="W256" t="s">
        <v>524</v>
      </c>
      <c r="X256" t="s">
        <v>549</v>
      </c>
      <c r="Y256" t="s">
        <v>275</v>
      </c>
      <c r="Z256" t="s">
        <v>2004</v>
      </c>
      <c r="AA256" t="s">
        <v>2262</v>
      </c>
      <c r="AB256" t="s">
        <v>902</v>
      </c>
      <c r="AC256" t="s">
        <v>909</v>
      </c>
      <c r="AF256" t="s">
        <v>923</v>
      </c>
      <c r="AI256">
        <v>12.47</v>
      </c>
      <c r="AK256" t="s">
        <v>939</v>
      </c>
      <c r="AL256" t="s">
        <v>274</v>
      </c>
      <c r="AM256" t="s">
        <v>973</v>
      </c>
      <c r="AN256" t="s">
        <v>484</v>
      </c>
      <c r="AT256">
        <v>1</v>
      </c>
      <c r="AU256">
        <v>2</v>
      </c>
      <c r="AV256" t="s">
        <v>273</v>
      </c>
      <c r="AY256" t="s">
        <v>273</v>
      </c>
      <c r="BB256">
        <v>0</v>
      </c>
      <c r="BC256">
        <v>0</v>
      </c>
      <c r="BD256">
        <v>0</v>
      </c>
      <c r="BE256">
        <v>0</v>
      </c>
      <c r="BF256" t="s">
        <v>1063</v>
      </c>
      <c r="BG256" t="s">
        <v>2600</v>
      </c>
      <c r="BH256">
        <v>23</v>
      </c>
      <c r="BI256" t="s">
        <v>2747</v>
      </c>
      <c r="BK256">
        <v>1885077</v>
      </c>
    </row>
    <row r="257" spans="1:64">
      <c r="A257" s="1">
        <f>HYPERLINK("https://lsnyc.legalserver.org/matter/dynamic-profile/view/1884475","18-1884475")</f>
        <v>0</v>
      </c>
      <c r="B257" t="s">
        <v>1521</v>
      </c>
      <c r="C257" t="s">
        <v>1640</v>
      </c>
      <c r="D257" t="s">
        <v>253</v>
      </c>
      <c r="E257" t="s">
        <v>1648</v>
      </c>
      <c r="F257" t="s">
        <v>273</v>
      </c>
      <c r="G257" t="s">
        <v>275</v>
      </c>
      <c r="H257">
        <v>202.12</v>
      </c>
      <c r="I257" t="s">
        <v>274</v>
      </c>
      <c r="K257" t="s">
        <v>1721</v>
      </c>
      <c r="Q257" t="s">
        <v>501</v>
      </c>
      <c r="S257" t="s">
        <v>503</v>
      </c>
      <c r="T257" t="s">
        <v>508</v>
      </c>
      <c r="U257" t="s">
        <v>511</v>
      </c>
      <c r="V257">
        <v>11429</v>
      </c>
      <c r="W257" t="s">
        <v>520</v>
      </c>
      <c r="X257" t="s">
        <v>549</v>
      </c>
      <c r="Y257" t="s">
        <v>275</v>
      </c>
      <c r="Z257" t="s">
        <v>2004</v>
      </c>
      <c r="AA257" t="s">
        <v>2262</v>
      </c>
      <c r="AB257" t="s">
        <v>902</v>
      </c>
      <c r="AC257" t="s">
        <v>909</v>
      </c>
      <c r="AF257" t="s">
        <v>923</v>
      </c>
      <c r="AI257">
        <v>7.55</v>
      </c>
      <c r="AK257" t="s">
        <v>939</v>
      </c>
      <c r="AL257" t="s">
        <v>274</v>
      </c>
      <c r="AM257" t="s">
        <v>973</v>
      </c>
      <c r="AN257" t="s">
        <v>484</v>
      </c>
      <c r="AT257">
        <v>1</v>
      </c>
      <c r="AU257">
        <v>2</v>
      </c>
      <c r="AV257" t="s">
        <v>273</v>
      </c>
      <c r="AY257" t="s">
        <v>273</v>
      </c>
      <c r="BB257">
        <v>0</v>
      </c>
      <c r="BC257">
        <v>0</v>
      </c>
      <c r="BD257">
        <v>0</v>
      </c>
      <c r="BE257">
        <v>0</v>
      </c>
      <c r="BF257" t="s">
        <v>1063</v>
      </c>
      <c r="BG257" t="s">
        <v>2600</v>
      </c>
      <c r="BH257">
        <v>23</v>
      </c>
      <c r="BI257" t="s">
        <v>2747</v>
      </c>
      <c r="BK257">
        <v>1885077</v>
      </c>
    </row>
    <row r="258" spans="1:64">
      <c r="A258" s="1">
        <f>HYPERLINK("https://lsnyc.legalserver.org/matter/dynamic-profile/view/1884302","18-1884302")</f>
        <v>0</v>
      </c>
      <c r="B258" t="s">
        <v>1522</v>
      </c>
      <c r="C258" t="s">
        <v>1640</v>
      </c>
      <c r="D258" t="s">
        <v>253</v>
      </c>
      <c r="E258" t="s">
        <v>1646</v>
      </c>
      <c r="F258" t="s">
        <v>273</v>
      </c>
      <c r="G258" t="s">
        <v>275</v>
      </c>
      <c r="H258">
        <v>0</v>
      </c>
      <c r="I258" t="s">
        <v>274</v>
      </c>
      <c r="K258" t="s">
        <v>1722</v>
      </c>
      <c r="M258" t="s">
        <v>474</v>
      </c>
      <c r="N258" t="s">
        <v>445</v>
      </c>
      <c r="O258" t="s">
        <v>275</v>
      </c>
      <c r="P258" t="s">
        <v>492</v>
      </c>
      <c r="Q258" t="s">
        <v>501</v>
      </c>
      <c r="S258" t="s">
        <v>503</v>
      </c>
      <c r="T258" t="s">
        <v>508</v>
      </c>
      <c r="U258" t="s">
        <v>511</v>
      </c>
      <c r="V258">
        <v>11691</v>
      </c>
      <c r="W258" t="s">
        <v>519</v>
      </c>
      <c r="X258" t="s">
        <v>548</v>
      </c>
      <c r="Z258" t="s">
        <v>606</v>
      </c>
      <c r="AA258" t="s">
        <v>2121</v>
      </c>
      <c r="AB258" t="s">
        <v>902</v>
      </c>
      <c r="AC258" t="s">
        <v>905</v>
      </c>
      <c r="AF258" t="s">
        <v>926</v>
      </c>
      <c r="AI258">
        <v>43.75</v>
      </c>
      <c r="AJ258" t="s">
        <v>558</v>
      </c>
      <c r="AK258" t="s">
        <v>934</v>
      </c>
      <c r="AL258" t="s">
        <v>274</v>
      </c>
      <c r="AT258">
        <v>1</v>
      </c>
      <c r="AU258">
        <v>1</v>
      </c>
      <c r="AV258" t="s">
        <v>273</v>
      </c>
      <c r="AY258" t="s">
        <v>273</v>
      </c>
      <c r="BB258">
        <v>0</v>
      </c>
      <c r="BC258">
        <v>0</v>
      </c>
      <c r="BD258">
        <v>0</v>
      </c>
      <c r="BE258">
        <v>0</v>
      </c>
      <c r="BF258" t="s">
        <v>1063</v>
      </c>
      <c r="BG258" t="s">
        <v>2601</v>
      </c>
      <c r="BH258">
        <v>43</v>
      </c>
      <c r="BI258" t="s">
        <v>1247</v>
      </c>
      <c r="BK258">
        <v>1880625</v>
      </c>
    </row>
    <row r="259" spans="1:64">
      <c r="A259" s="1">
        <f>HYPERLINK("https://lsnyc.legalserver.org/matter/dynamic-profile/view/1884305","18-1884305")</f>
        <v>0</v>
      </c>
      <c r="B259" t="s">
        <v>1494</v>
      </c>
      <c r="C259" t="s">
        <v>1640</v>
      </c>
      <c r="D259" t="s">
        <v>253</v>
      </c>
      <c r="E259" t="s">
        <v>1646</v>
      </c>
      <c r="F259" t="s">
        <v>273</v>
      </c>
      <c r="G259" t="s">
        <v>275</v>
      </c>
      <c r="H259">
        <v>0</v>
      </c>
      <c r="I259" t="s">
        <v>274</v>
      </c>
      <c r="K259" t="s">
        <v>1722</v>
      </c>
      <c r="M259" t="s">
        <v>474</v>
      </c>
      <c r="N259" t="s">
        <v>451</v>
      </c>
      <c r="O259" t="s">
        <v>275</v>
      </c>
      <c r="P259" t="s">
        <v>492</v>
      </c>
      <c r="Q259" t="s">
        <v>502</v>
      </c>
      <c r="S259" t="s">
        <v>503</v>
      </c>
      <c r="T259" t="s">
        <v>508</v>
      </c>
      <c r="U259" t="s">
        <v>511</v>
      </c>
      <c r="V259">
        <v>11691</v>
      </c>
      <c r="W259" t="s">
        <v>519</v>
      </c>
      <c r="X259" t="s">
        <v>548</v>
      </c>
      <c r="Y259" t="s">
        <v>275</v>
      </c>
      <c r="Z259" t="s">
        <v>1986</v>
      </c>
      <c r="AA259" t="s">
        <v>2121</v>
      </c>
      <c r="AB259" t="s">
        <v>902</v>
      </c>
      <c r="AC259" t="s">
        <v>905</v>
      </c>
      <c r="AF259" t="s">
        <v>926</v>
      </c>
      <c r="AI259">
        <v>7.7</v>
      </c>
      <c r="AJ259" t="s">
        <v>558</v>
      </c>
      <c r="AK259" t="s">
        <v>934</v>
      </c>
      <c r="AL259" t="s">
        <v>274</v>
      </c>
      <c r="AT259">
        <v>1</v>
      </c>
      <c r="AU259">
        <v>1</v>
      </c>
      <c r="AV259" t="s">
        <v>273</v>
      </c>
      <c r="AY259" t="s">
        <v>273</v>
      </c>
      <c r="BB259">
        <v>0</v>
      </c>
      <c r="BC259">
        <v>0</v>
      </c>
      <c r="BD259">
        <v>0</v>
      </c>
      <c r="BE259">
        <v>0</v>
      </c>
      <c r="BF259" t="s">
        <v>1063</v>
      </c>
      <c r="BG259" t="s">
        <v>2576</v>
      </c>
      <c r="BH259">
        <v>17</v>
      </c>
      <c r="BI259" t="s">
        <v>1247</v>
      </c>
      <c r="BK259">
        <v>1880625</v>
      </c>
    </row>
    <row r="260" spans="1:64">
      <c r="A260" s="1">
        <f>HYPERLINK("https://lsnyc.legalserver.org/matter/dynamic-profile/view/1884353","18-1884353")</f>
        <v>0</v>
      </c>
      <c r="B260" t="s">
        <v>1520</v>
      </c>
      <c r="C260" t="s">
        <v>1640</v>
      </c>
      <c r="D260" t="s">
        <v>253</v>
      </c>
      <c r="E260" t="s">
        <v>1647</v>
      </c>
      <c r="F260" t="s">
        <v>273</v>
      </c>
      <c r="G260" t="s">
        <v>275</v>
      </c>
      <c r="H260">
        <v>0</v>
      </c>
      <c r="I260" t="s">
        <v>274</v>
      </c>
      <c r="K260" t="s">
        <v>1722</v>
      </c>
      <c r="M260" t="s">
        <v>474</v>
      </c>
      <c r="N260" t="s">
        <v>297</v>
      </c>
      <c r="O260" t="s">
        <v>275</v>
      </c>
      <c r="P260" t="s">
        <v>492</v>
      </c>
      <c r="Q260" t="s">
        <v>501</v>
      </c>
      <c r="S260" t="s">
        <v>503</v>
      </c>
      <c r="T260" t="s">
        <v>508</v>
      </c>
      <c r="U260" t="s">
        <v>511</v>
      </c>
      <c r="V260">
        <v>11102</v>
      </c>
      <c r="W260" t="s">
        <v>521</v>
      </c>
      <c r="X260" t="s">
        <v>548</v>
      </c>
      <c r="Y260" t="s">
        <v>275</v>
      </c>
      <c r="Z260" t="s">
        <v>1936</v>
      </c>
      <c r="AA260" t="s">
        <v>2190</v>
      </c>
      <c r="AB260" t="s">
        <v>902</v>
      </c>
      <c r="AC260" t="s">
        <v>905</v>
      </c>
      <c r="AF260" t="s">
        <v>923</v>
      </c>
      <c r="AI260">
        <v>8</v>
      </c>
      <c r="AJ260" t="s">
        <v>558</v>
      </c>
      <c r="AK260" t="s">
        <v>933</v>
      </c>
      <c r="AL260" t="s">
        <v>274</v>
      </c>
      <c r="AT260">
        <v>3</v>
      </c>
      <c r="AU260">
        <v>1</v>
      </c>
      <c r="AV260" t="s">
        <v>273</v>
      </c>
      <c r="AY260" t="s">
        <v>273</v>
      </c>
      <c r="BB260">
        <v>0</v>
      </c>
      <c r="BC260">
        <v>0</v>
      </c>
      <c r="BD260">
        <v>0</v>
      </c>
      <c r="BE260">
        <v>0</v>
      </c>
      <c r="BF260" t="s">
        <v>1063</v>
      </c>
      <c r="BG260" t="s">
        <v>2518</v>
      </c>
      <c r="BH260">
        <v>34</v>
      </c>
      <c r="BI260" t="s">
        <v>1247</v>
      </c>
      <c r="BK260">
        <v>1865574</v>
      </c>
      <c r="BL260" t="s">
        <v>275</v>
      </c>
    </row>
    <row r="261" spans="1:64">
      <c r="A261" s="1">
        <f>HYPERLINK("https://lsnyc.legalserver.org/matter/dynamic-profile/view/1884149","18-1884149")</f>
        <v>0</v>
      </c>
      <c r="B261" t="s">
        <v>1523</v>
      </c>
      <c r="C261" t="s">
        <v>1640</v>
      </c>
      <c r="D261" t="s">
        <v>253</v>
      </c>
      <c r="E261" t="s">
        <v>1650</v>
      </c>
      <c r="F261" t="s">
        <v>273</v>
      </c>
      <c r="G261" t="s">
        <v>275</v>
      </c>
      <c r="H261">
        <v>157.03</v>
      </c>
      <c r="I261" t="s">
        <v>274</v>
      </c>
      <c r="K261" t="s">
        <v>1723</v>
      </c>
      <c r="O261" t="s">
        <v>275</v>
      </c>
      <c r="P261" t="s">
        <v>492</v>
      </c>
      <c r="Q261" t="s">
        <v>501</v>
      </c>
      <c r="S261" t="s">
        <v>503</v>
      </c>
      <c r="T261" t="s">
        <v>507</v>
      </c>
      <c r="U261" t="s">
        <v>511</v>
      </c>
      <c r="V261">
        <v>11356</v>
      </c>
      <c r="W261" t="s">
        <v>523</v>
      </c>
      <c r="X261" t="s">
        <v>548</v>
      </c>
      <c r="Y261" t="s">
        <v>275</v>
      </c>
      <c r="Z261" t="s">
        <v>2005</v>
      </c>
      <c r="AA261" t="s">
        <v>2263</v>
      </c>
      <c r="AB261" t="s">
        <v>903</v>
      </c>
      <c r="AF261" t="s">
        <v>923</v>
      </c>
      <c r="AI261">
        <v>18.62</v>
      </c>
      <c r="AJ261" t="s">
        <v>558</v>
      </c>
      <c r="AK261" t="s">
        <v>947</v>
      </c>
      <c r="AL261" t="s">
        <v>274</v>
      </c>
      <c r="AM261" t="s">
        <v>973</v>
      </c>
      <c r="AN261" t="s">
        <v>482</v>
      </c>
      <c r="AT261">
        <v>0</v>
      </c>
      <c r="AU261">
        <v>2</v>
      </c>
      <c r="AV261" t="s">
        <v>273</v>
      </c>
      <c r="AY261" t="s">
        <v>273</v>
      </c>
      <c r="BB261">
        <v>0</v>
      </c>
      <c r="BC261">
        <v>0</v>
      </c>
      <c r="BD261">
        <v>0</v>
      </c>
      <c r="BE261">
        <v>0</v>
      </c>
      <c r="BF261" t="s">
        <v>1063</v>
      </c>
      <c r="BG261" t="s">
        <v>2602</v>
      </c>
      <c r="BH261">
        <v>54</v>
      </c>
      <c r="BI261" t="s">
        <v>2769</v>
      </c>
      <c r="BK261">
        <v>1884774</v>
      </c>
    </row>
    <row r="262" spans="1:64">
      <c r="A262" s="1">
        <f>HYPERLINK("https://lsnyc.legalserver.org/matter/dynamic-profile/view/1884160","18-1884160")</f>
        <v>0</v>
      </c>
      <c r="B262" t="s">
        <v>1524</v>
      </c>
      <c r="C262" t="s">
        <v>1640</v>
      </c>
      <c r="D262" t="s">
        <v>253</v>
      </c>
      <c r="E262" t="s">
        <v>1648</v>
      </c>
      <c r="F262" t="s">
        <v>273</v>
      </c>
      <c r="G262" t="s">
        <v>275</v>
      </c>
      <c r="H262">
        <v>58.32</v>
      </c>
      <c r="I262" t="s">
        <v>274</v>
      </c>
      <c r="K262" t="s">
        <v>1723</v>
      </c>
      <c r="Q262" t="s">
        <v>501</v>
      </c>
      <c r="S262" t="s">
        <v>503</v>
      </c>
      <c r="T262" t="s">
        <v>508</v>
      </c>
      <c r="U262" t="s">
        <v>511</v>
      </c>
      <c r="V262">
        <v>11368</v>
      </c>
      <c r="W262" t="s">
        <v>520</v>
      </c>
      <c r="X262" t="s">
        <v>548</v>
      </c>
      <c r="Y262" t="s">
        <v>275</v>
      </c>
      <c r="Z262" t="s">
        <v>577</v>
      </c>
      <c r="AA262" t="s">
        <v>2264</v>
      </c>
      <c r="AB262" t="s">
        <v>902</v>
      </c>
      <c r="AC262" t="s">
        <v>906</v>
      </c>
      <c r="AF262" t="s">
        <v>923</v>
      </c>
      <c r="AI262">
        <v>7</v>
      </c>
      <c r="AK262" t="s">
        <v>949</v>
      </c>
      <c r="AL262" t="s">
        <v>274</v>
      </c>
      <c r="AM262" t="s">
        <v>973</v>
      </c>
      <c r="AN262" t="s">
        <v>321</v>
      </c>
      <c r="AT262">
        <v>1</v>
      </c>
      <c r="AU262">
        <v>1</v>
      </c>
      <c r="AV262" t="s">
        <v>273</v>
      </c>
      <c r="AY262" t="s">
        <v>273</v>
      </c>
      <c r="BB262">
        <v>0</v>
      </c>
      <c r="BC262">
        <v>0</v>
      </c>
      <c r="BD262">
        <v>0</v>
      </c>
      <c r="BE262">
        <v>0</v>
      </c>
      <c r="BF262" t="s">
        <v>1063</v>
      </c>
      <c r="BG262" t="s">
        <v>2603</v>
      </c>
      <c r="BH262">
        <v>31</v>
      </c>
      <c r="BI262" t="s">
        <v>1280</v>
      </c>
      <c r="BK262">
        <v>1868616</v>
      </c>
    </row>
    <row r="263" spans="1:64">
      <c r="A263" s="1">
        <f>HYPERLINK("https://lsnyc.legalserver.org/matter/dynamic-profile/view/1884162","18-1884162")</f>
        <v>0</v>
      </c>
      <c r="B263" t="s">
        <v>1524</v>
      </c>
      <c r="C263" t="s">
        <v>1640</v>
      </c>
      <c r="D263" t="s">
        <v>253</v>
      </c>
      <c r="E263" t="s">
        <v>1648</v>
      </c>
      <c r="F263" t="s">
        <v>273</v>
      </c>
      <c r="G263" t="s">
        <v>275</v>
      </c>
      <c r="H263">
        <v>58.32</v>
      </c>
      <c r="I263" t="s">
        <v>274</v>
      </c>
      <c r="K263" t="s">
        <v>1723</v>
      </c>
      <c r="Q263" t="s">
        <v>501</v>
      </c>
      <c r="S263" t="s">
        <v>503</v>
      </c>
      <c r="T263" t="s">
        <v>508</v>
      </c>
      <c r="U263" t="s">
        <v>511</v>
      </c>
      <c r="V263">
        <v>11368</v>
      </c>
      <c r="W263" t="s">
        <v>528</v>
      </c>
      <c r="X263" t="s">
        <v>548</v>
      </c>
      <c r="Y263" t="s">
        <v>275</v>
      </c>
      <c r="Z263" t="s">
        <v>577</v>
      </c>
      <c r="AA263" t="s">
        <v>2264</v>
      </c>
      <c r="AB263" t="s">
        <v>902</v>
      </c>
      <c r="AC263" t="s">
        <v>906</v>
      </c>
      <c r="AF263" t="s">
        <v>923</v>
      </c>
      <c r="AI263">
        <v>8.4</v>
      </c>
      <c r="AK263" t="s">
        <v>949</v>
      </c>
      <c r="AL263" t="s">
        <v>274</v>
      </c>
      <c r="AM263" t="s">
        <v>973</v>
      </c>
      <c r="AN263" t="s">
        <v>321</v>
      </c>
      <c r="AT263">
        <v>1</v>
      </c>
      <c r="AU263">
        <v>1</v>
      </c>
      <c r="AV263" t="s">
        <v>273</v>
      </c>
      <c r="AY263" t="s">
        <v>273</v>
      </c>
      <c r="BB263">
        <v>0</v>
      </c>
      <c r="BC263">
        <v>0</v>
      </c>
      <c r="BD263">
        <v>0</v>
      </c>
      <c r="BE263">
        <v>0</v>
      </c>
      <c r="BF263" t="s">
        <v>1063</v>
      </c>
      <c r="BG263" t="s">
        <v>2603</v>
      </c>
      <c r="BH263">
        <v>31</v>
      </c>
      <c r="BI263" t="s">
        <v>1280</v>
      </c>
      <c r="BK263">
        <v>1868616</v>
      </c>
    </row>
    <row r="264" spans="1:64">
      <c r="A264" s="1">
        <f>HYPERLINK("https://lsnyc.legalserver.org/matter/dynamic-profile/view/1883918","18-1883918")</f>
        <v>0</v>
      </c>
      <c r="B264" t="s">
        <v>1455</v>
      </c>
      <c r="C264" t="s">
        <v>1640</v>
      </c>
      <c r="D264" t="s">
        <v>253</v>
      </c>
      <c r="E264" t="s">
        <v>1649</v>
      </c>
      <c r="F264" t="s">
        <v>273</v>
      </c>
      <c r="G264" t="s">
        <v>275</v>
      </c>
      <c r="H264">
        <v>0</v>
      </c>
      <c r="I264" t="s">
        <v>274</v>
      </c>
      <c r="K264" t="s">
        <v>1724</v>
      </c>
      <c r="M264" t="s">
        <v>474</v>
      </c>
      <c r="N264" t="s">
        <v>1670</v>
      </c>
      <c r="O264" t="s">
        <v>275</v>
      </c>
      <c r="P264" t="s">
        <v>492</v>
      </c>
      <c r="Q264" t="s">
        <v>502</v>
      </c>
      <c r="S264" t="s">
        <v>503</v>
      </c>
      <c r="T264" t="s">
        <v>508</v>
      </c>
      <c r="U264" t="s">
        <v>511</v>
      </c>
      <c r="V264">
        <v>11355</v>
      </c>
      <c r="W264" t="s">
        <v>518</v>
      </c>
      <c r="X264" t="s">
        <v>548</v>
      </c>
      <c r="Y264" t="s">
        <v>275</v>
      </c>
      <c r="Z264" t="s">
        <v>1954</v>
      </c>
      <c r="AA264" t="s">
        <v>2209</v>
      </c>
      <c r="AB264" t="s">
        <v>902</v>
      </c>
      <c r="AC264" t="s">
        <v>905</v>
      </c>
      <c r="AF264" t="s">
        <v>926</v>
      </c>
      <c r="AI264">
        <v>36.63</v>
      </c>
      <c r="AJ264" t="s">
        <v>558</v>
      </c>
      <c r="AK264" t="s">
        <v>936</v>
      </c>
      <c r="AL264" t="s">
        <v>274</v>
      </c>
      <c r="AT264">
        <v>1</v>
      </c>
      <c r="AU264">
        <v>1</v>
      </c>
      <c r="AV264" t="s">
        <v>273</v>
      </c>
      <c r="AY264" t="s">
        <v>273</v>
      </c>
      <c r="BB264">
        <v>0</v>
      </c>
      <c r="BC264">
        <v>0</v>
      </c>
      <c r="BD264">
        <v>0</v>
      </c>
      <c r="BE264">
        <v>0</v>
      </c>
      <c r="BF264" t="s">
        <v>1063</v>
      </c>
      <c r="BG264" t="s">
        <v>2540</v>
      </c>
      <c r="BH264">
        <v>15</v>
      </c>
      <c r="BI264" t="s">
        <v>1247</v>
      </c>
      <c r="BK264">
        <v>1884543</v>
      </c>
    </row>
    <row r="265" spans="1:64">
      <c r="A265" s="1">
        <f>HYPERLINK("https://lsnyc.legalserver.org/matter/dynamic-profile/view/1883747","18-1883747")</f>
        <v>0</v>
      </c>
      <c r="B265" t="s">
        <v>1525</v>
      </c>
      <c r="C265" t="s">
        <v>1640</v>
      </c>
      <c r="D265" t="s">
        <v>253</v>
      </c>
      <c r="E265" t="s">
        <v>1650</v>
      </c>
      <c r="F265" t="s">
        <v>273</v>
      </c>
      <c r="G265" t="s">
        <v>275</v>
      </c>
      <c r="H265">
        <v>199.2</v>
      </c>
      <c r="K265" t="s">
        <v>1725</v>
      </c>
      <c r="O265" t="s">
        <v>274</v>
      </c>
      <c r="P265" t="s">
        <v>492</v>
      </c>
      <c r="Q265" t="s">
        <v>501</v>
      </c>
      <c r="S265" t="s">
        <v>503</v>
      </c>
      <c r="T265" t="s">
        <v>507</v>
      </c>
      <c r="U265" t="s">
        <v>511</v>
      </c>
      <c r="V265">
        <v>11435</v>
      </c>
      <c r="X265" t="s">
        <v>548</v>
      </c>
      <c r="Z265" t="s">
        <v>575</v>
      </c>
      <c r="AA265" t="s">
        <v>2265</v>
      </c>
      <c r="AB265" t="s">
        <v>902</v>
      </c>
      <c r="AC265" t="s">
        <v>904</v>
      </c>
      <c r="AI265">
        <v>4.27</v>
      </c>
      <c r="AJ265" t="s">
        <v>558</v>
      </c>
      <c r="AK265" t="s">
        <v>949</v>
      </c>
      <c r="AT265">
        <v>2</v>
      </c>
      <c r="AU265">
        <v>2</v>
      </c>
      <c r="AV265" t="s">
        <v>273</v>
      </c>
      <c r="AY265" t="s">
        <v>273</v>
      </c>
      <c r="BB265">
        <v>0</v>
      </c>
      <c r="BC265">
        <v>0</v>
      </c>
      <c r="BD265">
        <v>0</v>
      </c>
      <c r="BE265">
        <v>0</v>
      </c>
      <c r="BF265" t="s">
        <v>1063</v>
      </c>
      <c r="BG265" t="s">
        <v>2604</v>
      </c>
      <c r="BH265">
        <v>46</v>
      </c>
      <c r="BI265" t="s">
        <v>2770</v>
      </c>
      <c r="BK265">
        <v>1884372</v>
      </c>
    </row>
    <row r="266" spans="1:64">
      <c r="A266" s="1">
        <f>HYPERLINK("https://lsnyc.legalserver.org/matter/dynamic-profile/view/1883108","18-1883108")</f>
        <v>0</v>
      </c>
      <c r="B266" t="s">
        <v>1526</v>
      </c>
      <c r="C266" t="s">
        <v>1640</v>
      </c>
      <c r="D266" t="s">
        <v>253</v>
      </c>
      <c r="E266" t="s">
        <v>1649</v>
      </c>
      <c r="F266" t="s">
        <v>275</v>
      </c>
      <c r="G266" t="s">
        <v>275</v>
      </c>
      <c r="H266">
        <v>126.37</v>
      </c>
      <c r="I266" t="s">
        <v>274</v>
      </c>
      <c r="K266" t="s">
        <v>362</v>
      </c>
      <c r="L266" t="s">
        <v>1662</v>
      </c>
      <c r="O266" t="s">
        <v>275</v>
      </c>
      <c r="P266" t="s">
        <v>493</v>
      </c>
      <c r="Q266" t="s">
        <v>501</v>
      </c>
      <c r="S266" t="s">
        <v>503</v>
      </c>
      <c r="T266" t="s">
        <v>508</v>
      </c>
      <c r="U266" t="s">
        <v>511</v>
      </c>
      <c r="V266">
        <v>11432</v>
      </c>
      <c r="W266" t="s">
        <v>519</v>
      </c>
      <c r="X266" t="s">
        <v>548</v>
      </c>
      <c r="Z266" t="s">
        <v>2006</v>
      </c>
      <c r="AA266" t="s">
        <v>2266</v>
      </c>
      <c r="AB266" t="s">
        <v>902</v>
      </c>
      <c r="AC266" t="s">
        <v>905</v>
      </c>
      <c r="AD266" t="s">
        <v>275</v>
      </c>
      <c r="AE266" t="s">
        <v>920</v>
      </c>
      <c r="AF266" t="s">
        <v>928</v>
      </c>
      <c r="AI266">
        <v>10.45</v>
      </c>
      <c r="AJ266" t="s">
        <v>558</v>
      </c>
      <c r="AK266" t="s">
        <v>934</v>
      </c>
      <c r="AL266" t="s">
        <v>274</v>
      </c>
      <c r="AQ266" t="s">
        <v>1033</v>
      </c>
      <c r="AR266" t="s">
        <v>1051</v>
      </c>
      <c r="AT266">
        <v>1</v>
      </c>
      <c r="AU266">
        <v>1</v>
      </c>
      <c r="AV266" t="s">
        <v>273</v>
      </c>
      <c r="AY266" t="s">
        <v>273</v>
      </c>
      <c r="BB266">
        <v>0</v>
      </c>
      <c r="BC266">
        <v>0</v>
      </c>
      <c r="BD266">
        <v>0</v>
      </c>
      <c r="BE266">
        <v>0</v>
      </c>
      <c r="BF266" t="s">
        <v>493</v>
      </c>
      <c r="BG266" t="s">
        <v>2605</v>
      </c>
      <c r="BH266">
        <v>26</v>
      </c>
      <c r="BI266" t="s">
        <v>1261</v>
      </c>
      <c r="BK266">
        <v>1883733</v>
      </c>
    </row>
    <row r="267" spans="1:64">
      <c r="A267" s="1">
        <f>HYPERLINK("https://lsnyc.legalserver.org/matter/dynamic-profile/view/1883486","18-1883486")</f>
        <v>0</v>
      </c>
      <c r="B267" t="s">
        <v>1527</v>
      </c>
      <c r="C267" t="s">
        <v>1640</v>
      </c>
      <c r="D267" t="s">
        <v>253</v>
      </c>
      <c r="E267" t="s">
        <v>1647</v>
      </c>
      <c r="F267" t="s">
        <v>273</v>
      </c>
      <c r="G267" t="s">
        <v>275</v>
      </c>
      <c r="H267">
        <v>0</v>
      </c>
      <c r="K267" t="s">
        <v>362</v>
      </c>
      <c r="M267" t="s">
        <v>474</v>
      </c>
      <c r="N267" t="s">
        <v>1676</v>
      </c>
      <c r="O267" t="s">
        <v>275</v>
      </c>
      <c r="P267" t="s">
        <v>492</v>
      </c>
      <c r="Q267" t="s">
        <v>502</v>
      </c>
      <c r="S267" t="s">
        <v>503</v>
      </c>
      <c r="T267" t="s">
        <v>508</v>
      </c>
      <c r="U267" t="s">
        <v>511</v>
      </c>
      <c r="V267">
        <v>11432</v>
      </c>
      <c r="W267" t="s">
        <v>518</v>
      </c>
      <c r="X267" t="s">
        <v>548</v>
      </c>
      <c r="Y267" t="s">
        <v>275</v>
      </c>
      <c r="Z267" t="s">
        <v>2007</v>
      </c>
      <c r="AA267" t="s">
        <v>2267</v>
      </c>
      <c r="AB267" t="s">
        <v>902</v>
      </c>
      <c r="AC267" t="s">
        <v>905</v>
      </c>
      <c r="AF267" t="s">
        <v>927</v>
      </c>
      <c r="AI267">
        <v>21.55</v>
      </c>
      <c r="AJ267" t="s">
        <v>558</v>
      </c>
      <c r="AK267" t="s">
        <v>934</v>
      </c>
      <c r="AM267" t="s">
        <v>975</v>
      </c>
      <c r="AN267" t="s">
        <v>2391</v>
      </c>
      <c r="AT267">
        <v>1</v>
      </c>
      <c r="AU267">
        <v>1</v>
      </c>
      <c r="AV267" t="s">
        <v>273</v>
      </c>
      <c r="AY267" t="s">
        <v>273</v>
      </c>
      <c r="BB267">
        <v>0</v>
      </c>
      <c r="BC267">
        <v>0</v>
      </c>
      <c r="BD267">
        <v>0</v>
      </c>
      <c r="BE267">
        <v>0</v>
      </c>
      <c r="BF267" t="s">
        <v>1063</v>
      </c>
      <c r="BG267" t="s">
        <v>2606</v>
      </c>
      <c r="BH267">
        <v>16</v>
      </c>
      <c r="BI267" t="s">
        <v>1247</v>
      </c>
      <c r="BK267">
        <v>1884111</v>
      </c>
    </row>
    <row r="268" spans="1:64">
      <c r="A268" s="1">
        <f>HYPERLINK("https://lsnyc.legalserver.org/matter/dynamic-profile/view/1870885","18-1870885")</f>
        <v>0</v>
      </c>
      <c r="B268" t="s">
        <v>1528</v>
      </c>
      <c r="C268" t="s">
        <v>1640</v>
      </c>
      <c r="D268" t="s">
        <v>253</v>
      </c>
      <c r="E268" t="s">
        <v>1647</v>
      </c>
      <c r="F268" t="s">
        <v>273</v>
      </c>
      <c r="G268" t="s">
        <v>275</v>
      </c>
      <c r="H268">
        <v>43.03</v>
      </c>
      <c r="I268" t="s">
        <v>274</v>
      </c>
      <c r="K268" t="s">
        <v>363</v>
      </c>
      <c r="M268" t="s">
        <v>472</v>
      </c>
      <c r="N268" t="s">
        <v>448</v>
      </c>
      <c r="O268" t="s">
        <v>275</v>
      </c>
      <c r="P268" t="s">
        <v>492</v>
      </c>
      <c r="Q268" t="s">
        <v>501</v>
      </c>
      <c r="S268" t="s">
        <v>503</v>
      </c>
      <c r="T268" t="s">
        <v>507</v>
      </c>
      <c r="U268" t="s">
        <v>511</v>
      </c>
      <c r="V268">
        <v>11435</v>
      </c>
      <c r="W268" t="s">
        <v>519</v>
      </c>
      <c r="X268" t="s">
        <v>548</v>
      </c>
      <c r="Z268" t="s">
        <v>613</v>
      </c>
      <c r="AA268" t="s">
        <v>2268</v>
      </c>
      <c r="AB268" t="s">
        <v>902</v>
      </c>
      <c r="AC268" t="s">
        <v>905</v>
      </c>
      <c r="AF268" t="s">
        <v>926</v>
      </c>
      <c r="AI268">
        <v>24</v>
      </c>
      <c r="AJ268" t="s">
        <v>558</v>
      </c>
      <c r="AK268" t="s">
        <v>936</v>
      </c>
      <c r="AL268" t="s">
        <v>274</v>
      </c>
      <c r="AM268" t="s">
        <v>973</v>
      </c>
      <c r="AT268">
        <v>2</v>
      </c>
      <c r="AU268">
        <v>2</v>
      </c>
      <c r="AV268" t="s">
        <v>273</v>
      </c>
      <c r="AY268" t="s">
        <v>273</v>
      </c>
      <c r="BB268">
        <v>0</v>
      </c>
      <c r="BC268">
        <v>0</v>
      </c>
      <c r="BD268">
        <v>0</v>
      </c>
      <c r="BE268">
        <v>0</v>
      </c>
      <c r="BF268" t="s">
        <v>1063</v>
      </c>
      <c r="BG268" t="s">
        <v>2607</v>
      </c>
      <c r="BH268">
        <v>22</v>
      </c>
      <c r="BI268" t="s">
        <v>2730</v>
      </c>
      <c r="BK268">
        <v>1871486</v>
      </c>
    </row>
    <row r="269" spans="1:64">
      <c r="A269" s="1">
        <f>HYPERLINK("https://lsnyc.legalserver.org/matter/dynamic-profile/view/1874751","18-1874751")</f>
        <v>0</v>
      </c>
      <c r="B269" t="s">
        <v>1529</v>
      </c>
      <c r="C269" t="s">
        <v>1640</v>
      </c>
      <c r="D269" t="s">
        <v>1641</v>
      </c>
      <c r="E269" t="s">
        <v>1648</v>
      </c>
      <c r="F269" t="s">
        <v>273</v>
      </c>
      <c r="G269" t="s">
        <v>275</v>
      </c>
      <c r="H269">
        <v>64.25</v>
      </c>
      <c r="I269" t="s">
        <v>274</v>
      </c>
      <c r="K269" t="s">
        <v>363</v>
      </c>
      <c r="M269" t="s">
        <v>472</v>
      </c>
      <c r="N269" t="s">
        <v>1673</v>
      </c>
      <c r="P269" t="s">
        <v>492</v>
      </c>
      <c r="Q269" t="s">
        <v>501</v>
      </c>
      <c r="S269" t="s">
        <v>503</v>
      </c>
      <c r="T269" t="s">
        <v>508</v>
      </c>
      <c r="U269" t="s">
        <v>511</v>
      </c>
      <c r="V269">
        <v>11561</v>
      </c>
      <c r="W269" t="s">
        <v>516</v>
      </c>
      <c r="Y269" t="s">
        <v>275</v>
      </c>
      <c r="Z269" t="s">
        <v>2008</v>
      </c>
      <c r="AA269" t="s">
        <v>2269</v>
      </c>
      <c r="AB269" t="s">
        <v>902</v>
      </c>
      <c r="AC269" t="s">
        <v>905</v>
      </c>
      <c r="AD269" t="s">
        <v>274</v>
      </c>
      <c r="AF269" t="s">
        <v>923</v>
      </c>
      <c r="AI269">
        <v>23.1</v>
      </c>
      <c r="AJ269" t="s">
        <v>558</v>
      </c>
      <c r="AK269" t="s">
        <v>2368</v>
      </c>
      <c r="AL269" t="s">
        <v>274</v>
      </c>
      <c r="AS269" t="s">
        <v>1061</v>
      </c>
      <c r="AT269">
        <v>0</v>
      </c>
      <c r="AU269">
        <v>1</v>
      </c>
      <c r="AV269" t="s">
        <v>273</v>
      </c>
      <c r="AY269" t="s">
        <v>273</v>
      </c>
      <c r="BB269">
        <v>0</v>
      </c>
      <c r="BC269">
        <v>0</v>
      </c>
      <c r="BD269">
        <v>0</v>
      </c>
      <c r="BE269">
        <v>0</v>
      </c>
      <c r="BF269" t="s">
        <v>1063</v>
      </c>
      <c r="BG269" t="s">
        <v>2608</v>
      </c>
      <c r="BH269">
        <v>54</v>
      </c>
      <c r="BI269" t="s">
        <v>2771</v>
      </c>
      <c r="BK269">
        <v>1873925</v>
      </c>
    </row>
    <row r="270" spans="1:64">
      <c r="A270" s="1">
        <f>HYPERLINK("https://lsnyc.legalserver.org/matter/dynamic-profile/view/1883358","18-1883358")</f>
        <v>0</v>
      </c>
      <c r="B270" t="s">
        <v>1530</v>
      </c>
      <c r="C270" t="s">
        <v>1640</v>
      </c>
      <c r="D270" t="s">
        <v>253</v>
      </c>
      <c r="E270" t="s">
        <v>1650</v>
      </c>
      <c r="F270" t="s">
        <v>273</v>
      </c>
      <c r="G270" t="s">
        <v>275</v>
      </c>
      <c r="H270">
        <v>142.76</v>
      </c>
      <c r="I270" t="s">
        <v>274</v>
      </c>
      <c r="K270" t="s">
        <v>363</v>
      </c>
      <c r="O270" t="s">
        <v>275</v>
      </c>
      <c r="P270" t="s">
        <v>492</v>
      </c>
      <c r="Q270" t="s">
        <v>501</v>
      </c>
      <c r="S270" t="s">
        <v>503</v>
      </c>
      <c r="T270" t="s">
        <v>508</v>
      </c>
      <c r="U270" t="s">
        <v>511</v>
      </c>
      <c r="V270">
        <v>11418</v>
      </c>
      <c r="W270" t="s">
        <v>523</v>
      </c>
      <c r="X270" t="s">
        <v>549</v>
      </c>
      <c r="Z270" t="s">
        <v>2009</v>
      </c>
      <c r="AA270" t="s">
        <v>2270</v>
      </c>
      <c r="AB270" t="s">
        <v>903</v>
      </c>
      <c r="AF270" t="s">
        <v>923</v>
      </c>
      <c r="AI270">
        <v>5.65</v>
      </c>
      <c r="AK270" t="s">
        <v>2376</v>
      </c>
      <c r="AT270">
        <v>3</v>
      </c>
      <c r="AU270">
        <v>2</v>
      </c>
      <c r="AV270" t="s">
        <v>273</v>
      </c>
      <c r="AY270" t="s">
        <v>273</v>
      </c>
      <c r="BB270">
        <v>0</v>
      </c>
      <c r="BC270">
        <v>0</v>
      </c>
      <c r="BD270">
        <v>0</v>
      </c>
      <c r="BE270">
        <v>0</v>
      </c>
      <c r="BF270" t="s">
        <v>1063</v>
      </c>
      <c r="BG270" t="s">
        <v>2609</v>
      </c>
      <c r="BH270">
        <v>52</v>
      </c>
      <c r="BI270" t="s">
        <v>2747</v>
      </c>
      <c r="BK270">
        <v>81514</v>
      </c>
    </row>
    <row r="271" spans="1:64">
      <c r="A271" s="1">
        <f>HYPERLINK("https://lsnyc.legalserver.org/matter/dynamic-profile/view/1883205","18-1883205")</f>
        <v>0</v>
      </c>
      <c r="B271" t="s">
        <v>1404</v>
      </c>
      <c r="C271" t="s">
        <v>1640</v>
      </c>
      <c r="D271" t="s">
        <v>253</v>
      </c>
      <c r="E271" t="s">
        <v>1648</v>
      </c>
      <c r="F271" t="s">
        <v>273</v>
      </c>
      <c r="G271" t="s">
        <v>275</v>
      </c>
      <c r="H271">
        <v>98.84999999999999</v>
      </c>
      <c r="I271" t="s">
        <v>274</v>
      </c>
      <c r="K271" t="s">
        <v>1726</v>
      </c>
      <c r="P271" t="s">
        <v>495</v>
      </c>
      <c r="Q271" t="s">
        <v>501</v>
      </c>
      <c r="S271" t="s">
        <v>503</v>
      </c>
      <c r="T271" t="s">
        <v>508</v>
      </c>
      <c r="U271" t="s">
        <v>511</v>
      </c>
      <c r="V271">
        <v>11385</v>
      </c>
      <c r="W271" t="s">
        <v>520</v>
      </c>
      <c r="X271" t="s">
        <v>547</v>
      </c>
      <c r="Y271" t="s">
        <v>275</v>
      </c>
      <c r="Z271" t="s">
        <v>1913</v>
      </c>
      <c r="AA271" t="s">
        <v>2164</v>
      </c>
      <c r="AB271" t="s">
        <v>902</v>
      </c>
      <c r="AC271" t="s">
        <v>905</v>
      </c>
      <c r="AF271" t="s">
        <v>923</v>
      </c>
      <c r="AI271">
        <v>7.35</v>
      </c>
      <c r="AJ271" t="s">
        <v>558</v>
      </c>
      <c r="AK271" t="s">
        <v>932</v>
      </c>
      <c r="AL271" t="s">
        <v>274</v>
      </c>
      <c r="AM271" t="s">
        <v>973</v>
      </c>
      <c r="AN271" t="s">
        <v>326</v>
      </c>
      <c r="AT271">
        <v>0</v>
      </c>
      <c r="AU271">
        <v>1</v>
      </c>
      <c r="AV271" t="s">
        <v>273</v>
      </c>
      <c r="AY271" t="s">
        <v>273</v>
      </c>
      <c r="BB271">
        <v>0</v>
      </c>
      <c r="BC271">
        <v>0</v>
      </c>
      <c r="BD271">
        <v>0</v>
      </c>
      <c r="BE271">
        <v>0</v>
      </c>
      <c r="BF271" t="s">
        <v>1063</v>
      </c>
      <c r="BG271" t="s">
        <v>2489</v>
      </c>
      <c r="BH271">
        <v>31</v>
      </c>
      <c r="BI271" t="s">
        <v>1267</v>
      </c>
      <c r="BK271">
        <v>1880602</v>
      </c>
    </row>
    <row r="272" spans="1:64">
      <c r="A272" s="1">
        <f>HYPERLINK("https://lsnyc.legalserver.org/matter/dynamic-profile/view/1882482","18-1882482")</f>
        <v>0</v>
      </c>
      <c r="B272" t="s">
        <v>1531</v>
      </c>
      <c r="C272" t="s">
        <v>1640</v>
      </c>
      <c r="D272" t="s">
        <v>253</v>
      </c>
      <c r="E272" t="s">
        <v>1650</v>
      </c>
      <c r="F272" t="s">
        <v>273</v>
      </c>
      <c r="G272" t="s">
        <v>275</v>
      </c>
      <c r="H272">
        <v>189.55</v>
      </c>
      <c r="I272" t="s">
        <v>274</v>
      </c>
      <c r="K272" t="s">
        <v>1012</v>
      </c>
      <c r="O272" t="s">
        <v>274</v>
      </c>
      <c r="P272" t="s">
        <v>498</v>
      </c>
      <c r="Q272" t="s">
        <v>501</v>
      </c>
      <c r="S272" t="s">
        <v>503</v>
      </c>
      <c r="T272" t="s">
        <v>507</v>
      </c>
      <c r="U272" t="s">
        <v>511</v>
      </c>
      <c r="V272">
        <v>11421</v>
      </c>
      <c r="W272" t="s">
        <v>517</v>
      </c>
      <c r="X272" t="s">
        <v>548</v>
      </c>
      <c r="Y272" t="s">
        <v>275</v>
      </c>
      <c r="Z272" t="s">
        <v>613</v>
      </c>
      <c r="AA272" t="s">
        <v>2271</v>
      </c>
      <c r="AB272" t="s">
        <v>902</v>
      </c>
      <c r="AC272" t="s">
        <v>904</v>
      </c>
      <c r="AF272" t="s">
        <v>923</v>
      </c>
      <c r="AI272">
        <v>11.14</v>
      </c>
      <c r="AJ272" t="s">
        <v>558</v>
      </c>
      <c r="AK272" t="s">
        <v>934</v>
      </c>
      <c r="AL272" t="s">
        <v>274</v>
      </c>
      <c r="AT272">
        <v>0</v>
      </c>
      <c r="AU272">
        <v>2</v>
      </c>
      <c r="AV272" t="s">
        <v>273</v>
      </c>
      <c r="AY272" t="s">
        <v>273</v>
      </c>
      <c r="BB272">
        <v>0</v>
      </c>
      <c r="BC272">
        <v>0</v>
      </c>
      <c r="BD272">
        <v>0</v>
      </c>
      <c r="BE272">
        <v>0</v>
      </c>
      <c r="BF272" t="s">
        <v>1063</v>
      </c>
      <c r="BG272" t="s">
        <v>2610</v>
      </c>
      <c r="BH272">
        <v>58</v>
      </c>
      <c r="BI272" t="s">
        <v>1254</v>
      </c>
      <c r="BK272">
        <v>1883107</v>
      </c>
    </row>
    <row r="273" spans="1:64">
      <c r="A273" s="1">
        <f>HYPERLINK("https://lsnyc.legalserver.org/matter/dynamic-profile/view/1882749","18-1882749")</f>
        <v>0</v>
      </c>
      <c r="B273" t="s">
        <v>1532</v>
      </c>
      <c r="C273" t="s">
        <v>1640</v>
      </c>
      <c r="D273" t="s">
        <v>253</v>
      </c>
      <c r="E273" t="s">
        <v>1650</v>
      </c>
      <c r="F273" t="s">
        <v>273</v>
      </c>
      <c r="G273" t="s">
        <v>275</v>
      </c>
      <c r="H273">
        <v>0</v>
      </c>
      <c r="I273" t="s">
        <v>274</v>
      </c>
      <c r="K273" t="s">
        <v>1012</v>
      </c>
      <c r="P273" t="s">
        <v>495</v>
      </c>
      <c r="Q273" t="s">
        <v>501</v>
      </c>
      <c r="S273" t="s">
        <v>503</v>
      </c>
      <c r="T273" t="s">
        <v>508</v>
      </c>
      <c r="U273" t="s">
        <v>511</v>
      </c>
      <c r="V273">
        <v>11365</v>
      </c>
      <c r="W273" t="s">
        <v>517</v>
      </c>
      <c r="X273" t="s">
        <v>1842</v>
      </c>
      <c r="Y273" t="s">
        <v>275</v>
      </c>
      <c r="Z273" t="s">
        <v>2010</v>
      </c>
      <c r="AA273" t="s">
        <v>2065</v>
      </c>
      <c r="AB273" t="s">
        <v>902</v>
      </c>
      <c r="AC273" t="s">
        <v>904</v>
      </c>
      <c r="AF273" t="s">
        <v>923</v>
      </c>
      <c r="AI273">
        <v>7.57</v>
      </c>
      <c r="AJ273" t="s">
        <v>558</v>
      </c>
      <c r="AK273" t="s">
        <v>2375</v>
      </c>
      <c r="AL273" t="s">
        <v>274</v>
      </c>
      <c r="AT273">
        <v>1</v>
      </c>
      <c r="AU273">
        <v>2</v>
      </c>
      <c r="AV273" t="s">
        <v>273</v>
      </c>
      <c r="AY273" t="s">
        <v>273</v>
      </c>
      <c r="BB273">
        <v>0</v>
      </c>
      <c r="BC273">
        <v>0</v>
      </c>
      <c r="BD273">
        <v>0</v>
      </c>
      <c r="BE273">
        <v>0</v>
      </c>
      <c r="BF273" t="s">
        <v>1063</v>
      </c>
      <c r="BG273" t="s">
        <v>2611</v>
      </c>
      <c r="BH273">
        <v>49</v>
      </c>
      <c r="BI273" t="s">
        <v>1247</v>
      </c>
      <c r="BK273">
        <v>1883374</v>
      </c>
    </row>
    <row r="274" spans="1:64">
      <c r="A274" s="1">
        <f>HYPERLINK("https://lsnyc.legalserver.org/matter/dynamic-profile/view/1882371","18-1882371")</f>
        <v>0</v>
      </c>
      <c r="B274" t="s">
        <v>1533</v>
      </c>
      <c r="C274" t="s">
        <v>1640</v>
      </c>
      <c r="D274" t="s">
        <v>253</v>
      </c>
      <c r="E274" t="s">
        <v>1649</v>
      </c>
      <c r="F274" t="s">
        <v>275</v>
      </c>
      <c r="G274" t="s">
        <v>275</v>
      </c>
      <c r="H274">
        <v>0</v>
      </c>
      <c r="I274" t="s">
        <v>274</v>
      </c>
      <c r="K274" t="s">
        <v>996</v>
      </c>
      <c r="L274" t="s">
        <v>1662</v>
      </c>
      <c r="O274" t="s">
        <v>275</v>
      </c>
      <c r="P274" t="s">
        <v>493</v>
      </c>
      <c r="Q274" t="s">
        <v>501</v>
      </c>
      <c r="S274" t="s">
        <v>503</v>
      </c>
      <c r="T274" t="s">
        <v>508</v>
      </c>
      <c r="U274" t="s">
        <v>511</v>
      </c>
      <c r="V274">
        <v>11356</v>
      </c>
      <c r="W274" t="s">
        <v>518</v>
      </c>
      <c r="X274" t="s">
        <v>548</v>
      </c>
      <c r="Y274" t="s">
        <v>275</v>
      </c>
      <c r="Z274" t="s">
        <v>2011</v>
      </c>
      <c r="AA274" t="s">
        <v>2272</v>
      </c>
      <c r="AB274" t="s">
        <v>902</v>
      </c>
      <c r="AC274" t="s">
        <v>905</v>
      </c>
      <c r="AD274" t="s">
        <v>916</v>
      </c>
      <c r="AE274" t="s">
        <v>920</v>
      </c>
      <c r="AF274" t="s">
        <v>928</v>
      </c>
      <c r="AI274">
        <v>4.55</v>
      </c>
      <c r="AJ274" t="s">
        <v>558</v>
      </c>
      <c r="AK274" t="s">
        <v>941</v>
      </c>
      <c r="AL274" t="s">
        <v>274</v>
      </c>
      <c r="AM274" t="s">
        <v>975</v>
      </c>
      <c r="AN274" t="s">
        <v>1717</v>
      </c>
      <c r="AQ274" t="s">
        <v>1033</v>
      </c>
      <c r="AR274" t="s">
        <v>1051</v>
      </c>
      <c r="AT274">
        <v>2</v>
      </c>
      <c r="AU274">
        <v>1</v>
      </c>
      <c r="AV274" t="s">
        <v>273</v>
      </c>
      <c r="AY274" t="s">
        <v>273</v>
      </c>
      <c r="BB274">
        <v>0</v>
      </c>
      <c r="BC274">
        <v>0</v>
      </c>
      <c r="BD274">
        <v>0</v>
      </c>
      <c r="BE274">
        <v>0</v>
      </c>
      <c r="BF274" t="s">
        <v>493</v>
      </c>
      <c r="BG274" t="s">
        <v>2612</v>
      </c>
      <c r="BH274">
        <v>25</v>
      </c>
      <c r="BI274" t="s">
        <v>1247</v>
      </c>
      <c r="BK274">
        <v>1882995</v>
      </c>
    </row>
    <row r="275" spans="1:64">
      <c r="A275" s="1">
        <f>HYPERLINK("https://lsnyc.legalserver.org/matter/dynamic-profile/view/1881214","18-1881214")</f>
        <v>0</v>
      </c>
      <c r="B275" t="s">
        <v>1454</v>
      </c>
      <c r="C275" t="s">
        <v>1640</v>
      </c>
      <c r="D275" t="s">
        <v>253</v>
      </c>
      <c r="E275" t="s">
        <v>1649</v>
      </c>
      <c r="F275" t="s">
        <v>273</v>
      </c>
      <c r="G275" t="s">
        <v>275</v>
      </c>
      <c r="H275">
        <v>0</v>
      </c>
      <c r="I275" t="s">
        <v>274</v>
      </c>
      <c r="K275" t="s">
        <v>1727</v>
      </c>
      <c r="M275" t="s">
        <v>474</v>
      </c>
      <c r="N275" t="s">
        <v>300</v>
      </c>
      <c r="O275" t="s">
        <v>275</v>
      </c>
      <c r="P275" t="s">
        <v>492</v>
      </c>
      <c r="Q275" t="s">
        <v>501</v>
      </c>
      <c r="S275" t="s">
        <v>503</v>
      </c>
      <c r="T275" t="s">
        <v>508</v>
      </c>
      <c r="U275" t="s">
        <v>511</v>
      </c>
      <c r="V275">
        <v>11355</v>
      </c>
      <c r="W275" t="s">
        <v>518</v>
      </c>
      <c r="X275" t="s">
        <v>548</v>
      </c>
      <c r="Y275" t="s">
        <v>275</v>
      </c>
      <c r="Z275" t="s">
        <v>601</v>
      </c>
      <c r="AA275" t="s">
        <v>2209</v>
      </c>
      <c r="AB275" t="s">
        <v>902</v>
      </c>
      <c r="AC275" t="s">
        <v>905</v>
      </c>
      <c r="AF275" t="s">
        <v>926</v>
      </c>
      <c r="AI275">
        <v>126.64</v>
      </c>
      <c r="AJ275" t="s">
        <v>558</v>
      </c>
      <c r="AK275" t="s">
        <v>936</v>
      </c>
      <c r="AL275" t="s">
        <v>274</v>
      </c>
      <c r="AT275">
        <v>1</v>
      </c>
      <c r="AU275">
        <v>1</v>
      </c>
      <c r="AV275" t="s">
        <v>273</v>
      </c>
      <c r="AY275" t="s">
        <v>273</v>
      </c>
      <c r="BB275">
        <v>0</v>
      </c>
      <c r="BC275">
        <v>0</v>
      </c>
      <c r="BD275">
        <v>0</v>
      </c>
      <c r="BE275">
        <v>0</v>
      </c>
      <c r="BF275" t="s">
        <v>1063</v>
      </c>
      <c r="BG275" t="s">
        <v>2539</v>
      </c>
      <c r="BH275">
        <v>36</v>
      </c>
      <c r="BI275" t="s">
        <v>1247</v>
      </c>
      <c r="BK275">
        <v>1881835</v>
      </c>
    </row>
    <row r="276" spans="1:64">
      <c r="A276" s="1">
        <f>HYPERLINK("https://lsnyc.legalserver.org/matter/dynamic-profile/view/1881145","18-1881145")</f>
        <v>0</v>
      </c>
      <c r="B276" t="s">
        <v>1534</v>
      </c>
      <c r="C276" t="s">
        <v>1640</v>
      </c>
      <c r="D276" t="s">
        <v>253</v>
      </c>
      <c r="E276" t="s">
        <v>1646</v>
      </c>
      <c r="F276" t="s">
        <v>274</v>
      </c>
      <c r="G276" t="s">
        <v>274</v>
      </c>
      <c r="H276">
        <v>0</v>
      </c>
      <c r="I276" t="s">
        <v>274</v>
      </c>
      <c r="K276" t="s">
        <v>366</v>
      </c>
      <c r="O276" t="s">
        <v>274</v>
      </c>
      <c r="P276" t="s">
        <v>497</v>
      </c>
      <c r="Q276" t="s">
        <v>501</v>
      </c>
      <c r="S276" t="s">
        <v>503</v>
      </c>
      <c r="T276" t="s">
        <v>508</v>
      </c>
      <c r="U276" t="s">
        <v>511</v>
      </c>
      <c r="V276">
        <v>11375</v>
      </c>
      <c r="W276" t="s">
        <v>517</v>
      </c>
      <c r="X276" t="s">
        <v>1843</v>
      </c>
      <c r="Z276" t="s">
        <v>2012</v>
      </c>
      <c r="AA276" t="s">
        <v>2273</v>
      </c>
      <c r="AB276" t="s">
        <v>902</v>
      </c>
      <c r="AC276" t="s">
        <v>904</v>
      </c>
      <c r="AF276" t="s">
        <v>923</v>
      </c>
      <c r="AI276">
        <v>4.67</v>
      </c>
      <c r="AJ276" t="s">
        <v>558</v>
      </c>
      <c r="AK276" t="s">
        <v>2377</v>
      </c>
      <c r="AL276" t="s">
        <v>274</v>
      </c>
      <c r="AT276">
        <v>0</v>
      </c>
      <c r="AU276">
        <v>2</v>
      </c>
      <c r="AV276" t="s">
        <v>273</v>
      </c>
      <c r="AY276" t="s">
        <v>273</v>
      </c>
      <c r="BB276">
        <v>0</v>
      </c>
      <c r="BC276">
        <v>0</v>
      </c>
      <c r="BD276">
        <v>0</v>
      </c>
      <c r="BE276">
        <v>0</v>
      </c>
      <c r="BF276" t="s">
        <v>1063</v>
      </c>
      <c r="BG276" t="s">
        <v>2613</v>
      </c>
      <c r="BH276">
        <v>69</v>
      </c>
      <c r="BI276" t="s">
        <v>1247</v>
      </c>
      <c r="BK276">
        <v>1881766</v>
      </c>
    </row>
    <row r="277" spans="1:64">
      <c r="A277" s="1">
        <f>HYPERLINK("https://lsnyc.legalserver.org/matter/dynamic-profile/view/1880152","18-1880152")</f>
        <v>0</v>
      </c>
      <c r="B277" t="s">
        <v>1535</v>
      </c>
      <c r="C277" t="s">
        <v>1640</v>
      </c>
      <c r="D277" t="s">
        <v>253</v>
      </c>
      <c r="E277" t="s">
        <v>1645</v>
      </c>
      <c r="F277" t="s">
        <v>273</v>
      </c>
      <c r="G277" t="s">
        <v>275</v>
      </c>
      <c r="H277">
        <v>94.23</v>
      </c>
      <c r="I277" t="s">
        <v>274</v>
      </c>
      <c r="K277" t="s">
        <v>1728</v>
      </c>
      <c r="M277" t="s">
        <v>472</v>
      </c>
      <c r="N277" t="s">
        <v>992</v>
      </c>
      <c r="P277" t="s">
        <v>492</v>
      </c>
      <c r="Q277" t="s">
        <v>501</v>
      </c>
      <c r="S277" t="s">
        <v>503</v>
      </c>
      <c r="T277" t="s">
        <v>508</v>
      </c>
      <c r="U277" t="s">
        <v>511</v>
      </c>
      <c r="V277">
        <v>11368</v>
      </c>
      <c r="W277" t="s">
        <v>532</v>
      </c>
      <c r="X277" t="s">
        <v>548</v>
      </c>
      <c r="Z277" t="s">
        <v>2013</v>
      </c>
      <c r="AA277" t="s">
        <v>2274</v>
      </c>
      <c r="AB277" t="s">
        <v>902</v>
      </c>
      <c r="AC277" t="s">
        <v>905</v>
      </c>
      <c r="AF277" t="s">
        <v>923</v>
      </c>
      <c r="AI277">
        <v>8.5</v>
      </c>
      <c r="AJ277" t="s">
        <v>931</v>
      </c>
      <c r="AK277" t="s">
        <v>933</v>
      </c>
      <c r="AL277" t="s">
        <v>274</v>
      </c>
      <c r="AT277">
        <v>0</v>
      </c>
      <c r="AU277">
        <v>1</v>
      </c>
      <c r="AV277" t="s">
        <v>273</v>
      </c>
      <c r="AY277" t="s">
        <v>273</v>
      </c>
      <c r="BB277">
        <v>0</v>
      </c>
      <c r="BC277">
        <v>0</v>
      </c>
      <c r="BD277">
        <v>0</v>
      </c>
      <c r="BE277">
        <v>0</v>
      </c>
      <c r="BF277" t="s">
        <v>1063</v>
      </c>
      <c r="BG277" t="s">
        <v>2614</v>
      </c>
      <c r="BH277">
        <v>50</v>
      </c>
      <c r="BI277" t="s">
        <v>2772</v>
      </c>
      <c r="BK277">
        <v>1880767</v>
      </c>
    </row>
    <row r="278" spans="1:64">
      <c r="A278" s="1">
        <f>HYPERLINK("https://lsnyc.legalserver.org/matter/dynamic-profile/view/1880010","18-1880010")</f>
        <v>0</v>
      </c>
      <c r="B278" t="s">
        <v>1522</v>
      </c>
      <c r="C278" t="s">
        <v>1640</v>
      </c>
      <c r="D278" t="s">
        <v>253</v>
      </c>
      <c r="E278" t="s">
        <v>1646</v>
      </c>
      <c r="F278" t="s">
        <v>274</v>
      </c>
      <c r="G278" t="s">
        <v>274</v>
      </c>
      <c r="H278">
        <v>0</v>
      </c>
      <c r="I278" t="s">
        <v>274</v>
      </c>
      <c r="K278" t="s">
        <v>1729</v>
      </c>
      <c r="M278" t="s">
        <v>474</v>
      </c>
      <c r="N278" t="s">
        <v>445</v>
      </c>
      <c r="O278" t="s">
        <v>275</v>
      </c>
      <c r="P278" t="s">
        <v>495</v>
      </c>
      <c r="Q278" t="s">
        <v>501</v>
      </c>
      <c r="R278" t="s">
        <v>501</v>
      </c>
      <c r="S278" t="s">
        <v>503</v>
      </c>
      <c r="T278" t="s">
        <v>508</v>
      </c>
      <c r="U278" t="s">
        <v>511</v>
      </c>
      <c r="V278">
        <v>11691</v>
      </c>
      <c r="W278" t="s">
        <v>518</v>
      </c>
      <c r="X278" t="s">
        <v>548</v>
      </c>
      <c r="Y278" t="s">
        <v>275</v>
      </c>
      <c r="Z278" t="s">
        <v>606</v>
      </c>
      <c r="AA278" t="s">
        <v>2121</v>
      </c>
      <c r="AB278" t="s">
        <v>902</v>
      </c>
      <c r="AC278" t="s">
        <v>905</v>
      </c>
      <c r="AF278" t="s">
        <v>926</v>
      </c>
      <c r="AI278">
        <v>187.91</v>
      </c>
      <c r="AJ278" t="s">
        <v>558</v>
      </c>
      <c r="AK278" t="s">
        <v>934</v>
      </c>
      <c r="AL278" t="s">
        <v>274</v>
      </c>
      <c r="AT278">
        <v>1</v>
      </c>
      <c r="AU278">
        <v>1</v>
      </c>
      <c r="AV278" t="s">
        <v>275</v>
      </c>
      <c r="AY278" t="s">
        <v>273</v>
      </c>
      <c r="BB278">
        <v>0</v>
      </c>
      <c r="BC278">
        <v>0</v>
      </c>
      <c r="BD278">
        <v>0</v>
      </c>
      <c r="BE278">
        <v>0</v>
      </c>
      <c r="BF278" t="s">
        <v>1063</v>
      </c>
      <c r="BG278" t="s">
        <v>2601</v>
      </c>
      <c r="BH278">
        <v>43</v>
      </c>
      <c r="BI278" t="s">
        <v>1247</v>
      </c>
      <c r="BK278">
        <v>1880625</v>
      </c>
    </row>
    <row r="279" spans="1:64">
      <c r="A279" s="1">
        <f>HYPERLINK("https://lsnyc.legalserver.org/matter/dynamic-profile/view/1880022","18-1880022")</f>
        <v>0</v>
      </c>
      <c r="B279" t="s">
        <v>1494</v>
      </c>
      <c r="C279" t="s">
        <v>1640</v>
      </c>
      <c r="D279" t="s">
        <v>253</v>
      </c>
      <c r="E279" t="s">
        <v>1646</v>
      </c>
      <c r="F279" t="s">
        <v>273</v>
      </c>
      <c r="G279" t="s">
        <v>275</v>
      </c>
      <c r="H279">
        <v>0</v>
      </c>
      <c r="I279" t="s">
        <v>274</v>
      </c>
      <c r="K279" t="s">
        <v>1729</v>
      </c>
      <c r="M279" t="s">
        <v>474</v>
      </c>
      <c r="N279" t="s">
        <v>451</v>
      </c>
      <c r="O279" t="s">
        <v>275</v>
      </c>
      <c r="P279" t="s">
        <v>495</v>
      </c>
      <c r="Q279" t="s">
        <v>502</v>
      </c>
      <c r="R279" t="s">
        <v>502</v>
      </c>
      <c r="S279" t="s">
        <v>503</v>
      </c>
      <c r="T279" t="s">
        <v>508</v>
      </c>
      <c r="U279" t="s">
        <v>511</v>
      </c>
      <c r="V279">
        <v>11691</v>
      </c>
      <c r="W279" t="s">
        <v>518</v>
      </c>
      <c r="X279" t="s">
        <v>548</v>
      </c>
      <c r="Y279" t="s">
        <v>275</v>
      </c>
      <c r="Z279" t="s">
        <v>1986</v>
      </c>
      <c r="AA279" t="s">
        <v>2121</v>
      </c>
      <c r="AB279" t="s">
        <v>902</v>
      </c>
      <c r="AC279" t="s">
        <v>905</v>
      </c>
      <c r="AF279" t="s">
        <v>926</v>
      </c>
      <c r="AI279">
        <v>10.85</v>
      </c>
      <c r="AJ279" t="s">
        <v>558</v>
      </c>
      <c r="AK279" t="s">
        <v>934</v>
      </c>
      <c r="AL279" t="s">
        <v>274</v>
      </c>
      <c r="AT279">
        <v>1</v>
      </c>
      <c r="AU279">
        <v>1</v>
      </c>
      <c r="AV279" t="s">
        <v>273</v>
      </c>
      <c r="AY279" t="s">
        <v>273</v>
      </c>
      <c r="BB279">
        <v>0</v>
      </c>
      <c r="BC279">
        <v>0</v>
      </c>
      <c r="BD279">
        <v>0</v>
      </c>
      <c r="BE279">
        <v>0</v>
      </c>
      <c r="BF279" t="s">
        <v>1063</v>
      </c>
      <c r="BG279" t="s">
        <v>2576</v>
      </c>
      <c r="BH279">
        <v>17</v>
      </c>
      <c r="BI279" t="s">
        <v>1247</v>
      </c>
      <c r="BK279">
        <v>1880625</v>
      </c>
    </row>
    <row r="280" spans="1:64">
      <c r="A280" s="1">
        <f>HYPERLINK("https://lsnyc.legalserver.org/matter/dynamic-profile/view/1879914","18-1879914")</f>
        <v>0</v>
      </c>
      <c r="B280" t="s">
        <v>1536</v>
      </c>
      <c r="C280" t="s">
        <v>1640</v>
      </c>
      <c r="D280" t="s">
        <v>253</v>
      </c>
      <c r="E280" t="s">
        <v>1645</v>
      </c>
      <c r="F280" t="s">
        <v>273</v>
      </c>
      <c r="G280" t="s">
        <v>275</v>
      </c>
      <c r="H280">
        <v>142.16</v>
      </c>
      <c r="K280" t="s">
        <v>1730</v>
      </c>
      <c r="O280" t="s">
        <v>275</v>
      </c>
      <c r="P280" t="s">
        <v>492</v>
      </c>
      <c r="Q280" t="s">
        <v>502</v>
      </c>
      <c r="S280" t="s">
        <v>503</v>
      </c>
      <c r="T280" t="s">
        <v>508</v>
      </c>
      <c r="U280" t="s">
        <v>511</v>
      </c>
      <c r="V280">
        <v>11435</v>
      </c>
      <c r="X280" t="s">
        <v>548</v>
      </c>
      <c r="Z280" t="s">
        <v>2014</v>
      </c>
      <c r="AA280" t="s">
        <v>2275</v>
      </c>
      <c r="AB280" t="s">
        <v>902</v>
      </c>
      <c r="AC280" t="s">
        <v>905</v>
      </c>
      <c r="AI280">
        <v>5.3</v>
      </c>
      <c r="AJ280" t="s">
        <v>558</v>
      </c>
      <c r="AK280" t="s">
        <v>941</v>
      </c>
      <c r="AT280">
        <v>1</v>
      </c>
      <c r="AU280">
        <v>1</v>
      </c>
      <c r="AV280" t="s">
        <v>273</v>
      </c>
      <c r="AY280" t="s">
        <v>273</v>
      </c>
      <c r="BB280">
        <v>0</v>
      </c>
      <c r="BC280">
        <v>0</v>
      </c>
      <c r="BD280">
        <v>0</v>
      </c>
      <c r="BE280">
        <v>0</v>
      </c>
      <c r="BF280" t="s">
        <v>1063</v>
      </c>
      <c r="BG280" t="s">
        <v>2615</v>
      </c>
      <c r="BH280">
        <v>17</v>
      </c>
      <c r="BI280" t="s">
        <v>1248</v>
      </c>
      <c r="BK280">
        <v>1880529</v>
      </c>
    </row>
    <row r="281" spans="1:64">
      <c r="A281" s="1">
        <f>HYPERLINK("https://lsnyc.legalserver.org/matter/dynamic-profile/view/1879794","18-1879794")</f>
        <v>0</v>
      </c>
      <c r="B281" t="s">
        <v>1537</v>
      </c>
      <c r="C281" t="s">
        <v>1640</v>
      </c>
      <c r="D281" t="s">
        <v>253</v>
      </c>
      <c r="E281" t="s">
        <v>1649</v>
      </c>
      <c r="F281" t="s">
        <v>275</v>
      </c>
      <c r="G281" t="s">
        <v>275</v>
      </c>
      <c r="H281">
        <v>189.55</v>
      </c>
      <c r="I281" t="s">
        <v>274</v>
      </c>
      <c r="K281" t="s">
        <v>1731</v>
      </c>
      <c r="L281" t="s">
        <v>1666</v>
      </c>
      <c r="O281" t="s">
        <v>275</v>
      </c>
      <c r="P281" t="s">
        <v>493</v>
      </c>
      <c r="Q281" t="s">
        <v>501</v>
      </c>
      <c r="S281" t="s">
        <v>503</v>
      </c>
      <c r="T281" t="s">
        <v>507</v>
      </c>
      <c r="U281" t="s">
        <v>511</v>
      </c>
      <c r="V281">
        <v>11373</v>
      </c>
      <c r="W281" t="s">
        <v>525</v>
      </c>
      <c r="X281" t="s">
        <v>548</v>
      </c>
      <c r="Y281" t="s">
        <v>275</v>
      </c>
      <c r="Z281" t="s">
        <v>2015</v>
      </c>
      <c r="AA281" t="s">
        <v>2276</v>
      </c>
      <c r="AB281" t="s">
        <v>902</v>
      </c>
      <c r="AC281" t="s">
        <v>904</v>
      </c>
      <c r="AD281" t="s">
        <v>275</v>
      </c>
      <c r="AE281" t="s">
        <v>919</v>
      </c>
      <c r="AF281" t="s">
        <v>923</v>
      </c>
      <c r="AI281">
        <v>24.8</v>
      </c>
      <c r="AJ281" t="s">
        <v>558</v>
      </c>
      <c r="AK281" t="s">
        <v>947</v>
      </c>
      <c r="AL281" t="s">
        <v>274</v>
      </c>
      <c r="AQ281" t="s">
        <v>1038</v>
      </c>
      <c r="AR281" t="s">
        <v>1051</v>
      </c>
      <c r="AT281">
        <v>0</v>
      </c>
      <c r="AU281">
        <v>2</v>
      </c>
      <c r="AV281" t="s">
        <v>273</v>
      </c>
      <c r="AY281" t="s">
        <v>273</v>
      </c>
      <c r="BB281">
        <v>0</v>
      </c>
      <c r="BC281">
        <v>0</v>
      </c>
      <c r="BD281">
        <v>0</v>
      </c>
      <c r="BE281">
        <v>0</v>
      </c>
      <c r="BF281" t="s">
        <v>493</v>
      </c>
      <c r="BG281" t="s">
        <v>2616</v>
      </c>
      <c r="BH281">
        <v>49</v>
      </c>
      <c r="BI281" t="s">
        <v>1254</v>
      </c>
      <c r="BK281">
        <v>1880409</v>
      </c>
    </row>
    <row r="282" spans="1:64">
      <c r="A282" s="1">
        <f>HYPERLINK("https://lsnyc.legalserver.org/matter/dynamic-profile/view/1879554","18-1879554")</f>
        <v>0</v>
      </c>
      <c r="B282" t="s">
        <v>1497</v>
      </c>
      <c r="C282" t="s">
        <v>1640</v>
      </c>
      <c r="D282" t="s">
        <v>253</v>
      </c>
      <c r="E282" t="s">
        <v>1647</v>
      </c>
      <c r="F282" t="s">
        <v>273</v>
      </c>
      <c r="G282" t="s">
        <v>275</v>
      </c>
      <c r="H282">
        <v>187.68</v>
      </c>
      <c r="I282" t="s">
        <v>274</v>
      </c>
      <c r="J282" t="s">
        <v>1655</v>
      </c>
      <c r="K282" t="s">
        <v>371</v>
      </c>
      <c r="M282" t="s">
        <v>472</v>
      </c>
      <c r="N282" t="s">
        <v>291</v>
      </c>
      <c r="O282" t="s">
        <v>275</v>
      </c>
      <c r="P282" t="s">
        <v>492</v>
      </c>
      <c r="Q282" t="s">
        <v>502</v>
      </c>
      <c r="S282" t="s">
        <v>503</v>
      </c>
      <c r="T282" t="s">
        <v>507</v>
      </c>
      <c r="U282" t="s">
        <v>511</v>
      </c>
      <c r="V282">
        <v>11435</v>
      </c>
      <c r="W282" t="s">
        <v>518</v>
      </c>
      <c r="X282" t="s">
        <v>548</v>
      </c>
      <c r="Y282" t="s">
        <v>275</v>
      </c>
      <c r="Z282" t="s">
        <v>1988</v>
      </c>
      <c r="AA282" t="s">
        <v>2245</v>
      </c>
      <c r="AB282" t="s">
        <v>902</v>
      </c>
      <c r="AC282" t="s">
        <v>905</v>
      </c>
      <c r="AF282" t="s">
        <v>926</v>
      </c>
      <c r="AI282">
        <v>13.5</v>
      </c>
      <c r="AJ282" t="s">
        <v>558</v>
      </c>
      <c r="AK282" t="s">
        <v>941</v>
      </c>
      <c r="AL282" t="s">
        <v>274</v>
      </c>
      <c r="AM282" t="s">
        <v>973</v>
      </c>
      <c r="AT282">
        <v>1</v>
      </c>
      <c r="AU282">
        <v>2</v>
      </c>
      <c r="AV282" t="s">
        <v>273</v>
      </c>
      <c r="AY282" t="s">
        <v>273</v>
      </c>
      <c r="BB282">
        <v>0</v>
      </c>
      <c r="BC282">
        <v>0</v>
      </c>
      <c r="BD282">
        <v>0</v>
      </c>
      <c r="BE282">
        <v>0</v>
      </c>
      <c r="BF282" t="s">
        <v>1063</v>
      </c>
      <c r="BG282" t="s">
        <v>2452</v>
      </c>
      <c r="BH282">
        <v>17</v>
      </c>
      <c r="BI282" t="s">
        <v>1273</v>
      </c>
      <c r="BJ282" t="s">
        <v>1725</v>
      </c>
      <c r="BK282">
        <v>1880169</v>
      </c>
      <c r="BL282" t="s">
        <v>274</v>
      </c>
    </row>
    <row r="283" spans="1:64">
      <c r="A283" s="1">
        <f>HYPERLINK("https://lsnyc.legalserver.org/matter/dynamic-profile/view/1879558","18-1879558")</f>
        <v>0</v>
      </c>
      <c r="B283" t="s">
        <v>1538</v>
      </c>
      <c r="C283" t="s">
        <v>1640</v>
      </c>
      <c r="D283" t="s">
        <v>253</v>
      </c>
      <c r="E283" t="s">
        <v>1648</v>
      </c>
      <c r="F283" t="s">
        <v>273</v>
      </c>
      <c r="G283" t="s">
        <v>275</v>
      </c>
      <c r="H283">
        <v>0</v>
      </c>
      <c r="I283" t="s">
        <v>274</v>
      </c>
      <c r="K283" t="s">
        <v>371</v>
      </c>
      <c r="Q283" t="s">
        <v>501</v>
      </c>
      <c r="S283" t="s">
        <v>503</v>
      </c>
      <c r="T283" t="s">
        <v>508</v>
      </c>
      <c r="U283" t="s">
        <v>511</v>
      </c>
      <c r="V283">
        <v>11434</v>
      </c>
      <c r="W283" t="s">
        <v>532</v>
      </c>
      <c r="Y283" t="s">
        <v>275</v>
      </c>
      <c r="Z283" t="s">
        <v>2016</v>
      </c>
      <c r="AA283" t="s">
        <v>2277</v>
      </c>
      <c r="AB283" t="s">
        <v>902</v>
      </c>
      <c r="AC283" t="s">
        <v>906</v>
      </c>
      <c r="AF283" t="s">
        <v>923</v>
      </c>
      <c r="AI283">
        <v>10.5</v>
      </c>
      <c r="AJ283" t="s">
        <v>931</v>
      </c>
      <c r="AK283" t="s">
        <v>939</v>
      </c>
      <c r="AL283" t="s">
        <v>274</v>
      </c>
      <c r="AT283">
        <v>0</v>
      </c>
      <c r="AU283">
        <v>1</v>
      </c>
      <c r="AV283" t="s">
        <v>273</v>
      </c>
      <c r="AY283" t="s">
        <v>273</v>
      </c>
      <c r="BB283">
        <v>0</v>
      </c>
      <c r="BC283">
        <v>0</v>
      </c>
      <c r="BD283">
        <v>0</v>
      </c>
      <c r="BE283">
        <v>0</v>
      </c>
      <c r="BF283" t="s">
        <v>1063</v>
      </c>
      <c r="BG283" t="s">
        <v>2617</v>
      </c>
      <c r="BH283">
        <v>61</v>
      </c>
      <c r="BI283" t="s">
        <v>1247</v>
      </c>
      <c r="BK283">
        <v>1880173</v>
      </c>
    </row>
    <row r="284" spans="1:64">
      <c r="A284" s="1">
        <f>HYPERLINK("https://lsnyc.legalserver.org/matter/dynamic-profile/view/1878932","18-1878932")</f>
        <v>0</v>
      </c>
      <c r="B284" t="s">
        <v>1539</v>
      </c>
      <c r="C284" t="s">
        <v>1640</v>
      </c>
      <c r="D284" t="s">
        <v>257</v>
      </c>
      <c r="E284" t="s">
        <v>1646</v>
      </c>
      <c r="F284" t="s">
        <v>273</v>
      </c>
      <c r="G284" t="s">
        <v>275</v>
      </c>
      <c r="H284">
        <v>171.33</v>
      </c>
      <c r="I284" t="s">
        <v>274</v>
      </c>
      <c r="K284" t="s">
        <v>1732</v>
      </c>
      <c r="P284" t="s">
        <v>492</v>
      </c>
      <c r="Q284" t="s">
        <v>501</v>
      </c>
      <c r="S284" t="s">
        <v>503</v>
      </c>
      <c r="T284" t="s">
        <v>507</v>
      </c>
      <c r="U284" t="s">
        <v>511</v>
      </c>
      <c r="V284">
        <v>10456</v>
      </c>
      <c r="W284" t="s">
        <v>524</v>
      </c>
      <c r="X284" t="s">
        <v>548</v>
      </c>
      <c r="Y284" t="s">
        <v>274</v>
      </c>
      <c r="Z284" t="s">
        <v>2017</v>
      </c>
      <c r="AA284" t="s">
        <v>2278</v>
      </c>
      <c r="AB284" t="s">
        <v>902</v>
      </c>
      <c r="AC284" t="s">
        <v>910</v>
      </c>
      <c r="AF284" t="s">
        <v>923</v>
      </c>
      <c r="AI284">
        <v>8.75</v>
      </c>
      <c r="AJ284" t="s">
        <v>558</v>
      </c>
      <c r="AK284" t="s">
        <v>950</v>
      </c>
      <c r="AL284" t="s">
        <v>274</v>
      </c>
      <c r="AM284" t="s">
        <v>973</v>
      </c>
      <c r="AN284" t="s">
        <v>309</v>
      </c>
      <c r="AT284">
        <v>0</v>
      </c>
      <c r="AU284">
        <v>1</v>
      </c>
      <c r="AV284" t="s">
        <v>273</v>
      </c>
      <c r="AY284" t="s">
        <v>273</v>
      </c>
      <c r="BB284">
        <v>0</v>
      </c>
      <c r="BC284">
        <v>0</v>
      </c>
      <c r="BD284">
        <v>0</v>
      </c>
      <c r="BE284">
        <v>0</v>
      </c>
      <c r="BF284" t="s">
        <v>1063</v>
      </c>
      <c r="BG284" t="s">
        <v>2618</v>
      </c>
      <c r="BH284">
        <v>29</v>
      </c>
      <c r="BI284" t="s">
        <v>1261</v>
      </c>
      <c r="BK284">
        <v>1879547</v>
      </c>
    </row>
    <row r="285" spans="1:64">
      <c r="A285" s="1">
        <f>HYPERLINK("https://lsnyc.legalserver.org/matter/dynamic-profile/view/1878539","18-1878539")</f>
        <v>0</v>
      </c>
      <c r="B285" t="s">
        <v>1540</v>
      </c>
      <c r="C285" t="s">
        <v>1640</v>
      </c>
      <c r="D285" t="s">
        <v>253</v>
      </c>
      <c r="E285" t="s">
        <v>1646</v>
      </c>
      <c r="F285" t="s">
        <v>275</v>
      </c>
      <c r="G285" t="s">
        <v>275</v>
      </c>
      <c r="H285">
        <v>126.37</v>
      </c>
      <c r="I285" t="s">
        <v>274</v>
      </c>
      <c r="K285" t="s">
        <v>1733</v>
      </c>
      <c r="L285" t="s">
        <v>442</v>
      </c>
      <c r="O285" t="s">
        <v>275</v>
      </c>
      <c r="P285" t="s">
        <v>493</v>
      </c>
      <c r="Q285" t="s">
        <v>501</v>
      </c>
      <c r="S285" t="s">
        <v>503</v>
      </c>
      <c r="T285" t="s">
        <v>508</v>
      </c>
      <c r="U285" t="s">
        <v>511</v>
      </c>
      <c r="V285">
        <v>11435</v>
      </c>
      <c r="W285" t="s">
        <v>520</v>
      </c>
      <c r="X285" t="s">
        <v>548</v>
      </c>
      <c r="Y285" t="s">
        <v>275</v>
      </c>
      <c r="Z285" t="s">
        <v>601</v>
      </c>
      <c r="AA285" t="s">
        <v>2111</v>
      </c>
      <c r="AB285" t="s">
        <v>902</v>
      </c>
      <c r="AC285" t="s">
        <v>905</v>
      </c>
      <c r="AD285" t="s">
        <v>275</v>
      </c>
      <c r="AE285" t="s">
        <v>919</v>
      </c>
      <c r="AF285" t="s">
        <v>923</v>
      </c>
      <c r="AI285">
        <v>9.77</v>
      </c>
      <c r="AJ285" t="s">
        <v>558</v>
      </c>
      <c r="AK285" t="s">
        <v>933</v>
      </c>
      <c r="AL285" t="s">
        <v>274</v>
      </c>
      <c r="AM285" t="s">
        <v>973</v>
      </c>
      <c r="AN285" t="s">
        <v>1709</v>
      </c>
      <c r="AQ285" t="s">
        <v>1036</v>
      </c>
      <c r="AR285" t="s">
        <v>1051</v>
      </c>
      <c r="AT285">
        <v>0</v>
      </c>
      <c r="AU285">
        <v>2</v>
      </c>
      <c r="AV285" t="s">
        <v>273</v>
      </c>
      <c r="AY285" t="s">
        <v>273</v>
      </c>
      <c r="BB285">
        <v>0</v>
      </c>
      <c r="BC285">
        <v>0</v>
      </c>
      <c r="BD285">
        <v>0</v>
      </c>
      <c r="BE285">
        <v>0</v>
      </c>
      <c r="BF285" t="s">
        <v>493</v>
      </c>
      <c r="BG285" t="s">
        <v>2619</v>
      </c>
      <c r="BH285">
        <v>57</v>
      </c>
      <c r="BI285" t="s">
        <v>1261</v>
      </c>
      <c r="BK285">
        <v>1879154</v>
      </c>
    </row>
    <row r="286" spans="1:64">
      <c r="A286" s="1">
        <f>HYPERLINK("https://lsnyc.legalserver.org/matter/dynamic-profile/view/1878280","18-1878280")</f>
        <v>0</v>
      </c>
      <c r="B286" t="s">
        <v>1541</v>
      </c>
      <c r="C286" t="s">
        <v>1640</v>
      </c>
      <c r="D286" t="s">
        <v>253</v>
      </c>
      <c r="E286" t="s">
        <v>1646</v>
      </c>
      <c r="F286" t="s">
        <v>275</v>
      </c>
      <c r="G286" t="s">
        <v>275</v>
      </c>
      <c r="H286">
        <v>125.12</v>
      </c>
      <c r="I286" t="s">
        <v>274</v>
      </c>
      <c r="K286" t="s">
        <v>1734</v>
      </c>
      <c r="L286" t="s">
        <v>442</v>
      </c>
      <c r="M286" t="s">
        <v>472</v>
      </c>
      <c r="N286" t="s">
        <v>993</v>
      </c>
      <c r="O286" t="s">
        <v>275</v>
      </c>
      <c r="P286" t="s">
        <v>493</v>
      </c>
      <c r="Q286" t="s">
        <v>501</v>
      </c>
      <c r="S286" t="s">
        <v>503</v>
      </c>
      <c r="T286" t="s">
        <v>508</v>
      </c>
      <c r="U286" t="s">
        <v>511</v>
      </c>
      <c r="V286">
        <v>11418</v>
      </c>
      <c r="W286" t="s">
        <v>516</v>
      </c>
      <c r="X286" t="s">
        <v>549</v>
      </c>
      <c r="Y286" t="s">
        <v>275</v>
      </c>
      <c r="Z286" t="s">
        <v>2018</v>
      </c>
      <c r="AA286" t="s">
        <v>2279</v>
      </c>
      <c r="AB286" t="s">
        <v>902</v>
      </c>
      <c r="AC286" t="s">
        <v>904</v>
      </c>
      <c r="AD286" t="s">
        <v>275</v>
      </c>
      <c r="AE286" t="s">
        <v>919</v>
      </c>
      <c r="AF286" t="s">
        <v>923</v>
      </c>
      <c r="AI286">
        <v>27.85</v>
      </c>
      <c r="AJ286" t="s">
        <v>558</v>
      </c>
      <c r="AK286" t="s">
        <v>2378</v>
      </c>
      <c r="AL286" t="s">
        <v>274</v>
      </c>
      <c r="AM286" t="s">
        <v>976</v>
      </c>
      <c r="AN286" t="s">
        <v>476</v>
      </c>
      <c r="AQ286" t="s">
        <v>1044</v>
      </c>
      <c r="AR286" t="s">
        <v>1051</v>
      </c>
      <c r="AT286">
        <v>1</v>
      </c>
      <c r="AU286">
        <v>2</v>
      </c>
      <c r="AV286" t="s">
        <v>273</v>
      </c>
      <c r="AY286" t="s">
        <v>273</v>
      </c>
      <c r="BB286">
        <v>0</v>
      </c>
      <c r="BC286">
        <v>0</v>
      </c>
      <c r="BD286">
        <v>0</v>
      </c>
      <c r="BE286">
        <v>0</v>
      </c>
      <c r="BF286" t="s">
        <v>493</v>
      </c>
      <c r="BG286" t="s">
        <v>2620</v>
      </c>
      <c r="BH286">
        <v>26</v>
      </c>
      <c r="BI286" t="s">
        <v>1279</v>
      </c>
      <c r="BK286">
        <v>1878895</v>
      </c>
    </row>
    <row r="287" spans="1:64">
      <c r="A287" s="1">
        <f>HYPERLINK("https://lsnyc.legalserver.org/matter/dynamic-profile/view/1878179","18-1878179")</f>
        <v>0</v>
      </c>
      <c r="B287" t="s">
        <v>1542</v>
      </c>
      <c r="C287" t="s">
        <v>1640</v>
      </c>
      <c r="D287" t="s">
        <v>253</v>
      </c>
      <c r="E287" t="s">
        <v>1648</v>
      </c>
      <c r="F287" t="s">
        <v>273</v>
      </c>
      <c r="G287" t="s">
        <v>275</v>
      </c>
      <c r="H287">
        <v>144.37</v>
      </c>
      <c r="I287" t="s">
        <v>274</v>
      </c>
      <c r="K287" t="s">
        <v>375</v>
      </c>
      <c r="O287" t="s">
        <v>275</v>
      </c>
      <c r="P287" t="s">
        <v>494</v>
      </c>
      <c r="Q287" t="s">
        <v>501</v>
      </c>
      <c r="S287" t="s">
        <v>503</v>
      </c>
      <c r="T287" t="s">
        <v>507</v>
      </c>
      <c r="U287" t="s">
        <v>511</v>
      </c>
      <c r="V287">
        <v>11429</v>
      </c>
      <c r="W287" t="s">
        <v>523</v>
      </c>
      <c r="X287" t="s">
        <v>549</v>
      </c>
      <c r="Y287" t="s">
        <v>275</v>
      </c>
      <c r="Z287" t="s">
        <v>2019</v>
      </c>
      <c r="AA287" t="s">
        <v>2262</v>
      </c>
      <c r="AB287" t="s">
        <v>903</v>
      </c>
      <c r="AI287">
        <v>16.92</v>
      </c>
      <c r="AJ287" t="s">
        <v>558</v>
      </c>
      <c r="AL287" t="s">
        <v>274</v>
      </c>
      <c r="AM287" t="s">
        <v>973</v>
      </c>
      <c r="AT287">
        <v>1</v>
      </c>
      <c r="AU287">
        <v>2</v>
      </c>
      <c r="AV287" t="s">
        <v>273</v>
      </c>
      <c r="AY287" t="s">
        <v>273</v>
      </c>
      <c r="BB287">
        <v>0</v>
      </c>
      <c r="BC287">
        <v>0</v>
      </c>
      <c r="BD287">
        <v>0</v>
      </c>
      <c r="BE287">
        <v>0</v>
      </c>
      <c r="BF287" t="s">
        <v>1063</v>
      </c>
      <c r="BG287" t="s">
        <v>2621</v>
      </c>
      <c r="BH287">
        <v>22</v>
      </c>
      <c r="BI287" t="s">
        <v>1272</v>
      </c>
      <c r="BK287">
        <v>1878794</v>
      </c>
      <c r="BL287" t="s">
        <v>275</v>
      </c>
    </row>
    <row r="288" spans="1:64">
      <c r="A288" s="1">
        <f>HYPERLINK("https://lsnyc.legalserver.org/matter/dynamic-profile/view/1877925","18-1877925")</f>
        <v>0</v>
      </c>
      <c r="B288" t="s">
        <v>1543</v>
      </c>
      <c r="C288" t="s">
        <v>1640</v>
      </c>
      <c r="D288" t="s">
        <v>253</v>
      </c>
      <c r="E288" t="s">
        <v>1650</v>
      </c>
      <c r="F288" t="s">
        <v>273</v>
      </c>
      <c r="G288" t="s">
        <v>275</v>
      </c>
      <c r="H288">
        <v>189.55</v>
      </c>
      <c r="I288" t="s">
        <v>274</v>
      </c>
      <c r="K288" t="s">
        <v>1735</v>
      </c>
      <c r="P288" t="s">
        <v>492</v>
      </c>
      <c r="Q288" t="s">
        <v>501</v>
      </c>
      <c r="S288" t="s">
        <v>503</v>
      </c>
      <c r="T288" t="s">
        <v>508</v>
      </c>
      <c r="U288" t="s">
        <v>511</v>
      </c>
      <c r="V288">
        <v>11369</v>
      </c>
      <c r="W288" t="s">
        <v>540</v>
      </c>
      <c r="X288" t="s">
        <v>548</v>
      </c>
      <c r="Y288" t="s">
        <v>275</v>
      </c>
      <c r="Z288" t="s">
        <v>621</v>
      </c>
      <c r="AA288" t="s">
        <v>2280</v>
      </c>
      <c r="AB288" t="s">
        <v>902</v>
      </c>
      <c r="AC288" t="s">
        <v>904</v>
      </c>
      <c r="AF288" t="s">
        <v>923</v>
      </c>
      <c r="AI288">
        <v>7.75</v>
      </c>
      <c r="AJ288" t="s">
        <v>558</v>
      </c>
      <c r="AK288" t="s">
        <v>949</v>
      </c>
      <c r="AL288" t="s">
        <v>274</v>
      </c>
      <c r="AT288">
        <v>1</v>
      </c>
      <c r="AU288">
        <v>1</v>
      </c>
      <c r="AV288" t="s">
        <v>273</v>
      </c>
      <c r="AY288" t="s">
        <v>273</v>
      </c>
      <c r="BB288">
        <v>0</v>
      </c>
      <c r="BC288">
        <v>0</v>
      </c>
      <c r="BD288">
        <v>0</v>
      </c>
      <c r="BE288">
        <v>0</v>
      </c>
      <c r="BF288" t="s">
        <v>1063</v>
      </c>
      <c r="BG288" t="s">
        <v>2622</v>
      </c>
      <c r="BH288">
        <v>37</v>
      </c>
      <c r="BI288" t="s">
        <v>1254</v>
      </c>
      <c r="BK288">
        <v>1878539</v>
      </c>
    </row>
    <row r="289" spans="1:63">
      <c r="A289" s="1">
        <f>HYPERLINK("https://lsnyc.legalserver.org/matter/dynamic-profile/view/1877213","18-1877213")</f>
        <v>0</v>
      </c>
      <c r="B289" t="s">
        <v>1411</v>
      </c>
      <c r="C289" t="s">
        <v>1640</v>
      </c>
      <c r="D289" t="s">
        <v>253</v>
      </c>
      <c r="E289" t="s">
        <v>1643</v>
      </c>
      <c r="F289" t="s">
        <v>273</v>
      </c>
      <c r="G289" t="s">
        <v>275</v>
      </c>
      <c r="H289">
        <v>98.84999999999999</v>
      </c>
      <c r="I289" t="s">
        <v>274</v>
      </c>
      <c r="K289" t="s">
        <v>1018</v>
      </c>
      <c r="L289" t="s">
        <v>300</v>
      </c>
      <c r="P289" t="s">
        <v>493</v>
      </c>
      <c r="Q289" t="s">
        <v>501</v>
      </c>
      <c r="S289" t="s">
        <v>503</v>
      </c>
      <c r="T289" t="s">
        <v>507</v>
      </c>
      <c r="U289" t="s">
        <v>511</v>
      </c>
      <c r="V289">
        <v>11421</v>
      </c>
      <c r="W289" t="s">
        <v>520</v>
      </c>
      <c r="X289" t="s">
        <v>1839</v>
      </c>
      <c r="Y289" t="s">
        <v>275</v>
      </c>
      <c r="Z289" t="s">
        <v>1919</v>
      </c>
      <c r="AA289" t="s">
        <v>2171</v>
      </c>
      <c r="AB289" t="s">
        <v>902</v>
      </c>
      <c r="AC289" t="s">
        <v>905</v>
      </c>
      <c r="AD289" t="s">
        <v>275</v>
      </c>
      <c r="AE289" t="s">
        <v>919</v>
      </c>
      <c r="AF289" t="s">
        <v>923</v>
      </c>
      <c r="AI289">
        <v>3.47</v>
      </c>
      <c r="AJ289" t="s">
        <v>558</v>
      </c>
      <c r="AK289" t="s">
        <v>964</v>
      </c>
      <c r="AL289" t="s">
        <v>274</v>
      </c>
      <c r="AM289" t="s">
        <v>973</v>
      </c>
      <c r="AN289" t="s">
        <v>2392</v>
      </c>
      <c r="AQ289" t="s">
        <v>1036</v>
      </c>
      <c r="AR289" t="s">
        <v>1051</v>
      </c>
      <c r="AT289">
        <v>0</v>
      </c>
      <c r="AU289">
        <v>1</v>
      </c>
      <c r="AV289" t="s">
        <v>273</v>
      </c>
      <c r="AY289" t="s">
        <v>273</v>
      </c>
      <c r="BB289">
        <v>0</v>
      </c>
      <c r="BC289">
        <v>0</v>
      </c>
      <c r="BD289">
        <v>0</v>
      </c>
      <c r="BE289">
        <v>0</v>
      </c>
      <c r="BF289" t="s">
        <v>493</v>
      </c>
      <c r="BG289" t="s">
        <v>2496</v>
      </c>
      <c r="BH289">
        <v>23</v>
      </c>
      <c r="BI289" t="s">
        <v>1267</v>
      </c>
      <c r="BK289">
        <v>1865730</v>
      </c>
    </row>
    <row r="290" spans="1:63">
      <c r="A290" s="1">
        <f>HYPERLINK("https://lsnyc.legalserver.org/matter/dynamic-profile/view/1874676","18-1874676")</f>
        <v>0</v>
      </c>
      <c r="B290" t="s">
        <v>1544</v>
      </c>
      <c r="C290" t="s">
        <v>1640</v>
      </c>
      <c r="D290" t="s">
        <v>253</v>
      </c>
      <c r="E290" t="s">
        <v>1647</v>
      </c>
      <c r="F290" t="s">
        <v>273</v>
      </c>
      <c r="G290" t="s">
        <v>275</v>
      </c>
      <c r="H290">
        <v>181.65</v>
      </c>
      <c r="I290" t="s">
        <v>274</v>
      </c>
      <c r="K290" t="s">
        <v>1006</v>
      </c>
      <c r="O290" t="s">
        <v>274</v>
      </c>
      <c r="P290" t="s">
        <v>492</v>
      </c>
      <c r="Q290" t="s">
        <v>501</v>
      </c>
      <c r="S290" t="s">
        <v>503</v>
      </c>
      <c r="T290" t="s">
        <v>507</v>
      </c>
      <c r="U290" t="s">
        <v>511</v>
      </c>
      <c r="V290">
        <v>11360</v>
      </c>
      <c r="W290" t="s">
        <v>1833</v>
      </c>
      <c r="X290" t="s">
        <v>548</v>
      </c>
      <c r="Z290" t="s">
        <v>2020</v>
      </c>
      <c r="AA290" t="s">
        <v>2281</v>
      </c>
      <c r="AB290" t="s">
        <v>903</v>
      </c>
      <c r="AF290" t="s">
        <v>928</v>
      </c>
      <c r="AI290">
        <v>10.75</v>
      </c>
      <c r="AJ290" t="s">
        <v>558</v>
      </c>
      <c r="AK290" t="s">
        <v>959</v>
      </c>
      <c r="AL290" t="s">
        <v>274</v>
      </c>
      <c r="AM290" t="s">
        <v>978</v>
      </c>
      <c r="AT290">
        <v>1</v>
      </c>
      <c r="AU290">
        <v>1</v>
      </c>
      <c r="AV290" t="s">
        <v>273</v>
      </c>
      <c r="AY290" t="s">
        <v>273</v>
      </c>
      <c r="BB290">
        <v>0</v>
      </c>
      <c r="BC290">
        <v>0</v>
      </c>
      <c r="BD290">
        <v>0</v>
      </c>
      <c r="BE290">
        <v>0</v>
      </c>
      <c r="BF290" t="s">
        <v>1063</v>
      </c>
      <c r="BG290" t="s">
        <v>2623</v>
      </c>
      <c r="BH290">
        <v>51</v>
      </c>
      <c r="BI290" t="s">
        <v>2773</v>
      </c>
      <c r="BK290">
        <v>1875281</v>
      </c>
    </row>
    <row r="291" spans="1:63">
      <c r="A291" s="1">
        <f>HYPERLINK("https://lsnyc.legalserver.org/matter/dynamic-profile/view/1874669","18-1874669")</f>
        <v>0</v>
      </c>
      <c r="B291" t="s">
        <v>1545</v>
      </c>
      <c r="C291" t="s">
        <v>1640</v>
      </c>
      <c r="D291" t="s">
        <v>253</v>
      </c>
      <c r="E291" t="s">
        <v>1647</v>
      </c>
      <c r="F291" t="s">
        <v>273</v>
      </c>
      <c r="G291" t="s">
        <v>275</v>
      </c>
      <c r="H291">
        <v>212.64</v>
      </c>
      <c r="I291" t="s">
        <v>275</v>
      </c>
      <c r="K291" t="s">
        <v>384</v>
      </c>
      <c r="P291" t="s">
        <v>498</v>
      </c>
      <c r="Q291" t="s">
        <v>501</v>
      </c>
      <c r="S291" t="s">
        <v>503</v>
      </c>
      <c r="T291" t="s">
        <v>507</v>
      </c>
      <c r="U291" t="s">
        <v>511</v>
      </c>
      <c r="V291">
        <v>11435</v>
      </c>
      <c r="W291" t="s">
        <v>529</v>
      </c>
      <c r="X291" t="s">
        <v>549</v>
      </c>
      <c r="Y291" t="s">
        <v>275</v>
      </c>
      <c r="Z291" t="s">
        <v>2021</v>
      </c>
      <c r="AA291" t="s">
        <v>2282</v>
      </c>
      <c r="AB291" t="s">
        <v>902</v>
      </c>
      <c r="AC291" t="s">
        <v>905</v>
      </c>
      <c r="AF291" t="s">
        <v>928</v>
      </c>
      <c r="AI291">
        <v>2.25</v>
      </c>
      <c r="AJ291" t="s">
        <v>931</v>
      </c>
      <c r="AK291" t="s">
        <v>947</v>
      </c>
      <c r="AL291" t="s">
        <v>275</v>
      </c>
      <c r="AT291">
        <v>0</v>
      </c>
      <c r="AU291">
        <v>2</v>
      </c>
      <c r="AV291" t="s">
        <v>273</v>
      </c>
      <c r="AY291" t="s">
        <v>273</v>
      </c>
      <c r="BB291">
        <v>0</v>
      </c>
      <c r="BC291">
        <v>0</v>
      </c>
      <c r="BD291">
        <v>0</v>
      </c>
      <c r="BE291">
        <v>0</v>
      </c>
      <c r="BF291" t="s">
        <v>1063</v>
      </c>
      <c r="BG291" t="s">
        <v>2624</v>
      </c>
      <c r="BH291">
        <v>19</v>
      </c>
      <c r="BI291" t="s">
        <v>2736</v>
      </c>
      <c r="BK291">
        <v>1875274</v>
      </c>
    </row>
    <row r="292" spans="1:63">
      <c r="A292" s="1">
        <f>HYPERLINK("https://lsnyc.legalserver.org/matter/dynamic-profile/view/1874367","18-1874367")</f>
        <v>0</v>
      </c>
      <c r="B292" t="s">
        <v>1546</v>
      </c>
      <c r="C292" t="s">
        <v>1640</v>
      </c>
      <c r="D292" t="s">
        <v>253</v>
      </c>
      <c r="E292" t="s">
        <v>1647</v>
      </c>
      <c r="F292" t="s">
        <v>273</v>
      </c>
      <c r="G292" t="s">
        <v>275</v>
      </c>
      <c r="H292">
        <v>154.65</v>
      </c>
      <c r="I292" t="s">
        <v>274</v>
      </c>
      <c r="K292" t="s">
        <v>1736</v>
      </c>
      <c r="M292" t="s">
        <v>474</v>
      </c>
      <c r="N292" t="s">
        <v>1666</v>
      </c>
      <c r="P292" t="s">
        <v>492</v>
      </c>
      <c r="Q292" t="s">
        <v>501</v>
      </c>
      <c r="S292" t="s">
        <v>503</v>
      </c>
      <c r="T292" t="s">
        <v>508</v>
      </c>
      <c r="U292" t="s">
        <v>511</v>
      </c>
      <c r="V292">
        <v>11104</v>
      </c>
      <c r="W292" t="s">
        <v>532</v>
      </c>
      <c r="X292" t="s">
        <v>549</v>
      </c>
      <c r="Y292" t="s">
        <v>275</v>
      </c>
      <c r="Z292" t="s">
        <v>584</v>
      </c>
      <c r="AA292" t="s">
        <v>2283</v>
      </c>
      <c r="AB292" t="s">
        <v>902</v>
      </c>
      <c r="AC292" t="s">
        <v>906</v>
      </c>
      <c r="AF292" t="s">
        <v>927</v>
      </c>
      <c r="AI292">
        <v>9.050000000000001</v>
      </c>
      <c r="AJ292" t="s">
        <v>558</v>
      </c>
      <c r="AK292" t="s">
        <v>949</v>
      </c>
      <c r="AL292" t="s">
        <v>274</v>
      </c>
      <c r="AT292">
        <v>1</v>
      </c>
      <c r="AU292">
        <v>2</v>
      </c>
      <c r="AV292" t="s">
        <v>273</v>
      </c>
      <c r="AY292" t="s">
        <v>273</v>
      </c>
      <c r="BB292">
        <v>0</v>
      </c>
      <c r="BC292">
        <v>0</v>
      </c>
      <c r="BD292">
        <v>0</v>
      </c>
      <c r="BE292">
        <v>0</v>
      </c>
      <c r="BF292" t="s">
        <v>1063</v>
      </c>
      <c r="BG292" t="s">
        <v>2625</v>
      </c>
      <c r="BH292">
        <v>42</v>
      </c>
      <c r="BI292" t="s">
        <v>2774</v>
      </c>
      <c r="BK292">
        <v>1874760</v>
      </c>
    </row>
    <row r="293" spans="1:63">
      <c r="A293" s="1">
        <f>HYPERLINK("https://lsnyc.legalserver.org/matter/dynamic-profile/view/1873233","18-1873233")</f>
        <v>0</v>
      </c>
      <c r="B293" t="s">
        <v>1504</v>
      </c>
      <c r="C293" t="s">
        <v>1640</v>
      </c>
      <c r="D293" t="s">
        <v>253</v>
      </c>
      <c r="E293" t="s">
        <v>1648</v>
      </c>
      <c r="F293" t="s">
        <v>273</v>
      </c>
      <c r="G293" t="s">
        <v>275</v>
      </c>
      <c r="H293">
        <v>196.84</v>
      </c>
      <c r="I293" t="s">
        <v>274</v>
      </c>
      <c r="K293" t="s">
        <v>1737</v>
      </c>
      <c r="P293" t="s">
        <v>496</v>
      </c>
      <c r="Q293" t="s">
        <v>501</v>
      </c>
      <c r="S293" t="s">
        <v>503</v>
      </c>
      <c r="T293" t="s">
        <v>508</v>
      </c>
      <c r="U293" t="s">
        <v>511</v>
      </c>
      <c r="V293">
        <v>11372</v>
      </c>
      <c r="W293" t="s">
        <v>541</v>
      </c>
      <c r="X293" t="s">
        <v>548</v>
      </c>
      <c r="Y293" t="s">
        <v>274</v>
      </c>
      <c r="Z293" t="s">
        <v>1885</v>
      </c>
      <c r="AA293" t="s">
        <v>2191</v>
      </c>
      <c r="AB293" t="s">
        <v>902</v>
      </c>
      <c r="AC293" t="s">
        <v>910</v>
      </c>
      <c r="AF293" t="s">
        <v>923</v>
      </c>
      <c r="AI293">
        <v>10.92</v>
      </c>
      <c r="AK293" t="s">
        <v>933</v>
      </c>
      <c r="AL293" t="s">
        <v>274</v>
      </c>
      <c r="AM293" t="s">
        <v>973</v>
      </c>
      <c r="AN293" t="s">
        <v>2393</v>
      </c>
      <c r="AT293">
        <v>0</v>
      </c>
      <c r="AU293">
        <v>2</v>
      </c>
      <c r="AV293" t="s">
        <v>273</v>
      </c>
      <c r="AY293" t="s">
        <v>273</v>
      </c>
      <c r="BB293">
        <v>0</v>
      </c>
      <c r="BC293">
        <v>0</v>
      </c>
      <c r="BD293">
        <v>0</v>
      </c>
      <c r="BE293">
        <v>0</v>
      </c>
      <c r="BF293" t="s">
        <v>1063</v>
      </c>
      <c r="BG293" t="s">
        <v>2585</v>
      </c>
      <c r="BH293">
        <v>42</v>
      </c>
      <c r="BI293" t="s">
        <v>2775</v>
      </c>
      <c r="BK293">
        <v>769072</v>
      </c>
    </row>
    <row r="294" spans="1:63">
      <c r="A294" s="1">
        <f>HYPERLINK("https://lsnyc.legalserver.org/matter/dynamic-profile/view/1872591","18-1872591")</f>
        <v>0</v>
      </c>
      <c r="B294" t="s">
        <v>1547</v>
      </c>
      <c r="C294" t="s">
        <v>1640</v>
      </c>
      <c r="D294" t="s">
        <v>253</v>
      </c>
      <c r="E294" t="s">
        <v>1650</v>
      </c>
      <c r="F294" t="s">
        <v>273</v>
      </c>
      <c r="G294" t="s">
        <v>275</v>
      </c>
      <c r="H294">
        <v>4.94</v>
      </c>
      <c r="I294" t="s">
        <v>274</v>
      </c>
      <c r="K294" t="s">
        <v>389</v>
      </c>
      <c r="M294" t="s">
        <v>472</v>
      </c>
      <c r="N294" t="s">
        <v>1673</v>
      </c>
      <c r="O294" t="s">
        <v>274</v>
      </c>
      <c r="Q294" t="s">
        <v>501</v>
      </c>
      <c r="S294" t="s">
        <v>503</v>
      </c>
      <c r="T294" t="s">
        <v>508</v>
      </c>
      <c r="U294" t="s">
        <v>511</v>
      </c>
      <c r="V294">
        <v>11372</v>
      </c>
      <c r="W294" t="s">
        <v>517</v>
      </c>
      <c r="X294" t="s">
        <v>549</v>
      </c>
      <c r="Y294" t="s">
        <v>275</v>
      </c>
      <c r="Z294" t="s">
        <v>2022</v>
      </c>
      <c r="AA294" t="s">
        <v>1953</v>
      </c>
      <c r="AB294" t="s">
        <v>902</v>
      </c>
      <c r="AC294" t="s">
        <v>904</v>
      </c>
      <c r="AF294" t="s">
        <v>923</v>
      </c>
      <c r="AI294">
        <v>6.19</v>
      </c>
      <c r="AJ294" t="s">
        <v>558</v>
      </c>
      <c r="AK294" t="s">
        <v>950</v>
      </c>
      <c r="AL294" t="s">
        <v>274</v>
      </c>
      <c r="AM294" t="s">
        <v>973</v>
      </c>
      <c r="AN294" t="s">
        <v>1673</v>
      </c>
      <c r="AT294">
        <v>0</v>
      </c>
      <c r="AU294">
        <v>1</v>
      </c>
      <c r="AV294" t="s">
        <v>273</v>
      </c>
      <c r="AY294" t="s">
        <v>273</v>
      </c>
      <c r="BB294">
        <v>0</v>
      </c>
      <c r="BC294">
        <v>0</v>
      </c>
      <c r="BD294">
        <v>0</v>
      </c>
      <c r="BE294">
        <v>0</v>
      </c>
      <c r="BF294" t="s">
        <v>1063</v>
      </c>
      <c r="BG294" t="s">
        <v>2626</v>
      </c>
      <c r="BH294">
        <v>19</v>
      </c>
      <c r="BI294" t="s">
        <v>2776</v>
      </c>
      <c r="BK294">
        <v>1873193</v>
      </c>
    </row>
    <row r="295" spans="1:63">
      <c r="A295" s="1">
        <f>HYPERLINK("https://lsnyc.legalserver.org/matter/dynamic-profile/view/1873080","18-1873080")</f>
        <v>0</v>
      </c>
      <c r="B295" t="s">
        <v>1548</v>
      </c>
      <c r="C295" t="s">
        <v>1640</v>
      </c>
      <c r="D295" t="s">
        <v>253</v>
      </c>
      <c r="E295" t="s">
        <v>1650</v>
      </c>
      <c r="F295" t="s">
        <v>273</v>
      </c>
      <c r="G295" t="s">
        <v>275</v>
      </c>
      <c r="H295">
        <v>176.54</v>
      </c>
      <c r="I295" t="s">
        <v>274</v>
      </c>
      <c r="K295" t="s">
        <v>389</v>
      </c>
      <c r="P295" t="s">
        <v>495</v>
      </c>
      <c r="Q295" t="s">
        <v>501</v>
      </c>
      <c r="S295" t="s">
        <v>503</v>
      </c>
      <c r="T295" t="s">
        <v>507</v>
      </c>
      <c r="U295" t="s">
        <v>511</v>
      </c>
      <c r="V295">
        <v>11432</v>
      </c>
      <c r="W295" t="s">
        <v>525</v>
      </c>
      <c r="X295" t="s">
        <v>548</v>
      </c>
      <c r="Y295" t="s">
        <v>275</v>
      </c>
      <c r="Z295" t="s">
        <v>613</v>
      </c>
      <c r="AA295" t="s">
        <v>2284</v>
      </c>
      <c r="AB295" t="s">
        <v>902</v>
      </c>
      <c r="AC295" t="s">
        <v>904</v>
      </c>
      <c r="AF295" t="s">
        <v>923</v>
      </c>
      <c r="AI295">
        <v>4.55</v>
      </c>
      <c r="AJ295" t="s">
        <v>558</v>
      </c>
      <c r="AK295" t="s">
        <v>941</v>
      </c>
      <c r="AL295" t="s">
        <v>274</v>
      </c>
      <c r="AT295">
        <v>0</v>
      </c>
      <c r="AU295">
        <v>1</v>
      </c>
      <c r="AV295" t="s">
        <v>273</v>
      </c>
      <c r="AY295" t="s">
        <v>273</v>
      </c>
      <c r="BB295">
        <v>0</v>
      </c>
      <c r="BC295">
        <v>0</v>
      </c>
      <c r="BD295">
        <v>0</v>
      </c>
      <c r="BE295">
        <v>0</v>
      </c>
      <c r="BF295" t="s">
        <v>1063</v>
      </c>
      <c r="BG295" t="s">
        <v>2627</v>
      </c>
      <c r="BH295">
        <v>69</v>
      </c>
      <c r="BI295" t="s">
        <v>2777</v>
      </c>
      <c r="BK295">
        <v>1871596</v>
      </c>
    </row>
    <row r="296" spans="1:63">
      <c r="A296" s="1">
        <f>HYPERLINK("https://lsnyc.legalserver.org/matter/dynamic-profile/view/1873110","18-1873110")</f>
        <v>0</v>
      </c>
      <c r="B296" t="s">
        <v>1549</v>
      </c>
      <c r="C296" t="s">
        <v>1640</v>
      </c>
      <c r="D296" t="s">
        <v>253</v>
      </c>
      <c r="E296" t="s">
        <v>1647</v>
      </c>
      <c r="F296" t="s">
        <v>273</v>
      </c>
      <c r="G296" t="s">
        <v>275</v>
      </c>
      <c r="H296">
        <v>0</v>
      </c>
      <c r="I296" t="s">
        <v>274</v>
      </c>
      <c r="K296" t="s">
        <v>389</v>
      </c>
      <c r="P296" t="s">
        <v>492</v>
      </c>
      <c r="Q296" t="s">
        <v>501</v>
      </c>
      <c r="S296" t="s">
        <v>503</v>
      </c>
      <c r="T296" t="s">
        <v>508</v>
      </c>
      <c r="U296" t="s">
        <v>511</v>
      </c>
      <c r="V296">
        <v>11433</v>
      </c>
      <c r="W296" t="s">
        <v>519</v>
      </c>
      <c r="X296" t="s">
        <v>548</v>
      </c>
      <c r="Y296" t="s">
        <v>275</v>
      </c>
      <c r="Z296" t="s">
        <v>2023</v>
      </c>
      <c r="AA296" t="s">
        <v>2285</v>
      </c>
      <c r="AB296" t="s">
        <v>902</v>
      </c>
      <c r="AC296" t="s">
        <v>910</v>
      </c>
      <c r="AF296" t="s">
        <v>926</v>
      </c>
      <c r="AI296">
        <v>21.75</v>
      </c>
      <c r="AJ296" t="s">
        <v>558</v>
      </c>
      <c r="AK296" t="s">
        <v>934</v>
      </c>
      <c r="AL296" t="s">
        <v>274</v>
      </c>
      <c r="AT296">
        <v>1</v>
      </c>
      <c r="AU296">
        <v>1</v>
      </c>
      <c r="AV296" t="s">
        <v>273</v>
      </c>
      <c r="AY296" t="s">
        <v>273</v>
      </c>
      <c r="BB296">
        <v>0</v>
      </c>
      <c r="BC296">
        <v>0</v>
      </c>
      <c r="BD296">
        <v>0</v>
      </c>
      <c r="BE296">
        <v>0</v>
      </c>
      <c r="BF296" t="s">
        <v>1063</v>
      </c>
      <c r="BG296" t="s">
        <v>2628</v>
      </c>
      <c r="BH296">
        <v>14</v>
      </c>
      <c r="BI296" t="s">
        <v>1247</v>
      </c>
      <c r="BK296">
        <v>1873712</v>
      </c>
    </row>
    <row r="297" spans="1:63">
      <c r="A297" s="1">
        <f>HYPERLINK("https://lsnyc.legalserver.org/matter/dynamic-profile/view/1872951","18-1872951")</f>
        <v>0</v>
      </c>
      <c r="B297" t="s">
        <v>1550</v>
      </c>
      <c r="C297" t="s">
        <v>1640</v>
      </c>
      <c r="D297" t="s">
        <v>253</v>
      </c>
      <c r="E297" t="s">
        <v>1646</v>
      </c>
      <c r="F297" t="s">
        <v>275</v>
      </c>
      <c r="G297" t="s">
        <v>275</v>
      </c>
      <c r="H297">
        <v>70.06999999999999</v>
      </c>
      <c r="I297" t="s">
        <v>274</v>
      </c>
      <c r="K297" t="s">
        <v>390</v>
      </c>
      <c r="L297" t="s">
        <v>1663</v>
      </c>
      <c r="M297" t="s">
        <v>475</v>
      </c>
      <c r="N297" t="s">
        <v>447</v>
      </c>
      <c r="O297" t="s">
        <v>275</v>
      </c>
      <c r="P297" t="s">
        <v>493</v>
      </c>
      <c r="Q297" t="s">
        <v>501</v>
      </c>
      <c r="S297" t="s">
        <v>503</v>
      </c>
      <c r="T297" t="s">
        <v>508</v>
      </c>
      <c r="U297" t="s">
        <v>511</v>
      </c>
      <c r="V297">
        <v>11369</v>
      </c>
      <c r="W297" t="s">
        <v>524</v>
      </c>
      <c r="X297" t="s">
        <v>548</v>
      </c>
      <c r="Y297" t="s">
        <v>275</v>
      </c>
      <c r="Z297" t="s">
        <v>2024</v>
      </c>
      <c r="AA297" t="s">
        <v>2286</v>
      </c>
      <c r="AB297" t="s">
        <v>902</v>
      </c>
      <c r="AC297" t="s">
        <v>906</v>
      </c>
      <c r="AD297" t="s">
        <v>275</v>
      </c>
      <c r="AE297" t="s">
        <v>919</v>
      </c>
      <c r="AF297" t="s">
        <v>923</v>
      </c>
      <c r="AI297">
        <v>32.74</v>
      </c>
      <c r="AJ297" t="s">
        <v>558</v>
      </c>
      <c r="AK297" t="s">
        <v>933</v>
      </c>
      <c r="AL297" t="s">
        <v>274</v>
      </c>
      <c r="AM297" t="s">
        <v>973</v>
      </c>
      <c r="AN297" t="s">
        <v>2394</v>
      </c>
      <c r="AO297" t="s">
        <v>978</v>
      </c>
      <c r="AP297" t="s">
        <v>457</v>
      </c>
      <c r="AQ297" t="s">
        <v>1035</v>
      </c>
      <c r="AR297" t="s">
        <v>1051</v>
      </c>
      <c r="AT297">
        <v>2</v>
      </c>
      <c r="AU297">
        <v>1</v>
      </c>
      <c r="AV297" t="s">
        <v>273</v>
      </c>
      <c r="AY297" t="s">
        <v>273</v>
      </c>
      <c r="BB297">
        <v>0</v>
      </c>
      <c r="BC297">
        <v>0</v>
      </c>
      <c r="BD297">
        <v>0</v>
      </c>
      <c r="BE297">
        <v>0</v>
      </c>
      <c r="BF297" t="s">
        <v>493</v>
      </c>
      <c r="BG297" t="s">
        <v>2629</v>
      </c>
      <c r="BH297">
        <v>41</v>
      </c>
      <c r="BI297" t="s">
        <v>2719</v>
      </c>
      <c r="BK297">
        <v>1873553</v>
      </c>
    </row>
    <row r="298" spans="1:63">
      <c r="A298" s="1">
        <f>HYPERLINK("https://lsnyc.legalserver.org/matter/dynamic-profile/view/1871487","18-1871487")</f>
        <v>0</v>
      </c>
      <c r="B298" t="s">
        <v>1551</v>
      </c>
      <c r="C298" t="s">
        <v>1640</v>
      </c>
      <c r="D298" t="s">
        <v>253</v>
      </c>
      <c r="E298" t="s">
        <v>1650</v>
      </c>
      <c r="F298" t="s">
        <v>273</v>
      </c>
      <c r="G298" t="s">
        <v>275</v>
      </c>
      <c r="H298">
        <v>164.74</v>
      </c>
      <c r="K298" t="s">
        <v>1029</v>
      </c>
      <c r="O298" t="s">
        <v>274</v>
      </c>
      <c r="Q298" t="s">
        <v>501</v>
      </c>
      <c r="S298" t="s">
        <v>503</v>
      </c>
      <c r="T298" t="s">
        <v>507</v>
      </c>
      <c r="U298" t="s">
        <v>511</v>
      </c>
      <c r="V298">
        <v>11432</v>
      </c>
      <c r="W298" t="s">
        <v>517</v>
      </c>
      <c r="X298" t="s">
        <v>549</v>
      </c>
      <c r="Y298" t="s">
        <v>274</v>
      </c>
      <c r="Z298" t="s">
        <v>2025</v>
      </c>
      <c r="AA298" t="s">
        <v>2287</v>
      </c>
      <c r="AB298" t="s">
        <v>902</v>
      </c>
      <c r="AC298" t="s">
        <v>904</v>
      </c>
      <c r="AF298" t="s">
        <v>923</v>
      </c>
      <c r="AI298">
        <v>3.35</v>
      </c>
      <c r="AK298" t="s">
        <v>937</v>
      </c>
      <c r="AL298" t="s">
        <v>275</v>
      </c>
      <c r="AT298">
        <v>0</v>
      </c>
      <c r="AU298">
        <v>1</v>
      </c>
      <c r="AV298" t="s">
        <v>273</v>
      </c>
      <c r="AY298" t="s">
        <v>273</v>
      </c>
      <c r="BB298">
        <v>0</v>
      </c>
      <c r="BC298">
        <v>0</v>
      </c>
      <c r="BD298">
        <v>0</v>
      </c>
      <c r="BE298">
        <v>0</v>
      </c>
      <c r="BF298" t="s">
        <v>1063</v>
      </c>
      <c r="BG298" t="s">
        <v>2630</v>
      </c>
      <c r="BH298">
        <v>21</v>
      </c>
      <c r="BI298" t="s">
        <v>1251</v>
      </c>
      <c r="BK298">
        <v>1872088</v>
      </c>
    </row>
    <row r="299" spans="1:63">
      <c r="A299" s="1">
        <f>HYPERLINK("https://lsnyc.legalserver.org/matter/dynamic-profile/view/1870788","18-1870788")</f>
        <v>0</v>
      </c>
      <c r="B299" t="s">
        <v>1552</v>
      </c>
      <c r="C299" t="s">
        <v>1640</v>
      </c>
      <c r="D299" t="s">
        <v>253</v>
      </c>
      <c r="E299" t="s">
        <v>1650</v>
      </c>
      <c r="F299" t="s">
        <v>273</v>
      </c>
      <c r="G299" t="s">
        <v>275</v>
      </c>
      <c r="H299">
        <v>247.12</v>
      </c>
      <c r="K299" t="s">
        <v>1738</v>
      </c>
      <c r="O299" t="s">
        <v>274</v>
      </c>
      <c r="P299" t="s">
        <v>495</v>
      </c>
      <c r="Q299" t="s">
        <v>501</v>
      </c>
      <c r="S299" t="s">
        <v>503</v>
      </c>
      <c r="T299" t="s">
        <v>508</v>
      </c>
      <c r="U299" t="s">
        <v>511</v>
      </c>
      <c r="V299">
        <v>11418</v>
      </c>
      <c r="W299" t="s">
        <v>517</v>
      </c>
      <c r="X299" t="s">
        <v>549</v>
      </c>
      <c r="Z299" t="s">
        <v>2026</v>
      </c>
      <c r="AA299" t="s">
        <v>2288</v>
      </c>
      <c r="AB299" t="s">
        <v>902</v>
      </c>
      <c r="AC299" t="s">
        <v>904</v>
      </c>
      <c r="AF299" t="s">
        <v>928</v>
      </c>
      <c r="AI299">
        <v>3.25</v>
      </c>
      <c r="AJ299" t="s">
        <v>558</v>
      </c>
      <c r="AK299" t="s">
        <v>2369</v>
      </c>
      <c r="AT299">
        <v>0</v>
      </c>
      <c r="AU299">
        <v>1</v>
      </c>
      <c r="AV299" t="s">
        <v>273</v>
      </c>
      <c r="AY299" t="s">
        <v>273</v>
      </c>
      <c r="BB299">
        <v>0</v>
      </c>
      <c r="BC299">
        <v>0</v>
      </c>
      <c r="BD299">
        <v>0</v>
      </c>
      <c r="BE299">
        <v>0</v>
      </c>
      <c r="BF299" t="s">
        <v>1063</v>
      </c>
      <c r="BG299" t="s">
        <v>2631</v>
      </c>
      <c r="BH299">
        <v>27</v>
      </c>
      <c r="BI299" t="s">
        <v>1272</v>
      </c>
      <c r="BK299">
        <v>1871389</v>
      </c>
    </row>
    <row r="300" spans="1:63">
      <c r="A300" s="1">
        <f>HYPERLINK("https://lsnyc.legalserver.org/matter/dynamic-profile/view/1870854","18-1870854")</f>
        <v>0</v>
      </c>
      <c r="B300" t="s">
        <v>1553</v>
      </c>
      <c r="C300" t="s">
        <v>1640</v>
      </c>
      <c r="D300" t="s">
        <v>253</v>
      </c>
      <c r="E300" t="s">
        <v>1650</v>
      </c>
      <c r="F300" t="s">
        <v>273</v>
      </c>
      <c r="G300" t="s">
        <v>275</v>
      </c>
      <c r="H300">
        <v>150.14</v>
      </c>
      <c r="I300" t="s">
        <v>274</v>
      </c>
      <c r="K300" t="s">
        <v>1738</v>
      </c>
      <c r="O300" t="s">
        <v>274</v>
      </c>
      <c r="P300" t="s">
        <v>498</v>
      </c>
      <c r="Q300" t="s">
        <v>501</v>
      </c>
      <c r="S300" t="s">
        <v>503</v>
      </c>
      <c r="T300" t="s">
        <v>508</v>
      </c>
      <c r="U300" t="s">
        <v>511</v>
      </c>
      <c r="V300">
        <v>11435</v>
      </c>
      <c r="W300" t="s">
        <v>517</v>
      </c>
      <c r="X300" t="s">
        <v>549</v>
      </c>
      <c r="Y300" t="s">
        <v>275</v>
      </c>
      <c r="Z300" t="s">
        <v>2027</v>
      </c>
      <c r="AA300" t="s">
        <v>2289</v>
      </c>
      <c r="AB300" t="s">
        <v>902</v>
      </c>
      <c r="AC300" t="s">
        <v>904</v>
      </c>
      <c r="AF300" t="s">
        <v>923</v>
      </c>
      <c r="AI300">
        <v>7.7</v>
      </c>
      <c r="AJ300" t="s">
        <v>558</v>
      </c>
      <c r="AK300" t="s">
        <v>952</v>
      </c>
      <c r="AL300" t="s">
        <v>274</v>
      </c>
      <c r="AT300">
        <v>1</v>
      </c>
      <c r="AU300">
        <v>2</v>
      </c>
      <c r="AV300" t="s">
        <v>273</v>
      </c>
      <c r="AY300" t="s">
        <v>273</v>
      </c>
      <c r="BB300">
        <v>0</v>
      </c>
      <c r="BC300">
        <v>0</v>
      </c>
      <c r="BD300">
        <v>0</v>
      </c>
      <c r="BE300">
        <v>0</v>
      </c>
      <c r="BF300" t="s">
        <v>1063</v>
      </c>
      <c r="BG300" t="s">
        <v>2632</v>
      </c>
      <c r="BH300">
        <v>27</v>
      </c>
      <c r="BI300" t="s">
        <v>1254</v>
      </c>
      <c r="BK300">
        <v>1871455</v>
      </c>
    </row>
    <row r="301" spans="1:63">
      <c r="A301" s="1">
        <f>HYPERLINK("https://lsnyc.legalserver.org/matter/dynamic-profile/view/1870355","18-1870355")</f>
        <v>0</v>
      </c>
      <c r="B301" t="s">
        <v>1554</v>
      </c>
      <c r="C301" t="s">
        <v>1640</v>
      </c>
      <c r="D301" t="s">
        <v>253</v>
      </c>
      <c r="E301" t="s">
        <v>1650</v>
      </c>
      <c r="F301" t="s">
        <v>273</v>
      </c>
      <c r="G301" t="s">
        <v>275</v>
      </c>
      <c r="H301">
        <v>351.11</v>
      </c>
      <c r="K301" t="s">
        <v>1739</v>
      </c>
      <c r="O301" t="s">
        <v>275</v>
      </c>
      <c r="P301" t="s">
        <v>499</v>
      </c>
      <c r="Q301" t="s">
        <v>501</v>
      </c>
      <c r="S301" t="s">
        <v>503</v>
      </c>
      <c r="T301" t="s">
        <v>507</v>
      </c>
      <c r="U301" t="s">
        <v>511</v>
      </c>
      <c r="V301">
        <v>11375</v>
      </c>
      <c r="W301" t="s">
        <v>523</v>
      </c>
      <c r="X301" t="s">
        <v>549</v>
      </c>
      <c r="Z301" t="s">
        <v>2028</v>
      </c>
      <c r="AA301" t="s">
        <v>2290</v>
      </c>
      <c r="AB301" t="s">
        <v>903</v>
      </c>
      <c r="AF301" t="s">
        <v>928</v>
      </c>
      <c r="AI301">
        <v>4.2</v>
      </c>
      <c r="AJ301" t="s">
        <v>558</v>
      </c>
      <c r="AK301" t="s">
        <v>948</v>
      </c>
      <c r="AT301">
        <v>0</v>
      </c>
      <c r="AU301">
        <v>2</v>
      </c>
      <c r="AV301" t="s">
        <v>273</v>
      </c>
      <c r="AY301" t="s">
        <v>273</v>
      </c>
      <c r="BB301">
        <v>0</v>
      </c>
      <c r="BC301">
        <v>0</v>
      </c>
      <c r="BD301">
        <v>0</v>
      </c>
      <c r="BE301">
        <v>0</v>
      </c>
      <c r="BF301" t="s">
        <v>1063</v>
      </c>
      <c r="BG301" t="s">
        <v>2633</v>
      </c>
      <c r="BH301">
        <v>59</v>
      </c>
      <c r="BI301" t="s">
        <v>2778</v>
      </c>
      <c r="BK301">
        <v>1870955</v>
      </c>
    </row>
    <row r="302" spans="1:63">
      <c r="A302" s="1">
        <f>HYPERLINK("https://lsnyc.legalserver.org/matter/dynamic-profile/view/1869440","18-1869440")</f>
        <v>0</v>
      </c>
      <c r="B302" t="s">
        <v>1555</v>
      </c>
      <c r="C302" t="s">
        <v>1640</v>
      </c>
      <c r="D302" t="s">
        <v>253</v>
      </c>
      <c r="E302" t="s">
        <v>1650</v>
      </c>
      <c r="F302" t="s">
        <v>273</v>
      </c>
      <c r="G302" t="s">
        <v>275</v>
      </c>
      <c r="H302">
        <v>271.26</v>
      </c>
      <c r="I302" t="s">
        <v>274</v>
      </c>
      <c r="K302" t="s">
        <v>1740</v>
      </c>
      <c r="O302" t="s">
        <v>274</v>
      </c>
      <c r="P302" t="s">
        <v>498</v>
      </c>
      <c r="Q302" t="s">
        <v>501</v>
      </c>
      <c r="R302" t="s">
        <v>501</v>
      </c>
      <c r="S302" t="s">
        <v>503</v>
      </c>
      <c r="T302" t="s">
        <v>508</v>
      </c>
      <c r="U302" t="s">
        <v>511</v>
      </c>
      <c r="V302">
        <v>11421</v>
      </c>
      <c r="W302" t="s">
        <v>517</v>
      </c>
      <c r="X302" t="s">
        <v>548</v>
      </c>
      <c r="Y302" t="s">
        <v>275</v>
      </c>
      <c r="Z302" t="s">
        <v>1887</v>
      </c>
      <c r="AA302" t="s">
        <v>2254</v>
      </c>
      <c r="AB302" t="s">
        <v>902</v>
      </c>
      <c r="AC302" t="s">
        <v>904</v>
      </c>
      <c r="AF302" t="s">
        <v>923</v>
      </c>
      <c r="AI302">
        <v>11.45</v>
      </c>
      <c r="AJ302" t="s">
        <v>558</v>
      </c>
      <c r="AK302" t="s">
        <v>938</v>
      </c>
      <c r="AL302" t="s">
        <v>274</v>
      </c>
      <c r="AT302">
        <v>1</v>
      </c>
      <c r="AU302">
        <v>2</v>
      </c>
      <c r="AV302" t="s">
        <v>273</v>
      </c>
      <c r="AY302" t="s">
        <v>273</v>
      </c>
      <c r="BB302">
        <v>0</v>
      </c>
      <c r="BC302">
        <v>0</v>
      </c>
      <c r="BD302">
        <v>0</v>
      </c>
      <c r="BE302">
        <v>0</v>
      </c>
      <c r="BF302" t="s">
        <v>1063</v>
      </c>
      <c r="BG302" t="s">
        <v>2634</v>
      </c>
      <c r="BH302">
        <v>39</v>
      </c>
      <c r="BI302" t="s">
        <v>2779</v>
      </c>
      <c r="BK302">
        <v>1870039</v>
      </c>
    </row>
    <row r="303" spans="1:63">
      <c r="A303" s="1">
        <f>HYPERLINK("https://lsnyc.legalserver.org/matter/dynamic-profile/view/1868875","18-1868875")</f>
        <v>0</v>
      </c>
      <c r="B303" t="s">
        <v>1556</v>
      </c>
      <c r="C303" t="s">
        <v>1640</v>
      </c>
      <c r="D303" t="s">
        <v>257</v>
      </c>
      <c r="E303" t="s">
        <v>1646</v>
      </c>
      <c r="F303" t="s">
        <v>274</v>
      </c>
      <c r="G303" t="s">
        <v>274</v>
      </c>
      <c r="H303">
        <v>160.63</v>
      </c>
      <c r="I303" t="s">
        <v>274</v>
      </c>
      <c r="K303" t="s">
        <v>1741</v>
      </c>
      <c r="L303" t="s">
        <v>481</v>
      </c>
      <c r="O303" t="s">
        <v>274</v>
      </c>
      <c r="P303" t="s">
        <v>493</v>
      </c>
      <c r="Q303" t="s">
        <v>501</v>
      </c>
      <c r="S303" t="s">
        <v>503</v>
      </c>
      <c r="T303" t="s">
        <v>508</v>
      </c>
      <c r="U303" t="s">
        <v>511</v>
      </c>
      <c r="V303">
        <v>10452</v>
      </c>
      <c r="W303" t="s">
        <v>517</v>
      </c>
      <c r="X303" t="s">
        <v>548</v>
      </c>
      <c r="Y303" t="s">
        <v>275</v>
      </c>
      <c r="Z303" t="s">
        <v>2029</v>
      </c>
      <c r="AA303" t="s">
        <v>2291</v>
      </c>
      <c r="AB303" t="s">
        <v>902</v>
      </c>
      <c r="AC303" t="s">
        <v>904</v>
      </c>
      <c r="AD303" t="s">
        <v>275</v>
      </c>
      <c r="AE303" t="s">
        <v>919</v>
      </c>
      <c r="AF303" t="s">
        <v>923</v>
      </c>
      <c r="AI303">
        <v>3.4</v>
      </c>
      <c r="AJ303" t="s">
        <v>558</v>
      </c>
      <c r="AK303" t="s">
        <v>950</v>
      </c>
      <c r="AL303" t="s">
        <v>274</v>
      </c>
      <c r="AQ303" t="s">
        <v>1042</v>
      </c>
      <c r="AR303" t="s">
        <v>1051</v>
      </c>
      <c r="AT303">
        <v>0</v>
      </c>
      <c r="AU303">
        <v>1</v>
      </c>
      <c r="AV303" t="s">
        <v>273</v>
      </c>
      <c r="AY303" t="s">
        <v>273</v>
      </c>
      <c r="BB303">
        <v>0</v>
      </c>
      <c r="BC303">
        <v>0</v>
      </c>
      <c r="BD303">
        <v>0</v>
      </c>
      <c r="BE303">
        <v>0</v>
      </c>
      <c r="BF303" t="s">
        <v>493</v>
      </c>
      <c r="BG303" t="s">
        <v>2635</v>
      </c>
      <c r="BH303">
        <v>22</v>
      </c>
      <c r="BI303" t="s">
        <v>2780</v>
      </c>
      <c r="BK303">
        <v>1869473</v>
      </c>
    </row>
    <row r="304" spans="1:63">
      <c r="A304" s="1">
        <f>HYPERLINK("https://lsnyc.legalserver.org/matter/dynamic-profile/view/1868648","18-1868648")</f>
        <v>0</v>
      </c>
      <c r="B304" t="s">
        <v>1557</v>
      </c>
      <c r="C304" t="s">
        <v>1640</v>
      </c>
      <c r="D304" t="s">
        <v>253</v>
      </c>
      <c r="E304" t="s">
        <v>1650</v>
      </c>
      <c r="F304" t="s">
        <v>273</v>
      </c>
      <c r="G304" t="s">
        <v>275</v>
      </c>
      <c r="H304">
        <v>225.39</v>
      </c>
      <c r="I304" t="s">
        <v>274</v>
      </c>
      <c r="K304" t="s">
        <v>1742</v>
      </c>
      <c r="O304" t="s">
        <v>274</v>
      </c>
      <c r="P304" t="s">
        <v>498</v>
      </c>
      <c r="Q304" t="s">
        <v>501</v>
      </c>
      <c r="S304" t="s">
        <v>503</v>
      </c>
      <c r="T304" t="s">
        <v>508</v>
      </c>
      <c r="U304" t="s">
        <v>511</v>
      </c>
      <c r="V304">
        <v>11354</v>
      </c>
      <c r="W304" t="s">
        <v>517</v>
      </c>
      <c r="X304" t="s">
        <v>548</v>
      </c>
      <c r="Y304" t="s">
        <v>275</v>
      </c>
      <c r="Z304" t="s">
        <v>584</v>
      </c>
      <c r="AA304" t="s">
        <v>2292</v>
      </c>
      <c r="AB304" t="s">
        <v>902</v>
      </c>
      <c r="AC304" t="s">
        <v>904</v>
      </c>
      <c r="AF304" t="s">
        <v>925</v>
      </c>
      <c r="AI304">
        <v>5.6</v>
      </c>
      <c r="AJ304" t="s">
        <v>558</v>
      </c>
      <c r="AK304" t="s">
        <v>947</v>
      </c>
      <c r="AL304" t="s">
        <v>274</v>
      </c>
      <c r="AT304">
        <v>0</v>
      </c>
      <c r="AU304">
        <v>2</v>
      </c>
      <c r="AV304" t="s">
        <v>273</v>
      </c>
      <c r="AY304" t="s">
        <v>273</v>
      </c>
      <c r="BB304">
        <v>0</v>
      </c>
      <c r="BC304">
        <v>0</v>
      </c>
      <c r="BD304">
        <v>0</v>
      </c>
      <c r="BE304">
        <v>0</v>
      </c>
      <c r="BF304" t="s">
        <v>1063</v>
      </c>
      <c r="BG304" t="s">
        <v>2636</v>
      </c>
      <c r="BH304">
        <v>60</v>
      </c>
      <c r="BI304" t="s">
        <v>2781</v>
      </c>
      <c r="BK304">
        <v>1869246</v>
      </c>
    </row>
    <row r="305" spans="1:64">
      <c r="A305" s="1">
        <f>HYPERLINK("https://lsnyc.legalserver.org/matter/dynamic-profile/view/1868135","18-1868135")</f>
        <v>0</v>
      </c>
      <c r="B305" t="s">
        <v>1558</v>
      </c>
      <c r="C305" t="s">
        <v>1640</v>
      </c>
      <c r="D305" t="s">
        <v>253</v>
      </c>
      <c r="E305" t="s">
        <v>1650</v>
      </c>
      <c r="F305" t="s">
        <v>273</v>
      </c>
      <c r="G305" t="s">
        <v>275</v>
      </c>
      <c r="H305">
        <v>150.44</v>
      </c>
      <c r="I305" t="s">
        <v>274</v>
      </c>
      <c r="K305" t="s">
        <v>1743</v>
      </c>
      <c r="P305" t="s">
        <v>492</v>
      </c>
      <c r="Q305" t="s">
        <v>501</v>
      </c>
      <c r="S305" t="s">
        <v>503</v>
      </c>
      <c r="T305" t="s">
        <v>507</v>
      </c>
      <c r="U305" t="s">
        <v>511</v>
      </c>
      <c r="V305">
        <v>11432</v>
      </c>
      <c r="W305" t="s">
        <v>517</v>
      </c>
      <c r="X305" t="s">
        <v>548</v>
      </c>
      <c r="Y305" t="s">
        <v>275</v>
      </c>
      <c r="Z305" t="s">
        <v>2030</v>
      </c>
      <c r="AA305" t="s">
        <v>2293</v>
      </c>
      <c r="AB305" t="s">
        <v>902</v>
      </c>
      <c r="AC305" t="s">
        <v>904</v>
      </c>
      <c r="AF305" t="s">
        <v>923</v>
      </c>
      <c r="AI305">
        <v>7.4</v>
      </c>
      <c r="AJ305" t="s">
        <v>558</v>
      </c>
      <c r="AK305" t="s">
        <v>950</v>
      </c>
      <c r="AL305" t="s">
        <v>274</v>
      </c>
      <c r="AT305">
        <v>0</v>
      </c>
      <c r="AU305">
        <v>1</v>
      </c>
      <c r="AV305" t="s">
        <v>273</v>
      </c>
      <c r="AY305" t="s">
        <v>273</v>
      </c>
      <c r="BB305">
        <v>0</v>
      </c>
      <c r="BC305">
        <v>0</v>
      </c>
      <c r="BD305">
        <v>0</v>
      </c>
      <c r="BE305">
        <v>0</v>
      </c>
      <c r="BF305" t="s">
        <v>1063</v>
      </c>
      <c r="BG305" t="s">
        <v>2637</v>
      </c>
      <c r="BH305">
        <v>59</v>
      </c>
      <c r="BI305" t="s">
        <v>2782</v>
      </c>
      <c r="BK305">
        <v>1868728</v>
      </c>
    </row>
    <row r="306" spans="1:64">
      <c r="A306" s="1">
        <f>HYPERLINK("https://lsnyc.legalserver.org/matter/dynamic-profile/view/1867993","18-1867993")</f>
        <v>0</v>
      </c>
      <c r="B306" t="s">
        <v>1559</v>
      </c>
      <c r="C306" t="s">
        <v>1640</v>
      </c>
      <c r="D306" t="s">
        <v>253</v>
      </c>
      <c r="E306" t="s">
        <v>1650</v>
      </c>
      <c r="F306" t="s">
        <v>273</v>
      </c>
      <c r="G306" t="s">
        <v>275</v>
      </c>
      <c r="H306">
        <v>85.67</v>
      </c>
      <c r="I306" t="s">
        <v>274</v>
      </c>
      <c r="K306" t="s">
        <v>1744</v>
      </c>
      <c r="O306" t="s">
        <v>274</v>
      </c>
      <c r="P306" t="s">
        <v>498</v>
      </c>
      <c r="Q306" t="s">
        <v>501</v>
      </c>
      <c r="S306" t="s">
        <v>503</v>
      </c>
      <c r="T306" t="s">
        <v>508</v>
      </c>
      <c r="U306" t="s">
        <v>511</v>
      </c>
      <c r="V306">
        <v>11435</v>
      </c>
      <c r="W306" t="s">
        <v>517</v>
      </c>
      <c r="X306" t="s">
        <v>548</v>
      </c>
      <c r="Y306" t="s">
        <v>275</v>
      </c>
      <c r="Z306" t="s">
        <v>2031</v>
      </c>
      <c r="AA306" t="s">
        <v>2294</v>
      </c>
      <c r="AB306" t="s">
        <v>902</v>
      </c>
      <c r="AC306" t="s">
        <v>904</v>
      </c>
      <c r="AF306" t="s">
        <v>923</v>
      </c>
      <c r="AI306">
        <v>5.4</v>
      </c>
      <c r="AJ306" t="s">
        <v>558</v>
      </c>
      <c r="AK306" t="s">
        <v>950</v>
      </c>
      <c r="AL306" t="s">
        <v>274</v>
      </c>
      <c r="AT306">
        <v>0</v>
      </c>
      <c r="AU306">
        <v>1</v>
      </c>
      <c r="AV306" t="s">
        <v>273</v>
      </c>
      <c r="AY306" t="s">
        <v>273</v>
      </c>
      <c r="BB306">
        <v>0</v>
      </c>
      <c r="BC306">
        <v>0</v>
      </c>
      <c r="BD306">
        <v>0</v>
      </c>
      <c r="BE306">
        <v>0</v>
      </c>
      <c r="BF306" t="s">
        <v>1063</v>
      </c>
      <c r="BG306" t="s">
        <v>2638</v>
      </c>
      <c r="BH306">
        <v>26</v>
      </c>
      <c r="BI306" t="s">
        <v>1301</v>
      </c>
      <c r="BK306">
        <v>1868586</v>
      </c>
    </row>
    <row r="307" spans="1:64">
      <c r="A307" s="1">
        <f>HYPERLINK("https://lsnyc.legalserver.org/matter/dynamic-profile/view/1867405","18-1867405")</f>
        <v>0</v>
      </c>
      <c r="B307" t="s">
        <v>1560</v>
      </c>
      <c r="C307" t="s">
        <v>1640</v>
      </c>
      <c r="D307" t="s">
        <v>253</v>
      </c>
      <c r="E307" t="s">
        <v>1650</v>
      </c>
      <c r="F307" t="s">
        <v>273</v>
      </c>
      <c r="G307" t="s">
        <v>275</v>
      </c>
      <c r="H307">
        <v>82.73</v>
      </c>
      <c r="I307" t="s">
        <v>274</v>
      </c>
      <c r="K307" t="s">
        <v>1745</v>
      </c>
      <c r="P307" t="s">
        <v>492</v>
      </c>
      <c r="Q307" t="s">
        <v>501</v>
      </c>
      <c r="S307" t="s">
        <v>503</v>
      </c>
      <c r="T307" t="s">
        <v>508</v>
      </c>
      <c r="U307" t="s">
        <v>511</v>
      </c>
      <c r="V307">
        <v>11411</v>
      </c>
      <c r="W307" t="s">
        <v>543</v>
      </c>
      <c r="X307" t="s">
        <v>549</v>
      </c>
      <c r="Y307" t="s">
        <v>275</v>
      </c>
      <c r="Z307" t="s">
        <v>2032</v>
      </c>
      <c r="AA307" t="s">
        <v>2295</v>
      </c>
      <c r="AB307" t="s">
        <v>902</v>
      </c>
      <c r="AC307" t="s">
        <v>904</v>
      </c>
      <c r="AF307" t="s">
        <v>923</v>
      </c>
      <c r="AI307">
        <v>6</v>
      </c>
      <c r="AJ307" t="s">
        <v>558</v>
      </c>
      <c r="AK307" t="s">
        <v>939</v>
      </c>
      <c r="AT307">
        <v>0</v>
      </c>
      <c r="AU307">
        <v>1</v>
      </c>
      <c r="AV307" t="s">
        <v>273</v>
      </c>
      <c r="AY307" t="s">
        <v>273</v>
      </c>
      <c r="BB307">
        <v>0</v>
      </c>
      <c r="BC307">
        <v>0</v>
      </c>
      <c r="BD307">
        <v>0</v>
      </c>
      <c r="BE307">
        <v>0</v>
      </c>
      <c r="BF307" t="s">
        <v>1063</v>
      </c>
      <c r="BG307" t="s">
        <v>2639</v>
      </c>
      <c r="BH307">
        <v>56</v>
      </c>
      <c r="BI307" t="s">
        <v>2783</v>
      </c>
      <c r="BK307">
        <v>1867997</v>
      </c>
    </row>
    <row r="308" spans="1:64">
      <c r="A308" s="1">
        <f>HYPERLINK("https://lsnyc.legalserver.org/matter/dynamic-profile/view/1867096","18-1867096")</f>
        <v>0</v>
      </c>
      <c r="B308" t="s">
        <v>1561</v>
      </c>
      <c r="C308" t="s">
        <v>1640</v>
      </c>
      <c r="D308" t="s">
        <v>253</v>
      </c>
      <c r="E308" t="s">
        <v>1650</v>
      </c>
      <c r="F308" t="s">
        <v>273</v>
      </c>
      <c r="G308" t="s">
        <v>275</v>
      </c>
      <c r="H308">
        <v>187.68</v>
      </c>
      <c r="I308" t="s">
        <v>274</v>
      </c>
      <c r="K308" t="s">
        <v>1746</v>
      </c>
      <c r="M308" t="s">
        <v>475</v>
      </c>
      <c r="N308" t="s">
        <v>458</v>
      </c>
      <c r="P308" t="s">
        <v>492</v>
      </c>
      <c r="Q308" t="s">
        <v>501</v>
      </c>
      <c r="S308" t="s">
        <v>503</v>
      </c>
      <c r="T308" t="s">
        <v>508</v>
      </c>
      <c r="U308" t="s">
        <v>511</v>
      </c>
      <c r="V308">
        <v>11420</v>
      </c>
      <c r="W308" t="s">
        <v>1831</v>
      </c>
      <c r="X308" t="s">
        <v>549</v>
      </c>
      <c r="Y308" t="s">
        <v>275</v>
      </c>
      <c r="Z308" t="s">
        <v>2033</v>
      </c>
      <c r="AA308" t="s">
        <v>2296</v>
      </c>
      <c r="AB308" t="s">
        <v>903</v>
      </c>
      <c r="AF308" t="s">
        <v>923</v>
      </c>
      <c r="AI308">
        <v>8.17</v>
      </c>
      <c r="AJ308" t="s">
        <v>558</v>
      </c>
      <c r="AK308" t="s">
        <v>965</v>
      </c>
      <c r="AL308" t="s">
        <v>274</v>
      </c>
      <c r="AT308">
        <v>1</v>
      </c>
      <c r="AU308">
        <v>2</v>
      </c>
      <c r="AV308" t="s">
        <v>273</v>
      </c>
      <c r="AY308" t="s">
        <v>273</v>
      </c>
      <c r="BB308">
        <v>0</v>
      </c>
      <c r="BC308">
        <v>0</v>
      </c>
      <c r="BD308">
        <v>0</v>
      </c>
      <c r="BE308">
        <v>0</v>
      </c>
      <c r="BF308" t="s">
        <v>1063</v>
      </c>
      <c r="BG308" t="s">
        <v>2640</v>
      </c>
      <c r="BH308">
        <v>47</v>
      </c>
      <c r="BI308" t="s">
        <v>1273</v>
      </c>
      <c r="BK308">
        <v>1867688</v>
      </c>
    </row>
    <row r="309" spans="1:64">
      <c r="A309" s="1">
        <f>HYPERLINK("https://lsnyc.legalserver.org/matter/dynamic-profile/view/1867104","18-1867104")</f>
        <v>0</v>
      </c>
      <c r="B309" t="s">
        <v>1562</v>
      </c>
      <c r="C309" t="s">
        <v>1640</v>
      </c>
      <c r="D309" t="s">
        <v>253</v>
      </c>
      <c r="E309" t="s">
        <v>1650</v>
      </c>
      <c r="F309" t="s">
        <v>273</v>
      </c>
      <c r="G309" t="s">
        <v>275</v>
      </c>
      <c r="H309">
        <v>84.56999999999999</v>
      </c>
      <c r="I309" t="s">
        <v>274</v>
      </c>
      <c r="K309" t="s">
        <v>1746</v>
      </c>
      <c r="P309" t="s">
        <v>492</v>
      </c>
      <c r="Q309" t="s">
        <v>501</v>
      </c>
      <c r="S309" t="s">
        <v>503</v>
      </c>
      <c r="T309" t="s">
        <v>507</v>
      </c>
      <c r="U309" t="s">
        <v>511</v>
      </c>
      <c r="V309">
        <v>11432</v>
      </c>
      <c r="W309" t="s">
        <v>525</v>
      </c>
      <c r="X309" t="s">
        <v>548</v>
      </c>
      <c r="Y309" t="s">
        <v>275</v>
      </c>
      <c r="Z309" t="s">
        <v>2034</v>
      </c>
      <c r="AA309" t="s">
        <v>2297</v>
      </c>
      <c r="AB309" t="s">
        <v>902</v>
      </c>
      <c r="AC309" t="s">
        <v>904</v>
      </c>
      <c r="AF309" t="s">
        <v>923</v>
      </c>
      <c r="AI309">
        <v>4.5</v>
      </c>
      <c r="AJ309" t="s">
        <v>558</v>
      </c>
      <c r="AK309" t="s">
        <v>936</v>
      </c>
      <c r="AL309" t="s">
        <v>274</v>
      </c>
      <c r="AT309">
        <v>0</v>
      </c>
      <c r="AU309">
        <v>2</v>
      </c>
      <c r="AV309" t="s">
        <v>273</v>
      </c>
      <c r="AY309" t="s">
        <v>273</v>
      </c>
      <c r="BB309">
        <v>0</v>
      </c>
      <c r="BC309">
        <v>0</v>
      </c>
      <c r="BD309">
        <v>0</v>
      </c>
      <c r="BE309">
        <v>0</v>
      </c>
      <c r="BF309" t="s">
        <v>1063</v>
      </c>
      <c r="BG309" t="s">
        <v>2641</v>
      </c>
      <c r="BH309">
        <v>70</v>
      </c>
      <c r="BI309" t="s">
        <v>2784</v>
      </c>
      <c r="BK309">
        <v>1867696</v>
      </c>
    </row>
    <row r="310" spans="1:64">
      <c r="A310" s="1">
        <f>HYPERLINK("https://lsnyc.legalserver.org/matter/dynamic-profile/view/1867133","18-1867133")</f>
        <v>0</v>
      </c>
      <c r="B310" t="s">
        <v>1563</v>
      </c>
      <c r="C310" t="s">
        <v>1640</v>
      </c>
      <c r="D310" t="s">
        <v>253</v>
      </c>
      <c r="E310" t="s">
        <v>1650</v>
      </c>
      <c r="F310" t="s">
        <v>273</v>
      </c>
      <c r="G310" t="s">
        <v>275</v>
      </c>
      <c r="H310">
        <v>88.59</v>
      </c>
      <c r="I310" t="s">
        <v>274</v>
      </c>
      <c r="K310" t="s">
        <v>1746</v>
      </c>
      <c r="P310" t="s">
        <v>492</v>
      </c>
      <c r="Q310" t="s">
        <v>501</v>
      </c>
      <c r="S310" t="s">
        <v>503</v>
      </c>
      <c r="T310" t="s">
        <v>508</v>
      </c>
      <c r="U310" t="s">
        <v>511</v>
      </c>
      <c r="V310">
        <v>11372</v>
      </c>
      <c r="W310" t="s">
        <v>525</v>
      </c>
      <c r="Y310" t="s">
        <v>275</v>
      </c>
      <c r="Z310" t="s">
        <v>584</v>
      </c>
      <c r="AA310" t="s">
        <v>2128</v>
      </c>
      <c r="AB310" t="s">
        <v>902</v>
      </c>
      <c r="AC310" t="s">
        <v>904</v>
      </c>
      <c r="AF310" t="s">
        <v>923</v>
      </c>
      <c r="AI310">
        <v>5.7</v>
      </c>
      <c r="AJ310" t="s">
        <v>558</v>
      </c>
      <c r="AK310" t="s">
        <v>950</v>
      </c>
      <c r="AL310" t="s">
        <v>274</v>
      </c>
      <c r="AT310">
        <v>1</v>
      </c>
      <c r="AU310">
        <v>2</v>
      </c>
      <c r="AV310" t="s">
        <v>273</v>
      </c>
      <c r="AY310" t="s">
        <v>273</v>
      </c>
      <c r="BB310">
        <v>0</v>
      </c>
      <c r="BC310">
        <v>0</v>
      </c>
      <c r="BD310">
        <v>0</v>
      </c>
      <c r="BE310">
        <v>0</v>
      </c>
      <c r="BF310" t="s">
        <v>1063</v>
      </c>
      <c r="BG310" t="s">
        <v>2642</v>
      </c>
      <c r="BH310">
        <v>42</v>
      </c>
      <c r="BI310" t="s">
        <v>2785</v>
      </c>
      <c r="BK310">
        <v>1867725</v>
      </c>
    </row>
    <row r="311" spans="1:64">
      <c r="A311" s="1">
        <f>HYPERLINK("https://lsnyc.legalserver.org/matter/dynamic-profile/view/1867028","18-1867028")</f>
        <v>0</v>
      </c>
      <c r="B311" t="s">
        <v>1564</v>
      </c>
      <c r="C311" t="s">
        <v>1640</v>
      </c>
      <c r="D311" t="s">
        <v>255</v>
      </c>
      <c r="E311" t="s">
        <v>1647</v>
      </c>
      <c r="F311" t="s">
        <v>274</v>
      </c>
      <c r="G311" t="s">
        <v>274</v>
      </c>
      <c r="H311">
        <v>95.48999999999999</v>
      </c>
      <c r="I311" t="s">
        <v>274</v>
      </c>
      <c r="K311" t="s">
        <v>1747</v>
      </c>
      <c r="M311" t="s">
        <v>473</v>
      </c>
      <c r="N311" t="s">
        <v>461</v>
      </c>
      <c r="O311" t="s">
        <v>274</v>
      </c>
      <c r="P311" t="s">
        <v>497</v>
      </c>
      <c r="Q311" t="s">
        <v>501</v>
      </c>
      <c r="S311" t="s">
        <v>503</v>
      </c>
      <c r="T311" t="s">
        <v>508</v>
      </c>
      <c r="U311" t="s">
        <v>511</v>
      </c>
      <c r="V311">
        <v>10009</v>
      </c>
      <c r="W311" t="s">
        <v>517</v>
      </c>
      <c r="X311" t="s">
        <v>548</v>
      </c>
      <c r="Y311" t="s">
        <v>275</v>
      </c>
      <c r="Z311" t="s">
        <v>2035</v>
      </c>
      <c r="AA311" t="s">
        <v>2298</v>
      </c>
      <c r="AB311" t="s">
        <v>902</v>
      </c>
      <c r="AC311" t="s">
        <v>904</v>
      </c>
      <c r="AF311" t="s">
        <v>923</v>
      </c>
      <c r="AI311">
        <v>4.1</v>
      </c>
      <c r="AJ311" t="s">
        <v>558</v>
      </c>
      <c r="AK311" t="s">
        <v>947</v>
      </c>
      <c r="AL311" t="s">
        <v>274</v>
      </c>
      <c r="AM311" t="s">
        <v>973</v>
      </c>
      <c r="AN311" t="s">
        <v>484</v>
      </c>
      <c r="AT311">
        <v>0</v>
      </c>
      <c r="AU311">
        <v>1</v>
      </c>
      <c r="AV311" t="s">
        <v>273</v>
      </c>
      <c r="AY311" t="s">
        <v>273</v>
      </c>
      <c r="BB311">
        <v>0</v>
      </c>
      <c r="BC311">
        <v>0</v>
      </c>
      <c r="BD311">
        <v>0</v>
      </c>
      <c r="BE311">
        <v>0</v>
      </c>
      <c r="BF311" t="s">
        <v>1063</v>
      </c>
      <c r="BG311" t="s">
        <v>2643</v>
      </c>
      <c r="BH311">
        <v>64</v>
      </c>
      <c r="BI311" t="s">
        <v>2786</v>
      </c>
      <c r="BK311">
        <v>293448</v>
      </c>
      <c r="BL311" t="s">
        <v>275</v>
      </c>
    </row>
    <row r="312" spans="1:64">
      <c r="A312" s="1">
        <f>HYPERLINK("https://lsnyc.legalserver.org/matter/dynamic-profile/view/1866937","18-1866937")</f>
        <v>0</v>
      </c>
      <c r="B312" t="s">
        <v>1565</v>
      </c>
      <c r="C312" t="s">
        <v>1640</v>
      </c>
      <c r="D312" t="s">
        <v>253</v>
      </c>
      <c r="E312" t="s">
        <v>1648</v>
      </c>
      <c r="F312" t="s">
        <v>275</v>
      </c>
      <c r="G312" t="s">
        <v>275</v>
      </c>
      <c r="H312">
        <v>75.06999999999999</v>
      </c>
      <c r="I312" t="s">
        <v>274</v>
      </c>
      <c r="K312" t="s">
        <v>1748</v>
      </c>
      <c r="L312" t="s">
        <v>1004</v>
      </c>
      <c r="O312" t="s">
        <v>275</v>
      </c>
      <c r="P312" t="s">
        <v>493</v>
      </c>
      <c r="Q312" t="s">
        <v>501</v>
      </c>
      <c r="S312" t="s">
        <v>503</v>
      </c>
      <c r="T312" t="s">
        <v>508</v>
      </c>
      <c r="U312" t="s">
        <v>511</v>
      </c>
      <c r="V312">
        <v>11385</v>
      </c>
      <c r="W312" t="s">
        <v>520</v>
      </c>
      <c r="X312" t="s">
        <v>1839</v>
      </c>
      <c r="Y312" t="s">
        <v>275</v>
      </c>
      <c r="Z312" t="s">
        <v>2036</v>
      </c>
      <c r="AA312" t="s">
        <v>2299</v>
      </c>
      <c r="AB312" t="s">
        <v>902</v>
      </c>
      <c r="AC312" t="s">
        <v>906</v>
      </c>
      <c r="AD312" t="s">
        <v>275</v>
      </c>
      <c r="AE312" t="s">
        <v>919</v>
      </c>
      <c r="AF312" t="s">
        <v>923</v>
      </c>
      <c r="AI312">
        <v>5.99</v>
      </c>
      <c r="AK312" t="s">
        <v>954</v>
      </c>
      <c r="AL312" t="s">
        <v>274</v>
      </c>
      <c r="AM312" t="s">
        <v>978</v>
      </c>
      <c r="AN312" t="s">
        <v>382</v>
      </c>
      <c r="AQ312" t="s">
        <v>1036</v>
      </c>
      <c r="AR312" t="s">
        <v>1051</v>
      </c>
      <c r="AT312">
        <v>1</v>
      </c>
      <c r="AU312">
        <v>2</v>
      </c>
      <c r="AV312" t="s">
        <v>273</v>
      </c>
      <c r="AY312" t="s">
        <v>273</v>
      </c>
      <c r="BB312">
        <v>0</v>
      </c>
      <c r="BC312">
        <v>0</v>
      </c>
      <c r="BD312">
        <v>0</v>
      </c>
      <c r="BE312">
        <v>0</v>
      </c>
      <c r="BF312" t="s">
        <v>493</v>
      </c>
      <c r="BG312" t="s">
        <v>2644</v>
      </c>
      <c r="BH312">
        <v>34</v>
      </c>
      <c r="BI312" t="s">
        <v>1270</v>
      </c>
      <c r="BK312">
        <v>801326</v>
      </c>
    </row>
    <row r="313" spans="1:64">
      <c r="A313" s="1">
        <f>HYPERLINK("https://lsnyc.legalserver.org/matter/dynamic-profile/view/1866637","18-1866637")</f>
        <v>0</v>
      </c>
      <c r="B313" t="s">
        <v>1566</v>
      </c>
      <c r="C313" t="s">
        <v>1640</v>
      </c>
      <c r="D313" t="s">
        <v>253</v>
      </c>
      <c r="E313" t="s">
        <v>1650</v>
      </c>
      <c r="F313" t="s">
        <v>273</v>
      </c>
      <c r="G313" t="s">
        <v>275</v>
      </c>
      <c r="H313">
        <v>0</v>
      </c>
      <c r="I313" t="s">
        <v>274</v>
      </c>
      <c r="K313" t="s">
        <v>1749</v>
      </c>
      <c r="P313" t="s">
        <v>492</v>
      </c>
      <c r="Q313" t="s">
        <v>501</v>
      </c>
      <c r="S313" t="s">
        <v>503</v>
      </c>
      <c r="T313" t="s">
        <v>508</v>
      </c>
      <c r="U313" t="s">
        <v>511</v>
      </c>
      <c r="V313">
        <v>11412</v>
      </c>
      <c r="W313" t="s">
        <v>525</v>
      </c>
      <c r="X313" t="s">
        <v>549</v>
      </c>
      <c r="Y313" t="s">
        <v>275</v>
      </c>
      <c r="Z313" t="s">
        <v>2032</v>
      </c>
      <c r="AA313" t="s">
        <v>2300</v>
      </c>
      <c r="AB313" t="s">
        <v>902</v>
      </c>
      <c r="AC313" t="s">
        <v>904</v>
      </c>
      <c r="AF313" t="s">
        <v>923</v>
      </c>
      <c r="AI313">
        <v>9.1</v>
      </c>
      <c r="AJ313" t="s">
        <v>558</v>
      </c>
      <c r="AK313" t="s">
        <v>939</v>
      </c>
      <c r="AL313" t="s">
        <v>274</v>
      </c>
      <c r="AS313" t="s">
        <v>2407</v>
      </c>
      <c r="AT313">
        <v>0</v>
      </c>
      <c r="AU313">
        <v>1</v>
      </c>
      <c r="AV313" t="s">
        <v>273</v>
      </c>
      <c r="AY313" t="s">
        <v>273</v>
      </c>
      <c r="BB313">
        <v>0</v>
      </c>
      <c r="BC313">
        <v>0</v>
      </c>
      <c r="BD313">
        <v>0</v>
      </c>
      <c r="BE313">
        <v>0</v>
      </c>
      <c r="BF313" t="s">
        <v>1063</v>
      </c>
      <c r="BG313" t="s">
        <v>2645</v>
      </c>
      <c r="BH313">
        <v>53</v>
      </c>
      <c r="BI313" t="s">
        <v>1247</v>
      </c>
      <c r="BK313">
        <v>1867228</v>
      </c>
    </row>
    <row r="314" spans="1:64">
      <c r="A314" s="1">
        <f>HYPERLINK("https://lsnyc.legalserver.org/matter/dynamic-profile/view/1866721","18-1866721")</f>
        <v>0</v>
      </c>
      <c r="B314" t="s">
        <v>1567</v>
      </c>
      <c r="C314" t="s">
        <v>1640</v>
      </c>
      <c r="D314" t="s">
        <v>253</v>
      </c>
      <c r="E314" t="s">
        <v>1650</v>
      </c>
      <c r="F314" t="s">
        <v>273</v>
      </c>
      <c r="G314" t="s">
        <v>275</v>
      </c>
      <c r="H314">
        <v>200.19</v>
      </c>
      <c r="I314" t="s">
        <v>274</v>
      </c>
      <c r="K314" t="s">
        <v>1749</v>
      </c>
      <c r="O314" t="s">
        <v>274</v>
      </c>
      <c r="Q314" t="s">
        <v>501</v>
      </c>
      <c r="S314" t="s">
        <v>503</v>
      </c>
      <c r="T314" t="s">
        <v>507</v>
      </c>
      <c r="U314" t="s">
        <v>511</v>
      </c>
      <c r="V314">
        <v>11426</v>
      </c>
      <c r="W314" t="s">
        <v>517</v>
      </c>
      <c r="X314" t="s">
        <v>548</v>
      </c>
      <c r="Y314" t="s">
        <v>275</v>
      </c>
      <c r="Z314" t="s">
        <v>2037</v>
      </c>
      <c r="AA314" t="s">
        <v>764</v>
      </c>
      <c r="AB314" t="s">
        <v>902</v>
      </c>
      <c r="AC314" t="s">
        <v>904</v>
      </c>
      <c r="AF314" t="s">
        <v>923</v>
      </c>
      <c r="AI314">
        <v>10.82</v>
      </c>
      <c r="AJ314" t="s">
        <v>558</v>
      </c>
      <c r="AK314" t="s">
        <v>933</v>
      </c>
      <c r="AL314" t="s">
        <v>274</v>
      </c>
      <c r="AT314">
        <v>1</v>
      </c>
      <c r="AU314">
        <v>2</v>
      </c>
      <c r="AV314" t="s">
        <v>273</v>
      </c>
      <c r="AY314" t="s">
        <v>273</v>
      </c>
      <c r="BB314">
        <v>0</v>
      </c>
      <c r="BC314">
        <v>0</v>
      </c>
      <c r="BD314">
        <v>0</v>
      </c>
      <c r="BE314">
        <v>0</v>
      </c>
      <c r="BF314" t="s">
        <v>1063</v>
      </c>
      <c r="BG314" t="s">
        <v>2646</v>
      </c>
      <c r="BH314">
        <v>42</v>
      </c>
      <c r="BI314" t="s">
        <v>2721</v>
      </c>
      <c r="BK314">
        <v>1867312</v>
      </c>
    </row>
    <row r="315" spans="1:64">
      <c r="A315" s="1">
        <f>HYPERLINK("https://lsnyc.legalserver.org/matter/dynamic-profile/view/1866610","18-1866610")</f>
        <v>0</v>
      </c>
      <c r="B315" t="s">
        <v>1568</v>
      </c>
      <c r="C315" t="s">
        <v>1640</v>
      </c>
      <c r="D315" t="s">
        <v>253</v>
      </c>
      <c r="E315" t="s">
        <v>1650</v>
      </c>
      <c r="F315" t="s">
        <v>273</v>
      </c>
      <c r="G315" t="s">
        <v>275</v>
      </c>
      <c r="H315">
        <v>178.58</v>
      </c>
      <c r="I315" t="s">
        <v>274</v>
      </c>
      <c r="K315" t="s">
        <v>1009</v>
      </c>
      <c r="O315" t="s">
        <v>274</v>
      </c>
      <c r="P315" t="s">
        <v>498</v>
      </c>
      <c r="Q315" t="s">
        <v>501</v>
      </c>
      <c r="S315" t="s">
        <v>503</v>
      </c>
      <c r="T315" t="s">
        <v>508</v>
      </c>
      <c r="U315" t="s">
        <v>511</v>
      </c>
      <c r="V315">
        <v>11426</v>
      </c>
      <c r="W315" t="s">
        <v>517</v>
      </c>
      <c r="X315" t="s">
        <v>548</v>
      </c>
      <c r="Y315" t="s">
        <v>275</v>
      </c>
      <c r="Z315" t="s">
        <v>2038</v>
      </c>
      <c r="AA315" t="s">
        <v>764</v>
      </c>
      <c r="AB315" t="s">
        <v>902</v>
      </c>
      <c r="AC315" t="s">
        <v>904</v>
      </c>
      <c r="AF315" t="s">
        <v>923</v>
      </c>
      <c r="AI315">
        <v>10.47</v>
      </c>
      <c r="AJ315" t="s">
        <v>558</v>
      </c>
      <c r="AK315" t="s">
        <v>933</v>
      </c>
      <c r="AL315" t="s">
        <v>274</v>
      </c>
      <c r="AT315">
        <v>2</v>
      </c>
      <c r="AU315">
        <v>2</v>
      </c>
      <c r="AV315" t="s">
        <v>273</v>
      </c>
      <c r="AY315" t="s">
        <v>273</v>
      </c>
      <c r="BB315">
        <v>0</v>
      </c>
      <c r="BC315">
        <v>0</v>
      </c>
      <c r="BD315">
        <v>0</v>
      </c>
      <c r="BE315">
        <v>0</v>
      </c>
      <c r="BF315" t="s">
        <v>1063</v>
      </c>
      <c r="BG315" t="s">
        <v>2647</v>
      </c>
      <c r="BH315">
        <v>43</v>
      </c>
      <c r="BI315" t="s">
        <v>2787</v>
      </c>
      <c r="BK315">
        <v>1867201</v>
      </c>
    </row>
    <row r="316" spans="1:64">
      <c r="A316" s="1">
        <f>HYPERLINK("https://lsnyc.legalserver.org/matter/dynamic-profile/view/1866507","18-1866507")</f>
        <v>0</v>
      </c>
      <c r="B316" t="s">
        <v>1569</v>
      </c>
      <c r="C316" t="s">
        <v>1640</v>
      </c>
      <c r="D316" t="s">
        <v>253</v>
      </c>
      <c r="E316" t="s">
        <v>1648</v>
      </c>
      <c r="F316" t="s">
        <v>273</v>
      </c>
      <c r="G316" t="s">
        <v>275</v>
      </c>
      <c r="H316">
        <v>182.26</v>
      </c>
      <c r="I316" t="s">
        <v>274</v>
      </c>
      <c r="K316" t="s">
        <v>1750</v>
      </c>
      <c r="M316" t="s">
        <v>474</v>
      </c>
      <c r="N316" t="s">
        <v>299</v>
      </c>
      <c r="Q316" t="s">
        <v>501</v>
      </c>
      <c r="S316" t="s">
        <v>503</v>
      </c>
      <c r="T316" t="s">
        <v>507</v>
      </c>
      <c r="U316" t="s">
        <v>511</v>
      </c>
      <c r="V316">
        <v>11422</v>
      </c>
      <c r="W316" t="s">
        <v>516</v>
      </c>
      <c r="Y316" t="s">
        <v>275</v>
      </c>
      <c r="Z316" t="s">
        <v>2039</v>
      </c>
      <c r="AA316" t="s">
        <v>2301</v>
      </c>
      <c r="AB316" t="s">
        <v>902</v>
      </c>
      <c r="AC316" t="s">
        <v>904</v>
      </c>
      <c r="AF316" t="s">
        <v>923</v>
      </c>
      <c r="AI316">
        <v>26.07</v>
      </c>
      <c r="AJ316" t="s">
        <v>558</v>
      </c>
      <c r="AK316" t="s">
        <v>2379</v>
      </c>
      <c r="AL316" t="s">
        <v>274</v>
      </c>
      <c r="AM316" t="s">
        <v>973</v>
      </c>
      <c r="AT316">
        <v>0</v>
      </c>
      <c r="AU316">
        <v>2</v>
      </c>
      <c r="AV316" t="s">
        <v>273</v>
      </c>
      <c r="AY316" t="s">
        <v>273</v>
      </c>
      <c r="BB316">
        <v>0</v>
      </c>
      <c r="BC316">
        <v>0</v>
      </c>
      <c r="BD316">
        <v>0</v>
      </c>
      <c r="BE316">
        <v>0</v>
      </c>
      <c r="BF316" t="s">
        <v>1063</v>
      </c>
      <c r="BG316" t="s">
        <v>2648</v>
      </c>
      <c r="BH316">
        <v>33</v>
      </c>
      <c r="BI316" t="s">
        <v>1272</v>
      </c>
      <c r="BK316">
        <v>1865825</v>
      </c>
    </row>
    <row r="317" spans="1:64">
      <c r="A317" s="1">
        <f>HYPERLINK("https://lsnyc.legalserver.org/matter/dynamic-profile/view/1865728","18-1865728")</f>
        <v>0</v>
      </c>
      <c r="B317" t="s">
        <v>1570</v>
      </c>
      <c r="C317" t="s">
        <v>1640</v>
      </c>
      <c r="D317" t="s">
        <v>255</v>
      </c>
      <c r="E317" t="s">
        <v>1646</v>
      </c>
      <c r="F317" t="s">
        <v>274</v>
      </c>
      <c r="G317" t="s">
        <v>275</v>
      </c>
      <c r="H317">
        <v>129.35</v>
      </c>
      <c r="I317" t="s">
        <v>275</v>
      </c>
      <c r="K317" t="s">
        <v>1751</v>
      </c>
      <c r="L317" t="s">
        <v>1658</v>
      </c>
      <c r="O317" t="s">
        <v>275</v>
      </c>
      <c r="P317" t="s">
        <v>493</v>
      </c>
      <c r="Q317" t="s">
        <v>501</v>
      </c>
      <c r="S317" t="s">
        <v>503</v>
      </c>
      <c r="T317" t="s">
        <v>507</v>
      </c>
      <c r="U317" t="s">
        <v>511</v>
      </c>
      <c r="V317">
        <v>10026</v>
      </c>
      <c r="W317" t="s">
        <v>525</v>
      </c>
      <c r="X317" t="s">
        <v>549</v>
      </c>
      <c r="Z317" t="s">
        <v>586</v>
      </c>
      <c r="AA317" t="s">
        <v>2302</v>
      </c>
      <c r="AB317" t="s">
        <v>902</v>
      </c>
      <c r="AC317" t="s">
        <v>904</v>
      </c>
      <c r="AD317" t="s">
        <v>275</v>
      </c>
      <c r="AE317" t="s">
        <v>919</v>
      </c>
      <c r="AF317" t="s">
        <v>923</v>
      </c>
      <c r="AI317">
        <v>0.9</v>
      </c>
      <c r="AK317" t="s">
        <v>939</v>
      </c>
      <c r="AQ317" t="s">
        <v>1038</v>
      </c>
      <c r="AR317" t="s">
        <v>1051</v>
      </c>
      <c r="AT317">
        <v>0</v>
      </c>
      <c r="AU317">
        <v>1</v>
      </c>
      <c r="AV317" t="s">
        <v>273</v>
      </c>
      <c r="AY317" t="s">
        <v>273</v>
      </c>
      <c r="BB317">
        <v>0</v>
      </c>
      <c r="BC317">
        <v>0</v>
      </c>
      <c r="BD317">
        <v>0</v>
      </c>
      <c r="BE317">
        <v>0</v>
      </c>
      <c r="BF317" t="s">
        <v>493</v>
      </c>
      <c r="BG317" t="s">
        <v>2649</v>
      </c>
      <c r="BH317">
        <v>21</v>
      </c>
      <c r="BI317" t="s">
        <v>1270</v>
      </c>
      <c r="BK317">
        <v>1841347</v>
      </c>
    </row>
    <row r="318" spans="1:64">
      <c r="A318" s="1">
        <f>HYPERLINK("https://lsnyc.legalserver.org/matter/dynamic-profile/view/1865680","18-1865680")</f>
        <v>0</v>
      </c>
      <c r="B318" t="s">
        <v>1571</v>
      </c>
      <c r="C318" t="s">
        <v>1640</v>
      </c>
      <c r="D318" t="s">
        <v>252</v>
      </c>
      <c r="E318" t="s">
        <v>1654</v>
      </c>
      <c r="F318" t="s">
        <v>273</v>
      </c>
      <c r="G318" t="s">
        <v>275</v>
      </c>
      <c r="H318">
        <v>85.67</v>
      </c>
      <c r="K318" t="s">
        <v>1751</v>
      </c>
      <c r="M318" t="s">
        <v>474</v>
      </c>
      <c r="N318" t="s">
        <v>1666</v>
      </c>
      <c r="Q318" t="s">
        <v>501</v>
      </c>
      <c r="S318" t="s">
        <v>503</v>
      </c>
      <c r="T318" t="s">
        <v>508</v>
      </c>
      <c r="U318" t="s">
        <v>511</v>
      </c>
      <c r="V318">
        <v>11219</v>
      </c>
      <c r="W318" t="s">
        <v>521</v>
      </c>
      <c r="Z318" t="s">
        <v>2040</v>
      </c>
      <c r="AA318" t="s">
        <v>2303</v>
      </c>
      <c r="AB318" t="s">
        <v>902</v>
      </c>
      <c r="AC318" t="s">
        <v>905</v>
      </c>
      <c r="AF318" t="s">
        <v>926</v>
      </c>
      <c r="AI318">
        <v>152.05</v>
      </c>
      <c r="AK318" t="s">
        <v>2380</v>
      </c>
      <c r="AT318">
        <v>0</v>
      </c>
      <c r="AU318">
        <v>1</v>
      </c>
      <c r="AV318" t="s">
        <v>273</v>
      </c>
      <c r="AY318" t="s">
        <v>273</v>
      </c>
      <c r="BB318">
        <v>0</v>
      </c>
      <c r="BC318">
        <v>0</v>
      </c>
      <c r="BD318">
        <v>0</v>
      </c>
      <c r="BE318">
        <v>0</v>
      </c>
      <c r="BF318" t="s">
        <v>1063</v>
      </c>
      <c r="BG318" t="s">
        <v>2650</v>
      </c>
      <c r="BH318">
        <v>36</v>
      </c>
      <c r="BI318" t="s">
        <v>1301</v>
      </c>
      <c r="BK318">
        <v>1866267</v>
      </c>
    </row>
    <row r="319" spans="1:64">
      <c r="A319" s="1">
        <f>HYPERLINK("https://lsnyc.legalserver.org/matter/dynamic-profile/view/1865747","18-1865747")</f>
        <v>0</v>
      </c>
      <c r="B319" t="s">
        <v>1572</v>
      </c>
      <c r="C319" t="s">
        <v>1640</v>
      </c>
      <c r="D319" t="s">
        <v>253</v>
      </c>
      <c r="E319" t="s">
        <v>1647</v>
      </c>
      <c r="F319" t="s">
        <v>273</v>
      </c>
      <c r="G319" t="s">
        <v>275</v>
      </c>
      <c r="H319">
        <v>0</v>
      </c>
      <c r="I319" t="s">
        <v>274</v>
      </c>
      <c r="K319" t="s">
        <v>1751</v>
      </c>
      <c r="M319" t="s">
        <v>472</v>
      </c>
      <c r="N319" t="s">
        <v>1673</v>
      </c>
      <c r="P319" t="s">
        <v>496</v>
      </c>
      <c r="Q319" t="s">
        <v>501</v>
      </c>
      <c r="S319" t="s">
        <v>503</v>
      </c>
      <c r="T319" t="s">
        <v>508</v>
      </c>
      <c r="U319" t="s">
        <v>511</v>
      </c>
      <c r="V319">
        <v>11435</v>
      </c>
      <c r="W319" t="s">
        <v>524</v>
      </c>
      <c r="X319" t="s">
        <v>548</v>
      </c>
      <c r="Y319" t="s">
        <v>275</v>
      </c>
      <c r="Z319" t="s">
        <v>2041</v>
      </c>
      <c r="AA319" t="s">
        <v>2304</v>
      </c>
      <c r="AB319" t="s">
        <v>902</v>
      </c>
      <c r="AC319" t="s">
        <v>910</v>
      </c>
      <c r="AF319" t="s">
        <v>923</v>
      </c>
      <c r="AI319">
        <v>4.03</v>
      </c>
      <c r="AJ319" t="s">
        <v>558</v>
      </c>
      <c r="AK319" t="s">
        <v>936</v>
      </c>
      <c r="AL319" t="s">
        <v>274</v>
      </c>
      <c r="AM319" t="s">
        <v>973</v>
      </c>
      <c r="AT319">
        <v>2</v>
      </c>
      <c r="AU319">
        <v>3</v>
      </c>
      <c r="AV319" t="s">
        <v>273</v>
      </c>
      <c r="AY319" t="s">
        <v>273</v>
      </c>
      <c r="BB319">
        <v>0</v>
      </c>
      <c r="BC319">
        <v>0</v>
      </c>
      <c r="BD319">
        <v>0</v>
      </c>
      <c r="BE319">
        <v>0</v>
      </c>
      <c r="BF319" t="s">
        <v>1063</v>
      </c>
      <c r="BG319" t="s">
        <v>2651</v>
      </c>
      <c r="BH319">
        <v>4</v>
      </c>
      <c r="BI319" t="s">
        <v>1247</v>
      </c>
      <c r="BK319">
        <v>786648</v>
      </c>
      <c r="BL319" t="s">
        <v>274</v>
      </c>
    </row>
    <row r="320" spans="1:64">
      <c r="A320" s="1">
        <f>HYPERLINK("https://lsnyc.legalserver.org/matter/dynamic-profile/view/1865504","18-1865504")</f>
        <v>0</v>
      </c>
      <c r="B320" t="s">
        <v>1573</v>
      </c>
      <c r="C320" t="s">
        <v>1640</v>
      </c>
      <c r="D320" t="s">
        <v>253</v>
      </c>
      <c r="E320" t="s">
        <v>1650</v>
      </c>
      <c r="F320" t="s">
        <v>273</v>
      </c>
      <c r="G320" t="s">
        <v>275</v>
      </c>
      <c r="H320">
        <v>188.34</v>
      </c>
      <c r="I320" t="s">
        <v>274</v>
      </c>
      <c r="K320" t="s">
        <v>1752</v>
      </c>
      <c r="P320" t="s">
        <v>495</v>
      </c>
      <c r="Q320" t="s">
        <v>501</v>
      </c>
      <c r="S320" t="s">
        <v>503</v>
      </c>
      <c r="T320" t="s">
        <v>507</v>
      </c>
      <c r="U320" t="s">
        <v>511</v>
      </c>
      <c r="V320">
        <v>11435</v>
      </c>
      <c r="W320" t="s">
        <v>517</v>
      </c>
      <c r="X320" t="s">
        <v>548</v>
      </c>
      <c r="Y320" t="s">
        <v>275</v>
      </c>
      <c r="Z320" t="s">
        <v>613</v>
      </c>
      <c r="AA320" t="s">
        <v>2305</v>
      </c>
      <c r="AB320" t="s">
        <v>902</v>
      </c>
      <c r="AC320" t="s">
        <v>904</v>
      </c>
      <c r="AF320" t="s">
        <v>923</v>
      </c>
      <c r="AI320">
        <v>10.35</v>
      </c>
      <c r="AJ320" t="s">
        <v>558</v>
      </c>
      <c r="AK320" t="s">
        <v>936</v>
      </c>
      <c r="AL320" t="s">
        <v>274</v>
      </c>
      <c r="AT320">
        <v>0</v>
      </c>
      <c r="AU320">
        <v>2</v>
      </c>
      <c r="AV320" t="s">
        <v>273</v>
      </c>
      <c r="AY320" t="s">
        <v>273</v>
      </c>
      <c r="BB320">
        <v>0</v>
      </c>
      <c r="BC320">
        <v>0</v>
      </c>
      <c r="BD320">
        <v>0</v>
      </c>
      <c r="BE320">
        <v>0</v>
      </c>
      <c r="BF320" t="s">
        <v>1063</v>
      </c>
      <c r="BG320" t="s">
        <v>2652</v>
      </c>
      <c r="BH320">
        <v>58</v>
      </c>
      <c r="BI320" t="s">
        <v>2788</v>
      </c>
      <c r="BK320">
        <v>1866091</v>
      </c>
    </row>
    <row r="321" spans="1:64">
      <c r="A321" s="1">
        <f>HYPERLINK("https://lsnyc.legalserver.org/matter/dynamic-profile/view/1865238","18-1865238")</f>
        <v>0</v>
      </c>
      <c r="B321" t="s">
        <v>1569</v>
      </c>
      <c r="C321" t="s">
        <v>1640</v>
      </c>
      <c r="D321" t="s">
        <v>253</v>
      </c>
      <c r="E321" t="s">
        <v>1648</v>
      </c>
      <c r="F321" t="s">
        <v>273</v>
      </c>
      <c r="G321" t="s">
        <v>275</v>
      </c>
      <c r="H321">
        <v>182.26</v>
      </c>
      <c r="I321" t="s">
        <v>274</v>
      </c>
      <c r="K321" t="s">
        <v>1753</v>
      </c>
      <c r="P321" t="s">
        <v>495</v>
      </c>
      <c r="Q321" t="s">
        <v>501</v>
      </c>
      <c r="S321" t="s">
        <v>503</v>
      </c>
      <c r="T321" t="s">
        <v>507</v>
      </c>
      <c r="U321" t="s">
        <v>511</v>
      </c>
      <c r="V321">
        <v>11422</v>
      </c>
      <c r="W321" t="s">
        <v>518</v>
      </c>
      <c r="Y321" t="s">
        <v>275</v>
      </c>
      <c r="Z321" t="s">
        <v>2039</v>
      </c>
      <c r="AA321" t="s">
        <v>2301</v>
      </c>
      <c r="AB321" t="s">
        <v>902</v>
      </c>
      <c r="AC321" t="s">
        <v>909</v>
      </c>
      <c r="AF321" t="s">
        <v>926</v>
      </c>
      <c r="AI321">
        <v>28.87</v>
      </c>
      <c r="AK321" t="s">
        <v>2379</v>
      </c>
      <c r="AL321" t="s">
        <v>274</v>
      </c>
      <c r="AT321">
        <v>0</v>
      </c>
      <c r="AU321">
        <v>2</v>
      </c>
      <c r="AV321" t="s">
        <v>273</v>
      </c>
      <c r="AY321" t="s">
        <v>273</v>
      </c>
      <c r="BB321">
        <v>0</v>
      </c>
      <c r="BC321">
        <v>0</v>
      </c>
      <c r="BD321">
        <v>0</v>
      </c>
      <c r="BE321">
        <v>0</v>
      </c>
      <c r="BF321" t="s">
        <v>1063</v>
      </c>
      <c r="BG321" t="s">
        <v>2648</v>
      </c>
      <c r="BH321">
        <v>33</v>
      </c>
      <c r="BI321" t="s">
        <v>1272</v>
      </c>
      <c r="BK321">
        <v>1865825</v>
      </c>
    </row>
    <row r="322" spans="1:64">
      <c r="A322" s="1">
        <f>HYPERLINK("https://lsnyc.legalserver.org/matter/dynamic-profile/view/1864647","18-1864647")</f>
        <v>0</v>
      </c>
      <c r="B322" t="s">
        <v>1574</v>
      </c>
      <c r="C322" t="s">
        <v>1640</v>
      </c>
      <c r="D322" t="s">
        <v>253</v>
      </c>
      <c r="E322" t="s">
        <v>1643</v>
      </c>
      <c r="F322" t="s">
        <v>273</v>
      </c>
      <c r="G322" t="s">
        <v>275</v>
      </c>
      <c r="H322">
        <v>0</v>
      </c>
      <c r="I322" t="s">
        <v>274</v>
      </c>
      <c r="K322" t="s">
        <v>402</v>
      </c>
      <c r="M322" t="s">
        <v>472</v>
      </c>
      <c r="N322" t="s">
        <v>480</v>
      </c>
      <c r="P322" t="s">
        <v>496</v>
      </c>
      <c r="Q322" t="s">
        <v>501</v>
      </c>
      <c r="S322" t="s">
        <v>503</v>
      </c>
      <c r="T322" t="s">
        <v>508</v>
      </c>
      <c r="U322" t="s">
        <v>511</v>
      </c>
      <c r="V322">
        <v>11434</v>
      </c>
      <c r="W322" t="s">
        <v>524</v>
      </c>
      <c r="X322" t="s">
        <v>549</v>
      </c>
      <c r="Y322" t="s">
        <v>275</v>
      </c>
      <c r="Z322" t="s">
        <v>2042</v>
      </c>
      <c r="AA322" t="s">
        <v>2306</v>
      </c>
      <c r="AB322" t="s">
        <v>902</v>
      </c>
      <c r="AC322" t="s">
        <v>905</v>
      </c>
      <c r="AF322" t="s">
        <v>923</v>
      </c>
      <c r="AI322">
        <v>3.45</v>
      </c>
      <c r="AK322" t="s">
        <v>939</v>
      </c>
      <c r="AT322">
        <v>2</v>
      </c>
      <c r="AU322">
        <v>1</v>
      </c>
      <c r="AV322" t="s">
        <v>273</v>
      </c>
      <c r="AY322" t="s">
        <v>273</v>
      </c>
      <c r="BB322">
        <v>0</v>
      </c>
      <c r="BC322">
        <v>0</v>
      </c>
      <c r="BD322">
        <v>0</v>
      </c>
      <c r="BE322">
        <v>0</v>
      </c>
      <c r="BF322" t="s">
        <v>1063</v>
      </c>
      <c r="BG322" t="s">
        <v>2653</v>
      </c>
      <c r="BH322">
        <v>33</v>
      </c>
      <c r="BI322" t="s">
        <v>1247</v>
      </c>
      <c r="BK322">
        <v>1858313</v>
      </c>
    </row>
    <row r="323" spans="1:64">
      <c r="A323" s="1">
        <f>HYPERLINK("https://lsnyc.legalserver.org/matter/dynamic-profile/view/1863262","18-1863262")</f>
        <v>0</v>
      </c>
      <c r="B323" t="s">
        <v>1575</v>
      </c>
      <c r="C323" t="s">
        <v>1640</v>
      </c>
      <c r="D323" t="s">
        <v>253</v>
      </c>
      <c r="E323" t="s">
        <v>1650</v>
      </c>
      <c r="F323" t="s">
        <v>273</v>
      </c>
      <c r="G323" t="s">
        <v>275</v>
      </c>
      <c r="H323">
        <v>195.79</v>
      </c>
      <c r="K323" t="s">
        <v>1754</v>
      </c>
      <c r="O323" t="s">
        <v>274</v>
      </c>
      <c r="P323" t="s">
        <v>498</v>
      </c>
      <c r="Q323" t="s">
        <v>1815</v>
      </c>
      <c r="R323" t="s">
        <v>501</v>
      </c>
      <c r="S323" t="s">
        <v>503</v>
      </c>
      <c r="T323" t="s">
        <v>507</v>
      </c>
      <c r="U323" t="s">
        <v>511</v>
      </c>
      <c r="V323">
        <v>11423</v>
      </c>
      <c r="W323" t="s">
        <v>517</v>
      </c>
      <c r="X323" t="s">
        <v>549</v>
      </c>
      <c r="Z323" t="s">
        <v>2043</v>
      </c>
      <c r="AA323" t="s">
        <v>2116</v>
      </c>
      <c r="AB323" t="s">
        <v>902</v>
      </c>
      <c r="AC323" t="s">
        <v>904</v>
      </c>
      <c r="AF323" t="s">
        <v>923</v>
      </c>
      <c r="AI323">
        <v>8.050000000000001</v>
      </c>
      <c r="AJ323" t="s">
        <v>558</v>
      </c>
      <c r="AK323" t="s">
        <v>965</v>
      </c>
      <c r="AT323">
        <v>2</v>
      </c>
      <c r="AU323">
        <v>3</v>
      </c>
      <c r="AV323" t="s">
        <v>273</v>
      </c>
      <c r="AY323" t="s">
        <v>273</v>
      </c>
      <c r="BB323">
        <v>0</v>
      </c>
      <c r="BC323">
        <v>0</v>
      </c>
      <c r="BD323">
        <v>0</v>
      </c>
      <c r="BE323">
        <v>0</v>
      </c>
      <c r="BF323" t="s">
        <v>1063</v>
      </c>
      <c r="BG323" t="s">
        <v>2654</v>
      </c>
      <c r="BH323">
        <v>57</v>
      </c>
      <c r="BI323" t="s">
        <v>2789</v>
      </c>
      <c r="BK323">
        <v>1863843</v>
      </c>
    </row>
    <row r="324" spans="1:64">
      <c r="A324" s="1">
        <f>HYPERLINK("https://lsnyc.legalserver.org/matter/dynamic-profile/view/1862880","18-1862880")</f>
        <v>0</v>
      </c>
      <c r="B324" t="s">
        <v>1576</v>
      </c>
      <c r="C324" t="s">
        <v>1640</v>
      </c>
      <c r="D324" t="s">
        <v>253</v>
      </c>
      <c r="E324" t="s">
        <v>1650</v>
      </c>
      <c r="F324" t="s">
        <v>273</v>
      </c>
      <c r="G324" t="s">
        <v>275</v>
      </c>
      <c r="H324">
        <v>7.65</v>
      </c>
      <c r="I324" t="s">
        <v>274</v>
      </c>
      <c r="K324" t="s">
        <v>404</v>
      </c>
      <c r="O324" t="s">
        <v>274</v>
      </c>
      <c r="P324" t="s">
        <v>495</v>
      </c>
      <c r="Q324" t="s">
        <v>501</v>
      </c>
      <c r="S324" t="s">
        <v>503</v>
      </c>
      <c r="T324" t="s">
        <v>508</v>
      </c>
      <c r="U324" t="s">
        <v>511</v>
      </c>
      <c r="V324">
        <v>11419</v>
      </c>
      <c r="W324" t="s">
        <v>517</v>
      </c>
      <c r="Y324" t="s">
        <v>275</v>
      </c>
      <c r="Z324" t="s">
        <v>2044</v>
      </c>
      <c r="AA324" t="s">
        <v>2307</v>
      </c>
      <c r="AB324" t="s">
        <v>902</v>
      </c>
      <c r="AC324" t="s">
        <v>904</v>
      </c>
      <c r="AD324" t="s">
        <v>275</v>
      </c>
      <c r="AF324" t="s">
        <v>923</v>
      </c>
      <c r="AI324">
        <v>8.800000000000001</v>
      </c>
      <c r="AJ324" t="s">
        <v>558</v>
      </c>
      <c r="AK324" t="s">
        <v>965</v>
      </c>
      <c r="AL324" t="s">
        <v>274</v>
      </c>
      <c r="AQ324" t="s">
        <v>1033</v>
      </c>
      <c r="AR324" t="s">
        <v>1051</v>
      </c>
      <c r="AT324">
        <v>1</v>
      </c>
      <c r="AU324">
        <v>1</v>
      </c>
      <c r="AV324" t="s">
        <v>273</v>
      </c>
      <c r="AY324" t="s">
        <v>273</v>
      </c>
      <c r="BB324">
        <v>0</v>
      </c>
      <c r="BC324">
        <v>0</v>
      </c>
      <c r="BD324">
        <v>0</v>
      </c>
      <c r="BE324">
        <v>0</v>
      </c>
      <c r="BF324" t="s">
        <v>1063</v>
      </c>
      <c r="BG324" t="s">
        <v>2655</v>
      </c>
      <c r="BH324">
        <v>28</v>
      </c>
      <c r="BI324" t="s">
        <v>2790</v>
      </c>
      <c r="BK324">
        <v>1848534</v>
      </c>
    </row>
    <row r="325" spans="1:64">
      <c r="A325" s="1">
        <f>HYPERLINK("https://lsnyc.legalserver.org/matter/dynamic-profile/view/1862653","18-1862653")</f>
        <v>0</v>
      </c>
      <c r="B325" t="s">
        <v>1577</v>
      </c>
      <c r="C325" t="s">
        <v>1640</v>
      </c>
      <c r="D325" t="s">
        <v>253</v>
      </c>
      <c r="E325" t="s">
        <v>1646</v>
      </c>
      <c r="F325" t="s">
        <v>274</v>
      </c>
      <c r="G325" t="s">
        <v>274</v>
      </c>
      <c r="H325">
        <v>176.75</v>
      </c>
      <c r="K325" t="s">
        <v>1015</v>
      </c>
      <c r="M325" t="s">
        <v>474</v>
      </c>
      <c r="N325" t="s">
        <v>290</v>
      </c>
      <c r="O325" t="s">
        <v>275</v>
      </c>
      <c r="P325" t="s">
        <v>497</v>
      </c>
      <c r="Q325" t="s">
        <v>501</v>
      </c>
      <c r="S325" t="s">
        <v>503</v>
      </c>
      <c r="T325" t="s">
        <v>507</v>
      </c>
      <c r="U325" t="s">
        <v>511</v>
      </c>
      <c r="V325">
        <v>11385</v>
      </c>
      <c r="W325" t="s">
        <v>532</v>
      </c>
      <c r="X325" t="s">
        <v>548</v>
      </c>
      <c r="Z325" t="s">
        <v>613</v>
      </c>
      <c r="AA325" t="s">
        <v>2308</v>
      </c>
      <c r="AB325" t="s">
        <v>902</v>
      </c>
      <c r="AC325" t="s">
        <v>906</v>
      </c>
      <c r="AF325" t="s">
        <v>923</v>
      </c>
      <c r="AI325">
        <v>11.13</v>
      </c>
      <c r="AK325" t="s">
        <v>949</v>
      </c>
      <c r="AT325">
        <v>3</v>
      </c>
      <c r="AU325">
        <v>2</v>
      </c>
      <c r="AV325" t="s">
        <v>273</v>
      </c>
      <c r="AY325" t="s">
        <v>273</v>
      </c>
      <c r="BB325">
        <v>0</v>
      </c>
      <c r="BC325">
        <v>0</v>
      </c>
      <c r="BD325">
        <v>0</v>
      </c>
      <c r="BE325">
        <v>0</v>
      </c>
      <c r="BF325" t="s">
        <v>1063</v>
      </c>
      <c r="BG325" t="s">
        <v>2656</v>
      </c>
      <c r="BH325">
        <v>49</v>
      </c>
      <c r="BI325" t="s">
        <v>2791</v>
      </c>
      <c r="BK325">
        <v>1863232</v>
      </c>
    </row>
    <row r="326" spans="1:64">
      <c r="A326" s="1">
        <f>HYPERLINK("https://lsnyc.legalserver.org/matter/dynamic-profile/view/1862287","18-1862287")</f>
        <v>0</v>
      </c>
      <c r="B326" t="s">
        <v>1386</v>
      </c>
      <c r="C326" t="s">
        <v>1640</v>
      </c>
      <c r="D326" t="s">
        <v>253</v>
      </c>
      <c r="E326" t="s">
        <v>1647</v>
      </c>
      <c r="F326" t="s">
        <v>273</v>
      </c>
      <c r="G326" t="s">
        <v>275</v>
      </c>
      <c r="H326">
        <v>182.26</v>
      </c>
      <c r="I326" t="s">
        <v>274</v>
      </c>
      <c r="K326" t="s">
        <v>1755</v>
      </c>
      <c r="M326" t="s">
        <v>473</v>
      </c>
      <c r="N326" t="s">
        <v>453</v>
      </c>
      <c r="P326" t="s">
        <v>495</v>
      </c>
      <c r="Q326" t="s">
        <v>501</v>
      </c>
      <c r="S326" t="s">
        <v>503</v>
      </c>
      <c r="T326" t="s">
        <v>507</v>
      </c>
      <c r="U326" t="s">
        <v>511</v>
      </c>
      <c r="V326">
        <v>11104</v>
      </c>
      <c r="W326" t="s">
        <v>525</v>
      </c>
      <c r="X326" t="s">
        <v>1838</v>
      </c>
      <c r="Y326" t="s">
        <v>275</v>
      </c>
      <c r="Z326" t="s">
        <v>1899</v>
      </c>
      <c r="AA326" t="s">
        <v>2147</v>
      </c>
      <c r="AB326" t="s">
        <v>902</v>
      </c>
      <c r="AC326" t="s">
        <v>904</v>
      </c>
      <c r="AF326" t="s">
        <v>923</v>
      </c>
      <c r="AI326">
        <v>21.1</v>
      </c>
      <c r="AJ326" t="s">
        <v>558</v>
      </c>
      <c r="AK326" t="s">
        <v>2366</v>
      </c>
      <c r="AL326" t="s">
        <v>274</v>
      </c>
      <c r="AM326" t="s">
        <v>973</v>
      </c>
      <c r="AN326" t="s">
        <v>2395</v>
      </c>
      <c r="AO326" t="s">
        <v>2403</v>
      </c>
      <c r="AP326" t="s">
        <v>303</v>
      </c>
      <c r="AT326">
        <v>0</v>
      </c>
      <c r="AU326">
        <v>2</v>
      </c>
      <c r="AV326" t="s">
        <v>273</v>
      </c>
      <c r="AY326" t="s">
        <v>273</v>
      </c>
      <c r="BB326">
        <v>0</v>
      </c>
      <c r="BC326">
        <v>0</v>
      </c>
      <c r="BD326">
        <v>0</v>
      </c>
      <c r="BE326">
        <v>0</v>
      </c>
      <c r="BF326" t="s">
        <v>1063</v>
      </c>
      <c r="BG326" t="s">
        <v>2471</v>
      </c>
      <c r="BH326">
        <v>31</v>
      </c>
      <c r="BI326" t="s">
        <v>1272</v>
      </c>
      <c r="BK326">
        <v>788251</v>
      </c>
      <c r="BL326" t="s">
        <v>275</v>
      </c>
    </row>
    <row r="327" spans="1:64">
      <c r="A327" s="1">
        <f>HYPERLINK("https://lsnyc.legalserver.org/matter/dynamic-profile/view/1862050","18-1862050")</f>
        <v>0</v>
      </c>
      <c r="B327" t="s">
        <v>1578</v>
      </c>
      <c r="C327" t="s">
        <v>1640</v>
      </c>
      <c r="D327" t="s">
        <v>253</v>
      </c>
      <c r="E327" t="s">
        <v>1648</v>
      </c>
      <c r="F327" t="s">
        <v>273</v>
      </c>
      <c r="G327" t="s">
        <v>275</v>
      </c>
      <c r="H327">
        <v>0</v>
      </c>
      <c r="I327" t="s">
        <v>274</v>
      </c>
      <c r="K327" t="s">
        <v>1014</v>
      </c>
      <c r="P327" t="s">
        <v>496</v>
      </c>
      <c r="Q327" t="s">
        <v>501</v>
      </c>
      <c r="S327" t="s">
        <v>503</v>
      </c>
      <c r="T327" t="s">
        <v>508</v>
      </c>
      <c r="U327" t="s">
        <v>511</v>
      </c>
      <c r="V327">
        <v>11433</v>
      </c>
      <c r="W327" t="s">
        <v>528</v>
      </c>
      <c r="X327" t="s">
        <v>548</v>
      </c>
      <c r="Y327" t="s">
        <v>275</v>
      </c>
      <c r="Z327" t="s">
        <v>584</v>
      </c>
      <c r="AA327" t="s">
        <v>2309</v>
      </c>
      <c r="AB327" t="s">
        <v>902</v>
      </c>
      <c r="AC327" t="s">
        <v>905</v>
      </c>
      <c r="AF327" t="s">
        <v>923</v>
      </c>
      <c r="AI327">
        <v>6.3</v>
      </c>
      <c r="AK327" t="s">
        <v>934</v>
      </c>
      <c r="AL327" t="s">
        <v>274</v>
      </c>
      <c r="AM327" t="s">
        <v>973</v>
      </c>
      <c r="AN327" t="s">
        <v>368</v>
      </c>
      <c r="AT327">
        <v>1</v>
      </c>
      <c r="AU327">
        <v>1</v>
      </c>
      <c r="AV327" t="s">
        <v>273</v>
      </c>
      <c r="AY327" t="s">
        <v>273</v>
      </c>
      <c r="BB327">
        <v>0</v>
      </c>
      <c r="BC327">
        <v>0</v>
      </c>
      <c r="BD327">
        <v>0</v>
      </c>
      <c r="BE327">
        <v>0</v>
      </c>
      <c r="BF327" t="s">
        <v>1063</v>
      </c>
      <c r="BG327" t="s">
        <v>2657</v>
      </c>
      <c r="BH327">
        <v>37</v>
      </c>
      <c r="BI327" t="s">
        <v>1247</v>
      </c>
      <c r="BK327">
        <v>1849997</v>
      </c>
      <c r="BL327" t="s">
        <v>274</v>
      </c>
    </row>
    <row r="328" spans="1:64">
      <c r="A328" s="1">
        <f>HYPERLINK("https://lsnyc.legalserver.org/matter/dynamic-profile/view/1861605","18-1861605")</f>
        <v>0</v>
      </c>
      <c r="B328" t="s">
        <v>1357</v>
      </c>
      <c r="C328" t="s">
        <v>1640</v>
      </c>
      <c r="D328" t="s">
        <v>253</v>
      </c>
      <c r="E328" t="s">
        <v>1643</v>
      </c>
      <c r="F328" t="s">
        <v>273</v>
      </c>
      <c r="G328" t="s">
        <v>275</v>
      </c>
      <c r="H328">
        <v>68.17</v>
      </c>
      <c r="I328" t="s">
        <v>274</v>
      </c>
      <c r="K328" t="s">
        <v>406</v>
      </c>
      <c r="L328" t="s">
        <v>284</v>
      </c>
      <c r="P328" t="s">
        <v>493</v>
      </c>
      <c r="Q328" t="s">
        <v>501</v>
      </c>
      <c r="S328" t="s">
        <v>506</v>
      </c>
      <c r="T328" t="s">
        <v>508</v>
      </c>
      <c r="U328" t="s">
        <v>1821</v>
      </c>
      <c r="V328">
        <v>11354</v>
      </c>
      <c r="W328" t="s">
        <v>1828</v>
      </c>
      <c r="X328" t="s">
        <v>548</v>
      </c>
      <c r="Y328" t="s">
        <v>275</v>
      </c>
      <c r="Z328" t="s">
        <v>1875</v>
      </c>
      <c r="AA328" t="s">
        <v>2120</v>
      </c>
      <c r="AB328" t="s">
        <v>902</v>
      </c>
      <c r="AC328" t="s">
        <v>914</v>
      </c>
      <c r="AD328" t="s">
        <v>275</v>
      </c>
      <c r="AE328" t="s">
        <v>919</v>
      </c>
      <c r="AF328" t="s">
        <v>924</v>
      </c>
      <c r="AI328">
        <v>20.3</v>
      </c>
      <c r="AJ328" t="s">
        <v>558</v>
      </c>
      <c r="AK328" t="s">
        <v>933</v>
      </c>
      <c r="AL328" t="s">
        <v>274</v>
      </c>
      <c r="AM328" t="s">
        <v>978</v>
      </c>
      <c r="AN328" t="s">
        <v>2396</v>
      </c>
      <c r="AO328" t="s">
        <v>975</v>
      </c>
      <c r="AP328" t="s">
        <v>2396</v>
      </c>
      <c r="AQ328" t="s">
        <v>2404</v>
      </c>
      <c r="AR328" t="s">
        <v>1051</v>
      </c>
      <c r="AT328">
        <v>4</v>
      </c>
      <c r="AU328">
        <v>2</v>
      </c>
      <c r="AV328" t="s">
        <v>273</v>
      </c>
      <c r="AY328" t="s">
        <v>273</v>
      </c>
      <c r="BB328">
        <v>0</v>
      </c>
      <c r="BC328">
        <v>0</v>
      </c>
      <c r="BD328">
        <v>0</v>
      </c>
      <c r="BE328">
        <v>0</v>
      </c>
      <c r="BF328" t="s">
        <v>493</v>
      </c>
      <c r="BG328" t="s">
        <v>2441</v>
      </c>
      <c r="BH328">
        <v>17</v>
      </c>
      <c r="BI328" t="s">
        <v>1310</v>
      </c>
      <c r="BK328">
        <v>793290</v>
      </c>
    </row>
    <row r="329" spans="1:64">
      <c r="A329" s="1">
        <f>HYPERLINK("https://lsnyc.legalserver.org/matter/dynamic-profile/view/1861317","18-1861317")</f>
        <v>0</v>
      </c>
      <c r="B329" t="s">
        <v>1579</v>
      </c>
      <c r="C329" t="s">
        <v>1640</v>
      </c>
      <c r="D329" t="s">
        <v>253</v>
      </c>
      <c r="E329" t="s">
        <v>1647</v>
      </c>
      <c r="F329" t="s">
        <v>275</v>
      </c>
      <c r="G329" t="s">
        <v>275</v>
      </c>
      <c r="H329">
        <v>0</v>
      </c>
      <c r="I329" t="s">
        <v>274</v>
      </c>
      <c r="K329" t="s">
        <v>1756</v>
      </c>
      <c r="L329" t="s">
        <v>446</v>
      </c>
      <c r="O329" t="s">
        <v>275</v>
      </c>
      <c r="P329" t="s">
        <v>493</v>
      </c>
      <c r="Q329" t="s">
        <v>501</v>
      </c>
      <c r="S329" t="s">
        <v>503</v>
      </c>
      <c r="T329" t="s">
        <v>507</v>
      </c>
      <c r="U329" t="s">
        <v>511</v>
      </c>
      <c r="V329">
        <v>11434</v>
      </c>
      <c r="W329" t="s">
        <v>525</v>
      </c>
      <c r="X329" t="s">
        <v>548</v>
      </c>
      <c r="Y329" t="s">
        <v>275</v>
      </c>
      <c r="Z329" t="s">
        <v>2045</v>
      </c>
      <c r="AA329" t="s">
        <v>2310</v>
      </c>
      <c r="AB329" t="s">
        <v>902</v>
      </c>
      <c r="AC329" t="s">
        <v>904</v>
      </c>
      <c r="AD329" t="s">
        <v>275</v>
      </c>
      <c r="AE329" t="s">
        <v>919</v>
      </c>
      <c r="AF329" t="s">
        <v>923</v>
      </c>
      <c r="AI329">
        <v>7.3</v>
      </c>
      <c r="AJ329" t="s">
        <v>558</v>
      </c>
      <c r="AK329" t="s">
        <v>947</v>
      </c>
      <c r="AL329" t="s">
        <v>274</v>
      </c>
      <c r="AM329" t="s">
        <v>978</v>
      </c>
      <c r="AN329" t="s">
        <v>1728</v>
      </c>
      <c r="AQ329" t="s">
        <v>1038</v>
      </c>
      <c r="AR329" t="s">
        <v>1051</v>
      </c>
      <c r="AT329">
        <v>2</v>
      </c>
      <c r="AU329">
        <v>1</v>
      </c>
      <c r="AV329" t="s">
        <v>273</v>
      </c>
      <c r="AY329" t="s">
        <v>273</v>
      </c>
      <c r="BB329">
        <v>0</v>
      </c>
      <c r="BC329">
        <v>0</v>
      </c>
      <c r="BD329">
        <v>0</v>
      </c>
      <c r="BE329">
        <v>0</v>
      </c>
      <c r="BF329" t="s">
        <v>493</v>
      </c>
      <c r="BG329" t="s">
        <v>2658</v>
      </c>
      <c r="BH329">
        <v>10</v>
      </c>
      <c r="BI329" t="s">
        <v>1247</v>
      </c>
      <c r="BK329">
        <v>793316</v>
      </c>
      <c r="BL329" t="s">
        <v>275</v>
      </c>
    </row>
    <row r="330" spans="1:64">
      <c r="A330" s="1">
        <f>HYPERLINK("https://lsnyc.legalserver.org/matter/dynamic-profile/view/1860918","18-1860918")</f>
        <v>0</v>
      </c>
      <c r="B330" t="s">
        <v>1580</v>
      </c>
      <c r="C330" t="s">
        <v>1640</v>
      </c>
      <c r="D330" t="s">
        <v>253</v>
      </c>
      <c r="E330" t="s">
        <v>1650</v>
      </c>
      <c r="F330" t="s">
        <v>273</v>
      </c>
      <c r="G330" t="s">
        <v>275</v>
      </c>
      <c r="H330">
        <v>28.27</v>
      </c>
      <c r="K330" t="s">
        <v>1017</v>
      </c>
      <c r="O330" t="s">
        <v>274</v>
      </c>
      <c r="P330" t="s">
        <v>495</v>
      </c>
      <c r="Q330" t="s">
        <v>501</v>
      </c>
      <c r="S330" t="s">
        <v>503</v>
      </c>
      <c r="T330" t="s">
        <v>507</v>
      </c>
      <c r="U330" t="s">
        <v>511</v>
      </c>
      <c r="V330">
        <v>11434</v>
      </c>
      <c r="W330" t="s">
        <v>517</v>
      </c>
      <c r="X330" t="s">
        <v>548</v>
      </c>
      <c r="Y330" t="s">
        <v>274</v>
      </c>
      <c r="Z330" t="s">
        <v>1875</v>
      </c>
      <c r="AA330" t="s">
        <v>828</v>
      </c>
      <c r="AB330" t="s">
        <v>902</v>
      </c>
      <c r="AC330" t="s">
        <v>904</v>
      </c>
      <c r="AF330" t="s">
        <v>927</v>
      </c>
      <c r="AI330">
        <v>6.81</v>
      </c>
      <c r="AJ330" t="s">
        <v>558</v>
      </c>
      <c r="AK330" t="s">
        <v>950</v>
      </c>
      <c r="AT330">
        <v>0</v>
      </c>
      <c r="AU330">
        <v>1</v>
      </c>
      <c r="AV330" t="s">
        <v>273</v>
      </c>
      <c r="AY330" t="s">
        <v>273</v>
      </c>
      <c r="BB330">
        <v>0</v>
      </c>
      <c r="BC330">
        <v>0</v>
      </c>
      <c r="BD330">
        <v>0</v>
      </c>
      <c r="BE330">
        <v>0</v>
      </c>
      <c r="BF330" t="s">
        <v>1063</v>
      </c>
      <c r="BG330" t="s">
        <v>2659</v>
      </c>
      <c r="BH330">
        <v>51</v>
      </c>
      <c r="BI330" t="s">
        <v>2792</v>
      </c>
      <c r="BK330">
        <v>1861495</v>
      </c>
    </row>
    <row r="331" spans="1:64">
      <c r="A331" s="1">
        <f>HYPERLINK("https://lsnyc.legalserver.org/matter/dynamic-profile/view/1860952","18-1860952")</f>
        <v>0</v>
      </c>
      <c r="B331" t="s">
        <v>1581</v>
      </c>
      <c r="C331" t="s">
        <v>1640</v>
      </c>
      <c r="D331" t="s">
        <v>253</v>
      </c>
      <c r="E331" t="s">
        <v>1646</v>
      </c>
      <c r="F331" t="s">
        <v>273</v>
      </c>
      <c r="G331" t="s">
        <v>275</v>
      </c>
      <c r="H331">
        <v>86.62</v>
      </c>
      <c r="I331" t="s">
        <v>274</v>
      </c>
      <c r="K331" t="s">
        <v>1017</v>
      </c>
      <c r="P331" t="s">
        <v>495</v>
      </c>
      <c r="Q331" t="s">
        <v>501</v>
      </c>
      <c r="S331" t="s">
        <v>503</v>
      </c>
      <c r="T331" t="s">
        <v>508</v>
      </c>
      <c r="U331" t="s">
        <v>511</v>
      </c>
      <c r="V331">
        <v>11356</v>
      </c>
      <c r="W331" t="s">
        <v>518</v>
      </c>
      <c r="X331" t="s">
        <v>548</v>
      </c>
      <c r="Y331" t="s">
        <v>275</v>
      </c>
      <c r="Z331" t="s">
        <v>2046</v>
      </c>
      <c r="AA331" t="s">
        <v>2311</v>
      </c>
      <c r="AB331" t="s">
        <v>902</v>
      </c>
      <c r="AC331" t="s">
        <v>904</v>
      </c>
      <c r="AF331" t="s">
        <v>926</v>
      </c>
      <c r="AI331">
        <v>63.65</v>
      </c>
      <c r="AJ331" t="s">
        <v>558</v>
      </c>
      <c r="AK331" t="s">
        <v>947</v>
      </c>
      <c r="AT331">
        <v>2</v>
      </c>
      <c r="AU331">
        <v>1</v>
      </c>
      <c r="AV331" t="s">
        <v>273</v>
      </c>
      <c r="AY331" t="s">
        <v>273</v>
      </c>
      <c r="BB331">
        <v>0</v>
      </c>
      <c r="BC331">
        <v>0</v>
      </c>
      <c r="BD331">
        <v>0</v>
      </c>
      <c r="BE331">
        <v>0</v>
      </c>
      <c r="BF331" t="s">
        <v>1063</v>
      </c>
      <c r="BG331" t="s">
        <v>2660</v>
      </c>
      <c r="BH331">
        <v>37</v>
      </c>
      <c r="BI331" t="s">
        <v>1289</v>
      </c>
      <c r="BK331">
        <v>68010</v>
      </c>
    </row>
    <row r="332" spans="1:64">
      <c r="A332" s="1">
        <f>HYPERLINK("https://lsnyc.legalserver.org/matter/dynamic-profile/view/1860643","18-1860643")</f>
        <v>0</v>
      </c>
      <c r="B332" t="s">
        <v>1582</v>
      </c>
      <c r="C332" t="s">
        <v>1640</v>
      </c>
      <c r="D332" t="s">
        <v>253</v>
      </c>
      <c r="E332" t="s">
        <v>1646</v>
      </c>
      <c r="F332" t="s">
        <v>273</v>
      </c>
      <c r="G332" t="s">
        <v>275</v>
      </c>
      <c r="H332">
        <v>98.84999999999999</v>
      </c>
      <c r="I332" t="s">
        <v>275</v>
      </c>
      <c r="K332" t="s">
        <v>1757</v>
      </c>
      <c r="P332" t="s">
        <v>497</v>
      </c>
      <c r="Q332" t="s">
        <v>501</v>
      </c>
      <c r="S332" t="s">
        <v>503</v>
      </c>
      <c r="T332" t="s">
        <v>508</v>
      </c>
      <c r="U332" t="s">
        <v>511</v>
      </c>
      <c r="V332">
        <v>11104</v>
      </c>
      <c r="W332" t="s">
        <v>524</v>
      </c>
      <c r="X332" t="s">
        <v>1844</v>
      </c>
      <c r="Y332" t="s">
        <v>274</v>
      </c>
      <c r="Z332" t="s">
        <v>2047</v>
      </c>
      <c r="AA332" t="s">
        <v>2312</v>
      </c>
      <c r="AB332" t="s">
        <v>902</v>
      </c>
      <c r="AC332" t="s">
        <v>905</v>
      </c>
      <c r="AF332" t="s">
        <v>927</v>
      </c>
      <c r="AI332">
        <v>5.5</v>
      </c>
      <c r="AJ332" t="s">
        <v>558</v>
      </c>
      <c r="AK332" t="s">
        <v>2381</v>
      </c>
      <c r="AT332">
        <v>0</v>
      </c>
      <c r="AU332">
        <v>1</v>
      </c>
      <c r="AV332" t="s">
        <v>273</v>
      </c>
      <c r="AY332" t="s">
        <v>273</v>
      </c>
      <c r="BB332">
        <v>0</v>
      </c>
      <c r="BC332">
        <v>0</v>
      </c>
      <c r="BD332">
        <v>0</v>
      </c>
      <c r="BE332">
        <v>0</v>
      </c>
      <c r="BF332" t="s">
        <v>1063</v>
      </c>
      <c r="BG332" t="s">
        <v>2661</v>
      </c>
      <c r="BH332">
        <v>34</v>
      </c>
      <c r="BI332" t="s">
        <v>1267</v>
      </c>
      <c r="BK332">
        <v>1847546</v>
      </c>
    </row>
    <row r="333" spans="1:64">
      <c r="A333" s="1">
        <f>HYPERLINK("https://lsnyc.legalserver.org/matter/dynamic-profile/view/1860663","18-1860663")</f>
        <v>0</v>
      </c>
      <c r="B333" t="s">
        <v>1398</v>
      </c>
      <c r="C333" t="s">
        <v>1640</v>
      </c>
      <c r="D333" t="s">
        <v>252</v>
      </c>
      <c r="E333" t="s">
        <v>1643</v>
      </c>
      <c r="F333" t="s">
        <v>273</v>
      </c>
      <c r="G333" t="s">
        <v>275</v>
      </c>
      <c r="H333">
        <v>137.98</v>
      </c>
      <c r="I333" t="s">
        <v>275</v>
      </c>
      <c r="K333" t="s">
        <v>1757</v>
      </c>
      <c r="M333" t="s">
        <v>475</v>
      </c>
      <c r="N333" t="s">
        <v>1812</v>
      </c>
      <c r="P333" t="s">
        <v>492</v>
      </c>
      <c r="Q333" t="s">
        <v>501</v>
      </c>
      <c r="S333" t="s">
        <v>503</v>
      </c>
      <c r="T333" t="s">
        <v>508</v>
      </c>
      <c r="U333" t="s">
        <v>511</v>
      </c>
      <c r="V333">
        <v>11212</v>
      </c>
      <c r="W333" t="s">
        <v>536</v>
      </c>
      <c r="X333" t="s">
        <v>549</v>
      </c>
      <c r="Z333" t="s">
        <v>1910</v>
      </c>
      <c r="AA333" t="s">
        <v>2159</v>
      </c>
      <c r="AB333" t="s">
        <v>902</v>
      </c>
      <c r="AC333" t="s">
        <v>905</v>
      </c>
      <c r="AF333" t="s">
        <v>923</v>
      </c>
      <c r="AI333">
        <v>40.31</v>
      </c>
      <c r="AJ333" t="s">
        <v>558</v>
      </c>
      <c r="AK333" t="s">
        <v>939</v>
      </c>
      <c r="AT333">
        <v>0</v>
      </c>
      <c r="AU333">
        <v>1</v>
      </c>
      <c r="AV333" t="s">
        <v>273</v>
      </c>
      <c r="AY333" t="s">
        <v>273</v>
      </c>
      <c r="BB333">
        <v>0</v>
      </c>
      <c r="BC333">
        <v>0</v>
      </c>
      <c r="BD333">
        <v>0</v>
      </c>
      <c r="BE333">
        <v>0</v>
      </c>
      <c r="BF333" t="s">
        <v>1063</v>
      </c>
      <c r="BG333" t="s">
        <v>2483</v>
      </c>
      <c r="BH333">
        <v>26</v>
      </c>
      <c r="BI333" t="s">
        <v>1320</v>
      </c>
      <c r="BK333">
        <v>1851004</v>
      </c>
    </row>
    <row r="334" spans="1:64">
      <c r="A334" s="1">
        <f>HYPERLINK("https://lsnyc.legalserver.org/matter/dynamic-profile/view/1860178","18-1860178")</f>
        <v>0</v>
      </c>
      <c r="B334" t="s">
        <v>1583</v>
      </c>
      <c r="C334" t="s">
        <v>1640</v>
      </c>
      <c r="D334" t="s">
        <v>253</v>
      </c>
      <c r="E334" t="s">
        <v>1650</v>
      </c>
      <c r="F334" t="s">
        <v>273</v>
      </c>
      <c r="G334" t="s">
        <v>275</v>
      </c>
      <c r="H334">
        <v>187.21</v>
      </c>
      <c r="I334" t="s">
        <v>274</v>
      </c>
      <c r="K334" t="s">
        <v>1758</v>
      </c>
      <c r="O334" t="s">
        <v>274</v>
      </c>
      <c r="Q334" t="s">
        <v>501</v>
      </c>
      <c r="S334" t="s">
        <v>503</v>
      </c>
      <c r="T334" t="s">
        <v>508</v>
      </c>
      <c r="U334" t="s">
        <v>511</v>
      </c>
      <c r="V334">
        <v>11411</v>
      </c>
      <c r="W334" t="s">
        <v>525</v>
      </c>
      <c r="X334" t="s">
        <v>549</v>
      </c>
      <c r="Y334" t="s">
        <v>274</v>
      </c>
      <c r="Z334" t="s">
        <v>2048</v>
      </c>
      <c r="AA334" t="s">
        <v>2313</v>
      </c>
      <c r="AB334" t="s">
        <v>902</v>
      </c>
      <c r="AC334" t="s">
        <v>904</v>
      </c>
      <c r="AF334" t="s">
        <v>923</v>
      </c>
      <c r="AI334">
        <v>6.1</v>
      </c>
      <c r="AJ334" t="s">
        <v>558</v>
      </c>
      <c r="AK334" t="s">
        <v>952</v>
      </c>
      <c r="AL334" t="s">
        <v>274</v>
      </c>
      <c r="AT334">
        <v>3</v>
      </c>
      <c r="AU334">
        <v>3</v>
      </c>
      <c r="AV334" t="s">
        <v>273</v>
      </c>
      <c r="AY334" t="s">
        <v>273</v>
      </c>
      <c r="BB334">
        <v>0</v>
      </c>
      <c r="BC334">
        <v>0</v>
      </c>
      <c r="BD334">
        <v>0</v>
      </c>
      <c r="BE334">
        <v>0</v>
      </c>
      <c r="BF334" t="s">
        <v>1063</v>
      </c>
      <c r="BG334" t="s">
        <v>2662</v>
      </c>
      <c r="BH334">
        <v>53</v>
      </c>
      <c r="BI334" t="s">
        <v>2793</v>
      </c>
      <c r="BK334">
        <v>1860755</v>
      </c>
    </row>
    <row r="335" spans="1:64">
      <c r="A335" s="1">
        <f>HYPERLINK("https://lsnyc.legalserver.org/matter/dynamic-profile/view/1859648","18-1859648")</f>
        <v>0</v>
      </c>
      <c r="B335" t="s">
        <v>1584</v>
      </c>
      <c r="C335" t="s">
        <v>1640</v>
      </c>
      <c r="D335" t="s">
        <v>253</v>
      </c>
      <c r="E335" t="s">
        <v>1648</v>
      </c>
      <c r="F335" t="s">
        <v>275</v>
      </c>
      <c r="G335" t="s">
        <v>275</v>
      </c>
      <c r="H335">
        <v>115.27</v>
      </c>
      <c r="I335" t="s">
        <v>274</v>
      </c>
      <c r="K335" t="s">
        <v>1759</v>
      </c>
      <c r="L335" t="s">
        <v>1004</v>
      </c>
      <c r="O335" t="s">
        <v>275</v>
      </c>
      <c r="P335" t="s">
        <v>493</v>
      </c>
      <c r="Q335" t="s">
        <v>501</v>
      </c>
      <c r="S335" t="s">
        <v>503</v>
      </c>
      <c r="T335" t="s">
        <v>508</v>
      </c>
      <c r="U335" t="s">
        <v>511</v>
      </c>
      <c r="V335">
        <v>11691</v>
      </c>
      <c r="W335" t="s">
        <v>525</v>
      </c>
      <c r="X335" t="s">
        <v>549</v>
      </c>
      <c r="Y335" t="s">
        <v>275</v>
      </c>
      <c r="Z335" t="s">
        <v>2049</v>
      </c>
      <c r="AA335" t="s">
        <v>835</v>
      </c>
      <c r="AB335" t="s">
        <v>902</v>
      </c>
      <c r="AC335" t="s">
        <v>904</v>
      </c>
      <c r="AD335" t="s">
        <v>275</v>
      </c>
      <c r="AE335" t="s">
        <v>919</v>
      </c>
      <c r="AF335" t="s">
        <v>923</v>
      </c>
      <c r="AI335">
        <v>7.9</v>
      </c>
      <c r="AK335" t="s">
        <v>939</v>
      </c>
      <c r="AL335" t="s">
        <v>274</v>
      </c>
      <c r="AM335" t="s">
        <v>973</v>
      </c>
      <c r="AN335" t="s">
        <v>1015</v>
      </c>
      <c r="AQ335" t="s">
        <v>1038</v>
      </c>
      <c r="AR335" t="s">
        <v>1051</v>
      </c>
      <c r="AT335">
        <v>0</v>
      </c>
      <c r="AU335">
        <v>2</v>
      </c>
      <c r="AV335" t="s">
        <v>273</v>
      </c>
      <c r="AY335" t="s">
        <v>273</v>
      </c>
      <c r="BB335">
        <v>0</v>
      </c>
      <c r="BC335">
        <v>0</v>
      </c>
      <c r="BD335">
        <v>0</v>
      </c>
      <c r="BE335">
        <v>0</v>
      </c>
      <c r="BF335" t="s">
        <v>493</v>
      </c>
      <c r="BG335" t="s">
        <v>2663</v>
      </c>
      <c r="BH335">
        <v>23</v>
      </c>
      <c r="BI335" t="s">
        <v>2794</v>
      </c>
      <c r="BK335">
        <v>1843875</v>
      </c>
    </row>
    <row r="336" spans="1:64">
      <c r="A336" s="1">
        <f>HYPERLINK("https://lsnyc.legalserver.org/matter/dynamic-profile/view/1859534","18-1859534")</f>
        <v>0</v>
      </c>
      <c r="B336" t="s">
        <v>1585</v>
      </c>
      <c r="C336" t="s">
        <v>1640</v>
      </c>
      <c r="D336" t="s">
        <v>253</v>
      </c>
      <c r="E336" t="s">
        <v>1646</v>
      </c>
      <c r="F336" t="s">
        <v>273</v>
      </c>
      <c r="G336" t="s">
        <v>275</v>
      </c>
      <c r="H336">
        <v>56.63</v>
      </c>
      <c r="I336" t="s">
        <v>274</v>
      </c>
      <c r="K336" t="s">
        <v>410</v>
      </c>
      <c r="P336" t="s">
        <v>492</v>
      </c>
      <c r="Q336" t="s">
        <v>501</v>
      </c>
      <c r="S336" t="s">
        <v>503</v>
      </c>
      <c r="T336" t="s">
        <v>508</v>
      </c>
      <c r="U336" t="s">
        <v>511</v>
      </c>
      <c r="V336">
        <v>11432</v>
      </c>
      <c r="W336" t="s">
        <v>520</v>
      </c>
      <c r="X336" t="s">
        <v>549</v>
      </c>
      <c r="Y336" t="s">
        <v>275</v>
      </c>
      <c r="Z336" t="s">
        <v>2050</v>
      </c>
      <c r="AA336" t="s">
        <v>2314</v>
      </c>
      <c r="AB336" t="s">
        <v>902</v>
      </c>
      <c r="AC336" t="s">
        <v>906</v>
      </c>
      <c r="AF336" t="s">
        <v>923</v>
      </c>
      <c r="AI336">
        <v>2.6</v>
      </c>
      <c r="AJ336" t="s">
        <v>558</v>
      </c>
      <c r="AK336" t="s">
        <v>952</v>
      </c>
      <c r="AM336" t="s">
        <v>973</v>
      </c>
      <c r="AN336" t="s">
        <v>2397</v>
      </c>
      <c r="AT336">
        <v>7</v>
      </c>
      <c r="AU336">
        <v>1</v>
      </c>
      <c r="AV336" t="s">
        <v>273</v>
      </c>
      <c r="AY336" t="s">
        <v>273</v>
      </c>
      <c r="BB336">
        <v>0</v>
      </c>
      <c r="BC336">
        <v>0</v>
      </c>
      <c r="BD336">
        <v>0</v>
      </c>
      <c r="BE336">
        <v>0</v>
      </c>
      <c r="BF336" t="s">
        <v>1063</v>
      </c>
      <c r="BG336" t="s">
        <v>2664</v>
      </c>
      <c r="BH336">
        <v>39</v>
      </c>
      <c r="BI336" t="s">
        <v>1248</v>
      </c>
      <c r="BK336">
        <v>83345</v>
      </c>
    </row>
    <row r="337" spans="1:64">
      <c r="A337" s="1">
        <f>HYPERLINK("https://lsnyc.legalserver.org/matter/dynamic-profile/view/1859241","18-1859241")</f>
        <v>0</v>
      </c>
      <c r="B337" t="s">
        <v>1586</v>
      </c>
      <c r="C337" t="s">
        <v>1640</v>
      </c>
      <c r="D337" t="s">
        <v>253</v>
      </c>
      <c r="E337" t="s">
        <v>1647</v>
      </c>
      <c r="F337" t="s">
        <v>273</v>
      </c>
      <c r="G337" t="s">
        <v>275</v>
      </c>
      <c r="H337">
        <v>0</v>
      </c>
      <c r="I337" t="s">
        <v>274</v>
      </c>
      <c r="K337" t="s">
        <v>1760</v>
      </c>
      <c r="M337" t="s">
        <v>474</v>
      </c>
      <c r="N337" t="s">
        <v>457</v>
      </c>
      <c r="P337" t="s">
        <v>496</v>
      </c>
      <c r="Q337" t="s">
        <v>501</v>
      </c>
      <c r="S337" t="s">
        <v>503</v>
      </c>
      <c r="T337" t="s">
        <v>508</v>
      </c>
      <c r="U337" t="s">
        <v>511</v>
      </c>
      <c r="V337">
        <v>11420</v>
      </c>
      <c r="W337" t="s">
        <v>518</v>
      </c>
      <c r="X337" t="s">
        <v>549</v>
      </c>
      <c r="Y337" t="s">
        <v>275</v>
      </c>
      <c r="Z337" t="s">
        <v>584</v>
      </c>
      <c r="AA337" t="s">
        <v>2315</v>
      </c>
      <c r="AB337" t="s">
        <v>902</v>
      </c>
      <c r="AC337" t="s">
        <v>904</v>
      </c>
      <c r="AF337" t="s">
        <v>926</v>
      </c>
      <c r="AI337">
        <v>14.62</v>
      </c>
      <c r="AJ337" t="s">
        <v>558</v>
      </c>
      <c r="AK337" t="s">
        <v>947</v>
      </c>
      <c r="AL337" t="s">
        <v>274</v>
      </c>
      <c r="AM337" t="s">
        <v>973</v>
      </c>
      <c r="AT337">
        <v>2</v>
      </c>
      <c r="AU337">
        <v>2</v>
      </c>
      <c r="AV337" t="s">
        <v>273</v>
      </c>
      <c r="AY337" t="s">
        <v>273</v>
      </c>
      <c r="BB337">
        <v>0</v>
      </c>
      <c r="BC337">
        <v>0</v>
      </c>
      <c r="BD337">
        <v>0</v>
      </c>
      <c r="BE337">
        <v>0</v>
      </c>
      <c r="BF337" t="s">
        <v>1063</v>
      </c>
      <c r="BG337" t="s">
        <v>2665</v>
      </c>
      <c r="BH337">
        <v>24</v>
      </c>
      <c r="BI337" t="s">
        <v>1247</v>
      </c>
      <c r="BK337">
        <v>1839785</v>
      </c>
      <c r="BL337" t="s">
        <v>275</v>
      </c>
    </row>
    <row r="338" spans="1:64">
      <c r="A338" s="1">
        <f>HYPERLINK("https://lsnyc.legalserver.org/matter/dynamic-profile/view/1858482","18-1858482")</f>
        <v>0</v>
      </c>
      <c r="B338" t="s">
        <v>1587</v>
      </c>
      <c r="C338" t="s">
        <v>1640</v>
      </c>
      <c r="D338" t="s">
        <v>253</v>
      </c>
      <c r="E338" t="s">
        <v>1650</v>
      </c>
      <c r="F338" t="s">
        <v>273</v>
      </c>
      <c r="G338" t="s">
        <v>275</v>
      </c>
      <c r="H338">
        <v>104</v>
      </c>
      <c r="I338" t="s">
        <v>274</v>
      </c>
      <c r="K338" t="s">
        <v>1761</v>
      </c>
      <c r="P338" t="s">
        <v>492</v>
      </c>
      <c r="Q338" t="s">
        <v>501</v>
      </c>
      <c r="R338" t="s">
        <v>1817</v>
      </c>
      <c r="S338" t="s">
        <v>503</v>
      </c>
      <c r="T338" t="s">
        <v>507</v>
      </c>
      <c r="U338" t="s">
        <v>511</v>
      </c>
      <c r="V338">
        <v>11369</v>
      </c>
      <c r="W338" t="s">
        <v>525</v>
      </c>
      <c r="X338" t="s">
        <v>548</v>
      </c>
      <c r="Y338" t="s">
        <v>274</v>
      </c>
      <c r="Z338" t="s">
        <v>2051</v>
      </c>
      <c r="AA338" t="s">
        <v>2316</v>
      </c>
      <c r="AB338" t="s">
        <v>902</v>
      </c>
      <c r="AC338" t="s">
        <v>904</v>
      </c>
      <c r="AF338" t="s">
        <v>923</v>
      </c>
      <c r="AI338">
        <v>3.25</v>
      </c>
      <c r="AJ338" t="s">
        <v>558</v>
      </c>
      <c r="AK338" t="s">
        <v>938</v>
      </c>
      <c r="AL338" t="s">
        <v>274</v>
      </c>
      <c r="AS338" t="s">
        <v>2407</v>
      </c>
      <c r="AT338">
        <v>1</v>
      </c>
      <c r="AU338">
        <v>3</v>
      </c>
      <c r="AV338" t="s">
        <v>273</v>
      </c>
      <c r="AY338" t="s">
        <v>273</v>
      </c>
      <c r="BB338">
        <v>0</v>
      </c>
      <c r="BC338">
        <v>0</v>
      </c>
      <c r="BD338">
        <v>0</v>
      </c>
      <c r="BE338">
        <v>0</v>
      </c>
      <c r="BF338" t="s">
        <v>1063</v>
      </c>
      <c r="BG338" t="s">
        <v>2666</v>
      </c>
      <c r="BH338">
        <v>46</v>
      </c>
      <c r="BI338" t="s">
        <v>2795</v>
      </c>
      <c r="BK338">
        <v>1859055</v>
      </c>
    </row>
    <row r="339" spans="1:64">
      <c r="A339" s="1">
        <f>HYPERLINK("https://lsnyc.legalserver.org/matter/dynamic-profile/view/1858258","18-1858258")</f>
        <v>0</v>
      </c>
      <c r="B339" t="s">
        <v>1588</v>
      </c>
      <c r="C339" t="s">
        <v>1640</v>
      </c>
      <c r="D339" t="s">
        <v>253</v>
      </c>
      <c r="E339" t="s">
        <v>1645</v>
      </c>
      <c r="F339" t="s">
        <v>273</v>
      </c>
      <c r="G339" t="s">
        <v>275</v>
      </c>
      <c r="H339">
        <v>20.69</v>
      </c>
      <c r="I339" t="s">
        <v>274</v>
      </c>
      <c r="K339" t="s">
        <v>1762</v>
      </c>
      <c r="M339" t="s">
        <v>474</v>
      </c>
      <c r="N339" t="s">
        <v>1676</v>
      </c>
      <c r="Q339" t="s">
        <v>501</v>
      </c>
      <c r="S339" t="s">
        <v>503</v>
      </c>
      <c r="T339" t="s">
        <v>508</v>
      </c>
      <c r="U339" t="s">
        <v>511</v>
      </c>
      <c r="V339">
        <v>11373</v>
      </c>
      <c r="W339" t="s">
        <v>538</v>
      </c>
      <c r="X339" t="s">
        <v>548</v>
      </c>
      <c r="Y339" t="s">
        <v>275</v>
      </c>
      <c r="Z339" t="s">
        <v>1971</v>
      </c>
      <c r="AA339" t="s">
        <v>2102</v>
      </c>
      <c r="AB339" t="s">
        <v>902</v>
      </c>
      <c r="AC339" t="s">
        <v>905</v>
      </c>
      <c r="AF339" t="s">
        <v>923</v>
      </c>
      <c r="AI339">
        <v>7.65</v>
      </c>
      <c r="AJ339" t="s">
        <v>558</v>
      </c>
      <c r="AK339" t="s">
        <v>933</v>
      </c>
      <c r="AL339" t="s">
        <v>274</v>
      </c>
      <c r="AM339" t="s">
        <v>973</v>
      </c>
      <c r="AN339" t="s">
        <v>411</v>
      </c>
      <c r="AT339">
        <v>1</v>
      </c>
      <c r="AU339">
        <v>1</v>
      </c>
      <c r="AV339" t="s">
        <v>273</v>
      </c>
      <c r="AY339" t="s">
        <v>273</v>
      </c>
      <c r="BB339">
        <v>0</v>
      </c>
      <c r="BC339">
        <v>0</v>
      </c>
      <c r="BD339">
        <v>0</v>
      </c>
      <c r="BE339">
        <v>0</v>
      </c>
      <c r="BF339" t="s">
        <v>1063</v>
      </c>
      <c r="BG339" t="s">
        <v>2667</v>
      </c>
      <c r="BH339">
        <v>47</v>
      </c>
      <c r="BI339" t="s">
        <v>2796</v>
      </c>
      <c r="BK339">
        <v>785209</v>
      </c>
    </row>
    <row r="340" spans="1:64">
      <c r="A340" s="1">
        <f>HYPERLINK("https://lsnyc.legalserver.org/matter/dynamic-profile/view/1857420","18-1857420")</f>
        <v>0</v>
      </c>
      <c r="B340" t="s">
        <v>1589</v>
      </c>
      <c r="C340" t="s">
        <v>1640</v>
      </c>
      <c r="D340" t="s">
        <v>252</v>
      </c>
      <c r="E340" t="s">
        <v>1646</v>
      </c>
      <c r="F340" t="s">
        <v>275</v>
      </c>
      <c r="G340" t="s">
        <v>275</v>
      </c>
      <c r="H340">
        <v>18.21</v>
      </c>
      <c r="I340" t="s">
        <v>275</v>
      </c>
      <c r="K340" t="s">
        <v>1763</v>
      </c>
      <c r="L340" t="s">
        <v>1680</v>
      </c>
      <c r="O340" t="s">
        <v>275</v>
      </c>
      <c r="P340" t="s">
        <v>493</v>
      </c>
      <c r="Q340" t="s">
        <v>501</v>
      </c>
      <c r="S340" t="s">
        <v>503</v>
      </c>
      <c r="T340" t="s">
        <v>507</v>
      </c>
      <c r="U340" t="s">
        <v>511</v>
      </c>
      <c r="V340">
        <v>11212</v>
      </c>
      <c r="W340" t="s">
        <v>525</v>
      </c>
      <c r="X340" t="s">
        <v>549</v>
      </c>
      <c r="Y340" t="s">
        <v>274</v>
      </c>
      <c r="Z340" t="s">
        <v>2019</v>
      </c>
      <c r="AA340" t="s">
        <v>2317</v>
      </c>
      <c r="AB340" t="s">
        <v>902</v>
      </c>
      <c r="AC340" t="s">
        <v>904</v>
      </c>
      <c r="AD340" t="s">
        <v>275</v>
      </c>
      <c r="AE340" t="s">
        <v>919</v>
      </c>
      <c r="AF340" t="s">
        <v>923</v>
      </c>
      <c r="AI340">
        <v>5</v>
      </c>
      <c r="AJ340" t="s">
        <v>558</v>
      </c>
      <c r="AK340" t="s">
        <v>965</v>
      </c>
      <c r="AM340" t="s">
        <v>973</v>
      </c>
      <c r="AN340" t="s">
        <v>1763</v>
      </c>
      <c r="AQ340" t="s">
        <v>1038</v>
      </c>
      <c r="AR340" t="s">
        <v>1051</v>
      </c>
      <c r="AT340">
        <v>0</v>
      </c>
      <c r="AU340">
        <v>1</v>
      </c>
      <c r="AV340" t="s">
        <v>273</v>
      </c>
      <c r="AY340" t="s">
        <v>273</v>
      </c>
      <c r="BB340">
        <v>0</v>
      </c>
      <c r="BC340">
        <v>0</v>
      </c>
      <c r="BD340">
        <v>0</v>
      </c>
      <c r="BE340">
        <v>0</v>
      </c>
      <c r="BF340" t="s">
        <v>493</v>
      </c>
      <c r="BG340" t="s">
        <v>2668</v>
      </c>
      <c r="BH340">
        <v>50</v>
      </c>
      <c r="BI340" t="s">
        <v>2797</v>
      </c>
      <c r="BK340">
        <v>794942</v>
      </c>
    </row>
    <row r="341" spans="1:64">
      <c r="A341" s="1">
        <f>HYPERLINK("https://lsnyc.legalserver.org/matter/dynamic-profile/view/1889636","19-1889636")</f>
        <v>0</v>
      </c>
      <c r="B341" t="s">
        <v>1435</v>
      </c>
      <c r="C341" t="s">
        <v>1640</v>
      </c>
      <c r="D341" t="s">
        <v>255</v>
      </c>
      <c r="E341" t="s">
        <v>1647</v>
      </c>
      <c r="F341" t="s">
        <v>273</v>
      </c>
      <c r="G341" t="s">
        <v>275</v>
      </c>
      <c r="H341">
        <v>152.57</v>
      </c>
      <c r="I341" t="s">
        <v>274</v>
      </c>
      <c r="K341" t="s">
        <v>1764</v>
      </c>
      <c r="M341" t="s">
        <v>471</v>
      </c>
      <c r="N341" t="s">
        <v>992</v>
      </c>
      <c r="O341" t="s">
        <v>275</v>
      </c>
      <c r="P341" t="s">
        <v>492</v>
      </c>
      <c r="Q341" t="s">
        <v>501</v>
      </c>
      <c r="S341" t="s">
        <v>503</v>
      </c>
      <c r="T341" t="s">
        <v>507</v>
      </c>
      <c r="U341" t="s">
        <v>511</v>
      </c>
      <c r="V341">
        <v>10039</v>
      </c>
      <c r="W341" t="s">
        <v>518</v>
      </c>
      <c r="X341" t="s">
        <v>548</v>
      </c>
      <c r="Y341" t="s">
        <v>275</v>
      </c>
      <c r="Z341" t="s">
        <v>564</v>
      </c>
      <c r="AA341" t="s">
        <v>2192</v>
      </c>
      <c r="AB341" t="s">
        <v>902</v>
      </c>
      <c r="AC341" t="s">
        <v>905</v>
      </c>
      <c r="AF341" t="s">
        <v>926</v>
      </c>
      <c r="AI341">
        <v>6.8</v>
      </c>
      <c r="AJ341" t="s">
        <v>558</v>
      </c>
      <c r="AK341" t="s">
        <v>945</v>
      </c>
      <c r="AL341" t="s">
        <v>274</v>
      </c>
      <c r="AM341" t="s">
        <v>973</v>
      </c>
      <c r="AT341">
        <v>0</v>
      </c>
      <c r="AU341">
        <v>2</v>
      </c>
      <c r="AV341" t="s">
        <v>273</v>
      </c>
      <c r="AY341" t="s">
        <v>273</v>
      </c>
      <c r="BB341">
        <v>0</v>
      </c>
      <c r="BC341">
        <v>0</v>
      </c>
      <c r="BD341">
        <v>0</v>
      </c>
      <c r="BE341">
        <v>0</v>
      </c>
      <c r="BF341" t="s">
        <v>1063</v>
      </c>
      <c r="BG341" t="s">
        <v>2520</v>
      </c>
      <c r="BH341">
        <v>33</v>
      </c>
      <c r="BI341" t="s">
        <v>2798</v>
      </c>
      <c r="BK341">
        <v>769543</v>
      </c>
      <c r="BL341" t="s">
        <v>275</v>
      </c>
    </row>
    <row r="342" spans="1:64">
      <c r="A342" s="1">
        <f>HYPERLINK("https://lsnyc.legalserver.org/matter/dynamic-profile/view/1856338","18-1856338")</f>
        <v>0</v>
      </c>
      <c r="B342" t="s">
        <v>1590</v>
      </c>
      <c r="C342" t="s">
        <v>1640</v>
      </c>
      <c r="D342" t="s">
        <v>253</v>
      </c>
      <c r="E342" t="s">
        <v>1650</v>
      </c>
      <c r="F342" t="s">
        <v>273</v>
      </c>
      <c r="G342" t="s">
        <v>275</v>
      </c>
      <c r="H342">
        <v>86.87</v>
      </c>
      <c r="I342" t="s">
        <v>274</v>
      </c>
      <c r="K342" t="s">
        <v>1765</v>
      </c>
      <c r="O342" t="s">
        <v>274</v>
      </c>
      <c r="Q342" t="s">
        <v>501</v>
      </c>
      <c r="S342" t="s">
        <v>503</v>
      </c>
      <c r="T342" t="s">
        <v>507</v>
      </c>
      <c r="U342" t="s">
        <v>511</v>
      </c>
      <c r="V342">
        <v>11432</v>
      </c>
      <c r="W342" t="s">
        <v>517</v>
      </c>
      <c r="X342" t="s">
        <v>549</v>
      </c>
      <c r="Y342" t="s">
        <v>275</v>
      </c>
      <c r="Z342" t="s">
        <v>2052</v>
      </c>
      <c r="AA342" t="s">
        <v>815</v>
      </c>
      <c r="AB342" t="s">
        <v>902</v>
      </c>
      <c r="AC342" t="s">
        <v>904</v>
      </c>
      <c r="AF342" t="s">
        <v>923</v>
      </c>
      <c r="AI342">
        <v>7.4</v>
      </c>
      <c r="AJ342" t="s">
        <v>558</v>
      </c>
      <c r="AK342" t="s">
        <v>941</v>
      </c>
      <c r="AL342" t="s">
        <v>274</v>
      </c>
      <c r="AT342">
        <v>2</v>
      </c>
      <c r="AU342">
        <v>3</v>
      </c>
      <c r="AV342" t="s">
        <v>273</v>
      </c>
      <c r="AY342" t="s">
        <v>273</v>
      </c>
      <c r="BB342">
        <v>0</v>
      </c>
      <c r="BC342">
        <v>0</v>
      </c>
      <c r="BD342">
        <v>0</v>
      </c>
      <c r="BE342">
        <v>0</v>
      </c>
      <c r="BF342" t="s">
        <v>1063</v>
      </c>
      <c r="BG342" t="s">
        <v>2669</v>
      </c>
      <c r="BH342">
        <v>18</v>
      </c>
      <c r="BI342" t="s">
        <v>1274</v>
      </c>
      <c r="BK342">
        <v>1856901</v>
      </c>
    </row>
    <row r="343" spans="1:64">
      <c r="A343" s="1">
        <f>HYPERLINK("https://lsnyc.legalserver.org/matter/dynamic-profile/view/1856367","18-1856367")</f>
        <v>0</v>
      </c>
      <c r="B343" t="s">
        <v>1591</v>
      </c>
      <c r="C343" t="s">
        <v>1640</v>
      </c>
      <c r="D343" t="s">
        <v>253</v>
      </c>
      <c r="E343" t="s">
        <v>1648</v>
      </c>
      <c r="F343" t="s">
        <v>273</v>
      </c>
      <c r="G343" t="s">
        <v>275</v>
      </c>
      <c r="H343">
        <v>86.23999999999999</v>
      </c>
      <c r="I343" t="s">
        <v>274</v>
      </c>
      <c r="K343" t="s">
        <v>1765</v>
      </c>
      <c r="P343" t="s">
        <v>496</v>
      </c>
      <c r="Q343" t="s">
        <v>501</v>
      </c>
      <c r="S343" t="s">
        <v>503</v>
      </c>
      <c r="T343" t="s">
        <v>508</v>
      </c>
      <c r="U343" t="s">
        <v>511</v>
      </c>
      <c r="V343">
        <v>11419</v>
      </c>
      <c r="W343" t="s">
        <v>528</v>
      </c>
      <c r="X343" t="s">
        <v>549</v>
      </c>
      <c r="Y343" t="s">
        <v>275</v>
      </c>
      <c r="Z343" t="s">
        <v>2053</v>
      </c>
      <c r="AA343" t="s">
        <v>2318</v>
      </c>
      <c r="AB343" t="s">
        <v>902</v>
      </c>
      <c r="AC343" t="s">
        <v>906</v>
      </c>
      <c r="AF343" t="s">
        <v>923</v>
      </c>
      <c r="AI343">
        <v>9.9</v>
      </c>
      <c r="AK343" t="s">
        <v>965</v>
      </c>
      <c r="AL343" t="s">
        <v>274</v>
      </c>
      <c r="AM343" t="s">
        <v>973</v>
      </c>
      <c r="AN343" t="s">
        <v>2398</v>
      </c>
      <c r="AT343">
        <v>0</v>
      </c>
      <c r="AU343">
        <v>1</v>
      </c>
      <c r="AV343" t="s">
        <v>273</v>
      </c>
      <c r="AY343" t="s">
        <v>273</v>
      </c>
      <c r="BB343">
        <v>0</v>
      </c>
      <c r="BC343">
        <v>0</v>
      </c>
      <c r="BD343">
        <v>0</v>
      </c>
      <c r="BE343">
        <v>0</v>
      </c>
      <c r="BF343" t="s">
        <v>1063</v>
      </c>
      <c r="BG343" t="s">
        <v>2670</v>
      </c>
      <c r="BH343">
        <v>52</v>
      </c>
      <c r="BI343" t="s">
        <v>1301</v>
      </c>
      <c r="BK343">
        <v>831928</v>
      </c>
    </row>
    <row r="344" spans="1:64">
      <c r="A344" s="1">
        <f>HYPERLINK("https://lsnyc.legalserver.org/matter/dynamic-profile/view/1855818","18-1855818")</f>
        <v>0</v>
      </c>
      <c r="B344" t="s">
        <v>1592</v>
      </c>
      <c r="C344" t="s">
        <v>1640</v>
      </c>
      <c r="D344" t="s">
        <v>253</v>
      </c>
      <c r="E344" t="s">
        <v>1645</v>
      </c>
      <c r="F344" t="s">
        <v>273</v>
      </c>
      <c r="G344" t="s">
        <v>275</v>
      </c>
      <c r="H344">
        <v>4.98</v>
      </c>
      <c r="I344" t="s">
        <v>275</v>
      </c>
      <c r="K344" t="s">
        <v>1766</v>
      </c>
      <c r="O344" t="s">
        <v>275</v>
      </c>
      <c r="P344" t="s">
        <v>492</v>
      </c>
      <c r="Q344" t="s">
        <v>501</v>
      </c>
      <c r="S344" t="s">
        <v>503</v>
      </c>
      <c r="T344" t="s">
        <v>508</v>
      </c>
      <c r="U344" t="s">
        <v>511</v>
      </c>
      <c r="V344">
        <v>11385</v>
      </c>
      <c r="W344" t="s">
        <v>532</v>
      </c>
      <c r="X344" t="s">
        <v>548</v>
      </c>
      <c r="Y344" t="s">
        <v>275</v>
      </c>
      <c r="Z344" t="s">
        <v>2054</v>
      </c>
      <c r="AA344" t="s">
        <v>2319</v>
      </c>
      <c r="AB344" t="s">
        <v>902</v>
      </c>
      <c r="AC344" t="s">
        <v>905</v>
      </c>
      <c r="AF344" t="s">
        <v>927</v>
      </c>
      <c r="AI344">
        <v>11.05</v>
      </c>
      <c r="AJ344" t="s">
        <v>558</v>
      </c>
      <c r="AK344" t="s">
        <v>940</v>
      </c>
      <c r="AM344" t="s">
        <v>975</v>
      </c>
      <c r="AN344" t="s">
        <v>1766</v>
      </c>
      <c r="AT344">
        <v>0</v>
      </c>
      <c r="AU344">
        <v>1</v>
      </c>
      <c r="AV344" t="s">
        <v>273</v>
      </c>
      <c r="AY344" t="s">
        <v>273</v>
      </c>
      <c r="BB344">
        <v>0</v>
      </c>
      <c r="BC344">
        <v>0</v>
      </c>
      <c r="BD344">
        <v>0</v>
      </c>
      <c r="BE344">
        <v>0</v>
      </c>
      <c r="BF344" t="s">
        <v>1063</v>
      </c>
      <c r="BG344" t="s">
        <v>2671</v>
      </c>
      <c r="BH344">
        <v>62</v>
      </c>
      <c r="BI344" t="s">
        <v>2776</v>
      </c>
      <c r="BK344">
        <v>817694</v>
      </c>
    </row>
    <row r="345" spans="1:64">
      <c r="A345" s="1">
        <f>HYPERLINK("https://lsnyc.legalserver.org/matter/dynamic-profile/view/1853985","17-1853985")</f>
        <v>0</v>
      </c>
      <c r="B345" t="s">
        <v>1593</v>
      </c>
      <c r="C345" t="s">
        <v>1640</v>
      </c>
      <c r="D345" t="s">
        <v>253</v>
      </c>
      <c r="E345" t="s">
        <v>1650</v>
      </c>
      <c r="F345" t="s">
        <v>273</v>
      </c>
      <c r="G345" t="s">
        <v>275</v>
      </c>
      <c r="H345">
        <v>152.71</v>
      </c>
      <c r="I345" t="s">
        <v>274</v>
      </c>
      <c r="K345" t="s">
        <v>417</v>
      </c>
      <c r="O345" t="s">
        <v>274</v>
      </c>
      <c r="P345" t="s">
        <v>498</v>
      </c>
      <c r="Q345" t="s">
        <v>501</v>
      </c>
      <c r="S345" t="s">
        <v>503</v>
      </c>
      <c r="T345" t="s">
        <v>508</v>
      </c>
      <c r="U345" t="s">
        <v>511</v>
      </c>
      <c r="V345">
        <v>11420</v>
      </c>
      <c r="W345" t="s">
        <v>517</v>
      </c>
      <c r="X345" t="s">
        <v>548</v>
      </c>
      <c r="Y345" t="s">
        <v>275</v>
      </c>
      <c r="Z345" t="s">
        <v>1985</v>
      </c>
      <c r="AA345" t="s">
        <v>2320</v>
      </c>
      <c r="AB345" t="s">
        <v>902</v>
      </c>
      <c r="AC345" t="s">
        <v>904</v>
      </c>
      <c r="AF345" t="s">
        <v>923</v>
      </c>
      <c r="AI345">
        <v>15.2</v>
      </c>
      <c r="AJ345" t="s">
        <v>558</v>
      </c>
      <c r="AK345" t="s">
        <v>950</v>
      </c>
      <c r="AT345">
        <v>0</v>
      </c>
      <c r="AU345">
        <v>2</v>
      </c>
      <c r="AV345" t="s">
        <v>273</v>
      </c>
      <c r="AY345" t="s">
        <v>273</v>
      </c>
      <c r="BB345">
        <v>0</v>
      </c>
      <c r="BC345">
        <v>0</v>
      </c>
      <c r="BD345">
        <v>0</v>
      </c>
      <c r="BE345">
        <v>0</v>
      </c>
      <c r="BF345" t="s">
        <v>1063</v>
      </c>
      <c r="BG345" t="s">
        <v>2672</v>
      </c>
      <c r="BH345">
        <v>49</v>
      </c>
      <c r="BI345" t="s">
        <v>2799</v>
      </c>
      <c r="BK345">
        <v>1854534</v>
      </c>
    </row>
    <row r="346" spans="1:64">
      <c r="A346" s="1">
        <f>HYPERLINK("https://lsnyc.legalserver.org/matter/dynamic-profile/view/1854168","17-1854168")</f>
        <v>0</v>
      </c>
      <c r="B346" t="s">
        <v>1594</v>
      </c>
      <c r="C346" t="s">
        <v>1640</v>
      </c>
      <c r="D346" t="s">
        <v>253</v>
      </c>
      <c r="E346" t="s">
        <v>1647</v>
      </c>
      <c r="F346" t="s">
        <v>275</v>
      </c>
      <c r="G346" t="s">
        <v>275</v>
      </c>
      <c r="H346">
        <v>0</v>
      </c>
      <c r="I346" t="s">
        <v>274</v>
      </c>
      <c r="K346" t="s">
        <v>1767</v>
      </c>
      <c r="L346" t="s">
        <v>446</v>
      </c>
      <c r="O346" t="s">
        <v>275</v>
      </c>
      <c r="P346" t="s">
        <v>493</v>
      </c>
      <c r="Q346" t="s">
        <v>501</v>
      </c>
      <c r="S346" t="s">
        <v>503</v>
      </c>
      <c r="T346" t="s">
        <v>507</v>
      </c>
      <c r="U346" t="s">
        <v>511</v>
      </c>
      <c r="V346">
        <v>11416</v>
      </c>
      <c r="W346" t="s">
        <v>1834</v>
      </c>
      <c r="X346" t="s">
        <v>548</v>
      </c>
      <c r="Y346" t="s">
        <v>275</v>
      </c>
      <c r="Z346" t="s">
        <v>564</v>
      </c>
      <c r="AA346" t="s">
        <v>2321</v>
      </c>
      <c r="AB346" t="s">
        <v>902</v>
      </c>
      <c r="AC346" t="s">
        <v>908</v>
      </c>
      <c r="AD346" t="s">
        <v>275</v>
      </c>
      <c r="AE346" t="s">
        <v>919</v>
      </c>
      <c r="AF346" t="s">
        <v>923</v>
      </c>
      <c r="AI346">
        <v>0.1</v>
      </c>
      <c r="AJ346" t="s">
        <v>558</v>
      </c>
      <c r="AK346" t="s">
        <v>950</v>
      </c>
      <c r="AL346" t="s">
        <v>274</v>
      </c>
      <c r="AM346" t="s">
        <v>973</v>
      </c>
      <c r="AN346" t="s">
        <v>2399</v>
      </c>
      <c r="AQ346" t="s">
        <v>1035</v>
      </c>
      <c r="AR346" t="s">
        <v>1051</v>
      </c>
      <c r="AT346">
        <v>1</v>
      </c>
      <c r="AU346">
        <v>1</v>
      </c>
      <c r="AV346" t="s">
        <v>273</v>
      </c>
      <c r="AY346" t="s">
        <v>273</v>
      </c>
      <c r="BB346">
        <v>0</v>
      </c>
      <c r="BC346">
        <v>0</v>
      </c>
      <c r="BD346">
        <v>0</v>
      </c>
      <c r="BE346">
        <v>0</v>
      </c>
      <c r="BF346" t="s">
        <v>493</v>
      </c>
      <c r="BG346" t="s">
        <v>2673</v>
      </c>
      <c r="BH346">
        <v>19</v>
      </c>
      <c r="BI346" t="s">
        <v>1247</v>
      </c>
      <c r="BK346">
        <v>1854718</v>
      </c>
    </row>
    <row r="347" spans="1:64">
      <c r="A347" s="1">
        <f>HYPERLINK("https://lsnyc.legalserver.org/matter/dynamic-profile/view/1854175","17-1854175")</f>
        <v>0</v>
      </c>
      <c r="B347" t="s">
        <v>1595</v>
      </c>
      <c r="C347" t="s">
        <v>1640</v>
      </c>
      <c r="D347" t="s">
        <v>1642</v>
      </c>
      <c r="E347" t="s">
        <v>1647</v>
      </c>
      <c r="F347" t="s">
        <v>275</v>
      </c>
      <c r="G347" t="s">
        <v>275</v>
      </c>
      <c r="H347">
        <v>0</v>
      </c>
      <c r="I347" t="s">
        <v>274</v>
      </c>
      <c r="K347" t="s">
        <v>1767</v>
      </c>
      <c r="L347" t="s">
        <v>446</v>
      </c>
      <c r="O347" t="s">
        <v>275</v>
      </c>
      <c r="P347" t="s">
        <v>493</v>
      </c>
      <c r="Q347" t="s">
        <v>501</v>
      </c>
      <c r="S347" t="s">
        <v>503</v>
      </c>
      <c r="T347" t="s">
        <v>507</v>
      </c>
      <c r="U347" t="s">
        <v>511</v>
      </c>
      <c r="V347">
        <v>11421</v>
      </c>
      <c r="W347" t="s">
        <v>1834</v>
      </c>
      <c r="X347" t="s">
        <v>548</v>
      </c>
      <c r="Z347" t="s">
        <v>2055</v>
      </c>
      <c r="AA347" t="s">
        <v>2322</v>
      </c>
      <c r="AB347" t="s">
        <v>902</v>
      </c>
      <c r="AC347" t="s">
        <v>908</v>
      </c>
      <c r="AD347" t="s">
        <v>916</v>
      </c>
      <c r="AE347" t="s">
        <v>919</v>
      </c>
      <c r="AF347" t="s">
        <v>923</v>
      </c>
      <c r="AI347">
        <v>0.6</v>
      </c>
      <c r="AK347" t="s">
        <v>950</v>
      </c>
      <c r="AL347" t="s">
        <v>274</v>
      </c>
      <c r="AQ347" t="s">
        <v>1035</v>
      </c>
      <c r="AR347" t="s">
        <v>1051</v>
      </c>
      <c r="AT347">
        <v>1</v>
      </c>
      <c r="AU347">
        <v>1</v>
      </c>
      <c r="AV347" t="s">
        <v>273</v>
      </c>
      <c r="AY347" t="s">
        <v>273</v>
      </c>
      <c r="BB347">
        <v>0</v>
      </c>
      <c r="BC347">
        <v>0</v>
      </c>
      <c r="BD347">
        <v>0</v>
      </c>
      <c r="BE347">
        <v>0</v>
      </c>
      <c r="BF347" t="s">
        <v>493</v>
      </c>
      <c r="BG347" t="s">
        <v>2674</v>
      </c>
      <c r="BH347">
        <v>15</v>
      </c>
      <c r="BI347" t="s">
        <v>1247</v>
      </c>
      <c r="BK347">
        <v>1854725</v>
      </c>
    </row>
    <row r="348" spans="1:64">
      <c r="A348" s="1">
        <f>HYPERLINK("https://lsnyc.legalserver.org/matter/dynamic-profile/view/1853174","17-1853174")</f>
        <v>0</v>
      </c>
      <c r="B348" t="s">
        <v>1596</v>
      </c>
      <c r="C348" t="s">
        <v>1640</v>
      </c>
      <c r="D348" t="s">
        <v>255</v>
      </c>
      <c r="E348" t="s">
        <v>1650</v>
      </c>
      <c r="F348" t="s">
        <v>274</v>
      </c>
      <c r="G348" t="s">
        <v>274</v>
      </c>
      <c r="H348">
        <v>80.05</v>
      </c>
      <c r="I348" t="s">
        <v>274</v>
      </c>
      <c r="K348" t="s">
        <v>1768</v>
      </c>
      <c r="O348" t="s">
        <v>274</v>
      </c>
      <c r="Q348" t="s">
        <v>501</v>
      </c>
      <c r="S348" t="s">
        <v>503</v>
      </c>
      <c r="T348" t="s">
        <v>508</v>
      </c>
      <c r="U348" t="s">
        <v>511</v>
      </c>
      <c r="V348">
        <v>10029</v>
      </c>
      <c r="W348" t="s">
        <v>517</v>
      </c>
      <c r="X348" t="s">
        <v>548</v>
      </c>
      <c r="Y348" t="s">
        <v>274</v>
      </c>
      <c r="Z348" t="s">
        <v>584</v>
      </c>
      <c r="AA348" t="s">
        <v>664</v>
      </c>
      <c r="AB348" t="s">
        <v>902</v>
      </c>
      <c r="AC348" t="s">
        <v>904</v>
      </c>
      <c r="AF348" t="s">
        <v>923</v>
      </c>
      <c r="AI348">
        <v>5.45</v>
      </c>
      <c r="AJ348" t="s">
        <v>558</v>
      </c>
      <c r="AK348" t="s">
        <v>934</v>
      </c>
      <c r="AL348" t="s">
        <v>274</v>
      </c>
      <c r="AT348">
        <v>0</v>
      </c>
      <c r="AU348">
        <v>2</v>
      </c>
      <c r="AV348" t="s">
        <v>273</v>
      </c>
      <c r="AY348" t="s">
        <v>273</v>
      </c>
      <c r="BB348">
        <v>0</v>
      </c>
      <c r="BC348">
        <v>0</v>
      </c>
      <c r="BD348">
        <v>0</v>
      </c>
      <c r="BE348">
        <v>0</v>
      </c>
      <c r="BF348" t="s">
        <v>1063</v>
      </c>
      <c r="BG348" t="s">
        <v>2675</v>
      </c>
      <c r="BH348">
        <v>51</v>
      </c>
      <c r="BI348" t="s">
        <v>1264</v>
      </c>
      <c r="BK348">
        <v>1853718</v>
      </c>
    </row>
    <row r="349" spans="1:64">
      <c r="A349" s="1">
        <f>HYPERLINK("https://lsnyc.legalserver.org/matter/dynamic-profile/view/1852451","17-1852451")</f>
        <v>0</v>
      </c>
      <c r="B349" t="s">
        <v>1597</v>
      </c>
      <c r="C349" t="s">
        <v>1640</v>
      </c>
      <c r="D349" t="s">
        <v>253</v>
      </c>
      <c r="E349" t="s">
        <v>1650</v>
      </c>
      <c r="F349" t="s">
        <v>273</v>
      </c>
      <c r="G349" t="s">
        <v>275</v>
      </c>
      <c r="H349">
        <v>69.65000000000001</v>
      </c>
      <c r="I349" t="s">
        <v>274</v>
      </c>
      <c r="K349" t="s">
        <v>1769</v>
      </c>
      <c r="O349" t="s">
        <v>274</v>
      </c>
      <c r="Q349" t="s">
        <v>501</v>
      </c>
      <c r="S349" t="s">
        <v>503</v>
      </c>
      <c r="T349" t="s">
        <v>507</v>
      </c>
      <c r="U349" t="s">
        <v>511</v>
      </c>
      <c r="V349">
        <v>11419</v>
      </c>
      <c r="W349" t="s">
        <v>517</v>
      </c>
      <c r="X349" t="s">
        <v>549</v>
      </c>
      <c r="Y349" t="s">
        <v>275</v>
      </c>
      <c r="Z349" t="s">
        <v>2056</v>
      </c>
      <c r="AA349" t="s">
        <v>2289</v>
      </c>
      <c r="AB349" t="s">
        <v>902</v>
      </c>
      <c r="AC349" t="s">
        <v>904</v>
      </c>
      <c r="AF349" t="s">
        <v>923</v>
      </c>
      <c r="AI349">
        <v>23.87</v>
      </c>
      <c r="AJ349" t="s">
        <v>558</v>
      </c>
      <c r="AK349" t="s">
        <v>965</v>
      </c>
      <c r="AL349" t="s">
        <v>274</v>
      </c>
      <c r="AT349">
        <v>0</v>
      </c>
      <c r="AU349">
        <v>1</v>
      </c>
      <c r="AV349" t="s">
        <v>273</v>
      </c>
      <c r="AY349" t="s">
        <v>273</v>
      </c>
      <c r="BB349">
        <v>0</v>
      </c>
      <c r="BC349">
        <v>0</v>
      </c>
      <c r="BD349">
        <v>0</v>
      </c>
      <c r="BE349">
        <v>0</v>
      </c>
      <c r="BF349" t="s">
        <v>1063</v>
      </c>
      <c r="BG349" t="s">
        <v>2676</v>
      </c>
      <c r="BH349">
        <v>78</v>
      </c>
      <c r="BI349" t="s">
        <v>2800</v>
      </c>
      <c r="BK349">
        <v>1852995</v>
      </c>
    </row>
    <row r="350" spans="1:64">
      <c r="A350" s="1">
        <f>HYPERLINK("https://lsnyc.legalserver.org/matter/dynamic-profile/view/1852014","17-1852014")</f>
        <v>0</v>
      </c>
      <c r="B350" t="s">
        <v>1598</v>
      </c>
      <c r="C350" t="s">
        <v>1640</v>
      </c>
      <c r="D350" t="s">
        <v>253</v>
      </c>
      <c r="E350" t="s">
        <v>1647</v>
      </c>
      <c r="F350" t="s">
        <v>273</v>
      </c>
      <c r="G350" t="s">
        <v>275</v>
      </c>
      <c r="H350">
        <v>0</v>
      </c>
      <c r="I350" t="s">
        <v>274</v>
      </c>
      <c r="K350" t="s">
        <v>1770</v>
      </c>
      <c r="M350" t="s">
        <v>474</v>
      </c>
      <c r="N350" t="s">
        <v>450</v>
      </c>
      <c r="P350" t="s">
        <v>492</v>
      </c>
      <c r="Q350" t="s">
        <v>501</v>
      </c>
      <c r="S350" t="s">
        <v>503</v>
      </c>
      <c r="T350" t="s">
        <v>508</v>
      </c>
      <c r="U350" t="s">
        <v>511</v>
      </c>
      <c r="V350">
        <v>11368</v>
      </c>
      <c r="W350" t="s">
        <v>521</v>
      </c>
      <c r="X350" t="s">
        <v>548</v>
      </c>
      <c r="Y350" t="s">
        <v>274</v>
      </c>
      <c r="Z350" t="s">
        <v>2057</v>
      </c>
      <c r="AA350" t="s">
        <v>2320</v>
      </c>
      <c r="AB350" t="s">
        <v>902</v>
      </c>
      <c r="AC350" t="s">
        <v>905</v>
      </c>
      <c r="AF350" t="s">
        <v>923</v>
      </c>
      <c r="AI350">
        <v>105.7</v>
      </c>
      <c r="AJ350" t="s">
        <v>558</v>
      </c>
      <c r="AK350" t="s">
        <v>941</v>
      </c>
      <c r="AL350" t="s">
        <v>274</v>
      </c>
      <c r="AM350" t="s">
        <v>973</v>
      </c>
      <c r="AN350" t="s">
        <v>1031</v>
      </c>
      <c r="AT350">
        <v>0</v>
      </c>
      <c r="AU350">
        <v>1</v>
      </c>
      <c r="AV350" t="s">
        <v>273</v>
      </c>
      <c r="AY350" t="s">
        <v>273</v>
      </c>
      <c r="BB350">
        <v>0</v>
      </c>
      <c r="BC350">
        <v>0</v>
      </c>
      <c r="BD350">
        <v>0</v>
      </c>
      <c r="BE350">
        <v>0</v>
      </c>
      <c r="BF350" t="s">
        <v>1063</v>
      </c>
      <c r="BG350" t="s">
        <v>2677</v>
      </c>
      <c r="BH350">
        <v>26</v>
      </c>
      <c r="BI350" t="s">
        <v>1247</v>
      </c>
      <c r="BK350">
        <v>1852555</v>
      </c>
    </row>
    <row r="351" spans="1:64">
      <c r="A351" s="1">
        <f>HYPERLINK("https://lsnyc.legalserver.org/matter/dynamic-profile/view/1852073","17-1852073")</f>
        <v>0</v>
      </c>
      <c r="B351" t="s">
        <v>1599</v>
      </c>
      <c r="C351" t="s">
        <v>1640</v>
      </c>
      <c r="D351" t="s">
        <v>253</v>
      </c>
      <c r="E351" t="s">
        <v>1650</v>
      </c>
      <c r="F351" t="s">
        <v>273</v>
      </c>
      <c r="G351" t="s">
        <v>275</v>
      </c>
      <c r="H351">
        <v>178.26</v>
      </c>
      <c r="I351" t="s">
        <v>274</v>
      </c>
      <c r="K351" t="s">
        <v>1770</v>
      </c>
      <c r="M351" t="s">
        <v>475</v>
      </c>
      <c r="N351" t="s">
        <v>458</v>
      </c>
      <c r="P351" t="s">
        <v>492</v>
      </c>
      <c r="Q351" t="s">
        <v>501</v>
      </c>
      <c r="S351" t="s">
        <v>503</v>
      </c>
      <c r="T351" t="s">
        <v>507</v>
      </c>
      <c r="U351" t="s">
        <v>511</v>
      </c>
      <c r="V351">
        <v>11436</v>
      </c>
      <c r="W351" t="s">
        <v>1831</v>
      </c>
      <c r="X351" t="s">
        <v>549</v>
      </c>
      <c r="Y351" t="s">
        <v>275</v>
      </c>
      <c r="Z351" t="s">
        <v>2058</v>
      </c>
      <c r="AA351" t="s">
        <v>2323</v>
      </c>
      <c r="AB351" t="s">
        <v>903</v>
      </c>
      <c r="AF351" t="s">
        <v>923</v>
      </c>
      <c r="AI351">
        <v>9.09</v>
      </c>
      <c r="AJ351" t="s">
        <v>558</v>
      </c>
      <c r="AK351" t="s">
        <v>2382</v>
      </c>
      <c r="AL351" t="s">
        <v>274</v>
      </c>
      <c r="AT351">
        <v>2</v>
      </c>
      <c r="AU351">
        <v>1</v>
      </c>
      <c r="AV351" t="s">
        <v>273</v>
      </c>
      <c r="AY351" t="s">
        <v>273</v>
      </c>
      <c r="BB351">
        <v>0</v>
      </c>
      <c r="BC351">
        <v>0</v>
      </c>
      <c r="BD351">
        <v>0</v>
      </c>
      <c r="BE351">
        <v>0</v>
      </c>
      <c r="BF351" t="s">
        <v>1063</v>
      </c>
      <c r="BG351" t="s">
        <v>2678</v>
      </c>
      <c r="BH351">
        <v>39</v>
      </c>
      <c r="BI351" t="s">
        <v>1317</v>
      </c>
      <c r="BK351">
        <v>1852615</v>
      </c>
    </row>
    <row r="352" spans="1:64">
      <c r="A352" s="1">
        <f>HYPERLINK("https://lsnyc.legalserver.org/matter/dynamic-profile/view/1852005","17-1852005")</f>
        <v>0</v>
      </c>
      <c r="B352" t="s">
        <v>1600</v>
      </c>
      <c r="C352" t="s">
        <v>1640</v>
      </c>
      <c r="D352" t="s">
        <v>253</v>
      </c>
      <c r="E352" t="s">
        <v>1648</v>
      </c>
      <c r="F352" t="s">
        <v>273</v>
      </c>
      <c r="G352" t="s">
        <v>275</v>
      </c>
      <c r="H352">
        <v>0</v>
      </c>
      <c r="I352" t="s">
        <v>274</v>
      </c>
      <c r="K352" t="s">
        <v>1771</v>
      </c>
      <c r="Q352" t="s">
        <v>501</v>
      </c>
      <c r="S352" t="s">
        <v>503</v>
      </c>
      <c r="T352" t="s">
        <v>508</v>
      </c>
      <c r="U352" t="s">
        <v>511</v>
      </c>
      <c r="V352">
        <v>11433</v>
      </c>
      <c r="W352" t="s">
        <v>518</v>
      </c>
      <c r="X352" t="s">
        <v>548</v>
      </c>
      <c r="Y352" t="s">
        <v>275</v>
      </c>
      <c r="Z352" t="s">
        <v>2059</v>
      </c>
      <c r="AA352" t="s">
        <v>2324</v>
      </c>
      <c r="AB352" t="s">
        <v>902</v>
      </c>
      <c r="AC352" t="s">
        <v>908</v>
      </c>
      <c r="AF352" t="s">
        <v>926</v>
      </c>
      <c r="AI352">
        <v>8.1</v>
      </c>
      <c r="AK352" t="s">
        <v>934</v>
      </c>
      <c r="AL352" t="s">
        <v>274</v>
      </c>
      <c r="AT352">
        <v>1</v>
      </c>
      <c r="AU352">
        <v>1</v>
      </c>
      <c r="AV352" t="s">
        <v>273</v>
      </c>
      <c r="AY352" t="s">
        <v>273</v>
      </c>
      <c r="BB352">
        <v>0</v>
      </c>
      <c r="BC352">
        <v>0</v>
      </c>
      <c r="BD352">
        <v>0</v>
      </c>
      <c r="BE352">
        <v>0</v>
      </c>
      <c r="BF352" t="s">
        <v>1063</v>
      </c>
      <c r="BG352" t="s">
        <v>2679</v>
      </c>
      <c r="BH352">
        <v>2</v>
      </c>
      <c r="BI352" t="s">
        <v>1247</v>
      </c>
      <c r="BK352">
        <v>808305</v>
      </c>
    </row>
    <row r="353" spans="1:63">
      <c r="A353" s="1">
        <f>HYPERLINK("https://lsnyc.legalserver.org/matter/dynamic-profile/view/1851617","17-1851617")</f>
        <v>0</v>
      </c>
      <c r="B353" t="s">
        <v>1601</v>
      </c>
      <c r="C353" t="s">
        <v>1640</v>
      </c>
      <c r="D353" t="s">
        <v>253</v>
      </c>
      <c r="E353" t="s">
        <v>1648</v>
      </c>
      <c r="F353" t="s">
        <v>273</v>
      </c>
      <c r="G353" t="s">
        <v>275</v>
      </c>
      <c r="H353">
        <v>0</v>
      </c>
      <c r="I353" t="s">
        <v>274</v>
      </c>
      <c r="K353" t="s">
        <v>1772</v>
      </c>
      <c r="M353" t="s">
        <v>471</v>
      </c>
      <c r="N353" t="s">
        <v>1676</v>
      </c>
      <c r="Q353" t="s">
        <v>501</v>
      </c>
      <c r="S353" t="s">
        <v>503</v>
      </c>
      <c r="T353" t="s">
        <v>508</v>
      </c>
      <c r="U353" t="s">
        <v>511</v>
      </c>
      <c r="V353">
        <v>11433</v>
      </c>
      <c r="W353" t="s">
        <v>518</v>
      </c>
      <c r="X353" t="s">
        <v>548</v>
      </c>
      <c r="Y353" t="s">
        <v>275</v>
      </c>
      <c r="Z353" t="s">
        <v>2060</v>
      </c>
      <c r="AA353" t="s">
        <v>2325</v>
      </c>
      <c r="AB353" t="s">
        <v>902</v>
      </c>
      <c r="AC353" t="s">
        <v>906</v>
      </c>
      <c r="AF353" t="s">
        <v>926</v>
      </c>
      <c r="AI353">
        <v>12.25</v>
      </c>
      <c r="AK353" t="s">
        <v>934</v>
      </c>
      <c r="AL353" t="s">
        <v>274</v>
      </c>
      <c r="AT353">
        <v>1</v>
      </c>
      <c r="AU353">
        <v>1</v>
      </c>
      <c r="AV353" t="s">
        <v>273</v>
      </c>
      <c r="AY353" t="s">
        <v>273</v>
      </c>
      <c r="BB353">
        <v>0</v>
      </c>
      <c r="BC353">
        <v>0</v>
      </c>
      <c r="BD353">
        <v>0</v>
      </c>
      <c r="BE353">
        <v>0</v>
      </c>
      <c r="BF353" t="s">
        <v>1063</v>
      </c>
      <c r="BG353" t="s">
        <v>2680</v>
      </c>
      <c r="BH353">
        <v>30</v>
      </c>
      <c r="BI353" t="s">
        <v>1247</v>
      </c>
      <c r="BK353">
        <v>798271</v>
      </c>
    </row>
    <row r="354" spans="1:63">
      <c r="A354" s="1">
        <f>HYPERLINK("https://lsnyc.legalserver.org/matter/dynamic-profile/view/1851618","17-1851618")</f>
        <v>0</v>
      </c>
      <c r="B354" t="s">
        <v>1602</v>
      </c>
      <c r="C354" t="s">
        <v>1640</v>
      </c>
      <c r="D354" t="s">
        <v>253</v>
      </c>
      <c r="E354" t="s">
        <v>1648</v>
      </c>
      <c r="F354" t="s">
        <v>273</v>
      </c>
      <c r="G354" t="s">
        <v>275</v>
      </c>
      <c r="H354">
        <v>0</v>
      </c>
      <c r="I354" t="s">
        <v>274</v>
      </c>
      <c r="K354" t="s">
        <v>1772</v>
      </c>
      <c r="M354" t="s">
        <v>471</v>
      </c>
      <c r="N354" t="s">
        <v>1676</v>
      </c>
      <c r="Q354" t="s">
        <v>502</v>
      </c>
      <c r="S354" t="s">
        <v>503</v>
      </c>
      <c r="T354" t="s">
        <v>507</v>
      </c>
      <c r="U354" t="s">
        <v>511</v>
      </c>
      <c r="V354">
        <v>11433</v>
      </c>
      <c r="W354" t="s">
        <v>518</v>
      </c>
      <c r="X354" t="s">
        <v>548</v>
      </c>
      <c r="Y354" t="s">
        <v>275</v>
      </c>
      <c r="Z354" t="s">
        <v>1889</v>
      </c>
      <c r="AA354" t="s">
        <v>2326</v>
      </c>
      <c r="AB354" t="s">
        <v>902</v>
      </c>
      <c r="AC354" t="s">
        <v>908</v>
      </c>
      <c r="AF354" t="s">
        <v>926</v>
      </c>
      <c r="AI354">
        <v>5.65</v>
      </c>
      <c r="AK354" t="s">
        <v>934</v>
      </c>
      <c r="AL354" t="s">
        <v>274</v>
      </c>
      <c r="AT354">
        <v>1</v>
      </c>
      <c r="AU354">
        <v>1</v>
      </c>
      <c r="AV354" t="s">
        <v>273</v>
      </c>
      <c r="AY354" t="s">
        <v>273</v>
      </c>
      <c r="BB354">
        <v>0</v>
      </c>
      <c r="BC354">
        <v>0</v>
      </c>
      <c r="BD354">
        <v>0</v>
      </c>
      <c r="BE354">
        <v>0</v>
      </c>
      <c r="BF354" t="s">
        <v>1063</v>
      </c>
      <c r="BG354" t="s">
        <v>2681</v>
      </c>
      <c r="BH354">
        <v>4</v>
      </c>
      <c r="BI354" t="s">
        <v>1247</v>
      </c>
      <c r="BK354">
        <v>1852157</v>
      </c>
    </row>
    <row r="355" spans="1:63">
      <c r="A355" s="1">
        <f>HYPERLINK("https://lsnyc.legalserver.org/matter/dynamic-profile/view/1851527","17-1851527")</f>
        <v>0</v>
      </c>
      <c r="B355" t="s">
        <v>1603</v>
      </c>
      <c r="C355" t="s">
        <v>1640</v>
      </c>
      <c r="D355" t="s">
        <v>253</v>
      </c>
      <c r="E355" t="s">
        <v>1650</v>
      </c>
      <c r="F355" t="s">
        <v>273</v>
      </c>
      <c r="G355" t="s">
        <v>275</v>
      </c>
      <c r="H355">
        <v>81.28</v>
      </c>
      <c r="K355" t="s">
        <v>1773</v>
      </c>
      <c r="O355" t="s">
        <v>275</v>
      </c>
      <c r="Q355" t="s">
        <v>501</v>
      </c>
      <c r="S355" t="s">
        <v>503</v>
      </c>
      <c r="T355" t="s">
        <v>507</v>
      </c>
      <c r="U355" t="s">
        <v>511</v>
      </c>
      <c r="V355">
        <v>11435</v>
      </c>
      <c r="W355" t="s">
        <v>517</v>
      </c>
      <c r="X355" t="s">
        <v>549</v>
      </c>
      <c r="Z355" t="s">
        <v>2061</v>
      </c>
      <c r="AA355" t="s">
        <v>2327</v>
      </c>
      <c r="AB355" t="s">
        <v>902</v>
      </c>
      <c r="AC355" t="s">
        <v>904</v>
      </c>
      <c r="AF355" t="s">
        <v>928</v>
      </c>
      <c r="AI355">
        <v>1.25</v>
      </c>
      <c r="AJ355" t="s">
        <v>558</v>
      </c>
      <c r="AT355">
        <v>0</v>
      </c>
      <c r="AU355">
        <v>2</v>
      </c>
      <c r="AV355" t="s">
        <v>273</v>
      </c>
      <c r="AY355" t="s">
        <v>273</v>
      </c>
      <c r="BB355">
        <v>0</v>
      </c>
      <c r="BC355">
        <v>0</v>
      </c>
      <c r="BD355">
        <v>0</v>
      </c>
      <c r="BE355">
        <v>0</v>
      </c>
      <c r="BF355" t="s">
        <v>1063</v>
      </c>
      <c r="BG355" t="s">
        <v>2682</v>
      </c>
      <c r="BH355">
        <v>63</v>
      </c>
      <c r="BI355" t="s">
        <v>1298</v>
      </c>
      <c r="BK355">
        <v>1852066</v>
      </c>
    </row>
    <row r="356" spans="1:63">
      <c r="A356" s="1">
        <f>HYPERLINK("https://lsnyc.legalserver.org/matter/dynamic-profile/view/1851272","17-1851272")</f>
        <v>0</v>
      </c>
      <c r="B356" t="s">
        <v>1604</v>
      </c>
      <c r="C356" t="s">
        <v>1640</v>
      </c>
      <c r="D356" t="s">
        <v>253</v>
      </c>
      <c r="E356" t="s">
        <v>1648</v>
      </c>
      <c r="F356" t="s">
        <v>273</v>
      </c>
      <c r="G356" t="s">
        <v>275</v>
      </c>
      <c r="H356">
        <v>0</v>
      </c>
      <c r="K356" t="s">
        <v>1774</v>
      </c>
      <c r="Q356" t="s">
        <v>501</v>
      </c>
      <c r="S356" t="s">
        <v>503</v>
      </c>
      <c r="T356" t="s">
        <v>507</v>
      </c>
      <c r="U356" t="s">
        <v>511</v>
      </c>
      <c r="V356">
        <v>11368</v>
      </c>
      <c r="W356" t="s">
        <v>518</v>
      </c>
      <c r="X356" t="s">
        <v>548</v>
      </c>
      <c r="Y356" t="s">
        <v>275</v>
      </c>
      <c r="Z356" t="s">
        <v>2062</v>
      </c>
      <c r="AA356" t="s">
        <v>2328</v>
      </c>
      <c r="AB356" t="s">
        <v>902</v>
      </c>
      <c r="AC356" t="s">
        <v>905</v>
      </c>
      <c r="AF356" t="s">
        <v>926</v>
      </c>
      <c r="AI356">
        <v>9.6</v>
      </c>
      <c r="AK356" t="s">
        <v>936</v>
      </c>
      <c r="AT356">
        <v>0</v>
      </c>
      <c r="AU356">
        <v>1</v>
      </c>
      <c r="AV356" t="s">
        <v>273</v>
      </c>
      <c r="AY356" t="s">
        <v>273</v>
      </c>
      <c r="BB356">
        <v>0</v>
      </c>
      <c r="BC356">
        <v>0</v>
      </c>
      <c r="BD356">
        <v>0</v>
      </c>
      <c r="BE356">
        <v>0</v>
      </c>
      <c r="BF356" t="s">
        <v>1063</v>
      </c>
      <c r="BG356" t="s">
        <v>2683</v>
      </c>
      <c r="BH356">
        <v>21</v>
      </c>
      <c r="BI356" t="s">
        <v>1247</v>
      </c>
      <c r="BK356">
        <v>1848580</v>
      </c>
    </row>
    <row r="357" spans="1:63">
      <c r="A357" s="1">
        <f>HYPERLINK("https://lsnyc.legalserver.org/matter/dynamic-profile/view/0827705","17-0827705")</f>
        <v>0</v>
      </c>
      <c r="B357" t="s">
        <v>1605</v>
      </c>
      <c r="C357" t="s">
        <v>1640</v>
      </c>
      <c r="D357" t="s">
        <v>257</v>
      </c>
      <c r="E357" t="s">
        <v>1650</v>
      </c>
      <c r="F357" t="s">
        <v>274</v>
      </c>
      <c r="G357" t="s">
        <v>274</v>
      </c>
      <c r="H357">
        <v>73.45999999999999</v>
      </c>
      <c r="I357" t="s">
        <v>274</v>
      </c>
      <c r="K357" t="s">
        <v>1775</v>
      </c>
      <c r="O357" t="s">
        <v>274</v>
      </c>
      <c r="P357" t="s">
        <v>498</v>
      </c>
      <c r="Q357" t="s">
        <v>501</v>
      </c>
      <c r="S357" t="s">
        <v>503</v>
      </c>
      <c r="T357" t="s">
        <v>508</v>
      </c>
      <c r="U357" t="s">
        <v>511</v>
      </c>
      <c r="V357">
        <v>10462</v>
      </c>
      <c r="W357" t="s">
        <v>517</v>
      </c>
      <c r="X357" t="s">
        <v>549</v>
      </c>
      <c r="Y357" t="s">
        <v>274</v>
      </c>
      <c r="Z357" t="s">
        <v>2063</v>
      </c>
      <c r="AA357" t="s">
        <v>2329</v>
      </c>
      <c r="AB357" t="s">
        <v>902</v>
      </c>
      <c r="AC357" t="s">
        <v>904</v>
      </c>
      <c r="AF357" t="s">
        <v>923</v>
      </c>
      <c r="AI357">
        <v>6.05</v>
      </c>
      <c r="AJ357" t="s">
        <v>558</v>
      </c>
      <c r="AK357" t="s">
        <v>2383</v>
      </c>
      <c r="AL357" t="s">
        <v>274</v>
      </c>
      <c r="AT357">
        <v>2</v>
      </c>
      <c r="AU357">
        <v>1</v>
      </c>
      <c r="AV357" t="s">
        <v>273</v>
      </c>
      <c r="AY357" t="s">
        <v>273</v>
      </c>
      <c r="BB357">
        <v>0</v>
      </c>
      <c r="BC357">
        <v>0</v>
      </c>
      <c r="BD357">
        <v>0</v>
      </c>
      <c r="BE357">
        <v>0</v>
      </c>
      <c r="BF357" t="s">
        <v>1063</v>
      </c>
      <c r="BG357" t="s">
        <v>2684</v>
      </c>
      <c r="BH357">
        <v>39</v>
      </c>
      <c r="BI357" t="s">
        <v>2801</v>
      </c>
      <c r="BK357">
        <v>828169</v>
      </c>
    </row>
    <row r="358" spans="1:63">
      <c r="A358" s="1">
        <f>HYPERLINK("https://lsnyc.legalserver.org/matter/dynamic-profile/view/1850486","17-1850486")</f>
        <v>0</v>
      </c>
      <c r="B358" t="s">
        <v>1606</v>
      </c>
      <c r="C358" t="s">
        <v>1640</v>
      </c>
      <c r="D358" t="s">
        <v>253</v>
      </c>
      <c r="E358" t="s">
        <v>1650</v>
      </c>
      <c r="F358" t="s">
        <v>273</v>
      </c>
      <c r="G358" t="s">
        <v>275</v>
      </c>
      <c r="H358">
        <v>58.77</v>
      </c>
      <c r="K358" t="s">
        <v>1776</v>
      </c>
      <c r="O358" t="s">
        <v>274</v>
      </c>
      <c r="Q358" t="s">
        <v>501</v>
      </c>
      <c r="S358" t="s">
        <v>503</v>
      </c>
      <c r="T358" t="s">
        <v>508</v>
      </c>
      <c r="U358" t="s">
        <v>511</v>
      </c>
      <c r="V358">
        <v>11434</v>
      </c>
      <c r="W358" t="s">
        <v>517</v>
      </c>
      <c r="X358" t="s">
        <v>549</v>
      </c>
      <c r="Z358" t="s">
        <v>2064</v>
      </c>
      <c r="AA358" t="s">
        <v>2330</v>
      </c>
      <c r="AB358" t="s">
        <v>902</v>
      </c>
      <c r="AC358" t="s">
        <v>904</v>
      </c>
      <c r="AF358" t="s">
        <v>928</v>
      </c>
      <c r="AI358">
        <v>0.95</v>
      </c>
      <c r="AJ358" t="s">
        <v>558</v>
      </c>
      <c r="AT358">
        <v>2</v>
      </c>
      <c r="AU358">
        <v>1</v>
      </c>
      <c r="AV358" t="s">
        <v>273</v>
      </c>
      <c r="AY358" t="s">
        <v>273</v>
      </c>
      <c r="BB358">
        <v>0</v>
      </c>
      <c r="BC358">
        <v>0</v>
      </c>
      <c r="BD358">
        <v>0</v>
      </c>
      <c r="BE358">
        <v>0</v>
      </c>
      <c r="BF358" t="s">
        <v>1063</v>
      </c>
      <c r="BG358" t="s">
        <v>2685</v>
      </c>
      <c r="BH358">
        <v>27</v>
      </c>
      <c r="BI358" t="s">
        <v>1267</v>
      </c>
      <c r="BK358">
        <v>1851023</v>
      </c>
    </row>
    <row r="359" spans="1:63">
      <c r="A359" s="1">
        <f>HYPERLINK("https://lsnyc.legalserver.org/matter/dynamic-profile/view/1850026","17-1850026")</f>
        <v>0</v>
      </c>
      <c r="B359" t="s">
        <v>1607</v>
      </c>
      <c r="C359" t="s">
        <v>1640</v>
      </c>
      <c r="D359" t="s">
        <v>252</v>
      </c>
      <c r="E359" t="s">
        <v>1646</v>
      </c>
      <c r="F359" t="s">
        <v>274</v>
      </c>
      <c r="G359" t="s">
        <v>274</v>
      </c>
      <c r="H359">
        <v>129.35</v>
      </c>
      <c r="I359" t="s">
        <v>275</v>
      </c>
      <c r="K359" t="s">
        <v>1777</v>
      </c>
      <c r="O359" t="s">
        <v>274</v>
      </c>
      <c r="P359" t="s">
        <v>497</v>
      </c>
      <c r="Q359" t="s">
        <v>501</v>
      </c>
      <c r="S359" t="s">
        <v>503</v>
      </c>
      <c r="T359" t="s">
        <v>508</v>
      </c>
      <c r="U359" t="s">
        <v>511</v>
      </c>
      <c r="V359">
        <v>11214</v>
      </c>
      <c r="W359" t="s">
        <v>517</v>
      </c>
      <c r="X359" t="s">
        <v>549</v>
      </c>
      <c r="Z359" t="s">
        <v>2065</v>
      </c>
      <c r="AA359" t="s">
        <v>2288</v>
      </c>
      <c r="AB359" t="s">
        <v>902</v>
      </c>
      <c r="AC359" t="s">
        <v>904</v>
      </c>
      <c r="AF359" t="s">
        <v>923</v>
      </c>
      <c r="AI359">
        <v>0.7</v>
      </c>
      <c r="AK359" t="s">
        <v>965</v>
      </c>
      <c r="AT359">
        <v>0</v>
      </c>
      <c r="AU359">
        <v>1</v>
      </c>
      <c r="AV359" t="s">
        <v>273</v>
      </c>
      <c r="AY359" t="s">
        <v>273</v>
      </c>
      <c r="BB359">
        <v>0</v>
      </c>
      <c r="BC359">
        <v>0</v>
      </c>
      <c r="BD359">
        <v>0</v>
      </c>
      <c r="BE359">
        <v>0</v>
      </c>
      <c r="BF359" t="s">
        <v>1063</v>
      </c>
      <c r="BG359" t="s">
        <v>2686</v>
      </c>
      <c r="BH359">
        <v>48</v>
      </c>
      <c r="BI359" t="s">
        <v>1270</v>
      </c>
      <c r="BK359">
        <v>1850560</v>
      </c>
    </row>
    <row r="360" spans="1:63">
      <c r="A360" s="1">
        <f>HYPERLINK("https://lsnyc.legalserver.org/matter/dynamic-profile/view/1851141","17-1851141")</f>
        <v>0</v>
      </c>
      <c r="B360" t="s">
        <v>1608</v>
      </c>
      <c r="C360" t="s">
        <v>1640</v>
      </c>
      <c r="D360" t="s">
        <v>253</v>
      </c>
      <c r="E360" t="s">
        <v>1646</v>
      </c>
      <c r="F360" t="s">
        <v>273</v>
      </c>
      <c r="G360" t="s">
        <v>275</v>
      </c>
      <c r="H360">
        <v>96.59</v>
      </c>
      <c r="I360" t="s">
        <v>275</v>
      </c>
      <c r="K360" t="s">
        <v>1778</v>
      </c>
      <c r="Q360" t="s">
        <v>501</v>
      </c>
      <c r="S360" t="s">
        <v>503</v>
      </c>
      <c r="T360" t="s">
        <v>507</v>
      </c>
      <c r="U360" t="s">
        <v>511</v>
      </c>
      <c r="V360">
        <v>11432</v>
      </c>
      <c r="W360" t="s">
        <v>520</v>
      </c>
      <c r="X360" t="s">
        <v>549</v>
      </c>
      <c r="Z360" t="s">
        <v>688</v>
      </c>
      <c r="AA360" t="s">
        <v>2314</v>
      </c>
      <c r="AB360" t="s">
        <v>902</v>
      </c>
      <c r="AC360" t="s">
        <v>908</v>
      </c>
      <c r="AF360" t="s">
        <v>923</v>
      </c>
      <c r="AI360">
        <v>0.3</v>
      </c>
      <c r="AK360" t="s">
        <v>944</v>
      </c>
      <c r="AT360">
        <v>2</v>
      </c>
      <c r="AU360">
        <v>3</v>
      </c>
      <c r="AV360" t="s">
        <v>273</v>
      </c>
      <c r="AY360" t="s">
        <v>273</v>
      </c>
      <c r="BB360">
        <v>0</v>
      </c>
      <c r="BC360">
        <v>0</v>
      </c>
      <c r="BD360">
        <v>0</v>
      </c>
      <c r="BE360">
        <v>0</v>
      </c>
      <c r="BF360" t="s">
        <v>1063</v>
      </c>
      <c r="BG360" t="s">
        <v>2687</v>
      </c>
      <c r="BH360">
        <v>22</v>
      </c>
      <c r="BI360" t="s">
        <v>2802</v>
      </c>
      <c r="BK360">
        <v>798803</v>
      </c>
    </row>
    <row r="361" spans="1:63">
      <c r="A361" s="1">
        <f>HYPERLINK("https://lsnyc.legalserver.org/matter/dynamic-profile/view/1851169","17-1851169")</f>
        <v>0</v>
      </c>
      <c r="B361" t="s">
        <v>1609</v>
      </c>
      <c r="C361" t="s">
        <v>1640</v>
      </c>
      <c r="D361" t="s">
        <v>253</v>
      </c>
      <c r="E361" t="s">
        <v>1646</v>
      </c>
      <c r="F361" t="s">
        <v>273</v>
      </c>
      <c r="G361" t="s">
        <v>275</v>
      </c>
      <c r="H361">
        <v>84.34</v>
      </c>
      <c r="I361" t="s">
        <v>275</v>
      </c>
      <c r="K361" t="s">
        <v>1778</v>
      </c>
      <c r="Q361" t="s">
        <v>501</v>
      </c>
      <c r="S361" t="s">
        <v>503</v>
      </c>
      <c r="T361" t="s">
        <v>507</v>
      </c>
      <c r="U361" t="s">
        <v>511</v>
      </c>
      <c r="V361">
        <v>11432</v>
      </c>
      <c r="W361" t="s">
        <v>520</v>
      </c>
      <c r="X361" t="s">
        <v>549</v>
      </c>
      <c r="Z361" t="s">
        <v>2066</v>
      </c>
      <c r="AA361" t="s">
        <v>2314</v>
      </c>
      <c r="AB361" t="s">
        <v>902</v>
      </c>
      <c r="AC361" t="s">
        <v>908</v>
      </c>
      <c r="AF361" t="s">
        <v>923</v>
      </c>
      <c r="AI361">
        <v>1.1</v>
      </c>
      <c r="AK361" t="s">
        <v>944</v>
      </c>
      <c r="AT361">
        <v>3</v>
      </c>
      <c r="AU361">
        <v>3</v>
      </c>
      <c r="AV361" t="s">
        <v>273</v>
      </c>
      <c r="AY361" t="s">
        <v>273</v>
      </c>
      <c r="BB361">
        <v>0</v>
      </c>
      <c r="BC361">
        <v>0</v>
      </c>
      <c r="BD361">
        <v>0</v>
      </c>
      <c r="BE361">
        <v>0</v>
      </c>
      <c r="BF361" t="s">
        <v>1063</v>
      </c>
      <c r="BG361" t="s">
        <v>2688</v>
      </c>
      <c r="BH361">
        <v>20</v>
      </c>
      <c r="BI361" t="s">
        <v>2802</v>
      </c>
      <c r="BK361">
        <v>1851707</v>
      </c>
    </row>
    <row r="362" spans="1:63">
      <c r="A362" s="1">
        <f>HYPERLINK("https://lsnyc.legalserver.org/matter/dynamic-profile/view/1849171","17-1849171")</f>
        <v>0</v>
      </c>
      <c r="B362" t="s">
        <v>1610</v>
      </c>
      <c r="C362" t="s">
        <v>1640</v>
      </c>
      <c r="D362" t="s">
        <v>253</v>
      </c>
      <c r="E362" t="s">
        <v>1648</v>
      </c>
      <c r="F362" t="s">
        <v>273</v>
      </c>
      <c r="G362" t="s">
        <v>275</v>
      </c>
      <c r="H362">
        <v>63.66</v>
      </c>
      <c r="I362" t="s">
        <v>274</v>
      </c>
      <c r="K362" t="s">
        <v>1779</v>
      </c>
      <c r="Q362" t="s">
        <v>501</v>
      </c>
      <c r="S362" t="s">
        <v>503</v>
      </c>
      <c r="T362" t="s">
        <v>507</v>
      </c>
      <c r="U362" t="s">
        <v>511</v>
      </c>
      <c r="V362">
        <v>11419</v>
      </c>
      <c r="W362" t="s">
        <v>525</v>
      </c>
      <c r="Y362" t="s">
        <v>275</v>
      </c>
      <c r="Z362" t="s">
        <v>2067</v>
      </c>
      <c r="AA362" t="s">
        <v>2331</v>
      </c>
      <c r="AB362" t="s">
        <v>902</v>
      </c>
      <c r="AC362" t="s">
        <v>904</v>
      </c>
      <c r="AF362" t="s">
        <v>923</v>
      </c>
      <c r="AI362">
        <v>11.2</v>
      </c>
      <c r="AK362" t="s">
        <v>965</v>
      </c>
      <c r="AL362" t="s">
        <v>274</v>
      </c>
      <c r="AM362" t="s">
        <v>973</v>
      </c>
      <c r="AN362" t="s">
        <v>2400</v>
      </c>
      <c r="AT362">
        <v>2</v>
      </c>
      <c r="AU362">
        <v>1</v>
      </c>
      <c r="AV362" t="s">
        <v>273</v>
      </c>
      <c r="AY362" t="s">
        <v>273</v>
      </c>
      <c r="BB362">
        <v>0</v>
      </c>
      <c r="BC362">
        <v>0</v>
      </c>
      <c r="BD362">
        <v>0</v>
      </c>
      <c r="BE362">
        <v>0</v>
      </c>
      <c r="BF362" t="s">
        <v>1063</v>
      </c>
      <c r="BG362" t="s">
        <v>2689</v>
      </c>
      <c r="BH362">
        <v>8</v>
      </c>
      <c r="BI362" t="s">
        <v>1264</v>
      </c>
      <c r="BK362">
        <v>1849698</v>
      </c>
    </row>
    <row r="363" spans="1:63">
      <c r="A363" s="1">
        <f>HYPERLINK("https://lsnyc.legalserver.org/matter/dynamic-profile/view/1848619","17-1848619")</f>
        <v>0</v>
      </c>
      <c r="B363" t="s">
        <v>1611</v>
      </c>
      <c r="C363" t="s">
        <v>1640</v>
      </c>
      <c r="D363" t="s">
        <v>253</v>
      </c>
      <c r="E363" t="s">
        <v>1648</v>
      </c>
      <c r="F363" t="s">
        <v>273</v>
      </c>
      <c r="G363" t="s">
        <v>275</v>
      </c>
      <c r="H363">
        <v>0</v>
      </c>
      <c r="I363" t="s">
        <v>274</v>
      </c>
      <c r="K363" t="s">
        <v>1780</v>
      </c>
      <c r="L363" t="s">
        <v>449</v>
      </c>
      <c r="Q363" t="s">
        <v>501</v>
      </c>
      <c r="S363" t="s">
        <v>503</v>
      </c>
      <c r="T363" t="s">
        <v>508</v>
      </c>
      <c r="U363" t="s">
        <v>511</v>
      </c>
      <c r="V363">
        <v>11433</v>
      </c>
      <c r="W363" t="s">
        <v>520</v>
      </c>
      <c r="X363" t="s">
        <v>548</v>
      </c>
      <c r="Y363" t="s">
        <v>275</v>
      </c>
      <c r="Z363" t="s">
        <v>2015</v>
      </c>
      <c r="AA363" t="s">
        <v>2332</v>
      </c>
      <c r="AB363" t="s">
        <v>902</v>
      </c>
      <c r="AC363" t="s">
        <v>905</v>
      </c>
      <c r="AD363" t="s">
        <v>274</v>
      </c>
      <c r="AE363" t="s">
        <v>919</v>
      </c>
      <c r="AF363" t="s">
        <v>923</v>
      </c>
      <c r="AI363">
        <v>9.949999999999999</v>
      </c>
      <c r="AK363" t="s">
        <v>934</v>
      </c>
      <c r="AL363" t="s">
        <v>274</v>
      </c>
      <c r="AM363" t="s">
        <v>973</v>
      </c>
      <c r="AN363" t="s">
        <v>2401</v>
      </c>
      <c r="AQ363" t="s">
        <v>1036</v>
      </c>
      <c r="AR363" t="s">
        <v>1051</v>
      </c>
      <c r="AT363">
        <v>1</v>
      </c>
      <c r="AU363">
        <v>1</v>
      </c>
      <c r="AV363" t="s">
        <v>273</v>
      </c>
      <c r="AY363" t="s">
        <v>273</v>
      </c>
      <c r="BB363">
        <v>0</v>
      </c>
      <c r="BC363">
        <v>0</v>
      </c>
      <c r="BD363">
        <v>0</v>
      </c>
      <c r="BE363">
        <v>0</v>
      </c>
      <c r="BF363" t="s">
        <v>493</v>
      </c>
      <c r="BG363" t="s">
        <v>2690</v>
      </c>
      <c r="BH363">
        <v>32</v>
      </c>
      <c r="BI363" t="s">
        <v>1247</v>
      </c>
      <c r="BK363">
        <v>808305</v>
      </c>
    </row>
    <row r="364" spans="1:63">
      <c r="A364" s="1">
        <f>HYPERLINK("https://lsnyc.legalserver.org/matter/dynamic-profile/view/1848376","17-1848376")</f>
        <v>0</v>
      </c>
      <c r="B364" t="s">
        <v>1612</v>
      </c>
      <c r="C364" t="s">
        <v>1640</v>
      </c>
      <c r="D364" t="s">
        <v>257</v>
      </c>
      <c r="E364" t="s">
        <v>1650</v>
      </c>
      <c r="F364" t="s">
        <v>274</v>
      </c>
      <c r="G364" t="s">
        <v>274</v>
      </c>
      <c r="H364">
        <v>194.03</v>
      </c>
      <c r="K364" t="s">
        <v>1781</v>
      </c>
      <c r="O364" t="s">
        <v>274</v>
      </c>
      <c r="P364" t="s">
        <v>498</v>
      </c>
      <c r="Q364" t="s">
        <v>501</v>
      </c>
      <c r="S364" t="s">
        <v>503</v>
      </c>
      <c r="T364" t="s">
        <v>508</v>
      </c>
      <c r="U364" t="s">
        <v>511</v>
      </c>
      <c r="V364">
        <v>10456</v>
      </c>
      <c r="W364" t="s">
        <v>517</v>
      </c>
      <c r="X364" t="s">
        <v>548</v>
      </c>
      <c r="Y364" t="s">
        <v>275</v>
      </c>
      <c r="Z364" t="s">
        <v>2068</v>
      </c>
      <c r="AA364" t="s">
        <v>2333</v>
      </c>
      <c r="AB364" t="s">
        <v>902</v>
      </c>
      <c r="AC364" t="s">
        <v>904</v>
      </c>
      <c r="AF364" t="s">
        <v>923</v>
      </c>
      <c r="AI364">
        <v>4.46</v>
      </c>
      <c r="AJ364" t="s">
        <v>2361</v>
      </c>
      <c r="AK364" t="s">
        <v>950</v>
      </c>
      <c r="AT364">
        <v>0</v>
      </c>
      <c r="AU364">
        <v>1</v>
      </c>
      <c r="AV364" t="s">
        <v>273</v>
      </c>
      <c r="AY364" t="s">
        <v>273</v>
      </c>
      <c r="BB364">
        <v>0</v>
      </c>
      <c r="BC364">
        <v>0</v>
      </c>
      <c r="BD364">
        <v>0</v>
      </c>
      <c r="BE364">
        <v>0</v>
      </c>
      <c r="BF364" t="s">
        <v>1063</v>
      </c>
      <c r="BG364" t="s">
        <v>2691</v>
      </c>
      <c r="BH364">
        <v>52</v>
      </c>
      <c r="BI364" t="s">
        <v>1248</v>
      </c>
      <c r="BK364">
        <v>1848903</v>
      </c>
    </row>
    <row r="365" spans="1:63">
      <c r="A365" s="1">
        <f>HYPERLINK("https://lsnyc.legalserver.org/matter/dynamic-profile/view/1848150","17-1848150")</f>
        <v>0</v>
      </c>
      <c r="B365" t="s">
        <v>1613</v>
      </c>
      <c r="C365" t="s">
        <v>1640</v>
      </c>
      <c r="D365" t="s">
        <v>257</v>
      </c>
      <c r="E365" t="s">
        <v>1650</v>
      </c>
      <c r="F365" t="s">
        <v>274</v>
      </c>
      <c r="G365" t="s">
        <v>274</v>
      </c>
      <c r="H365">
        <v>192.12</v>
      </c>
      <c r="I365" t="s">
        <v>274</v>
      </c>
      <c r="K365" t="s">
        <v>1782</v>
      </c>
      <c r="O365" t="s">
        <v>274</v>
      </c>
      <c r="P365" t="s">
        <v>498</v>
      </c>
      <c r="Q365" t="s">
        <v>501</v>
      </c>
      <c r="S365" t="s">
        <v>503</v>
      </c>
      <c r="T365" t="s">
        <v>508</v>
      </c>
      <c r="U365" t="s">
        <v>511</v>
      </c>
      <c r="V365">
        <v>10473</v>
      </c>
      <c r="W365" t="s">
        <v>517</v>
      </c>
      <c r="X365" t="s">
        <v>548</v>
      </c>
      <c r="Y365" t="s">
        <v>275</v>
      </c>
      <c r="Z365" t="s">
        <v>2069</v>
      </c>
      <c r="AA365" t="s">
        <v>770</v>
      </c>
      <c r="AB365" t="s">
        <v>902</v>
      </c>
      <c r="AC365" t="s">
        <v>904</v>
      </c>
      <c r="AF365" t="s">
        <v>923</v>
      </c>
      <c r="AI365">
        <v>3.55</v>
      </c>
      <c r="AJ365" t="s">
        <v>558</v>
      </c>
      <c r="AK365" t="s">
        <v>934</v>
      </c>
      <c r="AT365">
        <v>1</v>
      </c>
      <c r="AU365">
        <v>1</v>
      </c>
      <c r="AV365" t="s">
        <v>273</v>
      </c>
      <c r="AY365" t="s">
        <v>273</v>
      </c>
      <c r="BB365">
        <v>0</v>
      </c>
      <c r="BC365">
        <v>0</v>
      </c>
      <c r="BD365">
        <v>0</v>
      </c>
      <c r="BE365">
        <v>0</v>
      </c>
      <c r="BF365" t="s">
        <v>1063</v>
      </c>
      <c r="BG365" t="s">
        <v>2692</v>
      </c>
      <c r="BH365">
        <v>44</v>
      </c>
      <c r="BI365" t="s">
        <v>1254</v>
      </c>
      <c r="BK365">
        <v>1848675</v>
      </c>
    </row>
    <row r="366" spans="1:63">
      <c r="A366" s="1">
        <f>HYPERLINK("https://lsnyc.legalserver.org/matter/dynamic-profile/view/1847472","17-1847472")</f>
        <v>0</v>
      </c>
      <c r="B366" t="s">
        <v>1614</v>
      </c>
      <c r="C366" t="s">
        <v>1640</v>
      </c>
      <c r="D366" t="s">
        <v>255</v>
      </c>
      <c r="E366" t="s">
        <v>1646</v>
      </c>
      <c r="F366" t="s">
        <v>274</v>
      </c>
      <c r="G366" t="s">
        <v>274</v>
      </c>
      <c r="H366">
        <v>136.14</v>
      </c>
      <c r="I366" t="s">
        <v>274</v>
      </c>
      <c r="K366" t="s">
        <v>1783</v>
      </c>
      <c r="O366" t="s">
        <v>274</v>
      </c>
      <c r="P366" t="s">
        <v>497</v>
      </c>
      <c r="Q366" t="s">
        <v>501</v>
      </c>
      <c r="S366" t="s">
        <v>503</v>
      </c>
      <c r="T366" t="s">
        <v>507</v>
      </c>
      <c r="U366" t="s">
        <v>511</v>
      </c>
      <c r="V366">
        <v>10002</v>
      </c>
      <c r="W366" t="s">
        <v>517</v>
      </c>
      <c r="X366" t="s">
        <v>548</v>
      </c>
      <c r="Z366" t="s">
        <v>2070</v>
      </c>
      <c r="AA366" t="s">
        <v>2334</v>
      </c>
      <c r="AB366" t="s">
        <v>903</v>
      </c>
      <c r="AF366" t="s">
        <v>923</v>
      </c>
      <c r="AI366">
        <v>1.54</v>
      </c>
      <c r="AK366" t="s">
        <v>950</v>
      </c>
      <c r="AT366">
        <v>1</v>
      </c>
      <c r="AU366">
        <v>2</v>
      </c>
      <c r="AV366" t="s">
        <v>273</v>
      </c>
      <c r="AY366" t="s">
        <v>273</v>
      </c>
      <c r="BB366">
        <v>0</v>
      </c>
      <c r="BC366">
        <v>0</v>
      </c>
      <c r="BD366">
        <v>0</v>
      </c>
      <c r="BE366">
        <v>0</v>
      </c>
      <c r="BF366" t="s">
        <v>1063</v>
      </c>
      <c r="BG366" t="s">
        <v>2693</v>
      </c>
      <c r="BH366">
        <v>40</v>
      </c>
      <c r="BI366" t="s">
        <v>2802</v>
      </c>
      <c r="BK366">
        <v>1847995</v>
      </c>
    </row>
    <row r="367" spans="1:63">
      <c r="A367" s="1">
        <f>HYPERLINK("https://lsnyc.legalserver.org/matter/dynamic-profile/view/1847503","17-1847503")</f>
        <v>0</v>
      </c>
      <c r="B367" t="s">
        <v>1615</v>
      </c>
      <c r="C367" t="s">
        <v>1640</v>
      </c>
      <c r="D367" t="s">
        <v>252</v>
      </c>
      <c r="E367" t="s">
        <v>1647</v>
      </c>
      <c r="F367" t="s">
        <v>274</v>
      </c>
      <c r="G367" t="s">
        <v>274</v>
      </c>
      <c r="H367">
        <v>160.1</v>
      </c>
      <c r="I367" t="s">
        <v>275</v>
      </c>
      <c r="K367" t="s">
        <v>1783</v>
      </c>
      <c r="O367" t="s">
        <v>274</v>
      </c>
      <c r="P367" t="s">
        <v>498</v>
      </c>
      <c r="Q367" t="s">
        <v>501</v>
      </c>
      <c r="S367" t="s">
        <v>503</v>
      </c>
      <c r="T367" t="s">
        <v>508</v>
      </c>
      <c r="U367" t="s">
        <v>511</v>
      </c>
      <c r="V367">
        <v>11218</v>
      </c>
      <c r="W367" t="s">
        <v>517</v>
      </c>
      <c r="X367" t="s">
        <v>549</v>
      </c>
      <c r="Z367" t="s">
        <v>2071</v>
      </c>
      <c r="AA367" t="s">
        <v>2335</v>
      </c>
      <c r="AB367" t="s">
        <v>902</v>
      </c>
      <c r="AC367" t="s">
        <v>904</v>
      </c>
      <c r="AF367" t="s">
        <v>923</v>
      </c>
      <c r="AI367">
        <v>4</v>
      </c>
      <c r="AK367" t="s">
        <v>2364</v>
      </c>
      <c r="AT367">
        <v>0</v>
      </c>
      <c r="AU367">
        <v>2</v>
      </c>
      <c r="AV367" t="s">
        <v>273</v>
      </c>
      <c r="AY367" t="s">
        <v>273</v>
      </c>
      <c r="BB367">
        <v>0</v>
      </c>
      <c r="BC367">
        <v>0</v>
      </c>
      <c r="BD367">
        <v>0</v>
      </c>
      <c r="BE367">
        <v>0</v>
      </c>
      <c r="BF367" t="s">
        <v>1063</v>
      </c>
      <c r="BG367" t="s">
        <v>2694</v>
      </c>
      <c r="BH367">
        <v>35</v>
      </c>
      <c r="BI367" t="s">
        <v>1279</v>
      </c>
      <c r="BK367">
        <v>734181</v>
      </c>
    </row>
    <row r="368" spans="1:63">
      <c r="A368" s="1">
        <f>HYPERLINK("https://lsnyc.legalserver.org/matter/dynamic-profile/view/1847549","17-1847549")</f>
        <v>0</v>
      </c>
      <c r="B368" t="s">
        <v>1616</v>
      </c>
      <c r="C368" t="s">
        <v>1640</v>
      </c>
      <c r="D368" t="s">
        <v>253</v>
      </c>
      <c r="E368" t="s">
        <v>1647</v>
      </c>
      <c r="F368" t="s">
        <v>273</v>
      </c>
      <c r="G368" t="s">
        <v>275</v>
      </c>
      <c r="H368">
        <v>82.52</v>
      </c>
      <c r="I368" t="s">
        <v>274</v>
      </c>
      <c r="K368" t="s">
        <v>1783</v>
      </c>
      <c r="M368" t="s">
        <v>474</v>
      </c>
      <c r="N368" t="s">
        <v>289</v>
      </c>
      <c r="O368" t="s">
        <v>275</v>
      </c>
      <c r="P368" t="s">
        <v>496</v>
      </c>
      <c r="Q368" t="s">
        <v>501</v>
      </c>
      <c r="S368" t="s">
        <v>503</v>
      </c>
      <c r="T368" t="s">
        <v>508</v>
      </c>
      <c r="U368" t="s">
        <v>511</v>
      </c>
      <c r="V368">
        <v>11435</v>
      </c>
      <c r="W368" t="s">
        <v>524</v>
      </c>
      <c r="X368" t="s">
        <v>548</v>
      </c>
      <c r="Y368" t="s">
        <v>275</v>
      </c>
      <c r="Z368" t="s">
        <v>685</v>
      </c>
      <c r="AA368" t="s">
        <v>2336</v>
      </c>
      <c r="AB368" t="s">
        <v>902</v>
      </c>
      <c r="AC368" t="s">
        <v>910</v>
      </c>
      <c r="AF368" t="s">
        <v>923</v>
      </c>
      <c r="AI368">
        <v>17.58</v>
      </c>
      <c r="AJ368" t="s">
        <v>558</v>
      </c>
      <c r="AK368" t="s">
        <v>936</v>
      </c>
      <c r="AL368" t="s">
        <v>274</v>
      </c>
      <c r="AM368" t="s">
        <v>973</v>
      </c>
      <c r="AT368">
        <v>3</v>
      </c>
      <c r="AU368">
        <v>3</v>
      </c>
      <c r="AV368" t="s">
        <v>273</v>
      </c>
      <c r="AY368" t="s">
        <v>273</v>
      </c>
      <c r="BB368">
        <v>0</v>
      </c>
      <c r="BC368">
        <v>0</v>
      </c>
      <c r="BD368">
        <v>0</v>
      </c>
      <c r="BE368">
        <v>0</v>
      </c>
      <c r="BF368" t="s">
        <v>1063</v>
      </c>
      <c r="BG368" t="s">
        <v>2695</v>
      </c>
      <c r="BH368">
        <v>19</v>
      </c>
      <c r="BI368" t="s">
        <v>2803</v>
      </c>
      <c r="BK368">
        <v>786648</v>
      </c>
    </row>
    <row r="369" spans="1:64">
      <c r="A369" s="1">
        <f>HYPERLINK("https://lsnyc.legalserver.org/matter/dynamic-profile/view/1847396","17-1847396")</f>
        <v>0</v>
      </c>
      <c r="B369" t="s">
        <v>1617</v>
      </c>
      <c r="C369" t="s">
        <v>1640</v>
      </c>
      <c r="D369" t="s">
        <v>257</v>
      </c>
      <c r="E369" t="s">
        <v>1650</v>
      </c>
      <c r="F369" t="s">
        <v>274</v>
      </c>
      <c r="G369" t="s">
        <v>274</v>
      </c>
      <c r="H369">
        <v>239.96</v>
      </c>
      <c r="I369" t="s">
        <v>274</v>
      </c>
      <c r="K369" t="s">
        <v>1784</v>
      </c>
      <c r="O369" t="s">
        <v>274</v>
      </c>
      <c r="P369" t="s">
        <v>499</v>
      </c>
      <c r="Q369" t="s">
        <v>501</v>
      </c>
      <c r="S369" t="s">
        <v>503</v>
      </c>
      <c r="T369" t="s">
        <v>507</v>
      </c>
      <c r="U369" t="s">
        <v>511</v>
      </c>
      <c r="V369">
        <v>10460</v>
      </c>
      <c r="W369" t="s">
        <v>517</v>
      </c>
      <c r="X369" t="s">
        <v>548</v>
      </c>
      <c r="Y369" t="s">
        <v>275</v>
      </c>
      <c r="Z369" t="s">
        <v>1991</v>
      </c>
      <c r="AA369" t="s">
        <v>2337</v>
      </c>
      <c r="AB369" t="s">
        <v>902</v>
      </c>
      <c r="AC369" t="s">
        <v>904</v>
      </c>
      <c r="AF369" t="s">
        <v>923</v>
      </c>
      <c r="AI369">
        <v>5.45</v>
      </c>
      <c r="AJ369" t="s">
        <v>558</v>
      </c>
      <c r="AK369" t="s">
        <v>950</v>
      </c>
      <c r="AT369">
        <v>0</v>
      </c>
      <c r="AU369">
        <v>3</v>
      </c>
      <c r="AV369" t="s">
        <v>273</v>
      </c>
      <c r="AY369" t="s">
        <v>273</v>
      </c>
      <c r="BB369">
        <v>0</v>
      </c>
      <c r="BC369">
        <v>0</v>
      </c>
      <c r="BD369">
        <v>0</v>
      </c>
      <c r="BE369">
        <v>0</v>
      </c>
      <c r="BF369" t="s">
        <v>1063</v>
      </c>
      <c r="BG369" t="s">
        <v>2696</v>
      </c>
      <c r="BH369">
        <v>58</v>
      </c>
      <c r="BI369" t="s">
        <v>2804</v>
      </c>
      <c r="BK369">
        <v>1847919</v>
      </c>
    </row>
    <row r="370" spans="1:64">
      <c r="A370" s="1">
        <f>HYPERLINK("https://lsnyc.legalserver.org/matter/dynamic-profile/view/1846950","17-1846950")</f>
        <v>0</v>
      </c>
      <c r="B370" t="s">
        <v>1618</v>
      </c>
      <c r="C370" t="s">
        <v>1640</v>
      </c>
      <c r="D370" t="s">
        <v>257</v>
      </c>
      <c r="E370" t="s">
        <v>1646</v>
      </c>
      <c r="F370" t="s">
        <v>274</v>
      </c>
      <c r="G370" t="s">
        <v>274</v>
      </c>
      <c r="H370">
        <v>73.23</v>
      </c>
      <c r="I370" t="s">
        <v>274</v>
      </c>
      <c r="K370" t="s">
        <v>1785</v>
      </c>
      <c r="O370" t="s">
        <v>274</v>
      </c>
      <c r="P370" t="s">
        <v>497</v>
      </c>
      <c r="Q370" t="s">
        <v>501</v>
      </c>
      <c r="S370" t="s">
        <v>503</v>
      </c>
      <c r="T370" t="s">
        <v>508</v>
      </c>
      <c r="U370" t="s">
        <v>511</v>
      </c>
      <c r="V370">
        <v>10460</v>
      </c>
      <c r="W370" t="s">
        <v>517</v>
      </c>
      <c r="X370" t="s">
        <v>549</v>
      </c>
      <c r="Z370" t="s">
        <v>2072</v>
      </c>
      <c r="AA370" t="s">
        <v>2338</v>
      </c>
      <c r="AB370" t="s">
        <v>902</v>
      </c>
      <c r="AC370" t="s">
        <v>904</v>
      </c>
      <c r="AF370" t="s">
        <v>923</v>
      </c>
      <c r="AI370">
        <v>3.3</v>
      </c>
      <c r="AJ370" t="s">
        <v>558</v>
      </c>
      <c r="AK370" t="s">
        <v>969</v>
      </c>
      <c r="AL370" t="s">
        <v>274</v>
      </c>
      <c r="AT370">
        <v>0</v>
      </c>
      <c r="AU370">
        <v>1</v>
      </c>
      <c r="AV370" t="s">
        <v>273</v>
      </c>
      <c r="AY370" t="s">
        <v>273</v>
      </c>
      <c r="BB370">
        <v>0</v>
      </c>
      <c r="BC370">
        <v>0</v>
      </c>
      <c r="BD370">
        <v>0</v>
      </c>
      <c r="BE370">
        <v>0</v>
      </c>
      <c r="BF370" t="s">
        <v>1063</v>
      </c>
      <c r="BG370" t="s">
        <v>2697</v>
      </c>
      <c r="BH370">
        <v>72</v>
      </c>
      <c r="BI370" t="s">
        <v>2805</v>
      </c>
      <c r="BK370">
        <v>1847473</v>
      </c>
    </row>
    <row r="371" spans="1:64">
      <c r="A371" s="1">
        <f>HYPERLINK("https://lsnyc.legalserver.org/matter/dynamic-profile/view/1846780","17-1846780")</f>
        <v>0</v>
      </c>
      <c r="B371" t="s">
        <v>1619</v>
      </c>
      <c r="C371" t="s">
        <v>1640</v>
      </c>
      <c r="D371" t="s">
        <v>253</v>
      </c>
      <c r="E371" t="s">
        <v>1646</v>
      </c>
      <c r="F371" t="s">
        <v>274</v>
      </c>
      <c r="G371" t="s">
        <v>274</v>
      </c>
      <c r="H371">
        <v>175.61</v>
      </c>
      <c r="I371" t="s">
        <v>275</v>
      </c>
      <c r="K371" t="s">
        <v>1786</v>
      </c>
      <c r="L371" t="s">
        <v>481</v>
      </c>
      <c r="O371" t="s">
        <v>274</v>
      </c>
      <c r="P371" t="s">
        <v>493</v>
      </c>
      <c r="Q371" t="s">
        <v>501</v>
      </c>
      <c r="S371" t="s">
        <v>503</v>
      </c>
      <c r="T371" t="s">
        <v>508</v>
      </c>
      <c r="U371" t="s">
        <v>511</v>
      </c>
      <c r="V371">
        <v>11368</v>
      </c>
      <c r="W371" t="s">
        <v>517</v>
      </c>
      <c r="X371" t="s">
        <v>549</v>
      </c>
      <c r="Z371" t="s">
        <v>2073</v>
      </c>
      <c r="AA371" t="s">
        <v>2339</v>
      </c>
      <c r="AB371" t="s">
        <v>902</v>
      </c>
      <c r="AC371" t="s">
        <v>904</v>
      </c>
      <c r="AD371" t="s">
        <v>275</v>
      </c>
      <c r="AE371" t="s">
        <v>919</v>
      </c>
      <c r="AF371" t="s">
        <v>923</v>
      </c>
      <c r="AI371">
        <v>2.95</v>
      </c>
      <c r="AK371" t="s">
        <v>2369</v>
      </c>
      <c r="AQ371" t="s">
        <v>1042</v>
      </c>
      <c r="AR371" t="s">
        <v>1051</v>
      </c>
      <c r="AT371">
        <v>0</v>
      </c>
      <c r="AU371">
        <v>4</v>
      </c>
      <c r="AV371" t="s">
        <v>273</v>
      </c>
      <c r="AY371" t="s">
        <v>273</v>
      </c>
      <c r="BB371">
        <v>0</v>
      </c>
      <c r="BC371">
        <v>0</v>
      </c>
      <c r="BD371">
        <v>0</v>
      </c>
      <c r="BE371">
        <v>0</v>
      </c>
      <c r="BF371" t="s">
        <v>493</v>
      </c>
      <c r="BG371" t="s">
        <v>2698</v>
      </c>
      <c r="BH371">
        <v>20</v>
      </c>
      <c r="BI371" t="s">
        <v>2806</v>
      </c>
      <c r="BK371">
        <v>1847303</v>
      </c>
    </row>
    <row r="372" spans="1:64">
      <c r="A372" s="1">
        <f>HYPERLINK("https://lsnyc.legalserver.org/matter/dynamic-profile/view/1846781","17-1846781")</f>
        <v>0</v>
      </c>
      <c r="B372" t="s">
        <v>1620</v>
      </c>
      <c r="C372" t="s">
        <v>1640</v>
      </c>
      <c r="D372" t="s">
        <v>253</v>
      </c>
      <c r="E372" t="s">
        <v>1646</v>
      </c>
      <c r="F372" t="s">
        <v>274</v>
      </c>
      <c r="G372" t="s">
        <v>274</v>
      </c>
      <c r="H372">
        <v>175.61</v>
      </c>
      <c r="I372" t="s">
        <v>275</v>
      </c>
      <c r="K372" t="s">
        <v>1786</v>
      </c>
      <c r="L372" t="s">
        <v>481</v>
      </c>
      <c r="O372" t="s">
        <v>274</v>
      </c>
      <c r="P372" t="s">
        <v>493</v>
      </c>
      <c r="Q372" t="s">
        <v>501</v>
      </c>
      <c r="S372" t="s">
        <v>503</v>
      </c>
      <c r="T372" t="s">
        <v>508</v>
      </c>
      <c r="U372" t="s">
        <v>511</v>
      </c>
      <c r="V372">
        <v>11368</v>
      </c>
      <c r="W372" t="s">
        <v>517</v>
      </c>
      <c r="X372" t="s">
        <v>549</v>
      </c>
      <c r="Z372" t="s">
        <v>2074</v>
      </c>
      <c r="AA372" t="s">
        <v>2339</v>
      </c>
      <c r="AB372" t="s">
        <v>902</v>
      </c>
      <c r="AC372" t="s">
        <v>904</v>
      </c>
      <c r="AD372" t="s">
        <v>275</v>
      </c>
      <c r="AE372" t="s">
        <v>919</v>
      </c>
      <c r="AF372" t="s">
        <v>923</v>
      </c>
      <c r="AI372">
        <v>2.45</v>
      </c>
      <c r="AK372" t="s">
        <v>2369</v>
      </c>
      <c r="AQ372" t="s">
        <v>1042</v>
      </c>
      <c r="AR372" t="s">
        <v>1051</v>
      </c>
      <c r="AT372">
        <v>0</v>
      </c>
      <c r="AU372">
        <v>4</v>
      </c>
      <c r="AV372" t="s">
        <v>273</v>
      </c>
      <c r="AY372" t="s">
        <v>273</v>
      </c>
      <c r="BB372">
        <v>0</v>
      </c>
      <c r="BC372">
        <v>0</v>
      </c>
      <c r="BD372">
        <v>0</v>
      </c>
      <c r="BE372">
        <v>0</v>
      </c>
      <c r="BF372" t="s">
        <v>493</v>
      </c>
      <c r="BG372" t="s">
        <v>2699</v>
      </c>
      <c r="BH372">
        <v>51</v>
      </c>
      <c r="BI372" t="s">
        <v>2806</v>
      </c>
      <c r="BK372">
        <v>1847304</v>
      </c>
    </row>
    <row r="373" spans="1:64">
      <c r="A373" s="1">
        <f>HYPERLINK("https://lsnyc.legalserver.org/matter/dynamic-profile/view/1846186","17-1846186")</f>
        <v>0</v>
      </c>
      <c r="B373" t="s">
        <v>1621</v>
      </c>
      <c r="C373" t="s">
        <v>1640</v>
      </c>
      <c r="D373" t="s">
        <v>255</v>
      </c>
      <c r="E373" t="s">
        <v>1647</v>
      </c>
      <c r="F373" t="s">
        <v>273</v>
      </c>
      <c r="G373" t="s">
        <v>275</v>
      </c>
      <c r="H373">
        <v>65.95</v>
      </c>
      <c r="I373" t="s">
        <v>274</v>
      </c>
      <c r="K373" t="s">
        <v>1787</v>
      </c>
      <c r="O373" t="s">
        <v>274</v>
      </c>
      <c r="P373" t="s">
        <v>496</v>
      </c>
      <c r="Q373" t="s">
        <v>501</v>
      </c>
      <c r="S373" t="s">
        <v>503</v>
      </c>
      <c r="T373" t="s">
        <v>508</v>
      </c>
      <c r="U373" t="s">
        <v>511</v>
      </c>
      <c r="V373">
        <v>10035</v>
      </c>
      <c r="W373" t="s">
        <v>544</v>
      </c>
      <c r="X373" t="s">
        <v>549</v>
      </c>
      <c r="Y373" t="s">
        <v>275</v>
      </c>
      <c r="Z373" t="s">
        <v>2075</v>
      </c>
      <c r="AA373" t="s">
        <v>2340</v>
      </c>
      <c r="AB373" t="s">
        <v>902</v>
      </c>
      <c r="AC373" t="s">
        <v>904</v>
      </c>
      <c r="AF373" t="s">
        <v>923</v>
      </c>
      <c r="AI373">
        <v>19</v>
      </c>
      <c r="AJ373" t="s">
        <v>558</v>
      </c>
      <c r="AK373" t="s">
        <v>939</v>
      </c>
      <c r="AL373" t="s">
        <v>274</v>
      </c>
      <c r="AT373">
        <v>4</v>
      </c>
      <c r="AU373">
        <v>2</v>
      </c>
      <c r="AV373" t="s">
        <v>273</v>
      </c>
      <c r="AY373" t="s">
        <v>273</v>
      </c>
      <c r="BB373">
        <v>0</v>
      </c>
      <c r="BC373">
        <v>0</v>
      </c>
      <c r="BD373">
        <v>0</v>
      </c>
      <c r="BE373">
        <v>0</v>
      </c>
      <c r="BF373" t="s">
        <v>1063</v>
      </c>
      <c r="BG373" t="s">
        <v>2700</v>
      </c>
      <c r="BH373">
        <v>16</v>
      </c>
      <c r="BI373" t="s">
        <v>2807</v>
      </c>
      <c r="BK373">
        <v>1846708</v>
      </c>
    </row>
    <row r="374" spans="1:64">
      <c r="A374" s="1">
        <f>HYPERLINK("https://lsnyc.legalserver.org/matter/dynamic-profile/view/1845558","17-1845558")</f>
        <v>0</v>
      </c>
      <c r="B374" t="s">
        <v>1622</v>
      </c>
      <c r="C374" t="s">
        <v>1640</v>
      </c>
      <c r="D374" t="s">
        <v>257</v>
      </c>
      <c r="E374" t="s">
        <v>1650</v>
      </c>
      <c r="F374" t="s">
        <v>274</v>
      </c>
      <c r="G374" t="s">
        <v>274</v>
      </c>
      <c r="H374">
        <v>168.1</v>
      </c>
      <c r="K374" t="s">
        <v>422</v>
      </c>
      <c r="O374" t="s">
        <v>274</v>
      </c>
      <c r="P374" t="s">
        <v>498</v>
      </c>
      <c r="Q374" t="s">
        <v>501</v>
      </c>
      <c r="S374" t="s">
        <v>503</v>
      </c>
      <c r="T374" t="s">
        <v>508</v>
      </c>
      <c r="U374" t="s">
        <v>511</v>
      </c>
      <c r="V374">
        <v>10457</v>
      </c>
      <c r="W374" t="s">
        <v>517</v>
      </c>
      <c r="X374" t="s">
        <v>548</v>
      </c>
      <c r="Y374" t="s">
        <v>275</v>
      </c>
      <c r="Z374" t="s">
        <v>577</v>
      </c>
      <c r="AA374" t="s">
        <v>2341</v>
      </c>
      <c r="AB374" t="s">
        <v>902</v>
      </c>
      <c r="AC374" t="s">
        <v>904</v>
      </c>
      <c r="AF374" t="s">
        <v>923</v>
      </c>
      <c r="AI374">
        <v>7.2</v>
      </c>
      <c r="AJ374" t="s">
        <v>558</v>
      </c>
      <c r="AK374" t="s">
        <v>934</v>
      </c>
      <c r="AT374">
        <v>0</v>
      </c>
      <c r="AU374">
        <v>2</v>
      </c>
      <c r="AV374" t="s">
        <v>273</v>
      </c>
      <c r="AY374" t="s">
        <v>273</v>
      </c>
      <c r="BB374">
        <v>0</v>
      </c>
      <c r="BC374">
        <v>0</v>
      </c>
      <c r="BD374">
        <v>0</v>
      </c>
      <c r="BE374">
        <v>0</v>
      </c>
      <c r="BF374" t="s">
        <v>1063</v>
      </c>
      <c r="BG374" t="s">
        <v>2701</v>
      </c>
      <c r="BH374">
        <v>49</v>
      </c>
      <c r="BI374" t="s">
        <v>2808</v>
      </c>
      <c r="BK374">
        <v>1846074</v>
      </c>
    </row>
    <row r="375" spans="1:64">
      <c r="A375" s="1">
        <f>HYPERLINK("https://lsnyc.legalserver.org/matter/dynamic-profile/view/1845342","17-1845342")</f>
        <v>0</v>
      </c>
      <c r="B375" t="s">
        <v>1623</v>
      </c>
      <c r="C375" t="s">
        <v>1640</v>
      </c>
      <c r="D375" t="s">
        <v>257</v>
      </c>
      <c r="E375" t="s">
        <v>1646</v>
      </c>
      <c r="F375" t="s">
        <v>274</v>
      </c>
      <c r="G375" t="s">
        <v>274</v>
      </c>
      <c r="H375">
        <v>220.37</v>
      </c>
      <c r="I375" t="s">
        <v>274</v>
      </c>
      <c r="K375" t="s">
        <v>1788</v>
      </c>
      <c r="L375" t="s">
        <v>481</v>
      </c>
      <c r="O375" t="s">
        <v>274</v>
      </c>
      <c r="P375" t="s">
        <v>493</v>
      </c>
      <c r="Q375" t="s">
        <v>501</v>
      </c>
      <c r="S375" t="s">
        <v>503</v>
      </c>
      <c r="T375" t="s">
        <v>508</v>
      </c>
      <c r="U375" t="s">
        <v>511</v>
      </c>
      <c r="V375">
        <v>10475</v>
      </c>
      <c r="W375" t="s">
        <v>517</v>
      </c>
      <c r="X375" t="s">
        <v>549</v>
      </c>
      <c r="Z375" t="s">
        <v>2027</v>
      </c>
      <c r="AA375" t="s">
        <v>2342</v>
      </c>
      <c r="AB375" t="s">
        <v>902</v>
      </c>
      <c r="AC375" t="s">
        <v>904</v>
      </c>
      <c r="AD375" t="s">
        <v>275</v>
      </c>
      <c r="AE375" t="s">
        <v>919</v>
      </c>
      <c r="AF375" t="s">
        <v>923</v>
      </c>
      <c r="AI375">
        <v>1.15</v>
      </c>
      <c r="AK375" t="s">
        <v>2375</v>
      </c>
      <c r="AQ375" t="s">
        <v>1042</v>
      </c>
      <c r="AR375" t="s">
        <v>1051</v>
      </c>
      <c r="AT375">
        <v>1</v>
      </c>
      <c r="AU375">
        <v>2</v>
      </c>
      <c r="AV375" t="s">
        <v>273</v>
      </c>
      <c r="AY375" t="s">
        <v>273</v>
      </c>
      <c r="BB375">
        <v>0</v>
      </c>
      <c r="BC375">
        <v>0</v>
      </c>
      <c r="BD375">
        <v>0</v>
      </c>
      <c r="BE375">
        <v>0</v>
      </c>
      <c r="BF375" t="s">
        <v>493</v>
      </c>
      <c r="BG375" t="s">
        <v>2702</v>
      </c>
      <c r="BH375">
        <v>34</v>
      </c>
      <c r="BI375" t="s">
        <v>2809</v>
      </c>
      <c r="BK375">
        <v>1845857</v>
      </c>
    </row>
    <row r="376" spans="1:64">
      <c r="A376" s="1">
        <f>HYPERLINK("https://lsnyc.legalserver.org/matter/dynamic-profile/view/1845322","17-1845322")</f>
        <v>0</v>
      </c>
      <c r="B376" t="s">
        <v>1624</v>
      </c>
      <c r="C376" t="s">
        <v>1640</v>
      </c>
      <c r="D376" t="s">
        <v>254</v>
      </c>
      <c r="E376" t="s">
        <v>1646</v>
      </c>
      <c r="F376" t="s">
        <v>274</v>
      </c>
      <c r="G376" t="s">
        <v>274</v>
      </c>
      <c r="H376">
        <v>84.55</v>
      </c>
      <c r="I376" t="s">
        <v>274</v>
      </c>
      <c r="K376" t="s">
        <v>1788</v>
      </c>
      <c r="M376" t="s">
        <v>472</v>
      </c>
      <c r="N376" t="s">
        <v>1680</v>
      </c>
      <c r="O376" t="s">
        <v>274</v>
      </c>
      <c r="P376" t="s">
        <v>492</v>
      </c>
      <c r="Q376" t="s">
        <v>501</v>
      </c>
      <c r="S376" t="s">
        <v>503</v>
      </c>
      <c r="T376" t="s">
        <v>508</v>
      </c>
      <c r="U376" t="s">
        <v>511</v>
      </c>
      <c r="V376">
        <v>10301</v>
      </c>
      <c r="W376" t="s">
        <v>517</v>
      </c>
      <c r="X376" t="s">
        <v>549</v>
      </c>
      <c r="Y376" t="s">
        <v>274</v>
      </c>
      <c r="Z376" t="s">
        <v>2076</v>
      </c>
      <c r="AA376" t="s">
        <v>2110</v>
      </c>
      <c r="AB376" t="s">
        <v>902</v>
      </c>
      <c r="AC376" t="s">
        <v>904</v>
      </c>
      <c r="AF376" t="s">
        <v>923</v>
      </c>
      <c r="AI376">
        <v>16.38</v>
      </c>
      <c r="AJ376" t="s">
        <v>558</v>
      </c>
      <c r="AK376" t="s">
        <v>938</v>
      </c>
      <c r="AL376" t="s">
        <v>274</v>
      </c>
      <c r="AM376" t="s">
        <v>973</v>
      </c>
      <c r="AN376" t="s">
        <v>1680</v>
      </c>
      <c r="AT376">
        <v>2</v>
      </c>
      <c r="AU376">
        <v>2</v>
      </c>
      <c r="AV376" t="s">
        <v>273</v>
      </c>
      <c r="AY376" t="s">
        <v>273</v>
      </c>
      <c r="BB376">
        <v>0</v>
      </c>
      <c r="BC376">
        <v>0</v>
      </c>
      <c r="BD376">
        <v>0</v>
      </c>
      <c r="BE376">
        <v>0</v>
      </c>
      <c r="BF376" t="s">
        <v>1063</v>
      </c>
      <c r="BG376" t="s">
        <v>2703</v>
      </c>
      <c r="BH376">
        <v>30</v>
      </c>
      <c r="BI376" t="s">
        <v>1261</v>
      </c>
      <c r="BK376">
        <v>806216</v>
      </c>
    </row>
    <row r="377" spans="1:64">
      <c r="A377" s="1">
        <f>HYPERLINK("https://lsnyc.legalserver.org/matter/dynamic-profile/view/1845173","17-1845173")</f>
        <v>0</v>
      </c>
      <c r="B377" t="s">
        <v>1625</v>
      </c>
      <c r="C377" t="s">
        <v>1640</v>
      </c>
      <c r="D377" t="s">
        <v>253</v>
      </c>
      <c r="E377" t="s">
        <v>1650</v>
      </c>
      <c r="F377" t="s">
        <v>274</v>
      </c>
      <c r="G377" t="s">
        <v>274</v>
      </c>
      <c r="H377">
        <v>139.3</v>
      </c>
      <c r="K377" t="s">
        <v>1789</v>
      </c>
      <c r="L377" t="s">
        <v>1810</v>
      </c>
      <c r="O377" t="s">
        <v>274</v>
      </c>
      <c r="P377" t="s">
        <v>493</v>
      </c>
      <c r="Q377" t="s">
        <v>501</v>
      </c>
      <c r="S377" t="s">
        <v>503</v>
      </c>
      <c r="T377" t="s">
        <v>508</v>
      </c>
      <c r="U377" t="s">
        <v>511</v>
      </c>
      <c r="V377">
        <v>11411</v>
      </c>
      <c r="W377" t="s">
        <v>517</v>
      </c>
      <c r="X377" t="s">
        <v>548</v>
      </c>
      <c r="Y377" t="s">
        <v>275</v>
      </c>
      <c r="Z377" t="s">
        <v>2077</v>
      </c>
      <c r="AA377" t="s">
        <v>2343</v>
      </c>
      <c r="AB377" t="s">
        <v>902</v>
      </c>
      <c r="AC377" t="s">
        <v>904</v>
      </c>
      <c r="AD377" t="s">
        <v>275</v>
      </c>
      <c r="AE377" t="s">
        <v>919</v>
      </c>
      <c r="AF377" t="s">
        <v>923</v>
      </c>
      <c r="AI377">
        <v>4.5</v>
      </c>
      <c r="AJ377" t="s">
        <v>558</v>
      </c>
      <c r="AK377" t="s">
        <v>941</v>
      </c>
      <c r="AQ377" t="s">
        <v>1042</v>
      </c>
      <c r="AR377" t="s">
        <v>1051</v>
      </c>
      <c r="AT377">
        <v>0</v>
      </c>
      <c r="AU377">
        <v>1</v>
      </c>
      <c r="AV377" t="s">
        <v>273</v>
      </c>
      <c r="AY377" t="s">
        <v>273</v>
      </c>
      <c r="BB377">
        <v>0</v>
      </c>
      <c r="BC377">
        <v>0</v>
      </c>
      <c r="BD377">
        <v>0</v>
      </c>
      <c r="BE377">
        <v>0</v>
      </c>
      <c r="BF377" t="s">
        <v>493</v>
      </c>
      <c r="BG377" t="s">
        <v>2704</v>
      </c>
      <c r="BH377">
        <v>71</v>
      </c>
      <c r="BI377" t="s">
        <v>1313</v>
      </c>
      <c r="BK377">
        <v>1845685</v>
      </c>
    </row>
    <row r="378" spans="1:64">
      <c r="A378" s="1">
        <f>HYPERLINK("https://lsnyc.legalserver.org/matter/dynamic-profile/view/1842631","17-1842631")</f>
        <v>0</v>
      </c>
      <c r="B378" t="s">
        <v>1626</v>
      </c>
      <c r="C378" t="s">
        <v>1640</v>
      </c>
      <c r="D378" t="s">
        <v>254</v>
      </c>
      <c r="E378" t="s">
        <v>1650</v>
      </c>
      <c r="F378" t="s">
        <v>274</v>
      </c>
      <c r="G378" t="s">
        <v>274</v>
      </c>
      <c r="H378">
        <v>64.68000000000001</v>
      </c>
      <c r="I378" t="s">
        <v>275</v>
      </c>
      <c r="K378" t="s">
        <v>426</v>
      </c>
      <c r="O378" t="s">
        <v>275</v>
      </c>
      <c r="Q378" t="s">
        <v>501</v>
      </c>
      <c r="S378" t="s">
        <v>503</v>
      </c>
      <c r="T378" t="s">
        <v>507</v>
      </c>
      <c r="U378" t="s">
        <v>511</v>
      </c>
      <c r="V378">
        <v>10304</v>
      </c>
      <c r="W378" t="s">
        <v>517</v>
      </c>
      <c r="X378" t="s">
        <v>549</v>
      </c>
      <c r="Y378" t="s">
        <v>275</v>
      </c>
      <c r="Z378" t="s">
        <v>2078</v>
      </c>
      <c r="AA378" t="s">
        <v>2344</v>
      </c>
      <c r="AB378" t="s">
        <v>902</v>
      </c>
      <c r="AC378" t="s">
        <v>904</v>
      </c>
      <c r="AF378" t="s">
        <v>923</v>
      </c>
      <c r="AI378">
        <v>2.4</v>
      </c>
      <c r="AJ378" t="s">
        <v>558</v>
      </c>
      <c r="AK378" t="s">
        <v>2384</v>
      </c>
      <c r="AT378">
        <v>0</v>
      </c>
      <c r="AU378">
        <v>1</v>
      </c>
      <c r="AV378" t="s">
        <v>273</v>
      </c>
      <c r="AY378" t="s">
        <v>273</v>
      </c>
      <c r="BB378">
        <v>0</v>
      </c>
      <c r="BC378">
        <v>0</v>
      </c>
      <c r="BD378">
        <v>0</v>
      </c>
      <c r="BE378">
        <v>0</v>
      </c>
      <c r="BF378" t="s">
        <v>1063</v>
      </c>
      <c r="BG378" t="s">
        <v>2705</v>
      </c>
      <c r="BH378">
        <v>34</v>
      </c>
      <c r="BI378" t="s">
        <v>2771</v>
      </c>
      <c r="BK378">
        <v>1843140</v>
      </c>
    </row>
    <row r="379" spans="1:64">
      <c r="A379" s="1">
        <f>HYPERLINK("https://lsnyc.legalserver.org/matter/dynamic-profile/view/1841309","17-1841309")</f>
        <v>0</v>
      </c>
      <c r="B379" t="s">
        <v>1627</v>
      </c>
      <c r="C379" t="s">
        <v>1640</v>
      </c>
      <c r="D379" t="s">
        <v>255</v>
      </c>
      <c r="E379" t="s">
        <v>1650</v>
      </c>
      <c r="F379" t="s">
        <v>274</v>
      </c>
      <c r="G379" t="s">
        <v>274</v>
      </c>
      <c r="H379">
        <v>44.33</v>
      </c>
      <c r="I379" t="s">
        <v>274</v>
      </c>
      <c r="K379" t="s">
        <v>1790</v>
      </c>
      <c r="O379" t="s">
        <v>275</v>
      </c>
      <c r="P379" t="s">
        <v>498</v>
      </c>
      <c r="Q379" t="s">
        <v>501</v>
      </c>
      <c r="S379" t="s">
        <v>503</v>
      </c>
      <c r="T379" t="s">
        <v>507</v>
      </c>
      <c r="U379" t="s">
        <v>511</v>
      </c>
      <c r="V379">
        <v>10035</v>
      </c>
      <c r="W379" t="s">
        <v>517</v>
      </c>
      <c r="X379" t="s">
        <v>548</v>
      </c>
      <c r="Y379" t="s">
        <v>274</v>
      </c>
      <c r="Z379" t="s">
        <v>2079</v>
      </c>
      <c r="AA379" t="s">
        <v>2345</v>
      </c>
      <c r="AB379" t="s">
        <v>902</v>
      </c>
      <c r="AC379" t="s">
        <v>904</v>
      </c>
      <c r="AF379" t="s">
        <v>923</v>
      </c>
      <c r="AI379">
        <v>5</v>
      </c>
      <c r="AJ379" t="s">
        <v>558</v>
      </c>
      <c r="AK379" t="s">
        <v>950</v>
      </c>
      <c r="AL379" t="s">
        <v>274</v>
      </c>
      <c r="AT379">
        <v>0</v>
      </c>
      <c r="AU379">
        <v>2</v>
      </c>
      <c r="AV379" t="s">
        <v>273</v>
      </c>
      <c r="AY379" t="s">
        <v>273</v>
      </c>
      <c r="BB379">
        <v>0</v>
      </c>
      <c r="BC379">
        <v>0</v>
      </c>
      <c r="BD379">
        <v>0</v>
      </c>
      <c r="BE379">
        <v>0</v>
      </c>
      <c r="BF379" t="s">
        <v>1063</v>
      </c>
      <c r="BG379" t="s">
        <v>2706</v>
      </c>
      <c r="BH379">
        <v>30</v>
      </c>
      <c r="BI379" t="s">
        <v>2810</v>
      </c>
      <c r="BK379">
        <v>1841816</v>
      </c>
    </row>
    <row r="380" spans="1:64">
      <c r="A380" s="1">
        <f>HYPERLINK("https://lsnyc.legalserver.org/matter/dynamic-profile/view/1840842","17-1840842")</f>
        <v>0</v>
      </c>
      <c r="B380" t="s">
        <v>1570</v>
      </c>
      <c r="C380" t="s">
        <v>1640</v>
      </c>
      <c r="D380" t="s">
        <v>255</v>
      </c>
      <c r="E380" t="s">
        <v>1646</v>
      </c>
      <c r="F380" t="s">
        <v>274</v>
      </c>
      <c r="G380" t="s">
        <v>274</v>
      </c>
      <c r="H380">
        <v>129.35</v>
      </c>
      <c r="I380" t="s">
        <v>275</v>
      </c>
      <c r="K380" t="s">
        <v>1791</v>
      </c>
      <c r="L380" t="s">
        <v>1658</v>
      </c>
      <c r="O380" t="s">
        <v>275</v>
      </c>
      <c r="P380" t="s">
        <v>493</v>
      </c>
      <c r="Q380" t="s">
        <v>501</v>
      </c>
      <c r="S380" t="s">
        <v>503</v>
      </c>
      <c r="T380" t="s">
        <v>507</v>
      </c>
      <c r="U380" t="s">
        <v>511</v>
      </c>
      <c r="V380">
        <v>10026</v>
      </c>
      <c r="W380" t="s">
        <v>517</v>
      </c>
      <c r="X380" t="s">
        <v>549</v>
      </c>
      <c r="Z380" t="s">
        <v>586</v>
      </c>
      <c r="AA380" t="s">
        <v>2302</v>
      </c>
      <c r="AB380" t="s">
        <v>902</v>
      </c>
      <c r="AC380" t="s">
        <v>904</v>
      </c>
      <c r="AD380" t="s">
        <v>275</v>
      </c>
      <c r="AE380" t="s">
        <v>919</v>
      </c>
      <c r="AF380" t="s">
        <v>923</v>
      </c>
      <c r="AI380">
        <v>3.9</v>
      </c>
      <c r="AK380" t="s">
        <v>939</v>
      </c>
      <c r="AQ380" t="s">
        <v>1042</v>
      </c>
      <c r="AR380" t="s">
        <v>1051</v>
      </c>
      <c r="AT380">
        <v>0</v>
      </c>
      <c r="AU380">
        <v>1</v>
      </c>
      <c r="AV380" t="s">
        <v>273</v>
      </c>
      <c r="AY380" t="s">
        <v>273</v>
      </c>
      <c r="BB380">
        <v>0</v>
      </c>
      <c r="BC380">
        <v>0</v>
      </c>
      <c r="BD380">
        <v>0</v>
      </c>
      <c r="BE380">
        <v>0</v>
      </c>
      <c r="BF380" t="s">
        <v>493</v>
      </c>
      <c r="BG380" t="s">
        <v>2649</v>
      </c>
      <c r="BH380">
        <v>20</v>
      </c>
      <c r="BI380" t="s">
        <v>1270</v>
      </c>
      <c r="BK380">
        <v>1841347</v>
      </c>
    </row>
    <row r="381" spans="1:64">
      <c r="A381" s="1">
        <f>HYPERLINK("https://lsnyc.legalserver.org/matter/dynamic-profile/view/1840689","17-1840689")</f>
        <v>0</v>
      </c>
      <c r="B381" t="s">
        <v>1628</v>
      </c>
      <c r="C381" t="s">
        <v>1640</v>
      </c>
      <c r="D381" t="s">
        <v>255</v>
      </c>
      <c r="E381" t="s">
        <v>1650</v>
      </c>
      <c r="F381" t="s">
        <v>274</v>
      </c>
      <c r="G381" t="s">
        <v>274</v>
      </c>
      <c r="H381">
        <v>129.35</v>
      </c>
      <c r="I381" t="s">
        <v>275</v>
      </c>
      <c r="K381" t="s">
        <v>1792</v>
      </c>
      <c r="O381" t="s">
        <v>275</v>
      </c>
      <c r="P381" t="s">
        <v>498</v>
      </c>
      <c r="Q381" t="s">
        <v>501</v>
      </c>
      <c r="S381" t="s">
        <v>503</v>
      </c>
      <c r="T381" t="s">
        <v>508</v>
      </c>
      <c r="U381" t="s">
        <v>511</v>
      </c>
      <c r="V381">
        <v>10033</v>
      </c>
      <c r="W381" t="s">
        <v>517</v>
      </c>
      <c r="X381" t="s">
        <v>548</v>
      </c>
      <c r="Y381" t="s">
        <v>275</v>
      </c>
      <c r="Z381" t="s">
        <v>2080</v>
      </c>
      <c r="AA381" t="s">
        <v>2346</v>
      </c>
      <c r="AB381" t="s">
        <v>902</v>
      </c>
      <c r="AC381" t="s">
        <v>904</v>
      </c>
      <c r="AF381" t="s">
        <v>923</v>
      </c>
      <c r="AI381">
        <v>7.75</v>
      </c>
      <c r="AJ381" t="s">
        <v>558</v>
      </c>
      <c r="AK381" t="s">
        <v>936</v>
      </c>
      <c r="AT381">
        <v>0</v>
      </c>
      <c r="AU381">
        <v>1</v>
      </c>
      <c r="AV381" t="s">
        <v>273</v>
      </c>
      <c r="AY381" t="s">
        <v>273</v>
      </c>
      <c r="BB381">
        <v>0</v>
      </c>
      <c r="BC381">
        <v>0</v>
      </c>
      <c r="BD381">
        <v>0</v>
      </c>
      <c r="BE381">
        <v>0</v>
      </c>
      <c r="BF381" t="s">
        <v>1063</v>
      </c>
      <c r="BG381" t="s">
        <v>2707</v>
      </c>
      <c r="BH381">
        <v>55</v>
      </c>
      <c r="BI381" t="s">
        <v>1270</v>
      </c>
      <c r="BK381">
        <v>1841194</v>
      </c>
    </row>
    <row r="382" spans="1:64">
      <c r="A382" s="1">
        <f>HYPERLINK("https://lsnyc.legalserver.org/matter/dynamic-profile/view/1839621","17-1839621")</f>
        <v>0</v>
      </c>
      <c r="B382" t="s">
        <v>1629</v>
      </c>
      <c r="C382" t="s">
        <v>1640</v>
      </c>
      <c r="D382" t="s">
        <v>252</v>
      </c>
      <c r="E382" t="s">
        <v>1650</v>
      </c>
      <c r="F382" t="s">
        <v>274</v>
      </c>
      <c r="G382" t="s">
        <v>274</v>
      </c>
      <c r="H382">
        <v>128.08</v>
      </c>
      <c r="I382" t="s">
        <v>274</v>
      </c>
      <c r="K382" t="s">
        <v>1793</v>
      </c>
      <c r="O382" t="s">
        <v>275</v>
      </c>
      <c r="P382" t="s">
        <v>498</v>
      </c>
      <c r="Q382" t="s">
        <v>501</v>
      </c>
      <c r="S382" t="s">
        <v>503</v>
      </c>
      <c r="T382" t="s">
        <v>508</v>
      </c>
      <c r="U382" t="s">
        <v>511</v>
      </c>
      <c r="V382">
        <v>11233</v>
      </c>
      <c r="W382" t="s">
        <v>517</v>
      </c>
      <c r="X382" t="s">
        <v>548</v>
      </c>
      <c r="Y382" t="s">
        <v>275</v>
      </c>
      <c r="Z382" t="s">
        <v>2081</v>
      </c>
      <c r="AA382" t="s">
        <v>2347</v>
      </c>
      <c r="AB382" t="s">
        <v>902</v>
      </c>
      <c r="AC382" t="s">
        <v>904</v>
      </c>
      <c r="AF382" t="s">
        <v>923</v>
      </c>
      <c r="AI382">
        <v>9.68</v>
      </c>
      <c r="AJ382" t="s">
        <v>558</v>
      </c>
      <c r="AK382" t="s">
        <v>959</v>
      </c>
      <c r="AL382" t="s">
        <v>274</v>
      </c>
      <c r="AT382">
        <v>0</v>
      </c>
      <c r="AU382">
        <v>2</v>
      </c>
      <c r="AV382" t="s">
        <v>273</v>
      </c>
      <c r="AY382" t="s">
        <v>273</v>
      </c>
      <c r="BB382">
        <v>0</v>
      </c>
      <c r="BC382">
        <v>0</v>
      </c>
      <c r="BD382">
        <v>0</v>
      </c>
      <c r="BE382">
        <v>0</v>
      </c>
      <c r="BF382" t="s">
        <v>1063</v>
      </c>
      <c r="BG382" t="s">
        <v>2708</v>
      </c>
      <c r="BH382">
        <v>78</v>
      </c>
      <c r="BI382" t="s">
        <v>1261</v>
      </c>
      <c r="BK382">
        <v>1840120</v>
      </c>
    </row>
    <row r="383" spans="1:64">
      <c r="A383" s="1">
        <f>HYPERLINK("https://lsnyc.legalserver.org/matter/dynamic-profile/view/1839370","17-1839370")</f>
        <v>0</v>
      </c>
      <c r="B383" t="s">
        <v>1630</v>
      </c>
      <c r="C383" t="s">
        <v>1640</v>
      </c>
      <c r="D383" t="s">
        <v>253</v>
      </c>
      <c r="E383" t="s">
        <v>1646</v>
      </c>
      <c r="F383" t="s">
        <v>273</v>
      </c>
      <c r="G383" t="s">
        <v>275</v>
      </c>
      <c r="H383">
        <v>86.56999999999999</v>
      </c>
      <c r="I383" t="s">
        <v>275</v>
      </c>
      <c r="K383" t="s">
        <v>1794</v>
      </c>
      <c r="O383" t="s">
        <v>275</v>
      </c>
      <c r="P383" t="s">
        <v>495</v>
      </c>
      <c r="Q383" t="s">
        <v>501</v>
      </c>
      <c r="S383" t="s">
        <v>503</v>
      </c>
      <c r="T383" t="s">
        <v>508</v>
      </c>
      <c r="U383" t="s">
        <v>511</v>
      </c>
      <c r="V383">
        <v>11435</v>
      </c>
      <c r="W383" t="s">
        <v>522</v>
      </c>
      <c r="X383" t="s">
        <v>548</v>
      </c>
      <c r="Z383" t="s">
        <v>2082</v>
      </c>
      <c r="AA383" t="s">
        <v>2348</v>
      </c>
      <c r="AB383" t="s">
        <v>902</v>
      </c>
      <c r="AC383" t="s">
        <v>904</v>
      </c>
      <c r="AF383" t="s">
        <v>927</v>
      </c>
      <c r="AI383">
        <v>8.25</v>
      </c>
      <c r="AK383" t="s">
        <v>949</v>
      </c>
      <c r="AT383">
        <v>0</v>
      </c>
      <c r="AU383">
        <v>1</v>
      </c>
      <c r="AV383" t="s">
        <v>273</v>
      </c>
      <c r="AY383" t="s">
        <v>273</v>
      </c>
      <c r="BB383">
        <v>0</v>
      </c>
      <c r="BC383">
        <v>0</v>
      </c>
      <c r="BD383">
        <v>0</v>
      </c>
      <c r="BE383">
        <v>0</v>
      </c>
      <c r="BF383" t="s">
        <v>1063</v>
      </c>
      <c r="BG383" t="s">
        <v>2709</v>
      </c>
      <c r="BH383">
        <v>44</v>
      </c>
      <c r="BI383" t="s">
        <v>2811</v>
      </c>
      <c r="BK383">
        <v>1839869</v>
      </c>
    </row>
    <row r="384" spans="1:64">
      <c r="A384" s="1">
        <f>HYPERLINK("https://lsnyc.legalserver.org/matter/dynamic-profile/view/1839286","17-1839286")</f>
        <v>0</v>
      </c>
      <c r="B384" t="s">
        <v>1586</v>
      </c>
      <c r="C384" t="s">
        <v>1640</v>
      </c>
      <c r="D384" t="s">
        <v>253</v>
      </c>
      <c r="E384" t="s">
        <v>1647</v>
      </c>
      <c r="F384" t="s">
        <v>273</v>
      </c>
      <c r="G384" t="s">
        <v>275</v>
      </c>
      <c r="H384">
        <v>0</v>
      </c>
      <c r="I384" t="s">
        <v>274</v>
      </c>
      <c r="K384" t="s">
        <v>1795</v>
      </c>
      <c r="M384" t="s">
        <v>474</v>
      </c>
      <c r="N384" t="s">
        <v>457</v>
      </c>
      <c r="P384" t="s">
        <v>492</v>
      </c>
      <c r="Q384" t="s">
        <v>501</v>
      </c>
      <c r="S384" t="s">
        <v>503</v>
      </c>
      <c r="T384" t="s">
        <v>508</v>
      </c>
      <c r="U384" t="s">
        <v>511</v>
      </c>
      <c r="V384">
        <v>11420</v>
      </c>
      <c r="W384" t="s">
        <v>516</v>
      </c>
      <c r="X384" t="s">
        <v>549</v>
      </c>
      <c r="Y384" t="s">
        <v>275</v>
      </c>
      <c r="Z384" t="s">
        <v>584</v>
      </c>
      <c r="AA384" t="s">
        <v>2315</v>
      </c>
      <c r="AB384" t="s">
        <v>902</v>
      </c>
      <c r="AC384" t="s">
        <v>904</v>
      </c>
      <c r="AF384" t="s">
        <v>923</v>
      </c>
      <c r="AI384">
        <v>50.54</v>
      </c>
      <c r="AJ384" t="s">
        <v>558</v>
      </c>
      <c r="AK384" t="s">
        <v>947</v>
      </c>
      <c r="AL384" t="s">
        <v>274</v>
      </c>
      <c r="AM384" t="s">
        <v>973</v>
      </c>
      <c r="AN384" t="s">
        <v>2402</v>
      </c>
      <c r="AT384">
        <v>2</v>
      </c>
      <c r="AU384">
        <v>2</v>
      </c>
      <c r="AV384" t="s">
        <v>273</v>
      </c>
      <c r="AY384" t="s">
        <v>273</v>
      </c>
      <c r="BB384">
        <v>0</v>
      </c>
      <c r="BC384">
        <v>0</v>
      </c>
      <c r="BD384">
        <v>0</v>
      </c>
      <c r="BE384">
        <v>0</v>
      </c>
      <c r="BF384" t="s">
        <v>1063</v>
      </c>
      <c r="BG384" t="s">
        <v>2665</v>
      </c>
      <c r="BH384">
        <v>23</v>
      </c>
      <c r="BI384" t="s">
        <v>1247</v>
      </c>
      <c r="BK384">
        <v>1839785</v>
      </c>
      <c r="BL384" t="s">
        <v>275</v>
      </c>
    </row>
    <row r="385" spans="1:63">
      <c r="A385" s="1">
        <f>HYPERLINK("https://lsnyc.legalserver.org/matter/dynamic-profile/view/1838717","17-1838717")</f>
        <v>0</v>
      </c>
      <c r="B385" t="s">
        <v>1631</v>
      </c>
      <c r="C385" t="s">
        <v>1640</v>
      </c>
      <c r="D385" t="s">
        <v>252</v>
      </c>
      <c r="E385" t="s">
        <v>1650</v>
      </c>
      <c r="F385" t="s">
        <v>274</v>
      </c>
      <c r="G385" t="s">
        <v>274</v>
      </c>
      <c r="H385">
        <v>166.43</v>
      </c>
      <c r="I385" t="s">
        <v>274</v>
      </c>
      <c r="K385" t="s">
        <v>1796</v>
      </c>
      <c r="O385" t="s">
        <v>275</v>
      </c>
      <c r="P385" t="s">
        <v>498</v>
      </c>
      <c r="Q385" t="s">
        <v>501</v>
      </c>
      <c r="S385" t="s">
        <v>503</v>
      </c>
      <c r="T385" t="s">
        <v>507</v>
      </c>
      <c r="U385" t="s">
        <v>511</v>
      </c>
      <c r="V385">
        <v>11216</v>
      </c>
      <c r="W385" t="s">
        <v>517</v>
      </c>
      <c r="X385" t="s">
        <v>549</v>
      </c>
      <c r="Z385" t="s">
        <v>2083</v>
      </c>
      <c r="AA385" t="s">
        <v>2349</v>
      </c>
      <c r="AB385" t="s">
        <v>902</v>
      </c>
      <c r="AC385" t="s">
        <v>904</v>
      </c>
      <c r="AF385" t="s">
        <v>923</v>
      </c>
      <c r="AI385">
        <v>3.4</v>
      </c>
      <c r="AK385" t="s">
        <v>965</v>
      </c>
      <c r="AT385">
        <v>0</v>
      </c>
      <c r="AU385">
        <v>1</v>
      </c>
      <c r="AV385" t="s">
        <v>273</v>
      </c>
      <c r="AY385" t="s">
        <v>273</v>
      </c>
      <c r="BB385">
        <v>0</v>
      </c>
      <c r="BC385">
        <v>0</v>
      </c>
      <c r="BD385">
        <v>0</v>
      </c>
      <c r="BE385">
        <v>0</v>
      </c>
      <c r="BF385" t="s">
        <v>1063</v>
      </c>
      <c r="BG385" t="s">
        <v>2710</v>
      </c>
      <c r="BH385">
        <v>61</v>
      </c>
      <c r="BI385" t="s">
        <v>2812</v>
      </c>
      <c r="BK385">
        <v>1839214</v>
      </c>
    </row>
    <row r="386" spans="1:63">
      <c r="A386" s="1">
        <f>HYPERLINK("https://lsnyc.legalserver.org/matter/dynamic-profile/view/1837882","17-1837882")</f>
        <v>0</v>
      </c>
      <c r="B386" t="s">
        <v>1632</v>
      </c>
      <c r="C386" t="s">
        <v>1640</v>
      </c>
      <c r="D386" t="s">
        <v>253</v>
      </c>
      <c r="E386" t="s">
        <v>1650</v>
      </c>
      <c r="F386" t="s">
        <v>273</v>
      </c>
      <c r="G386" t="s">
        <v>275</v>
      </c>
      <c r="H386">
        <v>48.66</v>
      </c>
      <c r="I386" t="s">
        <v>274</v>
      </c>
      <c r="K386" t="s">
        <v>1797</v>
      </c>
      <c r="P386" t="s">
        <v>492</v>
      </c>
      <c r="Q386" t="s">
        <v>501</v>
      </c>
      <c r="R386" t="s">
        <v>1817</v>
      </c>
      <c r="S386" t="s">
        <v>503</v>
      </c>
      <c r="T386" t="s">
        <v>508</v>
      </c>
      <c r="U386" t="s">
        <v>511</v>
      </c>
      <c r="V386">
        <v>11435</v>
      </c>
      <c r="W386" t="s">
        <v>517</v>
      </c>
      <c r="Y386" t="s">
        <v>275</v>
      </c>
      <c r="Z386" t="s">
        <v>2084</v>
      </c>
      <c r="AA386" t="s">
        <v>2350</v>
      </c>
      <c r="AB386" t="s">
        <v>902</v>
      </c>
      <c r="AC386" t="s">
        <v>904</v>
      </c>
      <c r="AF386" t="s">
        <v>923</v>
      </c>
      <c r="AI386">
        <v>19.07</v>
      </c>
      <c r="AJ386" t="s">
        <v>558</v>
      </c>
      <c r="AK386" t="s">
        <v>941</v>
      </c>
      <c r="AL386" t="s">
        <v>274</v>
      </c>
      <c r="AM386" t="s">
        <v>973</v>
      </c>
      <c r="AS386" t="s">
        <v>2407</v>
      </c>
      <c r="AT386">
        <v>0</v>
      </c>
      <c r="AU386">
        <v>1</v>
      </c>
      <c r="AV386" t="s">
        <v>273</v>
      </c>
      <c r="AY386" t="s">
        <v>273</v>
      </c>
      <c r="BB386">
        <v>0</v>
      </c>
      <c r="BC386">
        <v>0</v>
      </c>
      <c r="BD386">
        <v>0</v>
      </c>
      <c r="BE386">
        <v>0</v>
      </c>
      <c r="BF386" t="s">
        <v>1063</v>
      </c>
      <c r="BG386" t="s">
        <v>2711</v>
      </c>
      <c r="BH386">
        <v>67</v>
      </c>
      <c r="BI386" t="s">
        <v>2813</v>
      </c>
      <c r="BK386">
        <v>1838378</v>
      </c>
    </row>
    <row r="387" spans="1:63">
      <c r="A387" s="1">
        <f>HYPERLINK("https://lsnyc.legalserver.org/matter/dynamic-profile/view/1836689","17-1836689")</f>
        <v>0</v>
      </c>
      <c r="B387" t="s">
        <v>1633</v>
      </c>
      <c r="C387" t="s">
        <v>1640</v>
      </c>
      <c r="D387" t="s">
        <v>253</v>
      </c>
      <c r="E387" t="s">
        <v>1647</v>
      </c>
      <c r="F387" t="s">
        <v>274</v>
      </c>
      <c r="G387" t="s">
        <v>274</v>
      </c>
      <c r="H387">
        <v>172.47</v>
      </c>
      <c r="I387" t="s">
        <v>274</v>
      </c>
      <c r="K387" t="s">
        <v>1798</v>
      </c>
      <c r="O387" t="s">
        <v>275</v>
      </c>
      <c r="P387" t="s">
        <v>497</v>
      </c>
      <c r="Q387" t="s">
        <v>501</v>
      </c>
      <c r="S387" t="s">
        <v>503</v>
      </c>
      <c r="T387" t="s">
        <v>508</v>
      </c>
      <c r="U387" t="s">
        <v>511</v>
      </c>
      <c r="V387">
        <v>11373</v>
      </c>
      <c r="W387" t="s">
        <v>517</v>
      </c>
      <c r="X387" t="s">
        <v>548</v>
      </c>
      <c r="Y387" t="s">
        <v>275</v>
      </c>
      <c r="Z387" t="s">
        <v>2085</v>
      </c>
      <c r="AA387" t="s">
        <v>2351</v>
      </c>
      <c r="AB387" t="s">
        <v>902</v>
      </c>
      <c r="AC387" t="s">
        <v>904</v>
      </c>
      <c r="AF387" t="s">
        <v>923</v>
      </c>
      <c r="AI387">
        <v>3.4</v>
      </c>
      <c r="AJ387" t="s">
        <v>558</v>
      </c>
      <c r="AK387" t="s">
        <v>2385</v>
      </c>
      <c r="AL387" t="s">
        <v>274</v>
      </c>
      <c r="AT387">
        <v>0</v>
      </c>
      <c r="AU387">
        <v>1</v>
      </c>
      <c r="AV387" t="s">
        <v>273</v>
      </c>
      <c r="AY387" t="s">
        <v>273</v>
      </c>
      <c r="BB387">
        <v>0</v>
      </c>
      <c r="BC387">
        <v>0</v>
      </c>
      <c r="BD387">
        <v>0</v>
      </c>
      <c r="BE387">
        <v>0</v>
      </c>
      <c r="BF387" t="s">
        <v>1063</v>
      </c>
      <c r="BG387" t="s">
        <v>2712</v>
      </c>
      <c r="BH387">
        <v>60</v>
      </c>
      <c r="BI387" t="s">
        <v>1261</v>
      </c>
      <c r="BK387">
        <v>1837179</v>
      </c>
    </row>
    <row r="388" spans="1:63">
      <c r="A388" s="1">
        <f>HYPERLINK("https://lsnyc.legalserver.org/matter/dynamic-profile/view/1835445","17-1835445")</f>
        <v>0</v>
      </c>
      <c r="B388" t="s">
        <v>1431</v>
      </c>
      <c r="C388" t="s">
        <v>1640</v>
      </c>
      <c r="D388" t="s">
        <v>253</v>
      </c>
      <c r="E388" t="s">
        <v>1644</v>
      </c>
      <c r="F388" t="s">
        <v>273</v>
      </c>
      <c r="G388" t="s">
        <v>275</v>
      </c>
      <c r="H388">
        <v>99.5</v>
      </c>
      <c r="K388" t="s">
        <v>431</v>
      </c>
      <c r="O388" t="s">
        <v>274</v>
      </c>
      <c r="P388" t="s">
        <v>492</v>
      </c>
      <c r="Q388" t="s">
        <v>501</v>
      </c>
      <c r="R388" t="s">
        <v>1816</v>
      </c>
      <c r="S388" t="s">
        <v>503</v>
      </c>
      <c r="T388" t="s">
        <v>508</v>
      </c>
      <c r="U388" t="s">
        <v>511</v>
      </c>
      <c r="V388">
        <v>11412</v>
      </c>
      <c r="W388" t="s">
        <v>518</v>
      </c>
      <c r="X388" t="s">
        <v>548</v>
      </c>
      <c r="Z388" t="s">
        <v>1935</v>
      </c>
      <c r="AA388" t="s">
        <v>843</v>
      </c>
      <c r="AB388" t="s">
        <v>902</v>
      </c>
      <c r="AC388" t="s">
        <v>905</v>
      </c>
      <c r="AF388" t="s">
        <v>926</v>
      </c>
      <c r="AI388">
        <v>13.1</v>
      </c>
      <c r="AK388" t="s">
        <v>941</v>
      </c>
      <c r="AS388" t="s">
        <v>1061</v>
      </c>
      <c r="AT388">
        <v>0</v>
      </c>
      <c r="AU388">
        <v>1</v>
      </c>
      <c r="AV388" t="s">
        <v>273</v>
      </c>
      <c r="AY388" t="s">
        <v>273</v>
      </c>
      <c r="BB388">
        <v>0</v>
      </c>
      <c r="BC388">
        <v>0</v>
      </c>
      <c r="BD388">
        <v>0</v>
      </c>
      <c r="BE388">
        <v>0</v>
      </c>
      <c r="BF388" t="s">
        <v>1063</v>
      </c>
      <c r="BG388" t="s">
        <v>2516</v>
      </c>
      <c r="BH388">
        <v>3</v>
      </c>
      <c r="BI388" t="s">
        <v>1267</v>
      </c>
      <c r="BK388">
        <v>1835931</v>
      </c>
    </row>
    <row r="389" spans="1:63">
      <c r="A389" s="1">
        <f>HYPERLINK("https://lsnyc.legalserver.org/matter/dynamic-profile/view/1834775","17-1834775")</f>
        <v>0</v>
      </c>
      <c r="B389" t="s">
        <v>1634</v>
      </c>
      <c r="C389" t="s">
        <v>1640</v>
      </c>
      <c r="D389" t="s">
        <v>253</v>
      </c>
      <c r="E389" t="s">
        <v>1646</v>
      </c>
      <c r="F389" t="s">
        <v>274</v>
      </c>
      <c r="G389" t="s">
        <v>274</v>
      </c>
      <c r="H389">
        <v>152.79</v>
      </c>
      <c r="I389" t="s">
        <v>275</v>
      </c>
      <c r="K389" t="s">
        <v>1799</v>
      </c>
      <c r="O389" t="s">
        <v>275</v>
      </c>
      <c r="P389" t="s">
        <v>497</v>
      </c>
      <c r="Q389" t="s">
        <v>501</v>
      </c>
      <c r="S389" t="s">
        <v>503</v>
      </c>
      <c r="T389" t="s">
        <v>508</v>
      </c>
      <c r="U389" t="s">
        <v>511</v>
      </c>
      <c r="V389">
        <v>11432</v>
      </c>
      <c r="W389" t="s">
        <v>517</v>
      </c>
      <c r="X389" t="s">
        <v>549</v>
      </c>
      <c r="Z389" t="s">
        <v>2086</v>
      </c>
      <c r="AA389" t="s">
        <v>824</v>
      </c>
      <c r="AB389" t="s">
        <v>902</v>
      </c>
      <c r="AC389" t="s">
        <v>904</v>
      </c>
      <c r="AF389" t="s">
        <v>923</v>
      </c>
      <c r="AI389">
        <v>1.64</v>
      </c>
      <c r="AK389" t="s">
        <v>941</v>
      </c>
      <c r="AT389">
        <v>0</v>
      </c>
      <c r="AU389">
        <v>3</v>
      </c>
      <c r="AV389" t="s">
        <v>273</v>
      </c>
      <c r="AY389" t="s">
        <v>273</v>
      </c>
      <c r="BB389">
        <v>0</v>
      </c>
      <c r="BC389">
        <v>0</v>
      </c>
      <c r="BD389">
        <v>0</v>
      </c>
      <c r="BE389">
        <v>0</v>
      </c>
      <c r="BF389" t="s">
        <v>1063</v>
      </c>
      <c r="BG389" t="s">
        <v>2713</v>
      </c>
      <c r="BH389">
        <v>48</v>
      </c>
      <c r="BI389" t="s">
        <v>1254</v>
      </c>
      <c r="BK389">
        <v>1835261</v>
      </c>
    </row>
    <row r="390" spans="1:63">
      <c r="A390" s="1">
        <f>HYPERLINK("https://lsnyc.legalserver.org/matter/dynamic-profile/view/1833516","17-1833516")</f>
        <v>0</v>
      </c>
      <c r="B390" t="s">
        <v>1635</v>
      </c>
      <c r="C390" t="s">
        <v>1640</v>
      </c>
      <c r="D390" t="s">
        <v>253</v>
      </c>
      <c r="E390" t="s">
        <v>1646</v>
      </c>
      <c r="F390" t="s">
        <v>273</v>
      </c>
      <c r="G390" t="s">
        <v>275</v>
      </c>
      <c r="H390">
        <v>159.2</v>
      </c>
      <c r="I390" t="s">
        <v>274</v>
      </c>
      <c r="K390" t="s">
        <v>1800</v>
      </c>
      <c r="O390" t="s">
        <v>275</v>
      </c>
      <c r="P390" t="s">
        <v>497</v>
      </c>
      <c r="Q390" t="s">
        <v>501</v>
      </c>
      <c r="S390" t="s">
        <v>503</v>
      </c>
      <c r="T390" t="s">
        <v>508</v>
      </c>
      <c r="U390" t="s">
        <v>511</v>
      </c>
      <c r="V390">
        <v>11369</v>
      </c>
      <c r="W390" t="s">
        <v>517</v>
      </c>
      <c r="X390" t="s">
        <v>1837</v>
      </c>
      <c r="Y390" t="s">
        <v>275</v>
      </c>
      <c r="Z390" t="s">
        <v>2087</v>
      </c>
      <c r="AA390" t="s">
        <v>2115</v>
      </c>
      <c r="AB390" t="s">
        <v>902</v>
      </c>
      <c r="AC390" t="s">
        <v>904</v>
      </c>
      <c r="AF390" t="s">
        <v>923</v>
      </c>
      <c r="AI390">
        <v>5.2</v>
      </c>
      <c r="AJ390" t="s">
        <v>558</v>
      </c>
      <c r="AK390" t="s">
        <v>2363</v>
      </c>
      <c r="AT390">
        <v>0</v>
      </c>
      <c r="AU390">
        <v>1</v>
      </c>
      <c r="AV390" t="s">
        <v>273</v>
      </c>
      <c r="AY390" t="s">
        <v>273</v>
      </c>
      <c r="BB390">
        <v>0</v>
      </c>
      <c r="BC390">
        <v>0</v>
      </c>
      <c r="BD390">
        <v>0</v>
      </c>
      <c r="BE390">
        <v>0</v>
      </c>
      <c r="BF390" t="s">
        <v>1063</v>
      </c>
      <c r="BG390" t="s">
        <v>2714</v>
      </c>
      <c r="BH390">
        <v>64</v>
      </c>
      <c r="BI390" t="s">
        <v>2720</v>
      </c>
      <c r="BK390">
        <v>1834000</v>
      </c>
    </row>
    <row r="391" spans="1:63">
      <c r="A391" s="1">
        <f>HYPERLINK("https://lsnyc.legalserver.org/matter/dynamic-profile/view/0831750","17-0831750")</f>
        <v>0</v>
      </c>
      <c r="B391" t="s">
        <v>1636</v>
      </c>
      <c r="C391" t="s">
        <v>1640</v>
      </c>
      <c r="D391" t="s">
        <v>252</v>
      </c>
      <c r="E391" t="s">
        <v>1647</v>
      </c>
      <c r="F391" t="s">
        <v>274</v>
      </c>
      <c r="G391" t="s">
        <v>274</v>
      </c>
      <c r="H391">
        <v>134</v>
      </c>
      <c r="I391" t="s">
        <v>275</v>
      </c>
      <c r="K391" t="s">
        <v>1801</v>
      </c>
      <c r="O391" t="s">
        <v>275</v>
      </c>
      <c r="P391" t="s">
        <v>497</v>
      </c>
      <c r="Q391" t="s">
        <v>501</v>
      </c>
      <c r="R391" t="s">
        <v>501</v>
      </c>
      <c r="S391" t="s">
        <v>503</v>
      </c>
      <c r="T391" t="s">
        <v>508</v>
      </c>
      <c r="U391" t="s">
        <v>511</v>
      </c>
      <c r="V391">
        <v>11226</v>
      </c>
      <c r="W391" t="s">
        <v>517</v>
      </c>
      <c r="X391" t="s">
        <v>549</v>
      </c>
      <c r="Y391" t="s">
        <v>275</v>
      </c>
      <c r="Z391" t="s">
        <v>2088</v>
      </c>
      <c r="AA391" t="s">
        <v>2352</v>
      </c>
      <c r="AB391" t="s">
        <v>902</v>
      </c>
      <c r="AC391" t="s">
        <v>904</v>
      </c>
      <c r="AF391" t="s">
        <v>923</v>
      </c>
      <c r="AI391">
        <v>8.1</v>
      </c>
      <c r="AJ391" t="s">
        <v>558</v>
      </c>
      <c r="AK391" t="s">
        <v>957</v>
      </c>
      <c r="AT391">
        <v>1</v>
      </c>
      <c r="AU391">
        <v>1</v>
      </c>
      <c r="AV391" t="s">
        <v>273</v>
      </c>
      <c r="AY391" t="s">
        <v>273</v>
      </c>
      <c r="BB391">
        <v>0</v>
      </c>
      <c r="BC391">
        <v>0</v>
      </c>
      <c r="BD391">
        <v>0</v>
      </c>
      <c r="BE391">
        <v>0</v>
      </c>
      <c r="BF391" t="s">
        <v>1063</v>
      </c>
      <c r="BG391" t="s">
        <v>2715</v>
      </c>
      <c r="BH391">
        <v>30</v>
      </c>
      <c r="BI391" t="s">
        <v>2814</v>
      </c>
      <c r="BK391">
        <v>832233</v>
      </c>
    </row>
    <row r="392" spans="1:63">
      <c r="A392" s="1">
        <f>HYPERLINK("https://lsnyc.legalserver.org/matter/dynamic-profile/view/0829758","17-0829758")</f>
        <v>0</v>
      </c>
      <c r="B392" t="s">
        <v>1637</v>
      </c>
      <c r="C392" t="s">
        <v>1640</v>
      </c>
      <c r="D392" t="s">
        <v>257</v>
      </c>
      <c r="E392" t="s">
        <v>1647</v>
      </c>
      <c r="F392" t="s">
        <v>274</v>
      </c>
      <c r="G392" t="s">
        <v>274</v>
      </c>
      <c r="H392">
        <v>194.03</v>
      </c>
      <c r="I392" t="s">
        <v>274</v>
      </c>
      <c r="K392" t="s">
        <v>1028</v>
      </c>
      <c r="O392" t="s">
        <v>275</v>
      </c>
      <c r="P392" t="s">
        <v>492</v>
      </c>
      <c r="Q392" t="s">
        <v>501</v>
      </c>
      <c r="S392" t="s">
        <v>503</v>
      </c>
      <c r="T392" t="s">
        <v>507</v>
      </c>
      <c r="U392" t="s">
        <v>511</v>
      </c>
      <c r="V392">
        <v>10457</v>
      </c>
      <c r="W392" t="s">
        <v>517</v>
      </c>
      <c r="X392" t="s">
        <v>548</v>
      </c>
      <c r="Z392" t="s">
        <v>2089</v>
      </c>
      <c r="AA392" t="s">
        <v>2353</v>
      </c>
      <c r="AB392" t="s">
        <v>902</v>
      </c>
      <c r="AC392" t="s">
        <v>904</v>
      </c>
      <c r="AF392" t="s">
        <v>923</v>
      </c>
      <c r="AI392">
        <v>9</v>
      </c>
      <c r="AK392" t="s">
        <v>933</v>
      </c>
      <c r="AT392">
        <v>0</v>
      </c>
      <c r="AU392">
        <v>1</v>
      </c>
      <c r="AV392" t="s">
        <v>273</v>
      </c>
      <c r="AY392" t="s">
        <v>273</v>
      </c>
      <c r="BB392">
        <v>0</v>
      </c>
      <c r="BC392">
        <v>0</v>
      </c>
      <c r="BD392">
        <v>0</v>
      </c>
      <c r="BE392">
        <v>0</v>
      </c>
      <c r="BF392" t="s">
        <v>1063</v>
      </c>
      <c r="BG392" t="s">
        <v>2716</v>
      </c>
      <c r="BH392">
        <v>52</v>
      </c>
      <c r="BI392" t="s">
        <v>1248</v>
      </c>
      <c r="BK392">
        <v>830236</v>
      </c>
    </row>
    <row r="393" spans="1:63">
      <c r="A393" s="1">
        <f>HYPERLINK("https://lsnyc.legalserver.org/matter/dynamic-profile/view/0828074","17-0828074")</f>
        <v>0</v>
      </c>
      <c r="B393" t="s">
        <v>1638</v>
      </c>
      <c r="C393" t="s">
        <v>1640</v>
      </c>
      <c r="D393" t="s">
        <v>252</v>
      </c>
      <c r="E393" t="s">
        <v>1647</v>
      </c>
      <c r="F393" t="s">
        <v>274</v>
      </c>
      <c r="G393" t="s">
        <v>274</v>
      </c>
      <c r="H393">
        <v>39.01</v>
      </c>
      <c r="K393" t="s">
        <v>1802</v>
      </c>
      <c r="O393" t="s">
        <v>275</v>
      </c>
      <c r="P393" t="s">
        <v>496</v>
      </c>
      <c r="Q393" t="s">
        <v>501</v>
      </c>
      <c r="S393" t="s">
        <v>503</v>
      </c>
      <c r="T393" t="s">
        <v>508</v>
      </c>
      <c r="U393" t="s">
        <v>511</v>
      </c>
      <c r="V393">
        <v>11213</v>
      </c>
      <c r="W393" t="s">
        <v>517</v>
      </c>
      <c r="X393" t="s">
        <v>548</v>
      </c>
      <c r="Z393" t="s">
        <v>584</v>
      </c>
      <c r="AA393" t="s">
        <v>2354</v>
      </c>
      <c r="AB393" t="s">
        <v>902</v>
      </c>
      <c r="AC393" t="s">
        <v>904</v>
      </c>
      <c r="AI393">
        <v>9.050000000000001</v>
      </c>
      <c r="AT393">
        <v>0</v>
      </c>
      <c r="AU393">
        <v>2</v>
      </c>
      <c r="AV393" t="s">
        <v>273</v>
      </c>
      <c r="AY393" t="s">
        <v>273</v>
      </c>
      <c r="BB393">
        <v>0</v>
      </c>
      <c r="BC393">
        <v>0</v>
      </c>
      <c r="BD393">
        <v>0</v>
      </c>
      <c r="BE393">
        <v>0</v>
      </c>
      <c r="BF393" t="s">
        <v>1063</v>
      </c>
      <c r="BG393" t="s">
        <v>2717</v>
      </c>
      <c r="BH393">
        <v>63</v>
      </c>
      <c r="BI393" t="s">
        <v>2815</v>
      </c>
      <c r="BK393">
        <v>828549</v>
      </c>
    </row>
    <row r="394" spans="1:63">
      <c r="A394" s="1">
        <f>HYPERLINK("https://lsnyc.legalserver.org/matter/dynamic-profile/view/0787748","15-0787748")</f>
        <v>0</v>
      </c>
      <c r="B394" t="s">
        <v>1581</v>
      </c>
      <c r="C394" t="s">
        <v>1640</v>
      </c>
      <c r="D394" t="s">
        <v>253</v>
      </c>
      <c r="E394" t="s">
        <v>1646</v>
      </c>
      <c r="F394" t="s">
        <v>275</v>
      </c>
      <c r="G394" t="s">
        <v>275</v>
      </c>
      <c r="H394">
        <v>59.52</v>
      </c>
      <c r="K394" t="s">
        <v>1803</v>
      </c>
      <c r="L394" t="s">
        <v>442</v>
      </c>
      <c r="O394" t="s">
        <v>275</v>
      </c>
      <c r="P394" t="s">
        <v>493</v>
      </c>
      <c r="Q394" t="s">
        <v>501</v>
      </c>
      <c r="S394" t="s">
        <v>503</v>
      </c>
      <c r="T394" t="s">
        <v>508</v>
      </c>
      <c r="U394" t="s">
        <v>511</v>
      </c>
      <c r="V394">
        <v>11356</v>
      </c>
      <c r="W394" t="s">
        <v>531</v>
      </c>
      <c r="X394" t="s">
        <v>548</v>
      </c>
      <c r="Z394" t="s">
        <v>2046</v>
      </c>
      <c r="AA394" t="s">
        <v>2311</v>
      </c>
      <c r="AB394" t="s">
        <v>902</v>
      </c>
      <c r="AC394" t="s">
        <v>906</v>
      </c>
      <c r="AD394" t="s">
        <v>274</v>
      </c>
      <c r="AE394" t="s">
        <v>919</v>
      </c>
      <c r="AF394" t="s">
        <v>923</v>
      </c>
      <c r="AI394">
        <v>33.15</v>
      </c>
      <c r="AJ394" t="s">
        <v>558</v>
      </c>
      <c r="AK394" t="s">
        <v>947</v>
      </c>
      <c r="AQ394" t="s">
        <v>1035</v>
      </c>
      <c r="AR394" t="s">
        <v>1051</v>
      </c>
      <c r="AT394">
        <v>2</v>
      </c>
      <c r="AU394">
        <v>1</v>
      </c>
      <c r="AV394" t="s">
        <v>273</v>
      </c>
      <c r="AY394" t="s">
        <v>273</v>
      </c>
      <c r="BB394">
        <v>0</v>
      </c>
      <c r="BC394">
        <v>0</v>
      </c>
      <c r="BD394">
        <v>0</v>
      </c>
      <c r="BE394">
        <v>0</v>
      </c>
      <c r="BF394" t="s">
        <v>493</v>
      </c>
      <c r="BG394" t="s">
        <v>2660</v>
      </c>
      <c r="BH394">
        <v>36</v>
      </c>
      <c r="BI394" t="s">
        <v>1267</v>
      </c>
      <c r="BK394">
        <v>68010</v>
      </c>
    </row>
    <row r="395" spans="1:63">
      <c r="A395" s="1">
        <f>HYPERLINK("https://lsnyc.legalserver.org/matter/dynamic-profile/view/0817419","16-0817419")</f>
        <v>0</v>
      </c>
      <c r="B395" t="s">
        <v>1611</v>
      </c>
      <c r="C395" t="s">
        <v>1640</v>
      </c>
      <c r="D395" t="s">
        <v>253</v>
      </c>
      <c r="E395" t="s">
        <v>1648</v>
      </c>
      <c r="F395" t="s">
        <v>273</v>
      </c>
      <c r="G395" t="s">
        <v>275</v>
      </c>
      <c r="H395">
        <v>0</v>
      </c>
      <c r="I395" t="s">
        <v>274</v>
      </c>
      <c r="K395" t="s">
        <v>1804</v>
      </c>
      <c r="M395" t="s">
        <v>474</v>
      </c>
      <c r="N395" t="s">
        <v>1674</v>
      </c>
      <c r="Q395" t="s">
        <v>501</v>
      </c>
      <c r="S395" t="s">
        <v>503</v>
      </c>
      <c r="T395" t="s">
        <v>508</v>
      </c>
      <c r="U395" t="s">
        <v>511</v>
      </c>
      <c r="V395">
        <v>11433</v>
      </c>
      <c r="W395" t="s">
        <v>518</v>
      </c>
      <c r="X395" t="s">
        <v>548</v>
      </c>
      <c r="Y395" t="s">
        <v>275</v>
      </c>
      <c r="Z395" t="s">
        <v>2015</v>
      </c>
      <c r="AA395" t="s">
        <v>2332</v>
      </c>
      <c r="AB395" t="s">
        <v>902</v>
      </c>
      <c r="AC395" t="s">
        <v>905</v>
      </c>
      <c r="AF395" t="s">
        <v>926</v>
      </c>
      <c r="AI395">
        <v>147.05</v>
      </c>
      <c r="AK395" t="s">
        <v>934</v>
      </c>
      <c r="AL395" t="s">
        <v>274</v>
      </c>
      <c r="AT395">
        <v>1</v>
      </c>
      <c r="AU395">
        <v>1</v>
      </c>
      <c r="AV395" t="s">
        <v>273</v>
      </c>
      <c r="AY395" t="s">
        <v>273</v>
      </c>
      <c r="BB395">
        <v>0</v>
      </c>
      <c r="BC395">
        <v>0</v>
      </c>
      <c r="BD395">
        <v>0</v>
      </c>
      <c r="BE395">
        <v>0</v>
      </c>
      <c r="BF395" t="s">
        <v>1063</v>
      </c>
      <c r="BG395" t="s">
        <v>2690</v>
      </c>
      <c r="BH395">
        <v>31</v>
      </c>
      <c r="BI395" t="s">
        <v>1247</v>
      </c>
      <c r="BK395">
        <v>808305</v>
      </c>
    </row>
    <row r="396" spans="1:63">
      <c r="A396" s="1">
        <f>HYPERLINK("https://lsnyc.legalserver.org/matter/dynamic-profile/view/0809706","16-0809706")</f>
        <v>0</v>
      </c>
      <c r="B396" t="s">
        <v>1639</v>
      </c>
      <c r="C396" t="s">
        <v>1640</v>
      </c>
      <c r="D396" t="s">
        <v>253</v>
      </c>
      <c r="E396" t="s">
        <v>1646</v>
      </c>
      <c r="F396" t="s">
        <v>274</v>
      </c>
      <c r="G396" t="s">
        <v>274</v>
      </c>
      <c r="H396">
        <v>0</v>
      </c>
      <c r="I396" t="s">
        <v>275</v>
      </c>
      <c r="K396" t="s">
        <v>1805</v>
      </c>
      <c r="M396" t="s">
        <v>474</v>
      </c>
      <c r="N396" t="s">
        <v>1680</v>
      </c>
      <c r="P396" t="s">
        <v>497</v>
      </c>
      <c r="Q396" t="s">
        <v>501</v>
      </c>
      <c r="S396" t="s">
        <v>503</v>
      </c>
      <c r="T396" t="s">
        <v>508</v>
      </c>
      <c r="U396" t="s">
        <v>511</v>
      </c>
      <c r="V396">
        <v>11355</v>
      </c>
      <c r="W396" t="s">
        <v>536</v>
      </c>
      <c r="X396" t="s">
        <v>555</v>
      </c>
      <c r="Y396" t="s">
        <v>275</v>
      </c>
      <c r="Z396" t="s">
        <v>2090</v>
      </c>
      <c r="AA396" t="s">
        <v>2355</v>
      </c>
      <c r="AB396" t="s">
        <v>902</v>
      </c>
      <c r="AC396" t="s">
        <v>906</v>
      </c>
      <c r="AF396" t="s">
        <v>923</v>
      </c>
      <c r="AI396">
        <v>8.35</v>
      </c>
      <c r="AJ396" t="s">
        <v>558</v>
      </c>
      <c r="AK396" t="s">
        <v>951</v>
      </c>
      <c r="AT396">
        <v>1</v>
      </c>
      <c r="AU396">
        <v>1</v>
      </c>
      <c r="AV396" t="s">
        <v>273</v>
      </c>
      <c r="AY396" t="s">
        <v>273</v>
      </c>
      <c r="BB396">
        <v>0</v>
      </c>
      <c r="BC396">
        <v>0</v>
      </c>
      <c r="BD396">
        <v>0</v>
      </c>
      <c r="BE396">
        <v>0</v>
      </c>
      <c r="BF396" t="s">
        <v>1063</v>
      </c>
      <c r="BG396" t="s">
        <v>2718</v>
      </c>
      <c r="BH396">
        <v>24</v>
      </c>
      <c r="BI396" t="s">
        <v>1247</v>
      </c>
      <c r="BK396">
        <v>806756</v>
      </c>
    </row>
    <row r="397" spans="1:63">
      <c r="A397" s="1">
        <f>HYPERLINK("https://lsnyc.legalserver.org/matter/dynamic-profile/view/0806971","16-0806971")</f>
        <v>0</v>
      </c>
      <c r="B397" t="s">
        <v>1456</v>
      </c>
      <c r="C397" t="s">
        <v>1640</v>
      </c>
      <c r="D397" t="s">
        <v>253</v>
      </c>
      <c r="E397" t="s">
        <v>1645</v>
      </c>
      <c r="F397" t="s">
        <v>273</v>
      </c>
      <c r="G397" t="s">
        <v>275</v>
      </c>
      <c r="H397">
        <v>60.61</v>
      </c>
      <c r="I397" t="s">
        <v>274</v>
      </c>
      <c r="K397" t="s">
        <v>1806</v>
      </c>
      <c r="M397" t="s">
        <v>472</v>
      </c>
      <c r="N397" t="s">
        <v>328</v>
      </c>
      <c r="P397" t="s">
        <v>500</v>
      </c>
      <c r="Q397" t="s">
        <v>501</v>
      </c>
      <c r="R397" t="s">
        <v>1819</v>
      </c>
      <c r="S397" t="s">
        <v>503</v>
      </c>
      <c r="T397" t="s">
        <v>507</v>
      </c>
      <c r="U397" t="s">
        <v>511</v>
      </c>
      <c r="V397">
        <v>11373</v>
      </c>
      <c r="W397" t="s">
        <v>521</v>
      </c>
      <c r="X397" t="s">
        <v>548</v>
      </c>
      <c r="Y397" t="s">
        <v>275</v>
      </c>
      <c r="Z397" t="s">
        <v>1955</v>
      </c>
      <c r="AA397" t="s">
        <v>2210</v>
      </c>
      <c r="AB397" t="s">
        <v>902</v>
      </c>
      <c r="AC397" t="s">
        <v>905</v>
      </c>
      <c r="AF397" t="s">
        <v>923</v>
      </c>
      <c r="AI397">
        <v>26.16</v>
      </c>
      <c r="AJ397" t="s">
        <v>558</v>
      </c>
      <c r="AK397" t="s">
        <v>945</v>
      </c>
      <c r="AL397" t="s">
        <v>274</v>
      </c>
      <c r="AT397">
        <v>0</v>
      </c>
      <c r="AU397">
        <v>1</v>
      </c>
      <c r="AV397" t="s">
        <v>273</v>
      </c>
      <c r="AY397" t="s">
        <v>273</v>
      </c>
      <c r="BB397">
        <v>0</v>
      </c>
      <c r="BC397">
        <v>0</v>
      </c>
      <c r="BD397">
        <v>0</v>
      </c>
      <c r="BE397">
        <v>0</v>
      </c>
      <c r="BF397" t="s">
        <v>1063</v>
      </c>
      <c r="BG397" t="s">
        <v>2433</v>
      </c>
      <c r="BH397">
        <v>35</v>
      </c>
      <c r="BI397" t="s">
        <v>2810</v>
      </c>
      <c r="BK397">
        <v>807406</v>
      </c>
    </row>
    <row r="398" spans="1:63">
      <c r="A398" s="1">
        <f>HYPERLINK("https://lsnyc.legalserver.org/matter/dynamic-profile/view/0797867","16-0797867")</f>
        <v>0</v>
      </c>
      <c r="B398" t="s">
        <v>1601</v>
      </c>
      <c r="C398" t="s">
        <v>1640</v>
      </c>
      <c r="D398" t="s">
        <v>253</v>
      </c>
      <c r="E398" t="s">
        <v>1648</v>
      </c>
      <c r="F398" t="s">
        <v>273</v>
      </c>
      <c r="G398" t="s">
        <v>275</v>
      </c>
      <c r="H398">
        <v>0</v>
      </c>
      <c r="I398" t="s">
        <v>274</v>
      </c>
      <c r="K398" t="s">
        <v>1807</v>
      </c>
      <c r="M398" t="s">
        <v>474</v>
      </c>
      <c r="N398" t="s">
        <v>1676</v>
      </c>
      <c r="Q398" t="s">
        <v>501</v>
      </c>
      <c r="S398" t="s">
        <v>503</v>
      </c>
      <c r="T398" t="s">
        <v>508</v>
      </c>
      <c r="U398" t="s">
        <v>511</v>
      </c>
      <c r="V398">
        <v>11433</v>
      </c>
      <c r="W398" t="s">
        <v>519</v>
      </c>
      <c r="X398" t="s">
        <v>548</v>
      </c>
      <c r="Y398" t="s">
        <v>275</v>
      </c>
      <c r="Z398" t="s">
        <v>2060</v>
      </c>
      <c r="AA398" t="s">
        <v>2325</v>
      </c>
      <c r="AB398" t="s">
        <v>902</v>
      </c>
      <c r="AC398" t="s">
        <v>910</v>
      </c>
      <c r="AF398" t="s">
        <v>926</v>
      </c>
      <c r="AI398">
        <v>76.40000000000001</v>
      </c>
      <c r="AK398" t="s">
        <v>934</v>
      </c>
      <c r="AL398" t="s">
        <v>274</v>
      </c>
      <c r="AT398">
        <v>2</v>
      </c>
      <c r="AU398">
        <v>2</v>
      </c>
      <c r="AV398" t="s">
        <v>273</v>
      </c>
      <c r="AY398" t="s">
        <v>273</v>
      </c>
      <c r="BB398">
        <v>0</v>
      </c>
      <c r="BC398">
        <v>0</v>
      </c>
      <c r="BD398">
        <v>0</v>
      </c>
      <c r="BE398">
        <v>0</v>
      </c>
      <c r="BF398" t="s">
        <v>1063</v>
      </c>
      <c r="BG398" t="s">
        <v>2680</v>
      </c>
      <c r="BH398">
        <v>28</v>
      </c>
      <c r="BI398" t="s">
        <v>1247</v>
      </c>
      <c r="BK398">
        <v>798271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279"/>
  <sheetViews>
    <sheetView workbookViewId="0"/>
  </sheetViews>
  <sheetFormatPr defaultRowHeight="15"/>
  <cols>
    <col min="1" max="1" width="20.7109375" style="1" customWidth="1"/>
    <col min="2" max="702" width="25.7109375" customWidth="1"/>
  </cols>
  <sheetData>
    <row r="1" spans="1: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</row>
    <row r="2" spans="1:64">
      <c r="A2" s="1">
        <f>HYPERLINK("https://lsnyc.legalserver.org/matter/dynamic-profile/view/1915081","19-1915081")</f>
        <v>0</v>
      </c>
      <c r="B2" t="s">
        <v>2816</v>
      </c>
      <c r="C2" t="s">
        <v>2975</v>
      </c>
      <c r="D2" t="s">
        <v>255</v>
      </c>
      <c r="E2" t="s">
        <v>2977</v>
      </c>
      <c r="F2" t="s">
        <v>273</v>
      </c>
      <c r="G2" t="s">
        <v>275</v>
      </c>
      <c r="H2">
        <v>4.32</v>
      </c>
      <c r="I2" t="s">
        <v>274</v>
      </c>
      <c r="K2" t="s">
        <v>481</v>
      </c>
      <c r="O2" t="s">
        <v>275</v>
      </c>
      <c r="P2" t="s">
        <v>492</v>
      </c>
      <c r="Q2" t="s">
        <v>501</v>
      </c>
      <c r="S2" t="s">
        <v>503</v>
      </c>
      <c r="T2" t="s">
        <v>508</v>
      </c>
      <c r="U2" t="s">
        <v>511</v>
      </c>
      <c r="V2">
        <v>11510</v>
      </c>
      <c r="W2" t="s">
        <v>533</v>
      </c>
      <c r="X2" t="s">
        <v>549</v>
      </c>
      <c r="Z2" t="s">
        <v>3028</v>
      </c>
      <c r="AA2" t="s">
        <v>3148</v>
      </c>
      <c r="AB2" t="s">
        <v>903</v>
      </c>
      <c r="AI2">
        <v>1.25</v>
      </c>
      <c r="AJ2" t="s">
        <v>558</v>
      </c>
      <c r="AK2" t="s">
        <v>937</v>
      </c>
      <c r="AL2" t="s">
        <v>274</v>
      </c>
      <c r="AT2">
        <v>0</v>
      </c>
      <c r="AU2">
        <v>1</v>
      </c>
      <c r="AV2" t="s">
        <v>273</v>
      </c>
      <c r="AY2" t="s">
        <v>273</v>
      </c>
      <c r="BB2">
        <v>0</v>
      </c>
      <c r="BC2">
        <v>0</v>
      </c>
      <c r="BD2">
        <v>0</v>
      </c>
      <c r="BE2">
        <v>0</v>
      </c>
      <c r="BF2" t="s">
        <v>1063</v>
      </c>
      <c r="BG2" t="s">
        <v>3287</v>
      </c>
      <c r="BH2">
        <v>60</v>
      </c>
      <c r="BI2" t="s">
        <v>1286</v>
      </c>
      <c r="BK2">
        <v>1872732</v>
      </c>
    </row>
    <row r="3" spans="1:64">
      <c r="A3" s="1">
        <f>HYPERLINK("https://lsnyc.legalserver.org/matter/dynamic-profile/view/1914735","19-1914735")</f>
        <v>0</v>
      </c>
      <c r="B3" t="s">
        <v>2817</v>
      </c>
      <c r="C3" t="s">
        <v>2975</v>
      </c>
      <c r="D3" t="s">
        <v>255</v>
      </c>
      <c r="E3" t="s">
        <v>2977</v>
      </c>
      <c r="F3" t="s">
        <v>273</v>
      </c>
      <c r="G3" t="s">
        <v>275</v>
      </c>
      <c r="H3">
        <v>187.35</v>
      </c>
      <c r="I3" t="s">
        <v>274</v>
      </c>
      <c r="K3" t="s">
        <v>459</v>
      </c>
      <c r="O3" t="s">
        <v>275</v>
      </c>
      <c r="P3" t="s">
        <v>492</v>
      </c>
      <c r="Q3" t="s">
        <v>501</v>
      </c>
      <c r="S3" t="s">
        <v>503</v>
      </c>
      <c r="T3" t="s">
        <v>508</v>
      </c>
      <c r="U3" t="s">
        <v>511</v>
      </c>
      <c r="V3">
        <v>10025</v>
      </c>
      <c r="W3" t="s">
        <v>3017</v>
      </c>
      <c r="X3" t="s">
        <v>549</v>
      </c>
      <c r="Y3" t="s">
        <v>275</v>
      </c>
      <c r="Z3" t="s">
        <v>3029</v>
      </c>
      <c r="AA3" t="s">
        <v>3149</v>
      </c>
      <c r="AB3" t="s">
        <v>903</v>
      </c>
      <c r="AF3" t="s">
        <v>923</v>
      </c>
      <c r="AI3">
        <v>0.15</v>
      </c>
      <c r="AJ3" t="s">
        <v>558</v>
      </c>
      <c r="AK3" t="s">
        <v>960</v>
      </c>
      <c r="AL3" t="s">
        <v>274</v>
      </c>
      <c r="AT3">
        <v>0</v>
      </c>
      <c r="AU3">
        <v>1</v>
      </c>
      <c r="AV3" t="s">
        <v>273</v>
      </c>
      <c r="AY3" t="s">
        <v>273</v>
      </c>
      <c r="BB3">
        <v>0</v>
      </c>
      <c r="BC3">
        <v>0</v>
      </c>
      <c r="BD3">
        <v>0</v>
      </c>
      <c r="BE3">
        <v>0</v>
      </c>
      <c r="BF3" t="s">
        <v>1063</v>
      </c>
      <c r="BG3" t="s">
        <v>3288</v>
      </c>
      <c r="BH3">
        <v>54</v>
      </c>
      <c r="BI3" t="s">
        <v>1248</v>
      </c>
      <c r="BK3">
        <v>1889789</v>
      </c>
      <c r="BL3" t="s">
        <v>275</v>
      </c>
    </row>
    <row r="4" spans="1:64">
      <c r="A4" s="1">
        <f>HYPERLINK("https://lsnyc.legalserver.org/matter/dynamic-profile/view/1914253","19-1914253")</f>
        <v>0</v>
      </c>
      <c r="B4" t="s">
        <v>2818</v>
      </c>
      <c r="C4" t="s">
        <v>2975</v>
      </c>
      <c r="D4" t="s">
        <v>255</v>
      </c>
      <c r="E4" t="s">
        <v>2978</v>
      </c>
      <c r="F4" t="s">
        <v>273</v>
      </c>
      <c r="G4" t="s">
        <v>275</v>
      </c>
      <c r="H4">
        <v>197.76</v>
      </c>
      <c r="K4" t="s">
        <v>1810</v>
      </c>
      <c r="P4" t="s">
        <v>492</v>
      </c>
      <c r="Q4" t="s">
        <v>501</v>
      </c>
      <c r="S4" t="s">
        <v>503</v>
      </c>
      <c r="T4" t="s">
        <v>507</v>
      </c>
      <c r="U4" t="s">
        <v>511</v>
      </c>
      <c r="V4">
        <v>10031</v>
      </c>
      <c r="W4" t="s">
        <v>3018</v>
      </c>
      <c r="X4" t="s">
        <v>548</v>
      </c>
      <c r="Z4" t="s">
        <v>564</v>
      </c>
      <c r="AA4" t="s">
        <v>3150</v>
      </c>
      <c r="AB4" t="s">
        <v>902</v>
      </c>
      <c r="AC4" t="s">
        <v>905</v>
      </c>
      <c r="AI4">
        <v>1</v>
      </c>
      <c r="AJ4" t="s">
        <v>558</v>
      </c>
      <c r="AK4" t="s">
        <v>934</v>
      </c>
      <c r="AT4">
        <v>0</v>
      </c>
      <c r="AU4">
        <v>1</v>
      </c>
      <c r="AV4" t="s">
        <v>273</v>
      </c>
      <c r="AY4" t="s">
        <v>273</v>
      </c>
      <c r="BB4">
        <v>0</v>
      </c>
      <c r="BC4">
        <v>0</v>
      </c>
      <c r="BD4">
        <v>0</v>
      </c>
      <c r="BE4">
        <v>0</v>
      </c>
      <c r="BF4" t="s">
        <v>1063</v>
      </c>
      <c r="BG4" t="s">
        <v>3289</v>
      </c>
      <c r="BH4">
        <v>59</v>
      </c>
      <c r="BI4" t="s">
        <v>1276</v>
      </c>
      <c r="BK4">
        <v>1883237</v>
      </c>
    </row>
    <row r="5" spans="1:64">
      <c r="A5" s="1">
        <f>HYPERLINK("https://lsnyc.legalserver.org/matter/dynamic-profile/view/1914318","19-1914318")</f>
        <v>0</v>
      </c>
      <c r="B5" t="s">
        <v>2819</v>
      </c>
      <c r="C5" t="s">
        <v>2975</v>
      </c>
      <c r="D5" t="s">
        <v>255</v>
      </c>
      <c r="E5" t="s">
        <v>2979</v>
      </c>
      <c r="F5" t="s">
        <v>273</v>
      </c>
      <c r="G5" t="s">
        <v>275</v>
      </c>
      <c r="H5">
        <v>0</v>
      </c>
      <c r="K5" t="s">
        <v>1810</v>
      </c>
      <c r="P5" t="s">
        <v>492</v>
      </c>
      <c r="Q5" t="s">
        <v>501</v>
      </c>
      <c r="S5" t="s">
        <v>503</v>
      </c>
      <c r="T5" t="s">
        <v>507</v>
      </c>
      <c r="U5" t="s">
        <v>511</v>
      </c>
      <c r="V5">
        <v>10035</v>
      </c>
      <c r="W5" t="s">
        <v>524</v>
      </c>
      <c r="X5" t="s">
        <v>549</v>
      </c>
      <c r="Z5" t="s">
        <v>1942</v>
      </c>
      <c r="AA5" t="s">
        <v>2320</v>
      </c>
      <c r="AB5" t="s">
        <v>902</v>
      </c>
      <c r="AC5" t="s">
        <v>906</v>
      </c>
      <c r="AF5" t="s">
        <v>923</v>
      </c>
      <c r="AI5">
        <v>0.5</v>
      </c>
      <c r="AJ5" t="s">
        <v>558</v>
      </c>
      <c r="AK5" t="s">
        <v>933</v>
      </c>
      <c r="AT5">
        <v>0</v>
      </c>
      <c r="AU5">
        <v>1</v>
      </c>
      <c r="AV5" t="s">
        <v>273</v>
      </c>
      <c r="AY5" t="s">
        <v>273</v>
      </c>
      <c r="BB5">
        <v>0</v>
      </c>
      <c r="BC5">
        <v>0</v>
      </c>
      <c r="BD5">
        <v>0</v>
      </c>
      <c r="BE5">
        <v>0</v>
      </c>
      <c r="BF5" t="s">
        <v>1063</v>
      </c>
      <c r="BG5" t="s">
        <v>3290</v>
      </c>
      <c r="BH5">
        <v>75</v>
      </c>
      <c r="BI5" t="s">
        <v>1247</v>
      </c>
      <c r="BK5">
        <v>1880678</v>
      </c>
    </row>
    <row r="6" spans="1:64">
      <c r="A6" s="1">
        <f>HYPERLINK("https://lsnyc.legalserver.org/matter/dynamic-profile/view/1913848","19-1913848")</f>
        <v>0</v>
      </c>
      <c r="B6" t="s">
        <v>2820</v>
      </c>
      <c r="C6" t="s">
        <v>2975</v>
      </c>
      <c r="D6" t="s">
        <v>253</v>
      </c>
      <c r="E6" t="s">
        <v>2978</v>
      </c>
      <c r="F6" t="s">
        <v>273</v>
      </c>
      <c r="G6" t="s">
        <v>275</v>
      </c>
      <c r="H6">
        <v>160.13</v>
      </c>
      <c r="I6" t="s">
        <v>274</v>
      </c>
      <c r="K6" t="s">
        <v>1661</v>
      </c>
      <c r="P6" t="s">
        <v>492</v>
      </c>
      <c r="Q6" t="s">
        <v>501</v>
      </c>
      <c r="S6" t="s">
        <v>503</v>
      </c>
      <c r="T6" t="s">
        <v>507</v>
      </c>
      <c r="U6" t="s">
        <v>511</v>
      </c>
      <c r="V6">
        <v>11355</v>
      </c>
      <c r="W6" t="s">
        <v>518</v>
      </c>
      <c r="X6" t="s">
        <v>3025</v>
      </c>
      <c r="Y6" t="s">
        <v>275</v>
      </c>
      <c r="Z6" t="s">
        <v>3030</v>
      </c>
      <c r="AA6" t="s">
        <v>3151</v>
      </c>
      <c r="AB6" t="s">
        <v>902</v>
      </c>
      <c r="AC6" t="s">
        <v>906</v>
      </c>
      <c r="AF6" t="s">
        <v>926</v>
      </c>
      <c r="AI6">
        <v>4</v>
      </c>
      <c r="AJ6" t="s">
        <v>2361</v>
      </c>
      <c r="AK6" t="s">
        <v>951</v>
      </c>
      <c r="AL6" t="s">
        <v>274</v>
      </c>
      <c r="AM6" t="s">
        <v>973</v>
      </c>
      <c r="AN6" t="s">
        <v>443</v>
      </c>
      <c r="AT6">
        <v>0</v>
      </c>
      <c r="AU6">
        <v>1</v>
      </c>
      <c r="AV6" t="s">
        <v>273</v>
      </c>
      <c r="AY6" t="s">
        <v>273</v>
      </c>
      <c r="BB6">
        <v>0</v>
      </c>
      <c r="BC6">
        <v>0</v>
      </c>
      <c r="BD6">
        <v>0</v>
      </c>
      <c r="BE6">
        <v>0</v>
      </c>
      <c r="BF6" t="s">
        <v>1063</v>
      </c>
      <c r="BG6" t="s">
        <v>3291</v>
      </c>
      <c r="BH6">
        <v>39</v>
      </c>
      <c r="BI6" t="s">
        <v>1251</v>
      </c>
      <c r="BK6">
        <v>1875413</v>
      </c>
      <c r="BL6" t="s">
        <v>275</v>
      </c>
    </row>
    <row r="7" spans="1:64">
      <c r="A7" s="1">
        <f>HYPERLINK("https://lsnyc.legalserver.org/matter/dynamic-profile/view/1913853","19-1913853")</f>
        <v>0</v>
      </c>
      <c r="B7" t="s">
        <v>2820</v>
      </c>
      <c r="C7" t="s">
        <v>2975</v>
      </c>
      <c r="D7" t="s">
        <v>253</v>
      </c>
      <c r="E7" t="s">
        <v>2978</v>
      </c>
      <c r="F7" t="s">
        <v>273</v>
      </c>
      <c r="G7" t="s">
        <v>275</v>
      </c>
      <c r="H7">
        <v>160.13</v>
      </c>
      <c r="I7" t="s">
        <v>274</v>
      </c>
      <c r="K7" t="s">
        <v>1661</v>
      </c>
      <c r="P7" t="s">
        <v>492</v>
      </c>
      <c r="Q7" t="s">
        <v>501</v>
      </c>
      <c r="S7" t="s">
        <v>503</v>
      </c>
      <c r="T7" t="s">
        <v>507</v>
      </c>
      <c r="U7" t="s">
        <v>511</v>
      </c>
      <c r="V7">
        <v>11355</v>
      </c>
      <c r="W7" t="s">
        <v>519</v>
      </c>
      <c r="X7" t="s">
        <v>3025</v>
      </c>
      <c r="Y7" t="s">
        <v>275</v>
      </c>
      <c r="Z7" t="s">
        <v>3030</v>
      </c>
      <c r="AA7" t="s">
        <v>3151</v>
      </c>
      <c r="AB7" t="s">
        <v>902</v>
      </c>
      <c r="AC7" t="s">
        <v>906</v>
      </c>
      <c r="AF7" t="s">
        <v>926</v>
      </c>
      <c r="AI7">
        <v>4.5</v>
      </c>
      <c r="AJ7" t="s">
        <v>2361</v>
      </c>
      <c r="AK7" t="s">
        <v>951</v>
      </c>
      <c r="AL7" t="s">
        <v>274</v>
      </c>
      <c r="AM7" t="s">
        <v>973</v>
      </c>
      <c r="AN7" t="s">
        <v>443</v>
      </c>
      <c r="AT7">
        <v>0</v>
      </c>
      <c r="AU7">
        <v>1</v>
      </c>
      <c r="AV7" t="s">
        <v>273</v>
      </c>
      <c r="AY7" t="s">
        <v>273</v>
      </c>
      <c r="BB7">
        <v>0</v>
      </c>
      <c r="BC7">
        <v>0</v>
      </c>
      <c r="BD7">
        <v>0</v>
      </c>
      <c r="BE7">
        <v>0</v>
      </c>
      <c r="BF7" t="s">
        <v>1063</v>
      </c>
      <c r="BG7" t="s">
        <v>3291</v>
      </c>
      <c r="BH7">
        <v>39</v>
      </c>
      <c r="BI7" t="s">
        <v>1251</v>
      </c>
      <c r="BK7">
        <v>1875413</v>
      </c>
      <c r="BL7" t="s">
        <v>275</v>
      </c>
    </row>
    <row r="8" spans="1:64">
      <c r="A8" s="1">
        <f>HYPERLINK("https://lsnyc.legalserver.org/matter/dynamic-profile/view/1913906","19-1913906")</f>
        <v>0</v>
      </c>
      <c r="B8" t="s">
        <v>2821</v>
      </c>
      <c r="C8" t="s">
        <v>2975</v>
      </c>
      <c r="D8" t="s">
        <v>255</v>
      </c>
      <c r="E8" t="s">
        <v>2977</v>
      </c>
      <c r="F8" t="s">
        <v>273</v>
      </c>
      <c r="G8" t="s">
        <v>275</v>
      </c>
      <c r="H8">
        <v>100.97</v>
      </c>
      <c r="I8" t="s">
        <v>274</v>
      </c>
      <c r="K8" t="s">
        <v>1661</v>
      </c>
      <c r="O8" t="s">
        <v>275</v>
      </c>
      <c r="P8" t="s">
        <v>492</v>
      </c>
      <c r="Q8" t="s">
        <v>501</v>
      </c>
      <c r="S8" t="s">
        <v>503</v>
      </c>
      <c r="T8" t="s">
        <v>507</v>
      </c>
      <c r="U8" t="s">
        <v>511</v>
      </c>
      <c r="V8">
        <v>10019</v>
      </c>
      <c r="W8" t="s">
        <v>519</v>
      </c>
      <c r="X8" t="s">
        <v>548</v>
      </c>
      <c r="Y8" t="s">
        <v>275</v>
      </c>
      <c r="Z8" t="s">
        <v>2072</v>
      </c>
      <c r="AA8" t="s">
        <v>3152</v>
      </c>
      <c r="AB8" t="s">
        <v>902</v>
      </c>
      <c r="AC8" t="s">
        <v>906</v>
      </c>
      <c r="AF8" t="s">
        <v>926</v>
      </c>
      <c r="AI8">
        <v>0.1</v>
      </c>
      <c r="AJ8" t="s">
        <v>931</v>
      </c>
      <c r="AK8" t="s">
        <v>934</v>
      </c>
      <c r="AL8" t="s">
        <v>274</v>
      </c>
      <c r="AT8">
        <v>2</v>
      </c>
      <c r="AU8">
        <v>2</v>
      </c>
      <c r="AV8" t="s">
        <v>273</v>
      </c>
      <c r="AY8" t="s">
        <v>273</v>
      </c>
      <c r="BB8">
        <v>0</v>
      </c>
      <c r="BC8">
        <v>0</v>
      </c>
      <c r="BD8">
        <v>0</v>
      </c>
      <c r="BE8">
        <v>0</v>
      </c>
      <c r="BF8" t="s">
        <v>1063</v>
      </c>
      <c r="BG8" t="s">
        <v>3292</v>
      </c>
      <c r="BH8">
        <v>34</v>
      </c>
      <c r="BI8" t="s">
        <v>1279</v>
      </c>
      <c r="BK8">
        <v>1907917</v>
      </c>
      <c r="BL8" t="s">
        <v>274</v>
      </c>
    </row>
    <row r="9" spans="1:64">
      <c r="A9" s="1">
        <f>HYPERLINK("https://lsnyc.legalserver.org/matter/dynamic-profile/view/1913908","19-1913908")</f>
        <v>0</v>
      </c>
      <c r="B9" t="s">
        <v>2822</v>
      </c>
      <c r="C9" t="s">
        <v>2975</v>
      </c>
      <c r="D9" t="s">
        <v>255</v>
      </c>
      <c r="E9" t="s">
        <v>2977</v>
      </c>
      <c r="F9" t="s">
        <v>273</v>
      </c>
      <c r="G9" t="s">
        <v>275</v>
      </c>
      <c r="H9">
        <v>100.97</v>
      </c>
      <c r="I9" t="s">
        <v>274</v>
      </c>
      <c r="K9" t="s">
        <v>1661</v>
      </c>
      <c r="O9" t="s">
        <v>275</v>
      </c>
      <c r="P9" t="s">
        <v>492</v>
      </c>
      <c r="Q9" t="s">
        <v>501</v>
      </c>
      <c r="S9" t="s">
        <v>503</v>
      </c>
      <c r="T9" t="s">
        <v>508</v>
      </c>
      <c r="U9" t="s">
        <v>511</v>
      </c>
      <c r="V9">
        <v>10019</v>
      </c>
      <c r="W9" t="s">
        <v>519</v>
      </c>
      <c r="X9" t="s">
        <v>548</v>
      </c>
      <c r="Y9" t="s">
        <v>275</v>
      </c>
      <c r="Z9" t="s">
        <v>3031</v>
      </c>
      <c r="AA9" t="s">
        <v>3153</v>
      </c>
      <c r="AB9" t="s">
        <v>902</v>
      </c>
      <c r="AC9" t="s">
        <v>906</v>
      </c>
      <c r="AF9" t="s">
        <v>926</v>
      </c>
      <c r="AI9">
        <v>0.1</v>
      </c>
      <c r="AJ9" t="s">
        <v>931</v>
      </c>
      <c r="AK9" t="s">
        <v>934</v>
      </c>
      <c r="AL9" t="s">
        <v>274</v>
      </c>
      <c r="AT9">
        <v>2</v>
      </c>
      <c r="AU9">
        <v>2</v>
      </c>
      <c r="AV9" t="s">
        <v>273</v>
      </c>
      <c r="AY9" t="s">
        <v>273</v>
      </c>
      <c r="BB9">
        <v>0</v>
      </c>
      <c r="BC9">
        <v>0</v>
      </c>
      <c r="BD9">
        <v>0</v>
      </c>
      <c r="BE9">
        <v>0</v>
      </c>
      <c r="BF9" t="s">
        <v>1063</v>
      </c>
      <c r="BG9" t="s">
        <v>3293</v>
      </c>
      <c r="BH9">
        <v>33</v>
      </c>
      <c r="BI9" t="s">
        <v>1279</v>
      </c>
      <c r="BK9">
        <v>1907913</v>
      </c>
      <c r="BL9" t="s">
        <v>274</v>
      </c>
    </row>
    <row r="10" spans="1:64">
      <c r="A10" s="1">
        <f>HYPERLINK("https://lsnyc.legalserver.org/matter/dynamic-profile/view/1913910","19-1913910")</f>
        <v>0</v>
      </c>
      <c r="B10" t="s">
        <v>2823</v>
      </c>
      <c r="C10" t="s">
        <v>2975</v>
      </c>
      <c r="D10" t="s">
        <v>255</v>
      </c>
      <c r="E10" t="s">
        <v>2977</v>
      </c>
      <c r="F10" t="s">
        <v>273</v>
      </c>
      <c r="G10" t="s">
        <v>275</v>
      </c>
      <c r="H10">
        <v>100.97</v>
      </c>
      <c r="I10" t="s">
        <v>274</v>
      </c>
      <c r="K10" t="s">
        <v>1661</v>
      </c>
      <c r="O10" t="s">
        <v>275</v>
      </c>
      <c r="P10" t="s">
        <v>492</v>
      </c>
      <c r="Q10" t="s">
        <v>502</v>
      </c>
      <c r="S10" t="s">
        <v>503</v>
      </c>
      <c r="T10" t="s">
        <v>508</v>
      </c>
      <c r="U10" t="s">
        <v>511</v>
      </c>
      <c r="V10">
        <v>10019</v>
      </c>
      <c r="W10" t="s">
        <v>519</v>
      </c>
      <c r="X10" t="s">
        <v>548</v>
      </c>
      <c r="Y10" t="s">
        <v>275</v>
      </c>
      <c r="Z10" t="s">
        <v>3032</v>
      </c>
      <c r="AA10" t="s">
        <v>3154</v>
      </c>
      <c r="AB10" t="s">
        <v>902</v>
      </c>
      <c r="AC10" t="s">
        <v>906</v>
      </c>
      <c r="AF10" t="s">
        <v>926</v>
      </c>
      <c r="AI10">
        <v>0.1</v>
      </c>
      <c r="AJ10" t="s">
        <v>931</v>
      </c>
      <c r="AK10" t="s">
        <v>934</v>
      </c>
      <c r="AL10" t="s">
        <v>274</v>
      </c>
      <c r="AT10">
        <v>2</v>
      </c>
      <c r="AU10">
        <v>2</v>
      </c>
      <c r="AV10" t="s">
        <v>273</v>
      </c>
      <c r="AY10" t="s">
        <v>273</v>
      </c>
      <c r="BB10">
        <v>0</v>
      </c>
      <c r="BC10">
        <v>0</v>
      </c>
      <c r="BD10">
        <v>0</v>
      </c>
      <c r="BE10">
        <v>0</v>
      </c>
      <c r="BF10" t="s">
        <v>1063</v>
      </c>
      <c r="BG10" t="s">
        <v>3294</v>
      </c>
      <c r="BH10">
        <v>11</v>
      </c>
      <c r="BI10" t="s">
        <v>1279</v>
      </c>
      <c r="BK10">
        <v>1907930</v>
      </c>
      <c r="BL10" t="s">
        <v>274</v>
      </c>
    </row>
    <row r="11" spans="1:64">
      <c r="A11" s="1">
        <f>HYPERLINK("https://lsnyc.legalserver.org/matter/dynamic-profile/view/1913912","19-1913912")</f>
        <v>0</v>
      </c>
      <c r="B11" t="s">
        <v>2824</v>
      </c>
      <c r="C11" t="s">
        <v>2975</v>
      </c>
      <c r="D11" t="s">
        <v>255</v>
      </c>
      <c r="E11" t="s">
        <v>2977</v>
      </c>
      <c r="F11" t="s">
        <v>273</v>
      </c>
      <c r="G11" t="s">
        <v>275</v>
      </c>
      <c r="H11">
        <v>100.97</v>
      </c>
      <c r="I11" t="s">
        <v>274</v>
      </c>
      <c r="K11" t="s">
        <v>1661</v>
      </c>
      <c r="O11" t="s">
        <v>275</v>
      </c>
      <c r="P11" t="s">
        <v>492</v>
      </c>
      <c r="Q11" t="s">
        <v>502</v>
      </c>
      <c r="S11" t="s">
        <v>503</v>
      </c>
      <c r="T11" t="s">
        <v>508</v>
      </c>
      <c r="U11" t="s">
        <v>511</v>
      </c>
      <c r="V11">
        <v>10019</v>
      </c>
      <c r="W11" t="s">
        <v>519</v>
      </c>
      <c r="X11" t="s">
        <v>548</v>
      </c>
      <c r="Y11" t="s">
        <v>275</v>
      </c>
      <c r="Z11" t="s">
        <v>3033</v>
      </c>
      <c r="AA11" t="s">
        <v>3154</v>
      </c>
      <c r="AB11" t="s">
        <v>902</v>
      </c>
      <c r="AC11" t="s">
        <v>906</v>
      </c>
      <c r="AF11" t="s">
        <v>926</v>
      </c>
      <c r="AI11">
        <v>0.1</v>
      </c>
      <c r="AJ11" t="s">
        <v>931</v>
      </c>
      <c r="AK11" t="s">
        <v>934</v>
      </c>
      <c r="AL11" t="s">
        <v>274</v>
      </c>
      <c r="AT11">
        <v>2</v>
      </c>
      <c r="AU11">
        <v>2</v>
      </c>
      <c r="AV11" t="s">
        <v>273</v>
      </c>
      <c r="AY11" t="s">
        <v>273</v>
      </c>
      <c r="BB11">
        <v>0</v>
      </c>
      <c r="BC11">
        <v>0</v>
      </c>
      <c r="BD11">
        <v>0</v>
      </c>
      <c r="BE11">
        <v>0</v>
      </c>
      <c r="BF11" t="s">
        <v>1063</v>
      </c>
      <c r="BG11" t="s">
        <v>3295</v>
      </c>
      <c r="BH11">
        <v>14</v>
      </c>
      <c r="BI11" t="s">
        <v>1279</v>
      </c>
      <c r="BK11">
        <v>1907926</v>
      </c>
      <c r="BL11" t="s">
        <v>274</v>
      </c>
    </row>
    <row r="12" spans="1:64">
      <c r="A12" s="1">
        <f>HYPERLINK("https://lsnyc.legalserver.org/matter/dynamic-profile/view/1913708","19-1913708")</f>
        <v>0</v>
      </c>
      <c r="B12" t="s">
        <v>2825</v>
      </c>
      <c r="C12" t="s">
        <v>2975</v>
      </c>
      <c r="D12" t="s">
        <v>255</v>
      </c>
      <c r="E12" t="s">
        <v>2977</v>
      </c>
      <c r="F12" t="s">
        <v>273</v>
      </c>
      <c r="G12" t="s">
        <v>275</v>
      </c>
      <c r="H12">
        <v>73.98</v>
      </c>
      <c r="I12" t="s">
        <v>274</v>
      </c>
      <c r="K12" t="s">
        <v>1662</v>
      </c>
      <c r="O12" t="s">
        <v>275</v>
      </c>
      <c r="P12" t="s">
        <v>492</v>
      </c>
      <c r="Q12" t="s">
        <v>501</v>
      </c>
      <c r="S12" t="s">
        <v>503</v>
      </c>
      <c r="T12" t="s">
        <v>507</v>
      </c>
      <c r="U12" t="s">
        <v>511</v>
      </c>
      <c r="V12">
        <v>10029</v>
      </c>
      <c r="W12" t="s">
        <v>3017</v>
      </c>
      <c r="X12" t="s">
        <v>548</v>
      </c>
      <c r="Y12" t="s">
        <v>274</v>
      </c>
      <c r="Z12" t="s">
        <v>738</v>
      </c>
      <c r="AA12" t="s">
        <v>2162</v>
      </c>
      <c r="AB12" t="s">
        <v>903</v>
      </c>
      <c r="AF12" t="s">
        <v>923</v>
      </c>
      <c r="AI12">
        <v>0.15</v>
      </c>
      <c r="AJ12" t="s">
        <v>558</v>
      </c>
      <c r="AK12" t="s">
        <v>933</v>
      </c>
      <c r="AL12" t="s">
        <v>274</v>
      </c>
      <c r="AT12">
        <v>0</v>
      </c>
      <c r="AU12">
        <v>1</v>
      </c>
      <c r="AV12" t="s">
        <v>273</v>
      </c>
      <c r="AY12" t="s">
        <v>273</v>
      </c>
      <c r="BB12">
        <v>0</v>
      </c>
      <c r="BC12">
        <v>0</v>
      </c>
      <c r="BD12">
        <v>0</v>
      </c>
      <c r="BE12">
        <v>0</v>
      </c>
      <c r="BF12" t="s">
        <v>1063</v>
      </c>
      <c r="BG12" t="s">
        <v>3296</v>
      </c>
      <c r="BH12">
        <v>56</v>
      </c>
      <c r="BI12" t="s">
        <v>3438</v>
      </c>
      <c r="BK12">
        <v>786452</v>
      </c>
      <c r="BL12" t="s">
        <v>275</v>
      </c>
    </row>
    <row r="13" spans="1:64">
      <c r="A13" s="1">
        <f>HYPERLINK("https://lsnyc.legalserver.org/matter/dynamic-profile/view/1913017","19-1913017")</f>
        <v>0</v>
      </c>
      <c r="B13" t="s">
        <v>2826</v>
      </c>
      <c r="C13" t="s">
        <v>2975</v>
      </c>
      <c r="D13" t="s">
        <v>257</v>
      </c>
      <c r="E13" t="s">
        <v>2978</v>
      </c>
      <c r="F13" t="s">
        <v>275</v>
      </c>
      <c r="G13" t="s">
        <v>275</v>
      </c>
      <c r="H13">
        <v>58.86</v>
      </c>
      <c r="I13" t="s">
        <v>274</v>
      </c>
      <c r="K13" t="s">
        <v>487</v>
      </c>
      <c r="L13" t="s">
        <v>1810</v>
      </c>
      <c r="P13" t="s">
        <v>493</v>
      </c>
      <c r="Q13" t="s">
        <v>501</v>
      </c>
      <c r="S13" t="s">
        <v>503</v>
      </c>
      <c r="T13" t="s">
        <v>507</v>
      </c>
      <c r="U13" t="s">
        <v>511</v>
      </c>
      <c r="V13">
        <v>10457</v>
      </c>
      <c r="W13" t="s">
        <v>544</v>
      </c>
      <c r="X13" t="s">
        <v>548</v>
      </c>
      <c r="Z13" t="s">
        <v>3034</v>
      </c>
      <c r="AA13" t="s">
        <v>3155</v>
      </c>
      <c r="AB13" t="s">
        <v>902</v>
      </c>
      <c r="AC13" t="s">
        <v>906</v>
      </c>
      <c r="AD13" t="s">
        <v>275</v>
      </c>
      <c r="AE13" t="s">
        <v>920</v>
      </c>
      <c r="AI13">
        <v>0.75</v>
      </c>
      <c r="AJ13" t="s">
        <v>558</v>
      </c>
      <c r="AK13" t="s">
        <v>950</v>
      </c>
      <c r="AL13" t="s">
        <v>274</v>
      </c>
      <c r="AQ13" t="s">
        <v>1033</v>
      </c>
      <c r="AR13" t="s">
        <v>1053</v>
      </c>
      <c r="AT13">
        <v>1</v>
      </c>
      <c r="AU13">
        <v>3</v>
      </c>
      <c r="AV13" t="s">
        <v>273</v>
      </c>
      <c r="AY13" t="s">
        <v>273</v>
      </c>
      <c r="BB13">
        <v>0</v>
      </c>
      <c r="BC13">
        <v>0</v>
      </c>
      <c r="BD13">
        <v>0</v>
      </c>
      <c r="BE13">
        <v>0</v>
      </c>
      <c r="BF13" t="s">
        <v>493</v>
      </c>
      <c r="BG13" t="s">
        <v>3297</v>
      </c>
      <c r="BH13">
        <v>25</v>
      </c>
      <c r="BI13" t="s">
        <v>3439</v>
      </c>
      <c r="BK13">
        <v>1913030</v>
      </c>
    </row>
    <row r="14" spans="1:64">
      <c r="A14" s="1">
        <f>HYPERLINK("https://lsnyc.legalserver.org/matter/dynamic-profile/view/1912912","19-1912912")</f>
        <v>0</v>
      </c>
      <c r="B14" t="s">
        <v>2827</v>
      </c>
      <c r="C14" t="s">
        <v>2975</v>
      </c>
      <c r="D14" t="s">
        <v>255</v>
      </c>
      <c r="E14" t="s">
        <v>2980</v>
      </c>
      <c r="F14" t="s">
        <v>273</v>
      </c>
      <c r="G14" t="s">
        <v>275</v>
      </c>
      <c r="H14">
        <v>103.41</v>
      </c>
      <c r="K14" t="s">
        <v>488</v>
      </c>
      <c r="O14" t="s">
        <v>275</v>
      </c>
      <c r="Q14" t="s">
        <v>502</v>
      </c>
      <c r="S14" t="s">
        <v>503</v>
      </c>
      <c r="T14" t="s">
        <v>508</v>
      </c>
      <c r="U14" t="s">
        <v>511</v>
      </c>
      <c r="V14">
        <v>10026</v>
      </c>
      <c r="X14" t="s">
        <v>548</v>
      </c>
      <c r="Z14" t="s">
        <v>3035</v>
      </c>
      <c r="AA14" t="s">
        <v>3156</v>
      </c>
      <c r="AB14" t="s">
        <v>902</v>
      </c>
      <c r="AC14" t="s">
        <v>905</v>
      </c>
      <c r="AI14">
        <v>0.95</v>
      </c>
      <c r="AJ14" t="s">
        <v>558</v>
      </c>
      <c r="AK14" t="s">
        <v>934</v>
      </c>
      <c r="AT14">
        <v>4</v>
      </c>
      <c r="AU14">
        <v>1</v>
      </c>
      <c r="AV14" t="s">
        <v>273</v>
      </c>
      <c r="AY14" t="s">
        <v>273</v>
      </c>
      <c r="BB14">
        <v>0</v>
      </c>
      <c r="BC14">
        <v>0</v>
      </c>
      <c r="BD14">
        <v>0</v>
      </c>
      <c r="BE14">
        <v>0</v>
      </c>
      <c r="BF14" t="s">
        <v>1063</v>
      </c>
      <c r="BG14" t="s">
        <v>3298</v>
      </c>
      <c r="BH14">
        <v>17</v>
      </c>
      <c r="BI14" t="s">
        <v>1254</v>
      </c>
      <c r="BK14">
        <v>1913575</v>
      </c>
    </row>
    <row r="15" spans="1:64">
      <c r="A15" s="1">
        <f>HYPERLINK("https://lsnyc.legalserver.org/matter/dynamic-profile/view/1912678","19-1912678")</f>
        <v>0</v>
      </c>
      <c r="B15" t="s">
        <v>2828</v>
      </c>
      <c r="C15" t="s">
        <v>2975</v>
      </c>
      <c r="D15" t="s">
        <v>255</v>
      </c>
      <c r="E15" t="s">
        <v>2978</v>
      </c>
      <c r="F15" t="s">
        <v>273</v>
      </c>
      <c r="G15" t="s">
        <v>275</v>
      </c>
      <c r="H15">
        <v>197.76</v>
      </c>
      <c r="I15" t="s">
        <v>274</v>
      </c>
      <c r="K15" t="s">
        <v>446</v>
      </c>
      <c r="P15" t="s">
        <v>492</v>
      </c>
      <c r="Q15" t="s">
        <v>501</v>
      </c>
      <c r="S15" t="s">
        <v>503</v>
      </c>
      <c r="T15" t="s">
        <v>507</v>
      </c>
      <c r="U15" t="s">
        <v>511</v>
      </c>
      <c r="V15">
        <v>10032</v>
      </c>
      <c r="W15" t="s">
        <v>520</v>
      </c>
      <c r="X15" t="s">
        <v>548</v>
      </c>
      <c r="Z15" t="s">
        <v>3036</v>
      </c>
      <c r="AA15" t="s">
        <v>2102</v>
      </c>
      <c r="AB15" t="s">
        <v>902</v>
      </c>
      <c r="AC15" t="s">
        <v>911</v>
      </c>
      <c r="AF15" t="s">
        <v>923</v>
      </c>
      <c r="AI15">
        <v>1.5</v>
      </c>
      <c r="AJ15" t="s">
        <v>558</v>
      </c>
      <c r="AK15" t="s">
        <v>950</v>
      </c>
      <c r="AL15" t="s">
        <v>274</v>
      </c>
      <c r="AT15">
        <v>0</v>
      </c>
      <c r="AU15">
        <v>1</v>
      </c>
      <c r="AV15" t="s">
        <v>273</v>
      </c>
      <c r="AY15" t="s">
        <v>273</v>
      </c>
      <c r="BB15">
        <v>0</v>
      </c>
      <c r="BC15">
        <v>0</v>
      </c>
      <c r="BD15">
        <v>0</v>
      </c>
      <c r="BE15">
        <v>0</v>
      </c>
      <c r="BF15" t="s">
        <v>1063</v>
      </c>
      <c r="BG15" t="s">
        <v>3299</v>
      </c>
      <c r="BH15">
        <v>47</v>
      </c>
      <c r="BI15" t="s">
        <v>1276</v>
      </c>
      <c r="BK15">
        <v>773298</v>
      </c>
    </row>
    <row r="16" spans="1:64">
      <c r="A16" s="1">
        <f>HYPERLINK("https://lsnyc.legalserver.org/matter/dynamic-profile/view/1912265","19-1912265")</f>
        <v>0</v>
      </c>
      <c r="B16" t="s">
        <v>2829</v>
      </c>
      <c r="C16" t="s">
        <v>2975</v>
      </c>
      <c r="D16" t="s">
        <v>255</v>
      </c>
      <c r="E16" t="s">
        <v>2981</v>
      </c>
      <c r="F16" t="s">
        <v>273</v>
      </c>
      <c r="G16" t="s">
        <v>275</v>
      </c>
      <c r="H16">
        <v>363.81</v>
      </c>
      <c r="K16" t="s">
        <v>476</v>
      </c>
      <c r="P16" t="s">
        <v>492</v>
      </c>
      <c r="Q16" t="s">
        <v>501</v>
      </c>
      <c r="S16" t="s">
        <v>503</v>
      </c>
      <c r="T16" t="s">
        <v>507</v>
      </c>
      <c r="U16" t="s">
        <v>511</v>
      </c>
      <c r="V16">
        <v>10033</v>
      </c>
      <c r="W16" t="s">
        <v>525</v>
      </c>
      <c r="X16" t="s">
        <v>549</v>
      </c>
      <c r="Z16" t="s">
        <v>3037</v>
      </c>
      <c r="AA16" t="s">
        <v>3157</v>
      </c>
      <c r="AB16" t="s">
        <v>902</v>
      </c>
      <c r="AC16" t="s">
        <v>904</v>
      </c>
      <c r="AI16">
        <v>1</v>
      </c>
      <c r="AJ16" t="s">
        <v>931</v>
      </c>
      <c r="AK16" t="s">
        <v>2368</v>
      </c>
      <c r="AT16">
        <v>1</v>
      </c>
      <c r="AU16">
        <v>2</v>
      </c>
      <c r="AV16" t="s">
        <v>273</v>
      </c>
      <c r="AY16" t="s">
        <v>273</v>
      </c>
      <c r="BB16">
        <v>0</v>
      </c>
      <c r="BC16">
        <v>0</v>
      </c>
      <c r="BD16">
        <v>0</v>
      </c>
      <c r="BE16">
        <v>0</v>
      </c>
      <c r="BF16" t="s">
        <v>1063</v>
      </c>
      <c r="BG16" t="s">
        <v>3300</v>
      </c>
      <c r="BH16">
        <v>48</v>
      </c>
      <c r="BI16" t="s">
        <v>3440</v>
      </c>
      <c r="BK16">
        <v>1912928</v>
      </c>
    </row>
    <row r="17" spans="1:64">
      <c r="A17" s="1">
        <f>HYPERLINK("https://lsnyc.legalserver.org/matter/dynamic-profile/view/1912367","19-1912367")</f>
        <v>0</v>
      </c>
      <c r="B17" t="s">
        <v>2826</v>
      </c>
      <c r="C17" t="s">
        <v>2975</v>
      </c>
      <c r="D17" t="s">
        <v>257</v>
      </c>
      <c r="E17" t="s">
        <v>2978</v>
      </c>
      <c r="F17" t="s">
        <v>273</v>
      </c>
      <c r="G17" t="s">
        <v>275</v>
      </c>
      <c r="H17">
        <v>58.86</v>
      </c>
      <c r="I17" t="s">
        <v>274</v>
      </c>
      <c r="K17" t="s">
        <v>476</v>
      </c>
      <c r="P17" t="s">
        <v>492</v>
      </c>
      <c r="Q17" t="s">
        <v>501</v>
      </c>
      <c r="S17" t="s">
        <v>503</v>
      </c>
      <c r="T17" t="s">
        <v>507</v>
      </c>
      <c r="U17" t="s">
        <v>511</v>
      </c>
      <c r="V17">
        <v>10457</v>
      </c>
      <c r="W17" t="s">
        <v>520</v>
      </c>
      <c r="X17" t="s">
        <v>548</v>
      </c>
      <c r="Y17" t="s">
        <v>275</v>
      </c>
      <c r="Z17" t="s">
        <v>3034</v>
      </c>
      <c r="AA17" t="s">
        <v>3155</v>
      </c>
      <c r="AB17" t="s">
        <v>902</v>
      </c>
      <c r="AC17" t="s">
        <v>906</v>
      </c>
      <c r="AF17" t="s">
        <v>923</v>
      </c>
      <c r="AI17">
        <v>2.25</v>
      </c>
      <c r="AJ17" t="s">
        <v>558</v>
      </c>
      <c r="AK17" t="s">
        <v>950</v>
      </c>
      <c r="AL17" t="s">
        <v>274</v>
      </c>
      <c r="AM17" t="s">
        <v>973</v>
      </c>
      <c r="AN17" t="s">
        <v>1810</v>
      </c>
      <c r="AT17">
        <v>1</v>
      </c>
      <c r="AU17">
        <v>3</v>
      </c>
      <c r="AV17" t="s">
        <v>273</v>
      </c>
      <c r="AY17" t="s">
        <v>273</v>
      </c>
      <c r="BB17">
        <v>0</v>
      </c>
      <c r="BC17">
        <v>0</v>
      </c>
      <c r="BD17">
        <v>0</v>
      </c>
      <c r="BE17">
        <v>0</v>
      </c>
      <c r="BF17" t="s">
        <v>1063</v>
      </c>
      <c r="BG17" t="s">
        <v>3297</v>
      </c>
      <c r="BH17">
        <v>25</v>
      </c>
      <c r="BI17" t="s">
        <v>3439</v>
      </c>
      <c r="BK17">
        <v>1913030</v>
      </c>
      <c r="BL17" t="s">
        <v>275</v>
      </c>
    </row>
    <row r="18" spans="1:64">
      <c r="A18" s="1">
        <f>HYPERLINK("https://lsnyc.legalserver.org/matter/dynamic-profile/view/1911990","19-1911990")</f>
        <v>0</v>
      </c>
      <c r="B18" t="s">
        <v>2830</v>
      </c>
      <c r="C18" t="s">
        <v>2975</v>
      </c>
      <c r="D18" t="s">
        <v>255</v>
      </c>
      <c r="E18" t="s">
        <v>2977</v>
      </c>
      <c r="F18" t="s">
        <v>273</v>
      </c>
      <c r="G18" t="s">
        <v>275</v>
      </c>
      <c r="H18">
        <v>141.36</v>
      </c>
      <c r="K18" t="s">
        <v>491</v>
      </c>
      <c r="O18" t="s">
        <v>275</v>
      </c>
      <c r="P18" t="s">
        <v>492</v>
      </c>
      <c r="Q18" t="s">
        <v>501</v>
      </c>
      <c r="S18" t="s">
        <v>503</v>
      </c>
      <c r="T18" t="s">
        <v>508</v>
      </c>
      <c r="U18" t="s">
        <v>511</v>
      </c>
      <c r="V18">
        <v>10027</v>
      </c>
      <c r="W18" t="s">
        <v>1833</v>
      </c>
      <c r="X18" t="s">
        <v>1839</v>
      </c>
      <c r="Z18" t="s">
        <v>3038</v>
      </c>
      <c r="AA18" t="s">
        <v>3158</v>
      </c>
      <c r="AB18" t="s">
        <v>903</v>
      </c>
      <c r="AI18">
        <v>0.95</v>
      </c>
      <c r="AJ18" t="s">
        <v>558</v>
      </c>
      <c r="AK18" t="s">
        <v>3253</v>
      </c>
      <c r="AT18">
        <v>2</v>
      </c>
      <c r="AU18">
        <v>2</v>
      </c>
      <c r="AV18" t="s">
        <v>273</v>
      </c>
      <c r="AY18" t="s">
        <v>273</v>
      </c>
      <c r="BB18">
        <v>0</v>
      </c>
      <c r="BC18">
        <v>0</v>
      </c>
      <c r="BD18">
        <v>0</v>
      </c>
      <c r="BE18">
        <v>0</v>
      </c>
      <c r="BF18" t="s">
        <v>1063</v>
      </c>
      <c r="BG18" t="s">
        <v>3301</v>
      </c>
      <c r="BH18">
        <v>31</v>
      </c>
      <c r="BI18" t="s">
        <v>1317</v>
      </c>
      <c r="BK18">
        <v>795037</v>
      </c>
    </row>
    <row r="19" spans="1:64">
      <c r="A19" s="1">
        <f>HYPERLINK("https://lsnyc.legalserver.org/matter/dynamic-profile/view/1911712","19-1911712")</f>
        <v>0</v>
      </c>
      <c r="B19" t="s">
        <v>2831</v>
      </c>
      <c r="C19" t="s">
        <v>2975</v>
      </c>
      <c r="D19" t="s">
        <v>255</v>
      </c>
      <c r="E19" t="s">
        <v>2979</v>
      </c>
      <c r="F19" t="s">
        <v>275</v>
      </c>
      <c r="G19" t="s">
        <v>275</v>
      </c>
      <c r="H19">
        <v>0</v>
      </c>
      <c r="I19" t="s">
        <v>274</v>
      </c>
      <c r="K19" t="s">
        <v>282</v>
      </c>
      <c r="L19" t="s">
        <v>478</v>
      </c>
      <c r="P19" t="s">
        <v>493</v>
      </c>
      <c r="Q19" t="s">
        <v>501</v>
      </c>
      <c r="S19" t="s">
        <v>503</v>
      </c>
      <c r="T19" t="s">
        <v>508</v>
      </c>
      <c r="U19" t="s">
        <v>511</v>
      </c>
      <c r="V19">
        <v>10016</v>
      </c>
      <c r="W19" t="s">
        <v>518</v>
      </c>
      <c r="X19" t="s">
        <v>553</v>
      </c>
      <c r="Y19" t="s">
        <v>275</v>
      </c>
      <c r="Z19" t="s">
        <v>3039</v>
      </c>
      <c r="AA19" t="s">
        <v>3159</v>
      </c>
      <c r="AB19" t="s">
        <v>902</v>
      </c>
      <c r="AC19" t="s">
        <v>906</v>
      </c>
      <c r="AD19" t="s">
        <v>274</v>
      </c>
      <c r="AE19" t="s">
        <v>918</v>
      </c>
      <c r="AF19" t="s">
        <v>927</v>
      </c>
      <c r="AI19">
        <v>5.5</v>
      </c>
      <c r="AJ19" t="s">
        <v>558</v>
      </c>
      <c r="AK19" t="s">
        <v>948</v>
      </c>
      <c r="AL19" t="s">
        <v>274</v>
      </c>
      <c r="AM19" t="s">
        <v>975</v>
      </c>
      <c r="AN19" t="s">
        <v>282</v>
      </c>
      <c r="AQ19" t="s">
        <v>1037</v>
      </c>
      <c r="AR19" t="s">
        <v>1053</v>
      </c>
      <c r="AT19">
        <v>0</v>
      </c>
      <c r="AU19">
        <v>1</v>
      </c>
      <c r="AV19" t="s">
        <v>273</v>
      </c>
      <c r="AY19" t="s">
        <v>273</v>
      </c>
      <c r="BB19">
        <v>0</v>
      </c>
      <c r="BC19">
        <v>0</v>
      </c>
      <c r="BD19">
        <v>0</v>
      </c>
      <c r="BE19">
        <v>0</v>
      </c>
      <c r="BF19" t="s">
        <v>493</v>
      </c>
      <c r="BG19" t="s">
        <v>3302</v>
      </c>
      <c r="BH19">
        <v>27</v>
      </c>
      <c r="BI19" t="s">
        <v>1247</v>
      </c>
      <c r="BK19">
        <v>1912375</v>
      </c>
      <c r="BL19" t="s">
        <v>275</v>
      </c>
    </row>
    <row r="20" spans="1:64">
      <c r="A20" s="1">
        <f>HYPERLINK("https://lsnyc.legalserver.org/matter/dynamic-profile/view/1911589","19-1911589")</f>
        <v>0</v>
      </c>
      <c r="B20" t="s">
        <v>2832</v>
      </c>
      <c r="C20" t="s">
        <v>2975</v>
      </c>
      <c r="D20" t="s">
        <v>255</v>
      </c>
      <c r="E20" t="s">
        <v>2980</v>
      </c>
      <c r="F20" t="s">
        <v>273</v>
      </c>
      <c r="G20" t="s">
        <v>275</v>
      </c>
      <c r="H20">
        <v>47.4</v>
      </c>
      <c r="K20" t="s">
        <v>452</v>
      </c>
      <c r="O20" t="s">
        <v>275</v>
      </c>
      <c r="Q20" t="s">
        <v>501</v>
      </c>
      <c r="S20" t="s">
        <v>503</v>
      </c>
      <c r="T20" t="s">
        <v>507</v>
      </c>
      <c r="U20" t="s">
        <v>511</v>
      </c>
      <c r="V20">
        <v>10030</v>
      </c>
      <c r="X20" t="s">
        <v>549</v>
      </c>
      <c r="Z20" t="s">
        <v>3040</v>
      </c>
      <c r="AA20" t="s">
        <v>3160</v>
      </c>
      <c r="AB20" t="s">
        <v>902</v>
      </c>
      <c r="AC20" t="s">
        <v>904</v>
      </c>
      <c r="AI20">
        <v>2.59</v>
      </c>
      <c r="AJ20" t="s">
        <v>558</v>
      </c>
      <c r="AK20" t="s">
        <v>939</v>
      </c>
      <c r="AT20">
        <v>1</v>
      </c>
      <c r="AU20">
        <v>1</v>
      </c>
      <c r="AV20" t="s">
        <v>273</v>
      </c>
      <c r="AY20" t="s">
        <v>273</v>
      </c>
      <c r="BB20">
        <v>0</v>
      </c>
      <c r="BC20">
        <v>0</v>
      </c>
      <c r="BD20">
        <v>0</v>
      </c>
      <c r="BE20">
        <v>0</v>
      </c>
      <c r="BF20" t="s">
        <v>1063</v>
      </c>
      <c r="BG20" t="s">
        <v>3303</v>
      </c>
      <c r="BH20">
        <v>66</v>
      </c>
      <c r="BI20" t="s">
        <v>3441</v>
      </c>
      <c r="BK20">
        <v>1912250</v>
      </c>
    </row>
    <row r="21" spans="1:64">
      <c r="A21" s="1">
        <f>HYPERLINK("https://lsnyc.legalserver.org/matter/dynamic-profile/view/1911076","19-1911076")</f>
        <v>0</v>
      </c>
      <c r="B21" t="s">
        <v>2833</v>
      </c>
      <c r="C21" t="s">
        <v>2975</v>
      </c>
      <c r="D21" t="s">
        <v>255</v>
      </c>
      <c r="E21" t="s">
        <v>2977</v>
      </c>
      <c r="F21" t="s">
        <v>275</v>
      </c>
      <c r="G21" t="s">
        <v>275</v>
      </c>
      <c r="H21">
        <v>145.72</v>
      </c>
      <c r="I21" t="s">
        <v>274</v>
      </c>
      <c r="K21" t="s">
        <v>463</v>
      </c>
      <c r="L21" t="s">
        <v>463</v>
      </c>
      <c r="O21" t="s">
        <v>275</v>
      </c>
      <c r="P21" t="s">
        <v>495</v>
      </c>
      <c r="Q21" t="s">
        <v>501</v>
      </c>
      <c r="S21" t="s">
        <v>503</v>
      </c>
      <c r="T21" t="s">
        <v>507</v>
      </c>
      <c r="U21" t="s">
        <v>511</v>
      </c>
      <c r="V21">
        <v>10301</v>
      </c>
      <c r="W21" t="s">
        <v>3019</v>
      </c>
      <c r="X21" t="s">
        <v>549</v>
      </c>
      <c r="Y21" t="s">
        <v>275</v>
      </c>
      <c r="Z21" t="s">
        <v>3041</v>
      </c>
      <c r="AA21" t="s">
        <v>2230</v>
      </c>
      <c r="AB21" t="s">
        <v>902</v>
      </c>
      <c r="AC21" t="s">
        <v>910</v>
      </c>
      <c r="AD21" t="s">
        <v>916</v>
      </c>
      <c r="AE21" t="s">
        <v>919</v>
      </c>
      <c r="AF21" t="s">
        <v>923</v>
      </c>
      <c r="AI21">
        <v>0.55</v>
      </c>
      <c r="AJ21" t="s">
        <v>558</v>
      </c>
      <c r="AK21" t="s">
        <v>952</v>
      </c>
      <c r="AL21" t="s">
        <v>274</v>
      </c>
      <c r="AM21" t="s">
        <v>973</v>
      </c>
      <c r="AN21" t="s">
        <v>463</v>
      </c>
      <c r="AO21" t="s">
        <v>978</v>
      </c>
      <c r="AP21" t="s">
        <v>463</v>
      </c>
      <c r="AQ21" t="s">
        <v>1038</v>
      </c>
      <c r="AR21" t="s">
        <v>1051</v>
      </c>
      <c r="AT21">
        <v>0</v>
      </c>
      <c r="AU21">
        <v>1</v>
      </c>
      <c r="AV21" t="s">
        <v>273</v>
      </c>
      <c r="AY21" t="s">
        <v>273</v>
      </c>
      <c r="BB21">
        <v>0</v>
      </c>
      <c r="BC21">
        <v>0</v>
      </c>
      <c r="BD21">
        <v>0</v>
      </c>
      <c r="BE21">
        <v>0</v>
      </c>
      <c r="BF21" t="s">
        <v>493</v>
      </c>
      <c r="BG21" t="s">
        <v>3304</v>
      </c>
      <c r="BH21">
        <v>30</v>
      </c>
      <c r="BI21" t="s">
        <v>1260</v>
      </c>
      <c r="BK21">
        <v>1880596</v>
      </c>
    </row>
    <row r="22" spans="1:64">
      <c r="A22" s="1">
        <f>HYPERLINK("https://lsnyc.legalserver.org/matter/dynamic-profile/view/1910430","19-1910430")</f>
        <v>0</v>
      </c>
      <c r="B22" t="s">
        <v>2834</v>
      </c>
      <c r="C22" t="s">
        <v>2975</v>
      </c>
      <c r="D22" t="s">
        <v>257</v>
      </c>
      <c r="E22" t="s">
        <v>2977</v>
      </c>
      <c r="F22" t="s">
        <v>275</v>
      </c>
      <c r="G22" t="s">
        <v>275</v>
      </c>
      <c r="H22">
        <v>0</v>
      </c>
      <c r="I22" t="s">
        <v>274</v>
      </c>
      <c r="K22" t="s">
        <v>1031</v>
      </c>
      <c r="L22" t="s">
        <v>459</v>
      </c>
      <c r="O22" t="s">
        <v>275</v>
      </c>
      <c r="P22" t="s">
        <v>495</v>
      </c>
      <c r="Q22" t="s">
        <v>501</v>
      </c>
      <c r="S22" t="s">
        <v>503</v>
      </c>
      <c r="T22" t="s">
        <v>507</v>
      </c>
      <c r="U22" t="s">
        <v>511</v>
      </c>
      <c r="V22">
        <v>10457</v>
      </c>
      <c r="W22" t="s">
        <v>520</v>
      </c>
      <c r="X22" t="s">
        <v>548</v>
      </c>
      <c r="Y22" t="s">
        <v>275</v>
      </c>
      <c r="Z22" t="s">
        <v>3042</v>
      </c>
      <c r="AA22" t="s">
        <v>3161</v>
      </c>
      <c r="AB22" t="s">
        <v>902</v>
      </c>
      <c r="AC22" t="s">
        <v>910</v>
      </c>
      <c r="AD22" t="s">
        <v>916</v>
      </c>
      <c r="AE22" t="s">
        <v>919</v>
      </c>
      <c r="AF22" t="s">
        <v>923</v>
      </c>
      <c r="AI22">
        <v>3.65</v>
      </c>
      <c r="AJ22" t="s">
        <v>558</v>
      </c>
      <c r="AK22" t="s">
        <v>934</v>
      </c>
      <c r="AL22" t="s">
        <v>274</v>
      </c>
      <c r="AM22" t="s">
        <v>973</v>
      </c>
      <c r="AN22" t="s">
        <v>1812</v>
      </c>
      <c r="AO22" t="s">
        <v>976</v>
      </c>
      <c r="AP22" t="s">
        <v>1811</v>
      </c>
      <c r="AQ22" t="s">
        <v>1036</v>
      </c>
      <c r="AR22" t="s">
        <v>1051</v>
      </c>
      <c r="AT22">
        <v>2</v>
      </c>
      <c r="AU22">
        <v>1</v>
      </c>
      <c r="AV22" t="s">
        <v>273</v>
      </c>
      <c r="AY22" t="s">
        <v>273</v>
      </c>
      <c r="BB22">
        <v>0</v>
      </c>
      <c r="BC22">
        <v>0</v>
      </c>
      <c r="BD22">
        <v>0</v>
      </c>
      <c r="BE22">
        <v>0</v>
      </c>
      <c r="BF22" t="s">
        <v>493</v>
      </c>
      <c r="BG22" t="s">
        <v>3305</v>
      </c>
      <c r="BH22">
        <v>42</v>
      </c>
      <c r="BI22" t="s">
        <v>1247</v>
      </c>
      <c r="BK22">
        <v>1873406</v>
      </c>
      <c r="BL22" t="s">
        <v>274</v>
      </c>
    </row>
    <row r="23" spans="1:64">
      <c r="A23" s="1">
        <f>HYPERLINK("https://lsnyc.legalserver.org/matter/dynamic-profile/view/1910435","19-1910435")</f>
        <v>0</v>
      </c>
      <c r="B23" t="s">
        <v>2835</v>
      </c>
      <c r="C23" t="s">
        <v>2975</v>
      </c>
      <c r="D23" t="s">
        <v>257</v>
      </c>
      <c r="E23" t="s">
        <v>2977</v>
      </c>
      <c r="F23" t="s">
        <v>275</v>
      </c>
      <c r="G23" t="s">
        <v>275</v>
      </c>
      <c r="H23">
        <v>0</v>
      </c>
      <c r="I23" t="s">
        <v>274</v>
      </c>
      <c r="K23" t="s">
        <v>1031</v>
      </c>
      <c r="L23" t="s">
        <v>459</v>
      </c>
      <c r="O23" t="s">
        <v>275</v>
      </c>
      <c r="P23" t="s">
        <v>495</v>
      </c>
      <c r="Q23" t="s">
        <v>502</v>
      </c>
      <c r="S23" t="s">
        <v>503</v>
      </c>
      <c r="T23" t="s">
        <v>507</v>
      </c>
      <c r="U23" t="s">
        <v>511</v>
      </c>
      <c r="V23">
        <v>10457</v>
      </c>
      <c r="W23" t="s">
        <v>520</v>
      </c>
      <c r="X23" t="s">
        <v>548</v>
      </c>
      <c r="Y23" t="s">
        <v>275</v>
      </c>
      <c r="Z23" t="s">
        <v>3043</v>
      </c>
      <c r="AA23" t="s">
        <v>3162</v>
      </c>
      <c r="AB23" t="s">
        <v>902</v>
      </c>
      <c r="AC23" t="s">
        <v>910</v>
      </c>
      <c r="AD23" t="s">
        <v>916</v>
      </c>
      <c r="AE23" t="s">
        <v>919</v>
      </c>
      <c r="AF23" t="s">
        <v>923</v>
      </c>
      <c r="AI23">
        <v>2.2</v>
      </c>
      <c r="AJ23" t="s">
        <v>558</v>
      </c>
      <c r="AK23" t="s">
        <v>934</v>
      </c>
      <c r="AL23" t="s">
        <v>274</v>
      </c>
      <c r="AM23" t="s">
        <v>973</v>
      </c>
      <c r="AN23" t="s">
        <v>1812</v>
      </c>
      <c r="AO23" t="s">
        <v>976</v>
      </c>
      <c r="AP23" t="s">
        <v>1811</v>
      </c>
      <c r="AQ23" t="s">
        <v>1036</v>
      </c>
      <c r="AR23" t="s">
        <v>1051</v>
      </c>
      <c r="AT23">
        <v>2</v>
      </c>
      <c r="AU23">
        <v>1</v>
      </c>
      <c r="AV23" t="s">
        <v>273</v>
      </c>
      <c r="AY23" t="s">
        <v>273</v>
      </c>
      <c r="BB23">
        <v>0</v>
      </c>
      <c r="BC23">
        <v>0</v>
      </c>
      <c r="BD23">
        <v>0</v>
      </c>
      <c r="BE23">
        <v>0</v>
      </c>
      <c r="BF23" t="s">
        <v>493</v>
      </c>
      <c r="BG23" t="s">
        <v>3306</v>
      </c>
      <c r="BH23">
        <v>10</v>
      </c>
      <c r="BI23" t="s">
        <v>1247</v>
      </c>
      <c r="BK23">
        <v>1873406</v>
      </c>
      <c r="BL23" t="s">
        <v>274</v>
      </c>
    </row>
    <row r="24" spans="1:64">
      <c r="A24" s="1">
        <f>HYPERLINK("https://lsnyc.legalserver.org/matter/dynamic-profile/view/1910343","19-1910343")</f>
        <v>0</v>
      </c>
      <c r="B24" t="s">
        <v>2836</v>
      </c>
      <c r="C24" t="s">
        <v>2975</v>
      </c>
      <c r="D24" t="s">
        <v>255</v>
      </c>
      <c r="E24" t="s">
        <v>264</v>
      </c>
      <c r="F24" t="s">
        <v>274</v>
      </c>
      <c r="G24" t="s">
        <v>274</v>
      </c>
      <c r="H24">
        <v>124.9</v>
      </c>
      <c r="I24" t="s">
        <v>274</v>
      </c>
      <c r="K24" t="s">
        <v>445</v>
      </c>
      <c r="O24" t="s">
        <v>274</v>
      </c>
      <c r="P24" t="s">
        <v>498</v>
      </c>
      <c r="Q24" t="s">
        <v>501</v>
      </c>
      <c r="S24" t="s">
        <v>503</v>
      </c>
      <c r="T24" t="s">
        <v>508</v>
      </c>
      <c r="U24" t="s">
        <v>511</v>
      </c>
      <c r="V24">
        <v>10039</v>
      </c>
      <c r="X24" t="s">
        <v>548</v>
      </c>
      <c r="Y24" t="s">
        <v>275</v>
      </c>
      <c r="Z24" t="s">
        <v>3044</v>
      </c>
      <c r="AA24" t="s">
        <v>2110</v>
      </c>
      <c r="AB24" t="s">
        <v>902</v>
      </c>
      <c r="AC24" t="s">
        <v>904</v>
      </c>
      <c r="AF24" t="s">
        <v>925</v>
      </c>
      <c r="AI24">
        <v>2.4</v>
      </c>
      <c r="AJ24" t="s">
        <v>558</v>
      </c>
      <c r="AK24" t="s">
        <v>950</v>
      </c>
      <c r="AL24" t="s">
        <v>274</v>
      </c>
      <c r="AT24">
        <v>0</v>
      </c>
      <c r="AU24">
        <v>1</v>
      </c>
      <c r="AV24" t="s">
        <v>273</v>
      </c>
      <c r="AY24" t="s">
        <v>273</v>
      </c>
      <c r="BB24">
        <v>0</v>
      </c>
      <c r="BC24">
        <v>0</v>
      </c>
      <c r="BD24">
        <v>0</v>
      </c>
      <c r="BE24">
        <v>0</v>
      </c>
      <c r="BF24" t="s">
        <v>1063</v>
      </c>
      <c r="BG24" t="s">
        <v>3307</v>
      </c>
      <c r="BH24">
        <v>32</v>
      </c>
      <c r="BI24" t="s">
        <v>1270</v>
      </c>
      <c r="BK24">
        <v>1911000</v>
      </c>
      <c r="BL24" t="s">
        <v>275</v>
      </c>
    </row>
    <row r="25" spans="1:64">
      <c r="A25" s="1">
        <f>HYPERLINK("https://lsnyc.legalserver.org/matter/dynamic-profile/view/1910084","19-1910084")</f>
        <v>0</v>
      </c>
      <c r="B25" t="s">
        <v>2837</v>
      </c>
      <c r="C25" t="s">
        <v>2975</v>
      </c>
      <c r="D25" t="s">
        <v>255</v>
      </c>
      <c r="E25" t="s">
        <v>2977</v>
      </c>
      <c r="F25" t="s">
        <v>275</v>
      </c>
      <c r="G25" t="s">
        <v>275</v>
      </c>
      <c r="H25">
        <v>70.95999999999999</v>
      </c>
      <c r="I25" t="s">
        <v>274</v>
      </c>
      <c r="K25" t="s">
        <v>286</v>
      </c>
      <c r="L25" t="s">
        <v>1658</v>
      </c>
      <c r="O25" t="s">
        <v>275</v>
      </c>
      <c r="P25" t="s">
        <v>495</v>
      </c>
      <c r="Q25" t="s">
        <v>501</v>
      </c>
      <c r="S25" t="s">
        <v>503</v>
      </c>
      <c r="T25" t="s">
        <v>508</v>
      </c>
      <c r="U25" t="s">
        <v>511</v>
      </c>
      <c r="V25">
        <v>10029</v>
      </c>
      <c r="W25" t="s">
        <v>522</v>
      </c>
      <c r="X25" t="s">
        <v>549</v>
      </c>
      <c r="Y25" t="s">
        <v>275</v>
      </c>
      <c r="Z25" t="s">
        <v>614</v>
      </c>
      <c r="AA25" t="s">
        <v>3163</v>
      </c>
      <c r="AB25" t="s">
        <v>902</v>
      </c>
      <c r="AC25" t="s">
        <v>905</v>
      </c>
      <c r="AD25" t="s">
        <v>274</v>
      </c>
      <c r="AE25" t="s">
        <v>919</v>
      </c>
      <c r="AF25" t="s">
        <v>923</v>
      </c>
      <c r="AI25">
        <v>0.25</v>
      </c>
      <c r="AJ25" t="s">
        <v>558</v>
      </c>
      <c r="AK25" t="s">
        <v>950</v>
      </c>
      <c r="AL25" t="s">
        <v>274</v>
      </c>
      <c r="AM25" t="s">
        <v>973</v>
      </c>
      <c r="AN25" t="s">
        <v>1668</v>
      </c>
      <c r="AO25" t="s">
        <v>976</v>
      </c>
      <c r="AP25" t="s">
        <v>479</v>
      </c>
      <c r="AQ25" t="s">
        <v>1038</v>
      </c>
      <c r="AR25" t="s">
        <v>1051</v>
      </c>
      <c r="AT25">
        <v>1</v>
      </c>
      <c r="AU25">
        <v>1</v>
      </c>
      <c r="AV25" t="s">
        <v>273</v>
      </c>
      <c r="AY25" t="s">
        <v>273</v>
      </c>
      <c r="BB25">
        <v>0</v>
      </c>
      <c r="BC25">
        <v>0</v>
      </c>
      <c r="BD25">
        <v>0</v>
      </c>
      <c r="BE25">
        <v>0</v>
      </c>
      <c r="BF25" t="s">
        <v>493</v>
      </c>
      <c r="BG25" t="s">
        <v>3308</v>
      </c>
      <c r="BH25">
        <v>40</v>
      </c>
      <c r="BI25" t="s">
        <v>1267</v>
      </c>
      <c r="BK25">
        <v>80655</v>
      </c>
      <c r="BL25" t="s">
        <v>275</v>
      </c>
    </row>
    <row r="26" spans="1:64">
      <c r="A26" s="1">
        <f>HYPERLINK("https://lsnyc.legalserver.org/matter/dynamic-profile/view/1910079","19-1910079")</f>
        <v>0</v>
      </c>
      <c r="B26" t="s">
        <v>2838</v>
      </c>
      <c r="C26" t="s">
        <v>2975</v>
      </c>
      <c r="D26" t="s">
        <v>255</v>
      </c>
      <c r="E26" t="s">
        <v>2977</v>
      </c>
      <c r="F26" t="s">
        <v>273</v>
      </c>
      <c r="G26" t="s">
        <v>275</v>
      </c>
      <c r="H26">
        <v>184.15</v>
      </c>
      <c r="I26" t="s">
        <v>274</v>
      </c>
      <c r="K26" t="s">
        <v>286</v>
      </c>
      <c r="O26" t="s">
        <v>275</v>
      </c>
      <c r="P26" t="s">
        <v>492</v>
      </c>
      <c r="Q26" t="s">
        <v>501</v>
      </c>
      <c r="S26" t="s">
        <v>503</v>
      </c>
      <c r="T26" t="s">
        <v>507</v>
      </c>
      <c r="U26" t="s">
        <v>511</v>
      </c>
      <c r="V26">
        <v>10002</v>
      </c>
      <c r="W26" t="s">
        <v>520</v>
      </c>
      <c r="X26" t="s">
        <v>549</v>
      </c>
      <c r="Y26" t="s">
        <v>274</v>
      </c>
      <c r="Z26" t="s">
        <v>3045</v>
      </c>
      <c r="AA26" t="s">
        <v>3164</v>
      </c>
      <c r="AB26" t="s">
        <v>902</v>
      </c>
      <c r="AC26" t="s">
        <v>910</v>
      </c>
      <c r="AF26" t="s">
        <v>923</v>
      </c>
      <c r="AI26">
        <v>6.25</v>
      </c>
      <c r="AJ26" t="s">
        <v>558</v>
      </c>
      <c r="AK26" t="s">
        <v>2381</v>
      </c>
      <c r="AL26" t="s">
        <v>274</v>
      </c>
      <c r="AM26" t="s">
        <v>973</v>
      </c>
      <c r="AN26" t="s">
        <v>445</v>
      </c>
      <c r="AT26">
        <v>0</v>
      </c>
      <c r="AU26">
        <v>1</v>
      </c>
      <c r="AV26" t="s">
        <v>273</v>
      </c>
      <c r="AY26" t="s">
        <v>273</v>
      </c>
      <c r="BB26">
        <v>0</v>
      </c>
      <c r="BC26">
        <v>0</v>
      </c>
      <c r="BD26">
        <v>0</v>
      </c>
      <c r="BE26">
        <v>0</v>
      </c>
      <c r="BF26" t="s">
        <v>1063</v>
      </c>
      <c r="BG26" t="s">
        <v>3309</v>
      </c>
      <c r="BH26">
        <v>30</v>
      </c>
      <c r="BI26" t="s">
        <v>1310</v>
      </c>
      <c r="BK26">
        <v>1883899</v>
      </c>
    </row>
    <row r="27" spans="1:64">
      <c r="A27" s="1">
        <f>HYPERLINK("https://lsnyc.legalserver.org/matter/dynamic-profile/view/1910110","19-1910110")</f>
        <v>0</v>
      </c>
      <c r="B27" t="s">
        <v>2839</v>
      </c>
      <c r="C27" t="s">
        <v>2975</v>
      </c>
      <c r="D27" t="s">
        <v>257</v>
      </c>
      <c r="E27" t="s">
        <v>2981</v>
      </c>
      <c r="F27" t="s">
        <v>273</v>
      </c>
      <c r="G27" t="s">
        <v>275</v>
      </c>
      <c r="H27">
        <v>165.1</v>
      </c>
      <c r="K27" t="s">
        <v>286</v>
      </c>
      <c r="P27" t="s">
        <v>492</v>
      </c>
      <c r="Q27" t="s">
        <v>501</v>
      </c>
      <c r="S27" t="s">
        <v>503</v>
      </c>
      <c r="T27" t="s">
        <v>508</v>
      </c>
      <c r="U27" t="s">
        <v>511</v>
      </c>
      <c r="V27">
        <v>10453</v>
      </c>
      <c r="W27" t="s">
        <v>3020</v>
      </c>
      <c r="X27" t="s">
        <v>548</v>
      </c>
      <c r="Z27" t="s">
        <v>3046</v>
      </c>
      <c r="AA27" t="s">
        <v>3165</v>
      </c>
      <c r="AB27" t="s">
        <v>902</v>
      </c>
      <c r="AC27" t="s">
        <v>909</v>
      </c>
      <c r="AI27">
        <v>0</v>
      </c>
      <c r="AJ27" t="s">
        <v>558</v>
      </c>
      <c r="AK27" t="s">
        <v>3254</v>
      </c>
      <c r="AT27">
        <v>0</v>
      </c>
      <c r="AU27">
        <v>4</v>
      </c>
      <c r="AV27" t="s">
        <v>273</v>
      </c>
      <c r="AY27" t="s">
        <v>273</v>
      </c>
      <c r="BB27">
        <v>0</v>
      </c>
      <c r="BC27">
        <v>0</v>
      </c>
      <c r="BD27">
        <v>0</v>
      </c>
      <c r="BE27">
        <v>0</v>
      </c>
      <c r="BF27" t="s">
        <v>1063</v>
      </c>
      <c r="BG27" t="s">
        <v>3310</v>
      </c>
      <c r="BH27">
        <v>37</v>
      </c>
      <c r="BI27" t="s">
        <v>3442</v>
      </c>
      <c r="BK27">
        <v>1885732</v>
      </c>
    </row>
    <row r="28" spans="1:64">
      <c r="A28" s="1">
        <f>HYPERLINK("https://lsnyc.legalserver.org/matter/dynamic-profile/view/1909641","19-1909641")</f>
        <v>0</v>
      </c>
      <c r="B28" t="s">
        <v>2840</v>
      </c>
      <c r="C28" t="s">
        <v>2975</v>
      </c>
      <c r="D28" t="s">
        <v>255</v>
      </c>
      <c r="E28" t="s">
        <v>2977</v>
      </c>
      <c r="F28" t="s">
        <v>275</v>
      </c>
      <c r="G28" t="s">
        <v>275</v>
      </c>
      <c r="H28">
        <v>57.17</v>
      </c>
      <c r="I28" t="s">
        <v>274</v>
      </c>
      <c r="K28" t="s">
        <v>1004</v>
      </c>
      <c r="L28" t="s">
        <v>481</v>
      </c>
      <c r="O28" t="s">
        <v>275</v>
      </c>
      <c r="P28" t="s">
        <v>495</v>
      </c>
      <c r="Q28" t="s">
        <v>501</v>
      </c>
      <c r="S28" t="s">
        <v>503</v>
      </c>
      <c r="T28" t="s">
        <v>507</v>
      </c>
      <c r="U28" t="s">
        <v>511</v>
      </c>
      <c r="V28">
        <v>10027</v>
      </c>
      <c r="W28" t="s">
        <v>522</v>
      </c>
      <c r="X28" t="s">
        <v>549</v>
      </c>
      <c r="Y28" t="s">
        <v>275</v>
      </c>
      <c r="Z28" t="s">
        <v>3047</v>
      </c>
      <c r="AA28" t="s">
        <v>872</v>
      </c>
      <c r="AB28" t="s">
        <v>902</v>
      </c>
      <c r="AC28" t="s">
        <v>904</v>
      </c>
      <c r="AD28" t="s">
        <v>916</v>
      </c>
      <c r="AE28" t="s">
        <v>919</v>
      </c>
      <c r="AF28" t="s">
        <v>923</v>
      </c>
      <c r="AI28">
        <v>0.5</v>
      </c>
      <c r="AJ28" t="s">
        <v>558</v>
      </c>
      <c r="AK28" t="s">
        <v>969</v>
      </c>
      <c r="AL28" t="s">
        <v>274</v>
      </c>
      <c r="AM28" t="s">
        <v>973</v>
      </c>
      <c r="AN28" t="s">
        <v>450</v>
      </c>
      <c r="AO28" t="s">
        <v>976</v>
      </c>
      <c r="AP28" t="s">
        <v>479</v>
      </c>
      <c r="AQ28" t="s">
        <v>1038</v>
      </c>
      <c r="AR28" t="s">
        <v>1051</v>
      </c>
      <c r="AT28">
        <v>0</v>
      </c>
      <c r="AU28">
        <v>1</v>
      </c>
      <c r="AV28" t="s">
        <v>273</v>
      </c>
      <c r="AY28" t="s">
        <v>273</v>
      </c>
      <c r="BB28">
        <v>0</v>
      </c>
      <c r="BC28">
        <v>0</v>
      </c>
      <c r="BD28">
        <v>0</v>
      </c>
      <c r="BE28">
        <v>0</v>
      </c>
      <c r="BF28" t="s">
        <v>493</v>
      </c>
      <c r="BG28" t="s">
        <v>3311</v>
      </c>
      <c r="BH28">
        <v>48</v>
      </c>
      <c r="BI28" t="s">
        <v>3443</v>
      </c>
      <c r="BK28">
        <v>1890781</v>
      </c>
      <c r="BL28" t="s">
        <v>275</v>
      </c>
    </row>
    <row r="29" spans="1:64">
      <c r="A29" s="1">
        <f>HYPERLINK("https://lsnyc.legalserver.org/matter/dynamic-profile/view/1909568","19-1909568")</f>
        <v>0</v>
      </c>
      <c r="B29" t="s">
        <v>2841</v>
      </c>
      <c r="C29" t="s">
        <v>2975</v>
      </c>
      <c r="D29" t="s">
        <v>255</v>
      </c>
      <c r="E29" t="s">
        <v>2979</v>
      </c>
      <c r="F29" t="s">
        <v>275</v>
      </c>
      <c r="G29" t="s">
        <v>275</v>
      </c>
      <c r="H29">
        <v>68.98</v>
      </c>
      <c r="I29" t="s">
        <v>274</v>
      </c>
      <c r="K29" t="s">
        <v>1669</v>
      </c>
      <c r="L29" t="s">
        <v>481</v>
      </c>
      <c r="P29" t="s">
        <v>493</v>
      </c>
      <c r="Q29" t="s">
        <v>501</v>
      </c>
      <c r="S29" t="s">
        <v>503</v>
      </c>
      <c r="T29" t="s">
        <v>508</v>
      </c>
      <c r="U29" t="s">
        <v>511</v>
      </c>
      <c r="V29">
        <v>10009</v>
      </c>
      <c r="W29" t="s">
        <v>517</v>
      </c>
      <c r="X29" t="s">
        <v>548</v>
      </c>
      <c r="Y29" t="s">
        <v>274</v>
      </c>
      <c r="Z29" t="s">
        <v>3048</v>
      </c>
      <c r="AA29" t="s">
        <v>3166</v>
      </c>
      <c r="AB29" t="s">
        <v>902</v>
      </c>
      <c r="AC29" t="s">
        <v>904</v>
      </c>
      <c r="AD29" t="s">
        <v>275</v>
      </c>
      <c r="AE29" t="s">
        <v>918</v>
      </c>
      <c r="AF29" t="s">
        <v>927</v>
      </c>
      <c r="AI29">
        <v>6.75</v>
      </c>
      <c r="AK29" t="s">
        <v>950</v>
      </c>
      <c r="AL29" t="s">
        <v>274</v>
      </c>
      <c r="AM29" t="s">
        <v>975</v>
      </c>
      <c r="AN29" t="s">
        <v>481</v>
      </c>
      <c r="AQ29" t="s">
        <v>1037</v>
      </c>
      <c r="AR29" t="s">
        <v>1053</v>
      </c>
      <c r="AT29">
        <v>0</v>
      </c>
      <c r="AU29">
        <v>1</v>
      </c>
      <c r="AV29" t="s">
        <v>273</v>
      </c>
      <c r="AY29" t="s">
        <v>273</v>
      </c>
      <c r="BB29">
        <v>0</v>
      </c>
      <c r="BC29">
        <v>0</v>
      </c>
      <c r="BD29">
        <v>0</v>
      </c>
      <c r="BE29">
        <v>0</v>
      </c>
      <c r="BF29" t="s">
        <v>493</v>
      </c>
      <c r="BG29" t="s">
        <v>3312</v>
      </c>
      <c r="BH29">
        <v>53</v>
      </c>
      <c r="BI29" t="s">
        <v>3444</v>
      </c>
      <c r="BK29">
        <v>1876692</v>
      </c>
    </row>
    <row r="30" spans="1:64">
      <c r="A30" s="1">
        <f>HYPERLINK("https://lsnyc.legalserver.org/matter/dynamic-profile/view/1909559","19-1909559")</f>
        <v>0</v>
      </c>
      <c r="B30" t="s">
        <v>2842</v>
      </c>
      <c r="C30" t="s">
        <v>2975</v>
      </c>
      <c r="D30" t="s">
        <v>257</v>
      </c>
      <c r="E30" t="s">
        <v>2979</v>
      </c>
      <c r="F30" t="s">
        <v>275</v>
      </c>
      <c r="G30" t="s">
        <v>275</v>
      </c>
      <c r="H30">
        <v>23.06</v>
      </c>
      <c r="I30" t="s">
        <v>274</v>
      </c>
      <c r="K30" t="s">
        <v>1669</v>
      </c>
      <c r="L30" t="s">
        <v>442</v>
      </c>
      <c r="P30" t="s">
        <v>493</v>
      </c>
      <c r="Q30" t="s">
        <v>502</v>
      </c>
      <c r="S30" t="s">
        <v>503</v>
      </c>
      <c r="T30" t="s">
        <v>508</v>
      </c>
      <c r="U30" t="s">
        <v>511</v>
      </c>
      <c r="V30">
        <v>10456</v>
      </c>
      <c r="W30" t="s">
        <v>520</v>
      </c>
      <c r="X30" t="s">
        <v>548</v>
      </c>
      <c r="Y30" t="s">
        <v>275</v>
      </c>
      <c r="Z30" t="s">
        <v>717</v>
      </c>
      <c r="AA30" t="s">
        <v>815</v>
      </c>
      <c r="AB30" t="s">
        <v>902</v>
      </c>
      <c r="AC30" t="s">
        <v>905</v>
      </c>
      <c r="AD30" t="s">
        <v>275</v>
      </c>
      <c r="AE30" t="s">
        <v>919</v>
      </c>
      <c r="AF30" t="s">
        <v>923</v>
      </c>
      <c r="AI30">
        <v>5</v>
      </c>
      <c r="AL30" t="s">
        <v>274</v>
      </c>
      <c r="AM30" t="s">
        <v>973</v>
      </c>
      <c r="AN30" t="s">
        <v>490</v>
      </c>
      <c r="AO30" t="s">
        <v>978</v>
      </c>
      <c r="AP30" t="s">
        <v>1662</v>
      </c>
      <c r="AQ30" t="s">
        <v>1036</v>
      </c>
      <c r="AR30" t="s">
        <v>1051</v>
      </c>
      <c r="AT30">
        <v>1</v>
      </c>
      <c r="AU30">
        <v>1</v>
      </c>
      <c r="AV30" t="s">
        <v>273</v>
      </c>
      <c r="AY30" t="s">
        <v>273</v>
      </c>
      <c r="BB30">
        <v>0</v>
      </c>
      <c r="BC30">
        <v>0</v>
      </c>
      <c r="BD30">
        <v>0</v>
      </c>
      <c r="BE30">
        <v>0</v>
      </c>
      <c r="BF30" t="s">
        <v>493</v>
      </c>
      <c r="BG30" t="s">
        <v>3313</v>
      </c>
      <c r="BH30">
        <v>5</v>
      </c>
      <c r="BI30" t="s">
        <v>3445</v>
      </c>
      <c r="BK30">
        <v>1861984</v>
      </c>
      <c r="BL30" t="s">
        <v>274</v>
      </c>
    </row>
    <row r="31" spans="1:64">
      <c r="A31" s="1">
        <f>HYPERLINK("https://lsnyc.legalserver.org/matter/dynamic-profile/view/1909538","19-1909538")</f>
        <v>0</v>
      </c>
      <c r="B31" t="s">
        <v>2843</v>
      </c>
      <c r="C31" t="s">
        <v>2975</v>
      </c>
      <c r="D31" t="s">
        <v>252</v>
      </c>
      <c r="E31" t="s">
        <v>2982</v>
      </c>
      <c r="F31" t="s">
        <v>273</v>
      </c>
      <c r="G31" t="s">
        <v>275</v>
      </c>
      <c r="H31">
        <v>0</v>
      </c>
      <c r="I31" t="s">
        <v>274</v>
      </c>
      <c r="K31" t="s">
        <v>1669</v>
      </c>
      <c r="P31" t="s">
        <v>492</v>
      </c>
      <c r="Q31" t="s">
        <v>501</v>
      </c>
      <c r="S31" t="s">
        <v>506</v>
      </c>
      <c r="T31" t="s">
        <v>508</v>
      </c>
      <c r="U31" t="s">
        <v>3016</v>
      </c>
      <c r="V31">
        <v>11223</v>
      </c>
      <c r="W31" t="s">
        <v>3021</v>
      </c>
      <c r="X31" t="s">
        <v>549</v>
      </c>
      <c r="Y31" t="s">
        <v>275</v>
      </c>
      <c r="Z31" t="s">
        <v>3049</v>
      </c>
      <c r="AA31" t="s">
        <v>3167</v>
      </c>
      <c r="AB31" t="s">
        <v>902</v>
      </c>
      <c r="AC31" t="s">
        <v>904</v>
      </c>
      <c r="AF31" t="s">
        <v>924</v>
      </c>
      <c r="AI31">
        <v>1</v>
      </c>
      <c r="AJ31" t="s">
        <v>558</v>
      </c>
      <c r="AK31" t="s">
        <v>968</v>
      </c>
      <c r="AL31" t="s">
        <v>274</v>
      </c>
      <c r="AT31">
        <v>1</v>
      </c>
      <c r="AU31">
        <v>1</v>
      </c>
      <c r="AV31" t="s">
        <v>273</v>
      </c>
      <c r="AY31" t="s">
        <v>273</v>
      </c>
      <c r="BB31">
        <v>0</v>
      </c>
      <c r="BC31">
        <v>0</v>
      </c>
      <c r="BD31">
        <v>0</v>
      </c>
      <c r="BE31">
        <v>0</v>
      </c>
      <c r="BF31" t="s">
        <v>1063</v>
      </c>
      <c r="BG31" t="s">
        <v>3314</v>
      </c>
      <c r="BH31">
        <v>32</v>
      </c>
      <c r="BI31" t="s">
        <v>1247</v>
      </c>
      <c r="BK31">
        <v>1837812</v>
      </c>
      <c r="BL31" t="s">
        <v>275</v>
      </c>
    </row>
    <row r="32" spans="1:64">
      <c r="A32" s="1">
        <f>HYPERLINK("https://lsnyc.legalserver.org/matter/dynamic-profile/view/1909566","19-1909566")</f>
        <v>0</v>
      </c>
      <c r="B32" t="s">
        <v>2844</v>
      </c>
      <c r="C32" t="s">
        <v>2975</v>
      </c>
      <c r="D32" t="s">
        <v>257</v>
      </c>
      <c r="E32" t="s">
        <v>2979</v>
      </c>
      <c r="F32" t="s">
        <v>273</v>
      </c>
      <c r="G32" t="s">
        <v>275</v>
      </c>
      <c r="H32">
        <v>21.29</v>
      </c>
      <c r="I32" t="s">
        <v>274</v>
      </c>
      <c r="K32" t="s">
        <v>1669</v>
      </c>
      <c r="P32" t="s">
        <v>492</v>
      </c>
      <c r="Q32" t="s">
        <v>501</v>
      </c>
      <c r="S32" t="s">
        <v>503</v>
      </c>
      <c r="T32" t="s">
        <v>508</v>
      </c>
      <c r="U32" t="s">
        <v>511</v>
      </c>
      <c r="V32">
        <v>10456</v>
      </c>
      <c r="W32" t="s">
        <v>520</v>
      </c>
      <c r="X32" t="s">
        <v>548</v>
      </c>
      <c r="Y32" t="s">
        <v>275</v>
      </c>
      <c r="Z32" t="s">
        <v>3050</v>
      </c>
      <c r="AA32" t="s">
        <v>815</v>
      </c>
      <c r="AB32" t="s">
        <v>902</v>
      </c>
      <c r="AC32" t="s">
        <v>905</v>
      </c>
      <c r="AF32" t="s">
        <v>923</v>
      </c>
      <c r="AI32">
        <v>4.75</v>
      </c>
      <c r="AJ32" t="s">
        <v>558</v>
      </c>
      <c r="AK32" t="s">
        <v>936</v>
      </c>
      <c r="AL32" t="s">
        <v>274</v>
      </c>
      <c r="AM32" t="s">
        <v>973</v>
      </c>
      <c r="AN32" t="s">
        <v>442</v>
      </c>
      <c r="AT32">
        <v>1</v>
      </c>
      <c r="AU32">
        <v>1</v>
      </c>
      <c r="AV32" t="s">
        <v>273</v>
      </c>
      <c r="AY32" t="s">
        <v>273</v>
      </c>
      <c r="BB32">
        <v>0</v>
      </c>
      <c r="BC32">
        <v>0</v>
      </c>
      <c r="BD32">
        <v>0</v>
      </c>
      <c r="BE32">
        <v>0</v>
      </c>
      <c r="BF32" t="s">
        <v>1063</v>
      </c>
      <c r="BG32" t="s">
        <v>3315</v>
      </c>
      <c r="BH32">
        <v>33</v>
      </c>
      <c r="BI32" t="s">
        <v>2731</v>
      </c>
      <c r="BK32">
        <v>1861976</v>
      </c>
      <c r="BL32" t="s">
        <v>274</v>
      </c>
    </row>
    <row r="33" spans="1:64">
      <c r="A33" s="1">
        <f>HYPERLINK("https://lsnyc.legalserver.org/matter/dynamic-profile/view/1908725","19-1908725")</f>
        <v>0</v>
      </c>
      <c r="B33" t="s">
        <v>2845</v>
      </c>
      <c r="C33" t="s">
        <v>2975</v>
      </c>
      <c r="D33" t="s">
        <v>255</v>
      </c>
      <c r="E33" t="s">
        <v>2981</v>
      </c>
      <c r="F33" t="s">
        <v>273</v>
      </c>
      <c r="G33" t="s">
        <v>275</v>
      </c>
      <c r="H33">
        <v>0</v>
      </c>
      <c r="K33" t="s">
        <v>450</v>
      </c>
      <c r="O33" t="s">
        <v>275</v>
      </c>
      <c r="Q33" t="s">
        <v>501</v>
      </c>
      <c r="S33" t="s">
        <v>503</v>
      </c>
      <c r="T33" t="s">
        <v>507</v>
      </c>
      <c r="U33" t="s">
        <v>511</v>
      </c>
      <c r="V33">
        <v>10030</v>
      </c>
      <c r="X33" t="s">
        <v>548</v>
      </c>
      <c r="Z33" t="s">
        <v>657</v>
      </c>
      <c r="AA33" t="s">
        <v>3168</v>
      </c>
      <c r="AB33" t="s">
        <v>902</v>
      </c>
      <c r="AC33" t="s">
        <v>905</v>
      </c>
      <c r="AI33">
        <v>2.5</v>
      </c>
      <c r="AK33" t="s">
        <v>949</v>
      </c>
      <c r="AT33">
        <v>0</v>
      </c>
      <c r="AU33">
        <v>1</v>
      </c>
      <c r="AV33" t="s">
        <v>273</v>
      </c>
      <c r="AY33" t="s">
        <v>273</v>
      </c>
      <c r="BB33">
        <v>0</v>
      </c>
      <c r="BC33">
        <v>0</v>
      </c>
      <c r="BD33">
        <v>0</v>
      </c>
      <c r="BE33">
        <v>0</v>
      </c>
      <c r="BF33" t="s">
        <v>1063</v>
      </c>
      <c r="BG33" t="s">
        <v>3316</v>
      </c>
      <c r="BH33">
        <v>30</v>
      </c>
      <c r="BI33" t="s">
        <v>1247</v>
      </c>
      <c r="BK33">
        <v>1909382</v>
      </c>
    </row>
    <row r="34" spans="1:64">
      <c r="A34" s="1">
        <f>HYPERLINK("https://lsnyc.legalserver.org/matter/dynamic-profile/view/1908332","19-1908332")</f>
        <v>0</v>
      </c>
      <c r="B34" t="s">
        <v>2846</v>
      </c>
      <c r="C34" t="s">
        <v>2975</v>
      </c>
      <c r="D34" t="s">
        <v>255</v>
      </c>
      <c r="E34" t="s">
        <v>2979</v>
      </c>
      <c r="F34" t="s">
        <v>273</v>
      </c>
      <c r="G34" t="s">
        <v>275</v>
      </c>
      <c r="H34">
        <v>123.77</v>
      </c>
      <c r="I34" t="s">
        <v>274</v>
      </c>
      <c r="K34" t="s">
        <v>1008</v>
      </c>
      <c r="P34" t="s">
        <v>492</v>
      </c>
      <c r="Q34" t="s">
        <v>501</v>
      </c>
      <c r="S34" t="s">
        <v>506</v>
      </c>
      <c r="T34" t="s">
        <v>507</v>
      </c>
      <c r="U34" t="s">
        <v>3016</v>
      </c>
      <c r="V34">
        <v>10039</v>
      </c>
      <c r="W34" t="s">
        <v>3022</v>
      </c>
      <c r="X34" t="s">
        <v>549</v>
      </c>
      <c r="Y34" t="s">
        <v>275</v>
      </c>
      <c r="Z34" t="s">
        <v>3051</v>
      </c>
      <c r="AA34" t="s">
        <v>3169</v>
      </c>
      <c r="AB34" t="s">
        <v>903</v>
      </c>
      <c r="AC34" t="s">
        <v>904</v>
      </c>
      <c r="AF34" t="s">
        <v>924</v>
      </c>
      <c r="AI34">
        <v>13.75</v>
      </c>
      <c r="AJ34" t="s">
        <v>558</v>
      </c>
      <c r="AK34" t="s">
        <v>939</v>
      </c>
      <c r="AL34" t="s">
        <v>274</v>
      </c>
      <c r="AT34">
        <v>2</v>
      </c>
      <c r="AU34">
        <v>1</v>
      </c>
      <c r="AV34" t="s">
        <v>273</v>
      </c>
      <c r="AY34" t="s">
        <v>273</v>
      </c>
      <c r="BB34">
        <v>0</v>
      </c>
      <c r="BC34">
        <v>0</v>
      </c>
      <c r="BD34">
        <v>0</v>
      </c>
      <c r="BE34">
        <v>0</v>
      </c>
      <c r="BF34" t="s">
        <v>1063</v>
      </c>
      <c r="BG34" t="s">
        <v>3317</v>
      </c>
      <c r="BH34">
        <v>38</v>
      </c>
      <c r="BI34" t="s">
        <v>3446</v>
      </c>
      <c r="BK34">
        <v>767009</v>
      </c>
    </row>
    <row r="35" spans="1:64">
      <c r="A35" s="1">
        <f>HYPERLINK("https://lsnyc.legalserver.org/matter/dynamic-profile/view/1908155","19-1908155")</f>
        <v>0</v>
      </c>
      <c r="B35" t="s">
        <v>2847</v>
      </c>
      <c r="C35" t="s">
        <v>2975</v>
      </c>
      <c r="D35" t="s">
        <v>255</v>
      </c>
      <c r="E35" t="s">
        <v>2983</v>
      </c>
      <c r="F35" t="s">
        <v>273</v>
      </c>
      <c r="G35" t="s">
        <v>275</v>
      </c>
      <c r="H35">
        <v>50.63</v>
      </c>
      <c r="K35" t="s">
        <v>1672</v>
      </c>
      <c r="O35" t="s">
        <v>275</v>
      </c>
      <c r="Q35" t="s">
        <v>501</v>
      </c>
      <c r="S35" t="s">
        <v>503</v>
      </c>
      <c r="T35" t="s">
        <v>508</v>
      </c>
      <c r="U35" t="s">
        <v>511</v>
      </c>
      <c r="V35">
        <v>10039</v>
      </c>
      <c r="W35" t="s">
        <v>518</v>
      </c>
      <c r="X35" t="s">
        <v>548</v>
      </c>
      <c r="Z35" t="s">
        <v>3052</v>
      </c>
      <c r="AA35" t="s">
        <v>2256</v>
      </c>
      <c r="AB35" t="s">
        <v>902</v>
      </c>
      <c r="AC35" t="s">
        <v>905</v>
      </c>
      <c r="AI35">
        <v>13</v>
      </c>
      <c r="AK35" t="s">
        <v>934</v>
      </c>
      <c r="AL35" t="s">
        <v>274</v>
      </c>
      <c r="AT35">
        <v>1</v>
      </c>
      <c r="AU35">
        <v>2</v>
      </c>
      <c r="AV35" t="s">
        <v>273</v>
      </c>
      <c r="AY35" t="s">
        <v>273</v>
      </c>
      <c r="BB35">
        <v>0</v>
      </c>
      <c r="BC35">
        <v>0</v>
      </c>
      <c r="BD35">
        <v>0</v>
      </c>
      <c r="BE35">
        <v>0</v>
      </c>
      <c r="BF35" t="s">
        <v>1063</v>
      </c>
      <c r="BG35" t="s">
        <v>1200</v>
      </c>
      <c r="BH35">
        <v>36</v>
      </c>
      <c r="BI35" t="s">
        <v>2730</v>
      </c>
      <c r="BK35">
        <v>1908812</v>
      </c>
    </row>
    <row r="36" spans="1:64">
      <c r="A36" s="1">
        <f>HYPERLINK("https://lsnyc.legalserver.org/matter/dynamic-profile/view/1906968","19-1906968")</f>
        <v>0</v>
      </c>
      <c r="B36" t="s">
        <v>2848</v>
      </c>
      <c r="C36" t="s">
        <v>2975</v>
      </c>
      <c r="D36" t="s">
        <v>255</v>
      </c>
      <c r="E36" t="s">
        <v>2979</v>
      </c>
      <c r="F36" t="s">
        <v>273</v>
      </c>
      <c r="G36" t="s">
        <v>275</v>
      </c>
      <c r="H36">
        <v>80.06</v>
      </c>
      <c r="K36" t="s">
        <v>1673</v>
      </c>
      <c r="O36" t="s">
        <v>275</v>
      </c>
      <c r="P36" t="s">
        <v>494</v>
      </c>
      <c r="Q36" t="s">
        <v>501</v>
      </c>
      <c r="S36" t="s">
        <v>503</v>
      </c>
      <c r="T36" t="s">
        <v>508</v>
      </c>
      <c r="U36" t="s">
        <v>511</v>
      </c>
      <c r="V36">
        <v>10035</v>
      </c>
      <c r="W36" t="s">
        <v>518</v>
      </c>
      <c r="X36" t="s">
        <v>549</v>
      </c>
      <c r="Z36" t="s">
        <v>3053</v>
      </c>
      <c r="AA36" t="s">
        <v>3170</v>
      </c>
      <c r="AB36" t="s">
        <v>902</v>
      </c>
      <c r="AC36" t="s">
        <v>905</v>
      </c>
      <c r="AF36" t="s">
        <v>925</v>
      </c>
      <c r="AI36">
        <v>4.7</v>
      </c>
      <c r="AJ36" t="s">
        <v>558</v>
      </c>
      <c r="AK36" t="s">
        <v>3255</v>
      </c>
      <c r="AT36">
        <v>0</v>
      </c>
      <c r="AU36">
        <v>1</v>
      </c>
      <c r="AV36" t="s">
        <v>273</v>
      </c>
      <c r="AY36" t="s">
        <v>273</v>
      </c>
      <c r="BB36">
        <v>0</v>
      </c>
      <c r="BC36">
        <v>0</v>
      </c>
      <c r="BD36">
        <v>0</v>
      </c>
      <c r="BE36">
        <v>0</v>
      </c>
      <c r="BF36" t="s">
        <v>1063</v>
      </c>
      <c r="BG36" t="s">
        <v>3318</v>
      </c>
      <c r="BH36">
        <v>40</v>
      </c>
      <c r="BI36" t="s">
        <v>1268</v>
      </c>
      <c r="BK36">
        <v>1907624</v>
      </c>
    </row>
    <row r="37" spans="1:64">
      <c r="A37" s="1">
        <f>HYPERLINK("https://lsnyc.legalserver.org/matter/dynamic-profile/view/1907788","19-1907788")</f>
        <v>0</v>
      </c>
      <c r="B37" t="s">
        <v>2849</v>
      </c>
      <c r="C37" t="s">
        <v>2975</v>
      </c>
      <c r="D37" t="s">
        <v>255</v>
      </c>
      <c r="E37" t="s">
        <v>2979</v>
      </c>
      <c r="F37" t="s">
        <v>273</v>
      </c>
      <c r="G37" t="s">
        <v>275</v>
      </c>
      <c r="H37">
        <v>123</v>
      </c>
      <c r="I37" t="s">
        <v>274</v>
      </c>
      <c r="K37" t="s">
        <v>293</v>
      </c>
      <c r="P37" t="s">
        <v>492</v>
      </c>
      <c r="Q37" t="s">
        <v>501</v>
      </c>
      <c r="S37" t="s">
        <v>503</v>
      </c>
      <c r="T37" t="s">
        <v>507</v>
      </c>
      <c r="U37" t="s">
        <v>511</v>
      </c>
      <c r="V37">
        <v>10029</v>
      </c>
      <c r="W37" t="s">
        <v>516</v>
      </c>
      <c r="X37" t="s">
        <v>548</v>
      </c>
      <c r="Y37" t="s">
        <v>275</v>
      </c>
      <c r="Z37" t="s">
        <v>3054</v>
      </c>
      <c r="AA37" t="s">
        <v>3171</v>
      </c>
      <c r="AB37" t="s">
        <v>902</v>
      </c>
      <c r="AC37" t="s">
        <v>904</v>
      </c>
      <c r="AF37" t="s">
        <v>923</v>
      </c>
      <c r="AI37">
        <v>11.25</v>
      </c>
      <c r="AJ37" t="s">
        <v>558</v>
      </c>
      <c r="AK37" t="s">
        <v>933</v>
      </c>
      <c r="AL37" t="s">
        <v>274</v>
      </c>
      <c r="AM37" t="s">
        <v>973</v>
      </c>
      <c r="AN37" t="s">
        <v>288</v>
      </c>
      <c r="AT37">
        <v>0</v>
      </c>
      <c r="AU37">
        <v>2</v>
      </c>
      <c r="AV37" t="s">
        <v>273</v>
      </c>
      <c r="AY37" t="s">
        <v>273</v>
      </c>
      <c r="BB37">
        <v>0</v>
      </c>
      <c r="BC37">
        <v>0</v>
      </c>
      <c r="BD37">
        <v>0</v>
      </c>
      <c r="BE37">
        <v>0</v>
      </c>
      <c r="BF37" t="s">
        <v>1063</v>
      </c>
      <c r="BG37" t="s">
        <v>3319</v>
      </c>
      <c r="BH37">
        <v>52</v>
      </c>
      <c r="BI37" t="s">
        <v>1261</v>
      </c>
      <c r="BK37">
        <v>1908445</v>
      </c>
    </row>
    <row r="38" spans="1:64">
      <c r="A38" s="1">
        <f>HYPERLINK("https://lsnyc.legalserver.org/matter/dynamic-profile/view/1907257","19-1907257")</f>
        <v>0</v>
      </c>
      <c r="B38" t="s">
        <v>2822</v>
      </c>
      <c r="C38" t="s">
        <v>2975</v>
      </c>
      <c r="D38" t="s">
        <v>255</v>
      </c>
      <c r="E38" t="s">
        <v>2977</v>
      </c>
      <c r="F38" t="s">
        <v>273</v>
      </c>
      <c r="G38" t="s">
        <v>275</v>
      </c>
      <c r="H38">
        <v>100.97</v>
      </c>
      <c r="I38" t="s">
        <v>274</v>
      </c>
      <c r="K38" t="s">
        <v>1674</v>
      </c>
      <c r="P38" t="s">
        <v>492</v>
      </c>
      <c r="Q38" t="s">
        <v>501</v>
      </c>
      <c r="S38" t="s">
        <v>503</v>
      </c>
      <c r="T38" t="s">
        <v>508</v>
      </c>
      <c r="U38" t="s">
        <v>511</v>
      </c>
      <c r="V38">
        <v>10019</v>
      </c>
      <c r="W38" t="s">
        <v>518</v>
      </c>
      <c r="X38" t="s">
        <v>548</v>
      </c>
      <c r="Y38" t="s">
        <v>275</v>
      </c>
      <c r="Z38" t="s">
        <v>3031</v>
      </c>
      <c r="AA38" t="s">
        <v>3153</v>
      </c>
      <c r="AB38" t="s">
        <v>902</v>
      </c>
      <c r="AC38" t="s">
        <v>906</v>
      </c>
      <c r="AF38" t="s">
        <v>926</v>
      </c>
      <c r="AI38">
        <v>17.45</v>
      </c>
      <c r="AJ38" t="s">
        <v>931</v>
      </c>
      <c r="AK38" t="s">
        <v>934</v>
      </c>
      <c r="AL38" t="s">
        <v>274</v>
      </c>
      <c r="AT38">
        <v>2</v>
      </c>
      <c r="AU38">
        <v>2</v>
      </c>
      <c r="AV38" t="s">
        <v>273</v>
      </c>
      <c r="AY38" t="s">
        <v>273</v>
      </c>
      <c r="BB38">
        <v>0</v>
      </c>
      <c r="BC38">
        <v>0</v>
      </c>
      <c r="BD38">
        <v>0</v>
      </c>
      <c r="BE38">
        <v>0</v>
      </c>
      <c r="BF38" t="s">
        <v>1063</v>
      </c>
      <c r="BG38" t="s">
        <v>3293</v>
      </c>
      <c r="BH38">
        <v>33</v>
      </c>
      <c r="BI38" t="s">
        <v>1279</v>
      </c>
      <c r="BK38">
        <v>1907913</v>
      </c>
      <c r="BL38" t="s">
        <v>274</v>
      </c>
    </row>
    <row r="39" spans="1:64">
      <c r="A39" s="1">
        <f>HYPERLINK("https://lsnyc.legalserver.org/matter/dynamic-profile/view/1907261","19-1907261")</f>
        <v>0</v>
      </c>
      <c r="B39" t="s">
        <v>2821</v>
      </c>
      <c r="C39" t="s">
        <v>2975</v>
      </c>
      <c r="D39" t="s">
        <v>255</v>
      </c>
      <c r="E39" t="s">
        <v>2977</v>
      </c>
      <c r="F39" t="s">
        <v>273</v>
      </c>
      <c r="G39" t="s">
        <v>275</v>
      </c>
      <c r="H39">
        <v>100.97</v>
      </c>
      <c r="I39" t="s">
        <v>274</v>
      </c>
      <c r="K39" t="s">
        <v>1674</v>
      </c>
      <c r="P39" t="s">
        <v>492</v>
      </c>
      <c r="Q39" t="s">
        <v>501</v>
      </c>
      <c r="S39" t="s">
        <v>503</v>
      </c>
      <c r="T39" t="s">
        <v>507</v>
      </c>
      <c r="U39" t="s">
        <v>511</v>
      </c>
      <c r="V39">
        <v>10019</v>
      </c>
      <c r="W39" t="s">
        <v>518</v>
      </c>
      <c r="X39" t="s">
        <v>548</v>
      </c>
      <c r="Y39" t="s">
        <v>275</v>
      </c>
      <c r="Z39" t="s">
        <v>2072</v>
      </c>
      <c r="AA39" t="s">
        <v>3152</v>
      </c>
      <c r="AB39" t="s">
        <v>902</v>
      </c>
      <c r="AC39" t="s">
        <v>906</v>
      </c>
      <c r="AF39" t="s">
        <v>926</v>
      </c>
      <c r="AI39">
        <v>4.95</v>
      </c>
      <c r="AJ39" t="s">
        <v>931</v>
      </c>
      <c r="AK39" t="s">
        <v>934</v>
      </c>
      <c r="AL39" t="s">
        <v>274</v>
      </c>
      <c r="AT39">
        <v>2</v>
      </c>
      <c r="AU39">
        <v>2</v>
      </c>
      <c r="AV39" t="s">
        <v>273</v>
      </c>
      <c r="AY39" t="s">
        <v>273</v>
      </c>
      <c r="BB39">
        <v>0</v>
      </c>
      <c r="BC39">
        <v>0</v>
      </c>
      <c r="BD39">
        <v>0</v>
      </c>
      <c r="BE39">
        <v>0</v>
      </c>
      <c r="BF39" t="s">
        <v>1063</v>
      </c>
      <c r="BG39" t="s">
        <v>3292</v>
      </c>
      <c r="BH39">
        <v>33</v>
      </c>
      <c r="BI39" t="s">
        <v>1279</v>
      </c>
      <c r="BK39">
        <v>1907917</v>
      </c>
      <c r="BL39" t="s">
        <v>274</v>
      </c>
    </row>
    <row r="40" spans="1:64">
      <c r="A40" s="1">
        <f>HYPERLINK("https://lsnyc.legalserver.org/matter/dynamic-profile/view/1907270","19-1907270")</f>
        <v>0</v>
      </c>
      <c r="B40" t="s">
        <v>2824</v>
      </c>
      <c r="C40" t="s">
        <v>2975</v>
      </c>
      <c r="D40" t="s">
        <v>255</v>
      </c>
      <c r="E40" t="s">
        <v>2977</v>
      </c>
      <c r="F40" t="s">
        <v>273</v>
      </c>
      <c r="G40" t="s">
        <v>275</v>
      </c>
      <c r="H40">
        <v>100.97</v>
      </c>
      <c r="I40" t="s">
        <v>274</v>
      </c>
      <c r="K40" t="s">
        <v>1674</v>
      </c>
      <c r="P40" t="s">
        <v>492</v>
      </c>
      <c r="Q40" t="s">
        <v>502</v>
      </c>
      <c r="S40" t="s">
        <v>503</v>
      </c>
      <c r="T40" t="s">
        <v>508</v>
      </c>
      <c r="U40" t="s">
        <v>511</v>
      </c>
      <c r="V40">
        <v>10022</v>
      </c>
      <c r="W40" t="s">
        <v>518</v>
      </c>
      <c r="X40" t="s">
        <v>548</v>
      </c>
      <c r="Y40" t="s">
        <v>275</v>
      </c>
      <c r="Z40" t="s">
        <v>3033</v>
      </c>
      <c r="AA40" t="s">
        <v>3154</v>
      </c>
      <c r="AB40" t="s">
        <v>902</v>
      </c>
      <c r="AC40" t="s">
        <v>906</v>
      </c>
      <c r="AF40" t="s">
        <v>926</v>
      </c>
      <c r="AI40">
        <v>6.7</v>
      </c>
      <c r="AJ40" t="s">
        <v>931</v>
      </c>
      <c r="AK40" t="s">
        <v>934</v>
      </c>
      <c r="AL40" t="s">
        <v>274</v>
      </c>
      <c r="AT40">
        <v>2</v>
      </c>
      <c r="AU40">
        <v>2</v>
      </c>
      <c r="AV40" t="s">
        <v>273</v>
      </c>
      <c r="AY40" t="s">
        <v>273</v>
      </c>
      <c r="BB40">
        <v>0</v>
      </c>
      <c r="BC40">
        <v>0</v>
      </c>
      <c r="BD40">
        <v>0</v>
      </c>
      <c r="BE40">
        <v>0</v>
      </c>
      <c r="BF40" t="s">
        <v>1063</v>
      </c>
      <c r="BG40" t="s">
        <v>3295</v>
      </c>
      <c r="BH40">
        <v>14</v>
      </c>
      <c r="BI40" t="s">
        <v>1279</v>
      </c>
      <c r="BK40">
        <v>1907926</v>
      </c>
      <c r="BL40" t="s">
        <v>274</v>
      </c>
    </row>
    <row r="41" spans="1:64">
      <c r="A41" s="1">
        <f>HYPERLINK("https://lsnyc.legalserver.org/matter/dynamic-profile/view/1907274","19-1907274")</f>
        <v>0</v>
      </c>
      <c r="B41" t="s">
        <v>2823</v>
      </c>
      <c r="C41" t="s">
        <v>2975</v>
      </c>
      <c r="D41" t="s">
        <v>255</v>
      </c>
      <c r="E41" t="s">
        <v>2977</v>
      </c>
      <c r="F41" t="s">
        <v>273</v>
      </c>
      <c r="G41" t="s">
        <v>275</v>
      </c>
      <c r="H41">
        <v>100.97</v>
      </c>
      <c r="I41" t="s">
        <v>274</v>
      </c>
      <c r="K41" t="s">
        <v>1674</v>
      </c>
      <c r="P41" t="s">
        <v>492</v>
      </c>
      <c r="Q41" t="s">
        <v>502</v>
      </c>
      <c r="S41" t="s">
        <v>503</v>
      </c>
      <c r="T41" t="s">
        <v>508</v>
      </c>
      <c r="U41" t="s">
        <v>511</v>
      </c>
      <c r="V41">
        <v>10019</v>
      </c>
      <c r="W41" t="s">
        <v>518</v>
      </c>
      <c r="X41" t="s">
        <v>548</v>
      </c>
      <c r="Y41" t="s">
        <v>275</v>
      </c>
      <c r="Z41" t="s">
        <v>3032</v>
      </c>
      <c r="AA41" t="s">
        <v>3154</v>
      </c>
      <c r="AB41" t="s">
        <v>902</v>
      </c>
      <c r="AC41" t="s">
        <v>906</v>
      </c>
      <c r="AF41" t="s">
        <v>926</v>
      </c>
      <c r="AI41">
        <v>5.7</v>
      </c>
      <c r="AJ41" t="s">
        <v>931</v>
      </c>
      <c r="AK41" t="s">
        <v>934</v>
      </c>
      <c r="AL41" t="s">
        <v>274</v>
      </c>
      <c r="AT41">
        <v>2</v>
      </c>
      <c r="AU41">
        <v>2</v>
      </c>
      <c r="AV41" t="s">
        <v>273</v>
      </c>
      <c r="AY41" t="s">
        <v>273</v>
      </c>
      <c r="BB41">
        <v>0</v>
      </c>
      <c r="BC41">
        <v>0</v>
      </c>
      <c r="BD41">
        <v>0</v>
      </c>
      <c r="BE41">
        <v>0</v>
      </c>
      <c r="BF41" t="s">
        <v>1063</v>
      </c>
      <c r="BG41" t="s">
        <v>3294</v>
      </c>
      <c r="BH41">
        <v>11</v>
      </c>
      <c r="BI41" t="s">
        <v>1279</v>
      </c>
      <c r="BK41">
        <v>1907930</v>
      </c>
      <c r="BL41" t="s">
        <v>274</v>
      </c>
    </row>
    <row r="42" spans="1:64">
      <c r="A42" s="1">
        <f>HYPERLINK("https://lsnyc.legalserver.org/matter/dynamic-profile/view/1906811","19-1906811")</f>
        <v>0</v>
      </c>
      <c r="B42" t="s">
        <v>2850</v>
      </c>
      <c r="C42" t="s">
        <v>2975</v>
      </c>
      <c r="D42" t="s">
        <v>255</v>
      </c>
      <c r="E42" t="s">
        <v>2981</v>
      </c>
      <c r="F42" t="s">
        <v>273</v>
      </c>
      <c r="G42" t="s">
        <v>275</v>
      </c>
      <c r="H42">
        <v>0</v>
      </c>
      <c r="I42" t="s">
        <v>274</v>
      </c>
      <c r="K42" t="s">
        <v>453</v>
      </c>
      <c r="P42" t="s">
        <v>492</v>
      </c>
      <c r="Q42" t="s">
        <v>501</v>
      </c>
      <c r="S42" t="s">
        <v>503</v>
      </c>
      <c r="T42" t="s">
        <v>508</v>
      </c>
      <c r="U42" t="s">
        <v>511</v>
      </c>
      <c r="V42">
        <v>10029</v>
      </c>
      <c r="W42" t="s">
        <v>521</v>
      </c>
      <c r="X42" t="s">
        <v>549</v>
      </c>
      <c r="Z42" t="s">
        <v>3055</v>
      </c>
      <c r="AA42" t="s">
        <v>3172</v>
      </c>
      <c r="AB42" t="s">
        <v>902</v>
      </c>
      <c r="AC42" t="s">
        <v>905</v>
      </c>
      <c r="AD42" t="s">
        <v>274</v>
      </c>
      <c r="AI42">
        <v>64.87</v>
      </c>
      <c r="AJ42" t="s">
        <v>931</v>
      </c>
      <c r="AK42" t="s">
        <v>3256</v>
      </c>
      <c r="AL42" t="s">
        <v>274</v>
      </c>
      <c r="AT42">
        <v>0</v>
      </c>
      <c r="AU42">
        <v>1</v>
      </c>
      <c r="AV42" t="s">
        <v>273</v>
      </c>
      <c r="AY42" t="s">
        <v>273</v>
      </c>
      <c r="BB42">
        <v>0</v>
      </c>
      <c r="BC42">
        <v>0</v>
      </c>
      <c r="BD42">
        <v>0</v>
      </c>
      <c r="BE42">
        <v>0</v>
      </c>
      <c r="BF42" t="s">
        <v>1063</v>
      </c>
      <c r="BG42" t="s">
        <v>3320</v>
      </c>
      <c r="BH42">
        <v>33</v>
      </c>
      <c r="BI42" t="s">
        <v>1247</v>
      </c>
      <c r="BK42">
        <v>1907466</v>
      </c>
    </row>
    <row r="43" spans="1:64">
      <c r="A43" s="1">
        <f>HYPERLINK("https://lsnyc.legalserver.org/matter/dynamic-profile/view/1906872","19-1906872")</f>
        <v>0</v>
      </c>
      <c r="B43" t="s">
        <v>2851</v>
      </c>
      <c r="C43" t="s">
        <v>2975</v>
      </c>
      <c r="D43" t="s">
        <v>255</v>
      </c>
      <c r="E43" t="s">
        <v>2979</v>
      </c>
      <c r="F43" t="s">
        <v>273</v>
      </c>
      <c r="G43" t="s">
        <v>275</v>
      </c>
      <c r="H43">
        <v>0</v>
      </c>
      <c r="K43" t="s">
        <v>453</v>
      </c>
      <c r="P43" t="s">
        <v>492</v>
      </c>
      <c r="Q43" t="s">
        <v>501</v>
      </c>
      <c r="S43" t="s">
        <v>503</v>
      </c>
      <c r="T43" t="s">
        <v>508</v>
      </c>
      <c r="U43" t="s">
        <v>511</v>
      </c>
      <c r="V43">
        <v>10026</v>
      </c>
      <c r="W43" t="s">
        <v>536</v>
      </c>
      <c r="X43" t="s">
        <v>547</v>
      </c>
      <c r="Z43" t="s">
        <v>3056</v>
      </c>
      <c r="AA43" t="s">
        <v>3173</v>
      </c>
      <c r="AB43" t="s">
        <v>902</v>
      </c>
      <c r="AC43" t="s">
        <v>906</v>
      </c>
      <c r="AD43" t="s">
        <v>274</v>
      </c>
      <c r="AF43" t="s">
        <v>925</v>
      </c>
      <c r="AI43">
        <v>8.25</v>
      </c>
      <c r="AJ43" t="s">
        <v>931</v>
      </c>
      <c r="AK43" t="s">
        <v>932</v>
      </c>
      <c r="AT43">
        <v>2</v>
      </c>
      <c r="AU43">
        <v>1</v>
      </c>
      <c r="AV43" t="s">
        <v>273</v>
      </c>
      <c r="AY43" t="s">
        <v>273</v>
      </c>
      <c r="BB43">
        <v>0</v>
      </c>
      <c r="BC43">
        <v>0</v>
      </c>
      <c r="BD43">
        <v>0</v>
      </c>
      <c r="BE43">
        <v>0</v>
      </c>
      <c r="BF43" t="s">
        <v>1063</v>
      </c>
      <c r="BG43" t="s">
        <v>3321</v>
      </c>
      <c r="BH43">
        <v>40</v>
      </c>
      <c r="BI43" t="s">
        <v>1247</v>
      </c>
      <c r="BK43">
        <v>723810</v>
      </c>
    </row>
    <row r="44" spans="1:64">
      <c r="A44" s="1">
        <f>HYPERLINK("https://lsnyc.legalserver.org/matter/dynamic-profile/view/1906211","19-1906211")</f>
        <v>0</v>
      </c>
      <c r="B44" t="s">
        <v>2852</v>
      </c>
      <c r="C44" t="s">
        <v>2975</v>
      </c>
      <c r="D44" t="s">
        <v>255</v>
      </c>
      <c r="E44" t="s">
        <v>2979</v>
      </c>
      <c r="F44" t="s">
        <v>275</v>
      </c>
      <c r="G44" t="s">
        <v>275</v>
      </c>
      <c r="H44">
        <v>0</v>
      </c>
      <c r="I44" t="s">
        <v>274</v>
      </c>
      <c r="K44" t="s">
        <v>467</v>
      </c>
      <c r="L44" t="s">
        <v>291</v>
      </c>
      <c r="P44" t="s">
        <v>493</v>
      </c>
      <c r="Q44" t="s">
        <v>502</v>
      </c>
      <c r="S44" t="s">
        <v>503</v>
      </c>
      <c r="T44" t="s">
        <v>508</v>
      </c>
      <c r="U44" t="s">
        <v>511</v>
      </c>
      <c r="V44">
        <v>10039</v>
      </c>
      <c r="W44" t="s">
        <v>525</v>
      </c>
      <c r="X44" t="s">
        <v>549</v>
      </c>
      <c r="Y44" t="s">
        <v>274</v>
      </c>
      <c r="Z44" t="s">
        <v>3057</v>
      </c>
      <c r="AA44" t="s">
        <v>2102</v>
      </c>
      <c r="AB44" t="s">
        <v>902</v>
      </c>
      <c r="AC44" t="s">
        <v>904</v>
      </c>
      <c r="AD44" t="s">
        <v>274</v>
      </c>
      <c r="AE44" t="s">
        <v>918</v>
      </c>
      <c r="AF44" t="s">
        <v>923</v>
      </c>
      <c r="AI44">
        <v>2</v>
      </c>
      <c r="AK44" t="s">
        <v>934</v>
      </c>
      <c r="AL44" t="s">
        <v>274</v>
      </c>
      <c r="AQ44" t="s">
        <v>1037</v>
      </c>
      <c r="AR44" t="s">
        <v>1051</v>
      </c>
      <c r="AT44">
        <v>0</v>
      </c>
      <c r="AU44">
        <v>1</v>
      </c>
      <c r="AV44" t="s">
        <v>273</v>
      </c>
      <c r="AY44" t="s">
        <v>273</v>
      </c>
      <c r="BB44">
        <v>0</v>
      </c>
      <c r="BC44">
        <v>0</v>
      </c>
      <c r="BD44">
        <v>455</v>
      </c>
      <c r="BE44">
        <v>0</v>
      </c>
      <c r="BF44" t="s">
        <v>493</v>
      </c>
      <c r="BG44" t="s">
        <v>3322</v>
      </c>
      <c r="BH44">
        <v>18</v>
      </c>
      <c r="BI44" t="s">
        <v>1247</v>
      </c>
      <c r="BK44">
        <v>1906306</v>
      </c>
    </row>
    <row r="45" spans="1:64">
      <c r="A45" s="1">
        <f>HYPERLINK("https://lsnyc.legalserver.org/matter/dynamic-profile/view/1906168","19-1906168")</f>
        <v>0</v>
      </c>
      <c r="B45" t="s">
        <v>2853</v>
      </c>
      <c r="C45" t="s">
        <v>2975</v>
      </c>
      <c r="D45" t="s">
        <v>255</v>
      </c>
      <c r="E45" t="s">
        <v>2983</v>
      </c>
      <c r="F45" t="s">
        <v>273</v>
      </c>
      <c r="G45" t="s">
        <v>275</v>
      </c>
      <c r="H45">
        <v>22.11</v>
      </c>
      <c r="I45" t="s">
        <v>274</v>
      </c>
      <c r="K45" t="s">
        <v>467</v>
      </c>
      <c r="P45" t="s">
        <v>492</v>
      </c>
      <c r="Q45" t="s">
        <v>502</v>
      </c>
      <c r="S45" t="s">
        <v>503</v>
      </c>
      <c r="T45" t="s">
        <v>507</v>
      </c>
      <c r="U45" t="s">
        <v>511</v>
      </c>
      <c r="V45">
        <v>10029</v>
      </c>
      <c r="W45" t="s">
        <v>524</v>
      </c>
      <c r="X45" t="s">
        <v>548</v>
      </c>
      <c r="Z45" t="s">
        <v>615</v>
      </c>
      <c r="AA45" t="s">
        <v>2333</v>
      </c>
      <c r="AB45" t="s">
        <v>902</v>
      </c>
      <c r="AC45" t="s">
        <v>907</v>
      </c>
      <c r="AF45" t="s">
        <v>923</v>
      </c>
      <c r="AI45">
        <v>9</v>
      </c>
      <c r="AJ45" t="s">
        <v>558</v>
      </c>
      <c r="AK45" t="s">
        <v>950</v>
      </c>
      <c r="AL45" t="s">
        <v>274</v>
      </c>
      <c r="AT45">
        <v>4</v>
      </c>
      <c r="AU45">
        <v>1</v>
      </c>
      <c r="AV45" t="s">
        <v>273</v>
      </c>
      <c r="AY45" t="s">
        <v>273</v>
      </c>
      <c r="BB45">
        <v>0</v>
      </c>
      <c r="BC45">
        <v>0</v>
      </c>
      <c r="BD45">
        <v>0</v>
      </c>
      <c r="BE45">
        <v>0</v>
      </c>
      <c r="BF45" t="s">
        <v>1063</v>
      </c>
      <c r="BG45" t="s">
        <v>3323</v>
      </c>
      <c r="BH45">
        <v>16</v>
      </c>
      <c r="BI45" t="s">
        <v>3447</v>
      </c>
      <c r="BK45">
        <v>1906777</v>
      </c>
    </row>
    <row r="46" spans="1:64">
      <c r="A46" s="1">
        <f>HYPERLINK("https://lsnyc.legalserver.org/matter/dynamic-profile/view/1906172","19-1906172")</f>
        <v>0</v>
      </c>
      <c r="B46" t="s">
        <v>2853</v>
      </c>
      <c r="C46" t="s">
        <v>2975</v>
      </c>
      <c r="D46" t="s">
        <v>255</v>
      </c>
      <c r="E46" t="s">
        <v>2983</v>
      </c>
      <c r="F46" t="s">
        <v>273</v>
      </c>
      <c r="G46" t="s">
        <v>275</v>
      </c>
      <c r="H46">
        <v>22.11</v>
      </c>
      <c r="I46" t="s">
        <v>274</v>
      </c>
      <c r="K46" t="s">
        <v>467</v>
      </c>
      <c r="P46" t="s">
        <v>492</v>
      </c>
      <c r="Q46" t="s">
        <v>502</v>
      </c>
      <c r="S46" t="s">
        <v>503</v>
      </c>
      <c r="T46" t="s">
        <v>507</v>
      </c>
      <c r="U46" t="s">
        <v>511</v>
      </c>
      <c r="V46">
        <v>10029</v>
      </c>
      <c r="W46" t="s">
        <v>544</v>
      </c>
      <c r="X46" t="s">
        <v>548</v>
      </c>
      <c r="Z46" t="s">
        <v>615</v>
      </c>
      <c r="AA46" t="s">
        <v>2333</v>
      </c>
      <c r="AB46" t="s">
        <v>902</v>
      </c>
      <c r="AC46" t="s">
        <v>907</v>
      </c>
      <c r="AF46" t="s">
        <v>923</v>
      </c>
      <c r="AI46">
        <v>6</v>
      </c>
      <c r="AJ46" t="s">
        <v>558</v>
      </c>
      <c r="AK46" t="s">
        <v>950</v>
      </c>
      <c r="AL46" t="s">
        <v>274</v>
      </c>
      <c r="AM46" t="s">
        <v>973</v>
      </c>
      <c r="AN46" t="s">
        <v>3270</v>
      </c>
      <c r="AT46">
        <v>4</v>
      </c>
      <c r="AU46">
        <v>1</v>
      </c>
      <c r="AV46" t="s">
        <v>273</v>
      </c>
      <c r="AY46" t="s">
        <v>273</v>
      </c>
      <c r="BB46">
        <v>0</v>
      </c>
      <c r="BC46">
        <v>0</v>
      </c>
      <c r="BD46">
        <v>0</v>
      </c>
      <c r="BE46">
        <v>0</v>
      </c>
      <c r="BF46" t="s">
        <v>1063</v>
      </c>
      <c r="BG46" t="s">
        <v>3323</v>
      </c>
      <c r="BH46">
        <v>16</v>
      </c>
      <c r="BI46" t="s">
        <v>3447</v>
      </c>
      <c r="BK46">
        <v>1906777</v>
      </c>
    </row>
    <row r="47" spans="1:64">
      <c r="A47" s="1">
        <f>HYPERLINK("https://lsnyc.legalserver.org/matter/dynamic-profile/view/1906213","19-1906213")</f>
        <v>0</v>
      </c>
      <c r="B47" t="s">
        <v>2852</v>
      </c>
      <c r="C47" t="s">
        <v>2975</v>
      </c>
      <c r="D47" t="s">
        <v>255</v>
      </c>
      <c r="E47" t="s">
        <v>2979</v>
      </c>
      <c r="F47" t="s">
        <v>273</v>
      </c>
      <c r="G47" t="s">
        <v>275</v>
      </c>
      <c r="H47">
        <v>0</v>
      </c>
      <c r="I47" t="s">
        <v>274</v>
      </c>
      <c r="K47" t="s">
        <v>467</v>
      </c>
      <c r="P47" t="s">
        <v>492</v>
      </c>
      <c r="Q47" t="s">
        <v>502</v>
      </c>
      <c r="S47" t="s">
        <v>503</v>
      </c>
      <c r="T47" t="s">
        <v>508</v>
      </c>
      <c r="U47" t="s">
        <v>511</v>
      </c>
      <c r="V47">
        <v>10039</v>
      </c>
      <c r="W47" t="s">
        <v>1832</v>
      </c>
      <c r="X47" t="s">
        <v>549</v>
      </c>
      <c r="Y47" t="s">
        <v>275</v>
      </c>
      <c r="Z47" t="s">
        <v>3057</v>
      </c>
      <c r="AA47" t="s">
        <v>2102</v>
      </c>
      <c r="AB47" t="s">
        <v>902</v>
      </c>
      <c r="AC47" t="s">
        <v>904</v>
      </c>
      <c r="AF47" t="s">
        <v>926</v>
      </c>
      <c r="AI47">
        <v>0.5</v>
      </c>
      <c r="AK47" t="s">
        <v>934</v>
      </c>
      <c r="AL47" t="s">
        <v>274</v>
      </c>
      <c r="AT47">
        <v>0</v>
      </c>
      <c r="AU47">
        <v>1</v>
      </c>
      <c r="AV47" t="s">
        <v>273</v>
      </c>
      <c r="AY47" t="s">
        <v>273</v>
      </c>
      <c r="BB47">
        <v>0</v>
      </c>
      <c r="BC47">
        <v>0</v>
      </c>
      <c r="BD47">
        <v>0</v>
      </c>
      <c r="BE47">
        <v>0</v>
      </c>
      <c r="BF47" t="s">
        <v>1063</v>
      </c>
      <c r="BG47" t="s">
        <v>3322</v>
      </c>
      <c r="BH47">
        <v>18</v>
      </c>
      <c r="BI47" t="s">
        <v>1247</v>
      </c>
      <c r="BK47">
        <v>1906306</v>
      </c>
    </row>
    <row r="48" spans="1:64">
      <c r="A48" s="1">
        <f>HYPERLINK("https://lsnyc.legalserver.org/matter/dynamic-profile/view/1906214","19-1906214")</f>
        <v>0</v>
      </c>
      <c r="B48" t="s">
        <v>2852</v>
      </c>
      <c r="C48" t="s">
        <v>2975</v>
      </c>
      <c r="D48" t="s">
        <v>255</v>
      </c>
      <c r="E48" t="s">
        <v>2979</v>
      </c>
      <c r="F48" t="s">
        <v>273</v>
      </c>
      <c r="G48" t="s">
        <v>275</v>
      </c>
      <c r="H48">
        <v>0</v>
      </c>
      <c r="I48" t="s">
        <v>274</v>
      </c>
      <c r="K48" t="s">
        <v>467</v>
      </c>
      <c r="P48" t="s">
        <v>492</v>
      </c>
      <c r="Q48" t="s">
        <v>502</v>
      </c>
      <c r="S48" t="s">
        <v>503</v>
      </c>
      <c r="T48" t="s">
        <v>508</v>
      </c>
      <c r="U48" t="s">
        <v>511</v>
      </c>
      <c r="V48">
        <v>10039</v>
      </c>
      <c r="W48" t="s">
        <v>529</v>
      </c>
      <c r="X48" t="s">
        <v>549</v>
      </c>
      <c r="Y48" t="s">
        <v>275</v>
      </c>
      <c r="Z48" t="s">
        <v>3057</v>
      </c>
      <c r="AA48" t="s">
        <v>2102</v>
      </c>
      <c r="AB48" t="s">
        <v>902</v>
      </c>
      <c r="AC48" t="s">
        <v>904</v>
      </c>
      <c r="AF48" t="s">
        <v>923</v>
      </c>
      <c r="AI48">
        <v>1.25</v>
      </c>
      <c r="AK48" t="s">
        <v>934</v>
      </c>
      <c r="AL48" t="s">
        <v>274</v>
      </c>
      <c r="AT48">
        <v>0</v>
      </c>
      <c r="AU48">
        <v>1</v>
      </c>
      <c r="AV48" t="s">
        <v>273</v>
      </c>
      <c r="AY48" t="s">
        <v>273</v>
      </c>
      <c r="BB48">
        <v>0</v>
      </c>
      <c r="BC48">
        <v>0</v>
      </c>
      <c r="BD48">
        <v>0</v>
      </c>
      <c r="BE48">
        <v>0</v>
      </c>
      <c r="BF48" t="s">
        <v>1063</v>
      </c>
      <c r="BG48" t="s">
        <v>3322</v>
      </c>
      <c r="BH48">
        <v>18</v>
      </c>
      <c r="BI48" t="s">
        <v>1247</v>
      </c>
      <c r="BK48">
        <v>1906306</v>
      </c>
    </row>
    <row r="49" spans="1:63">
      <c r="A49" s="1">
        <f>HYPERLINK("https://lsnyc.legalserver.org/matter/dynamic-profile/view/1906215","19-1906215")</f>
        <v>0</v>
      </c>
      <c r="B49" t="s">
        <v>2852</v>
      </c>
      <c r="C49" t="s">
        <v>2975</v>
      </c>
      <c r="D49" t="s">
        <v>255</v>
      </c>
      <c r="E49" t="s">
        <v>2979</v>
      </c>
      <c r="F49" t="s">
        <v>273</v>
      </c>
      <c r="G49" t="s">
        <v>275</v>
      </c>
      <c r="H49">
        <v>0</v>
      </c>
      <c r="I49" t="s">
        <v>274</v>
      </c>
      <c r="K49" t="s">
        <v>467</v>
      </c>
      <c r="P49" t="s">
        <v>492</v>
      </c>
      <c r="Q49" t="s">
        <v>502</v>
      </c>
      <c r="S49" t="s">
        <v>503</v>
      </c>
      <c r="T49" t="s">
        <v>508</v>
      </c>
      <c r="U49" t="s">
        <v>511</v>
      </c>
      <c r="V49">
        <v>10039</v>
      </c>
      <c r="W49" t="s">
        <v>1829</v>
      </c>
      <c r="X49" t="s">
        <v>549</v>
      </c>
      <c r="Y49" t="s">
        <v>275</v>
      </c>
      <c r="Z49" t="s">
        <v>3057</v>
      </c>
      <c r="AA49" t="s">
        <v>2102</v>
      </c>
      <c r="AB49" t="s">
        <v>902</v>
      </c>
      <c r="AC49" t="s">
        <v>904</v>
      </c>
      <c r="AF49" t="s">
        <v>923</v>
      </c>
      <c r="AI49">
        <v>1.25</v>
      </c>
      <c r="AK49" t="s">
        <v>934</v>
      </c>
      <c r="AL49" t="s">
        <v>274</v>
      </c>
      <c r="AT49">
        <v>0</v>
      </c>
      <c r="AU49">
        <v>1</v>
      </c>
      <c r="AV49" t="s">
        <v>273</v>
      </c>
      <c r="AY49" t="s">
        <v>273</v>
      </c>
      <c r="BB49">
        <v>0</v>
      </c>
      <c r="BC49">
        <v>0</v>
      </c>
      <c r="BD49">
        <v>0</v>
      </c>
      <c r="BE49">
        <v>0</v>
      </c>
      <c r="BF49" t="s">
        <v>1063</v>
      </c>
      <c r="BG49" t="s">
        <v>3322</v>
      </c>
      <c r="BH49">
        <v>18</v>
      </c>
      <c r="BI49" t="s">
        <v>1247</v>
      </c>
      <c r="BK49">
        <v>1906306</v>
      </c>
    </row>
    <row r="50" spans="1:63">
      <c r="A50" s="1">
        <f>HYPERLINK("https://lsnyc.legalserver.org/matter/dynamic-profile/view/1906122","19-1906122")</f>
        <v>0</v>
      </c>
      <c r="B50" t="s">
        <v>2853</v>
      </c>
      <c r="C50" t="s">
        <v>2975</v>
      </c>
      <c r="D50" t="s">
        <v>255</v>
      </c>
      <c r="E50" t="s">
        <v>2983</v>
      </c>
      <c r="F50" t="s">
        <v>273</v>
      </c>
      <c r="G50" t="s">
        <v>275</v>
      </c>
      <c r="H50">
        <v>22.11</v>
      </c>
      <c r="I50" t="s">
        <v>274</v>
      </c>
      <c r="K50" t="s">
        <v>454</v>
      </c>
      <c r="P50" t="s">
        <v>492</v>
      </c>
      <c r="Q50" t="s">
        <v>502</v>
      </c>
      <c r="S50" t="s">
        <v>503</v>
      </c>
      <c r="T50" t="s">
        <v>507</v>
      </c>
      <c r="U50" t="s">
        <v>511</v>
      </c>
      <c r="V50">
        <v>10029</v>
      </c>
      <c r="W50" t="s">
        <v>520</v>
      </c>
      <c r="X50" t="s">
        <v>548</v>
      </c>
      <c r="Z50" t="s">
        <v>615</v>
      </c>
      <c r="AA50" t="s">
        <v>2333</v>
      </c>
      <c r="AB50" t="s">
        <v>902</v>
      </c>
      <c r="AC50" t="s">
        <v>907</v>
      </c>
      <c r="AF50" t="s">
        <v>923</v>
      </c>
      <c r="AI50">
        <v>4.5</v>
      </c>
      <c r="AJ50" t="s">
        <v>558</v>
      </c>
      <c r="AK50" t="s">
        <v>950</v>
      </c>
      <c r="AL50" t="s">
        <v>274</v>
      </c>
      <c r="AM50" t="s">
        <v>973</v>
      </c>
      <c r="AN50" t="s">
        <v>3270</v>
      </c>
      <c r="AT50">
        <v>4</v>
      </c>
      <c r="AU50">
        <v>1</v>
      </c>
      <c r="AV50" t="s">
        <v>273</v>
      </c>
      <c r="AY50" t="s">
        <v>273</v>
      </c>
      <c r="BB50">
        <v>0</v>
      </c>
      <c r="BC50">
        <v>0</v>
      </c>
      <c r="BD50">
        <v>0</v>
      </c>
      <c r="BE50">
        <v>0</v>
      </c>
      <c r="BF50" t="s">
        <v>1063</v>
      </c>
      <c r="BG50" t="s">
        <v>3323</v>
      </c>
      <c r="BH50">
        <v>16</v>
      </c>
      <c r="BI50" t="s">
        <v>3447</v>
      </c>
      <c r="BK50">
        <v>1906777</v>
      </c>
    </row>
    <row r="51" spans="1:63">
      <c r="A51" s="1">
        <f>HYPERLINK("https://lsnyc.legalserver.org/matter/dynamic-profile/view/1905833","19-1905833")</f>
        <v>0</v>
      </c>
      <c r="B51" t="s">
        <v>2854</v>
      </c>
      <c r="C51" t="s">
        <v>2975</v>
      </c>
      <c r="D51" t="s">
        <v>255</v>
      </c>
      <c r="E51" t="s">
        <v>2977</v>
      </c>
      <c r="F51" t="s">
        <v>275</v>
      </c>
      <c r="G51" t="s">
        <v>275</v>
      </c>
      <c r="H51">
        <v>0</v>
      </c>
      <c r="I51" t="s">
        <v>274</v>
      </c>
      <c r="K51" t="s">
        <v>468</v>
      </c>
      <c r="L51" t="s">
        <v>468</v>
      </c>
      <c r="O51" t="s">
        <v>275</v>
      </c>
      <c r="P51" t="s">
        <v>495</v>
      </c>
      <c r="Q51" t="s">
        <v>501</v>
      </c>
      <c r="S51" t="s">
        <v>503</v>
      </c>
      <c r="T51" t="s">
        <v>508</v>
      </c>
      <c r="U51" t="s">
        <v>511</v>
      </c>
      <c r="V51">
        <v>10027</v>
      </c>
      <c r="W51" t="s">
        <v>3019</v>
      </c>
      <c r="X51" t="s">
        <v>548</v>
      </c>
      <c r="Y51" t="s">
        <v>275</v>
      </c>
      <c r="Z51" t="s">
        <v>3058</v>
      </c>
      <c r="AA51" t="s">
        <v>2111</v>
      </c>
      <c r="AB51" t="s">
        <v>902</v>
      </c>
      <c r="AC51" t="s">
        <v>904</v>
      </c>
      <c r="AD51" t="s">
        <v>916</v>
      </c>
      <c r="AE51" t="s">
        <v>919</v>
      </c>
      <c r="AF51" t="s">
        <v>923</v>
      </c>
      <c r="AI51">
        <v>0.5</v>
      </c>
      <c r="AJ51" t="s">
        <v>558</v>
      </c>
      <c r="AK51" t="s">
        <v>950</v>
      </c>
      <c r="AL51" t="s">
        <v>274</v>
      </c>
      <c r="AM51" t="s">
        <v>973</v>
      </c>
      <c r="AN51" t="s">
        <v>468</v>
      </c>
      <c r="AO51" t="s">
        <v>978</v>
      </c>
      <c r="AP51" t="s">
        <v>468</v>
      </c>
      <c r="AQ51" t="s">
        <v>1038</v>
      </c>
      <c r="AR51" t="s">
        <v>1051</v>
      </c>
      <c r="AT51">
        <v>0</v>
      </c>
      <c r="AU51">
        <v>1</v>
      </c>
      <c r="AV51" t="s">
        <v>273</v>
      </c>
      <c r="AY51" t="s">
        <v>273</v>
      </c>
      <c r="BB51">
        <v>0</v>
      </c>
      <c r="BC51">
        <v>0</v>
      </c>
      <c r="BD51">
        <v>0</v>
      </c>
      <c r="BE51">
        <v>0</v>
      </c>
      <c r="BF51" t="s">
        <v>493</v>
      </c>
      <c r="BG51" t="s">
        <v>3324</v>
      </c>
      <c r="BH51">
        <v>67</v>
      </c>
      <c r="BI51" t="s">
        <v>1247</v>
      </c>
      <c r="BK51">
        <v>1873477</v>
      </c>
    </row>
    <row r="52" spans="1:63">
      <c r="A52" s="1">
        <f>HYPERLINK("https://lsnyc.legalserver.org/matter/dynamic-profile/view/1905651","19-1905651")</f>
        <v>0</v>
      </c>
      <c r="B52" t="s">
        <v>2852</v>
      </c>
      <c r="C52" t="s">
        <v>2975</v>
      </c>
      <c r="D52" t="s">
        <v>255</v>
      </c>
      <c r="E52" t="s">
        <v>2979</v>
      </c>
      <c r="F52" t="s">
        <v>273</v>
      </c>
      <c r="G52" t="s">
        <v>275</v>
      </c>
      <c r="H52">
        <v>0</v>
      </c>
      <c r="I52" t="s">
        <v>274</v>
      </c>
      <c r="K52" t="s">
        <v>465</v>
      </c>
      <c r="O52" t="s">
        <v>275</v>
      </c>
      <c r="Q52" t="s">
        <v>502</v>
      </c>
      <c r="S52" t="s">
        <v>503</v>
      </c>
      <c r="T52" t="s">
        <v>508</v>
      </c>
      <c r="U52" t="s">
        <v>511</v>
      </c>
      <c r="V52">
        <v>10039</v>
      </c>
      <c r="W52" t="s">
        <v>518</v>
      </c>
      <c r="X52" t="s">
        <v>549</v>
      </c>
      <c r="Y52" t="s">
        <v>275</v>
      </c>
      <c r="Z52" t="s">
        <v>3057</v>
      </c>
      <c r="AA52" t="s">
        <v>2102</v>
      </c>
      <c r="AB52" t="s">
        <v>902</v>
      </c>
      <c r="AC52" t="s">
        <v>904</v>
      </c>
      <c r="AF52" t="s">
        <v>926</v>
      </c>
      <c r="AI52">
        <v>42.92</v>
      </c>
      <c r="AJ52" t="s">
        <v>558</v>
      </c>
      <c r="AK52" t="s">
        <v>934</v>
      </c>
      <c r="AL52" t="s">
        <v>274</v>
      </c>
      <c r="AT52">
        <v>0</v>
      </c>
      <c r="AU52">
        <v>1</v>
      </c>
      <c r="AV52" t="s">
        <v>273</v>
      </c>
      <c r="AY52" t="s">
        <v>273</v>
      </c>
      <c r="BB52">
        <v>0</v>
      </c>
      <c r="BC52">
        <v>0</v>
      </c>
      <c r="BD52">
        <v>0</v>
      </c>
      <c r="BE52">
        <v>0</v>
      </c>
      <c r="BF52" t="s">
        <v>1063</v>
      </c>
      <c r="BG52" t="s">
        <v>3322</v>
      </c>
      <c r="BH52">
        <v>18</v>
      </c>
      <c r="BI52" t="s">
        <v>1247</v>
      </c>
      <c r="BK52">
        <v>1906306</v>
      </c>
    </row>
    <row r="53" spans="1:63">
      <c r="A53" s="1">
        <f>HYPERLINK("https://lsnyc.legalserver.org/matter/dynamic-profile/view/1905263","19-1905263")</f>
        <v>0</v>
      </c>
      <c r="B53" t="s">
        <v>2842</v>
      </c>
      <c r="C53" t="s">
        <v>2975</v>
      </c>
      <c r="D53" t="s">
        <v>257</v>
      </c>
      <c r="E53" t="s">
        <v>2979</v>
      </c>
      <c r="F53" t="s">
        <v>273</v>
      </c>
      <c r="G53" t="s">
        <v>275</v>
      </c>
      <c r="H53">
        <v>23.06</v>
      </c>
      <c r="I53" t="s">
        <v>274</v>
      </c>
      <c r="K53" t="s">
        <v>1676</v>
      </c>
      <c r="P53" t="s">
        <v>492</v>
      </c>
      <c r="Q53" t="s">
        <v>502</v>
      </c>
      <c r="S53" t="s">
        <v>503</v>
      </c>
      <c r="T53" t="s">
        <v>508</v>
      </c>
      <c r="U53" t="s">
        <v>511</v>
      </c>
      <c r="V53">
        <v>10456</v>
      </c>
      <c r="W53" t="s">
        <v>529</v>
      </c>
      <c r="X53" t="s">
        <v>548</v>
      </c>
      <c r="Z53" t="s">
        <v>717</v>
      </c>
      <c r="AA53" t="s">
        <v>815</v>
      </c>
      <c r="AB53" t="s">
        <v>902</v>
      </c>
      <c r="AC53" t="s">
        <v>905</v>
      </c>
      <c r="AF53" t="s">
        <v>923</v>
      </c>
      <c r="AI53">
        <v>0.5</v>
      </c>
      <c r="AL53" t="s">
        <v>274</v>
      </c>
      <c r="AT53">
        <v>1</v>
      </c>
      <c r="AU53">
        <v>1</v>
      </c>
      <c r="AV53" t="s">
        <v>273</v>
      </c>
      <c r="AY53" t="s">
        <v>273</v>
      </c>
      <c r="BB53">
        <v>0</v>
      </c>
      <c r="BC53">
        <v>0</v>
      </c>
      <c r="BD53">
        <v>0</v>
      </c>
      <c r="BE53">
        <v>0</v>
      </c>
      <c r="BF53" t="s">
        <v>1063</v>
      </c>
      <c r="BG53" t="s">
        <v>3313</v>
      </c>
      <c r="BH53">
        <v>5</v>
      </c>
      <c r="BI53" t="s">
        <v>3445</v>
      </c>
      <c r="BK53">
        <v>1861984</v>
      </c>
    </row>
    <row r="54" spans="1:63">
      <c r="A54" s="1">
        <f>HYPERLINK("https://lsnyc.legalserver.org/matter/dynamic-profile/view/1905101","19-1905101")</f>
        <v>0</v>
      </c>
      <c r="B54" t="s">
        <v>2855</v>
      </c>
      <c r="C54" t="s">
        <v>2975</v>
      </c>
      <c r="D54" t="s">
        <v>255</v>
      </c>
      <c r="E54" t="s">
        <v>2979</v>
      </c>
      <c r="F54" t="s">
        <v>275</v>
      </c>
      <c r="G54" t="s">
        <v>275</v>
      </c>
      <c r="H54">
        <v>0</v>
      </c>
      <c r="I54" t="s">
        <v>274</v>
      </c>
      <c r="K54" t="s">
        <v>1003</v>
      </c>
      <c r="L54" t="s">
        <v>1672</v>
      </c>
      <c r="P54" t="s">
        <v>493</v>
      </c>
      <c r="Q54" t="s">
        <v>502</v>
      </c>
      <c r="S54" t="s">
        <v>503</v>
      </c>
      <c r="T54" t="s">
        <v>508</v>
      </c>
      <c r="U54" t="s">
        <v>511</v>
      </c>
      <c r="V54">
        <v>10039</v>
      </c>
      <c r="W54" t="s">
        <v>544</v>
      </c>
      <c r="X54" t="s">
        <v>549</v>
      </c>
      <c r="Z54" t="s">
        <v>3059</v>
      </c>
      <c r="AA54" t="s">
        <v>3169</v>
      </c>
      <c r="AB54" t="s">
        <v>902</v>
      </c>
      <c r="AC54" t="s">
        <v>904</v>
      </c>
      <c r="AD54" t="s">
        <v>275</v>
      </c>
      <c r="AE54" t="s">
        <v>919</v>
      </c>
      <c r="AF54" t="s">
        <v>923</v>
      </c>
      <c r="AI54">
        <v>1.75</v>
      </c>
      <c r="AL54" t="s">
        <v>274</v>
      </c>
      <c r="AM54" t="s">
        <v>973</v>
      </c>
      <c r="AN54" t="s">
        <v>461</v>
      </c>
      <c r="AO54" t="s">
        <v>978</v>
      </c>
      <c r="AP54" t="s">
        <v>447</v>
      </c>
      <c r="AQ54" t="s">
        <v>1037</v>
      </c>
      <c r="AR54" t="s">
        <v>1051</v>
      </c>
      <c r="AT54">
        <v>2</v>
      </c>
      <c r="AU54">
        <v>1</v>
      </c>
      <c r="AV54" t="s">
        <v>273</v>
      </c>
      <c r="AY54" t="s">
        <v>273</v>
      </c>
      <c r="BB54">
        <v>0</v>
      </c>
      <c r="BC54">
        <v>0</v>
      </c>
      <c r="BD54">
        <v>1170</v>
      </c>
      <c r="BE54">
        <v>0</v>
      </c>
      <c r="BF54" t="s">
        <v>493</v>
      </c>
      <c r="BG54" t="s">
        <v>3325</v>
      </c>
      <c r="BH54">
        <v>13</v>
      </c>
      <c r="BI54" t="s">
        <v>1247</v>
      </c>
      <c r="BK54">
        <v>767009</v>
      </c>
    </row>
    <row r="55" spans="1:63">
      <c r="A55" s="1">
        <f>HYPERLINK("https://lsnyc.legalserver.org/matter/dynamic-profile/view/1905103","19-1905103")</f>
        <v>0</v>
      </c>
      <c r="B55" t="s">
        <v>2856</v>
      </c>
      <c r="C55" t="s">
        <v>2975</v>
      </c>
      <c r="D55" t="s">
        <v>255</v>
      </c>
      <c r="E55" t="s">
        <v>2979</v>
      </c>
      <c r="F55" t="s">
        <v>275</v>
      </c>
      <c r="G55" t="s">
        <v>275</v>
      </c>
      <c r="H55">
        <v>0</v>
      </c>
      <c r="I55" t="s">
        <v>274</v>
      </c>
      <c r="K55" t="s">
        <v>1003</v>
      </c>
      <c r="L55" t="s">
        <v>1672</v>
      </c>
      <c r="P55" t="s">
        <v>493</v>
      </c>
      <c r="Q55" t="s">
        <v>502</v>
      </c>
      <c r="S55" t="s">
        <v>503</v>
      </c>
      <c r="T55" t="s">
        <v>507</v>
      </c>
      <c r="U55" t="s">
        <v>511</v>
      </c>
      <c r="V55">
        <v>10039</v>
      </c>
      <c r="W55" t="s">
        <v>544</v>
      </c>
      <c r="X55" t="s">
        <v>549</v>
      </c>
      <c r="Z55" t="s">
        <v>3060</v>
      </c>
      <c r="AA55" t="s">
        <v>3169</v>
      </c>
      <c r="AB55" t="s">
        <v>902</v>
      </c>
      <c r="AC55" t="s">
        <v>904</v>
      </c>
      <c r="AD55" t="s">
        <v>275</v>
      </c>
      <c r="AE55" t="s">
        <v>919</v>
      </c>
      <c r="AF55" t="s">
        <v>923</v>
      </c>
      <c r="AI55">
        <v>1.5</v>
      </c>
      <c r="AL55" t="s">
        <v>274</v>
      </c>
      <c r="AM55" t="s">
        <v>973</v>
      </c>
      <c r="AN55" t="s">
        <v>461</v>
      </c>
      <c r="AO55" t="s">
        <v>978</v>
      </c>
      <c r="AP55" t="s">
        <v>447</v>
      </c>
      <c r="AQ55" t="s">
        <v>1037</v>
      </c>
      <c r="AR55" t="s">
        <v>1051</v>
      </c>
      <c r="AT55">
        <v>2</v>
      </c>
      <c r="AU55">
        <v>1</v>
      </c>
      <c r="AV55" t="s">
        <v>273</v>
      </c>
      <c r="AY55" t="s">
        <v>273</v>
      </c>
      <c r="BB55">
        <v>0</v>
      </c>
      <c r="BC55">
        <v>0</v>
      </c>
      <c r="BD55">
        <v>1170</v>
      </c>
      <c r="BE55">
        <v>0</v>
      </c>
      <c r="BF55" t="s">
        <v>493</v>
      </c>
      <c r="BG55" t="s">
        <v>3326</v>
      </c>
      <c r="BH55">
        <v>15</v>
      </c>
      <c r="BI55" t="s">
        <v>1247</v>
      </c>
      <c r="BK55">
        <v>767009</v>
      </c>
    </row>
    <row r="56" spans="1:63">
      <c r="A56" s="1">
        <f>HYPERLINK("https://lsnyc.legalserver.org/matter/dynamic-profile/view/1905100","19-1905100")</f>
        <v>0</v>
      </c>
      <c r="B56" t="s">
        <v>2855</v>
      </c>
      <c r="C56" t="s">
        <v>2975</v>
      </c>
      <c r="D56" t="s">
        <v>255</v>
      </c>
      <c r="E56" t="s">
        <v>2979</v>
      </c>
      <c r="F56" t="s">
        <v>273</v>
      </c>
      <c r="G56" t="s">
        <v>275</v>
      </c>
      <c r="H56">
        <v>0</v>
      </c>
      <c r="I56" t="s">
        <v>274</v>
      </c>
      <c r="K56" t="s">
        <v>1003</v>
      </c>
      <c r="P56" t="s">
        <v>492</v>
      </c>
      <c r="Q56" t="s">
        <v>502</v>
      </c>
      <c r="S56" t="s">
        <v>503</v>
      </c>
      <c r="T56" t="s">
        <v>508</v>
      </c>
      <c r="U56" t="s">
        <v>511</v>
      </c>
      <c r="V56">
        <v>10039</v>
      </c>
      <c r="W56" t="s">
        <v>1831</v>
      </c>
      <c r="X56" t="s">
        <v>549</v>
      </c>
      <c r="Y56" t="s">
        <v>275</v>
      </c>
      <c r="Z56" t="s">
        <v>3059</v>
      </c>
      <c r="AA56" t="s">
        <v>3169</v>
      </c>
      <c r="AB56" t="s">
        <v>902</v>
      </c>
      <c r="AC56" t="s">
        <v>904</v>
      </c>
      <c r="AF56" t="s">
        <v>923</v>
      </c>
      <c r="AI56">
        <v>4.25</v>
      </c>
      <c r="AJ56" t="s">
        <v>558</v>
      </c>
      <c r="AK56" t="s">
        <v>939</v>
      </c>
      <c r="AL56" t="s">
        <v>274</v>
      </c>
      <c r="AM56" t="s">
        <v>973</v>
      </c>
      <c r="AN56" t="s">
        <v>461</v>
      </c>
      <c r="AT56">
        <v>2</v>
      </c>
      <c r="AU56">
        <v>1</v>
      </c>
      <c r="AV56" t="s">
        <v>273</v>
      </c>
      <c r="AY56" t="s">
        <v>273</v>
      </c>
      <c r="BB56">
        <v>0</v>
      </c>
      <c r="BC56">
        <v>0</v>
      </c>
      <c r="BD56">
        <v>0</v>
      </c>
      <c r="BE56">
        <v>0</v>
      </c>
      <c r="BF56" t="s">
        <v>1063</v>
      </c>
      <c r="BG56" t="s">
        <v>3325</v>
      </c>
      <c r="BH56">
        <v>13</v>
      </c>
      <c r="BI56" t="s">
        <v>1247</v>
      </c>
      <c r="BK56">
        <v>767009</v>
      </c>
    </row>
    <row r="57" spans="1:63">
      <c r="A57" s="1">
        <f>HYPERLINK("https://lsnyc.legalserver.org/matter/dynamic-profile/view/1905102","19-1905102")</f>
        <v>0</v>
      </c>
      <c r="B57" t="s">
        <v>2856</v>
      </c>
      <c r="C57" t="s">
        <v>2975</v>
      </c>
      <c r="D57" t="s">
        <v>255</v>
      </c>
      <c r="E57" t="s">
        <v>2979</v>
      </c>
      <c r="F57" t="s">
        <v>273</v>
      </c>
      <c r="G57" t="s">
        <v>275</v>
      </c>
      <c r="H57">
        <v>0</v>
      </c>
      <c r="I57" t="s">
        <v>274</v>
      </c>
      <c r="K57" t="s">
        <v>1003</v>
      </c>
      <c r="P57" t="s">
        <v>492</v>
      </c>
      <c r="Q57" t="s">
        <v>502</v>
      </c>
      <c r="S57" t="s">
        <v>503</v>
      </c>
      <c r="T57" t="s">
        <v>507</v>
      </c>
      <c r="U57" t="s">
        <v>511</v>
      </c>
      <c r="V57">
        <v>10039</v>
      </c>
      <c r="W57" t="s">
        <v>1831</v>
      </c>
      <c r="X57" t="s">
        <v>549</v>
      </c>
      <c r="Y57" t="s">
        <v>275</v>
      </c>
      <c r="Z57" t="s">
        <v>3060</v>
      </c>
      <c r="AA57" t="s">
        <v>3169</v>
      </c>
      <c r="AB57" t="s">
        <v>902</v>
      </c>
      <c r="AC57" t="s">
        <v>904</v>
      </c>
      <c r="AF57" t="s">
        <v>923</v>
      </c>
      <c r="AI57">
        <v>4.75</v>
      </c>
      <c r="AJ57" t="s">
        <v>558</v>
      </c>
      <c r="AK57" t="s">
        <v>939</v>
      </c>
      <c r="AL57" t="s">
        <v>274</v>
      </c>
      <c r="AM57" t="s">
        <v>973</v>
      </c>
      <c r="AN57" t="s">
        <v>461</v>
      </c>
      <c r="AT57">
        <v>2</v>
      </c>
      <c r="AU57">
        <v>1</v>
      </c>
      <c r="AV57" t="s">
        <v>273</v>
      </c>
      <c r="AY57" t="s">
        <v>273</v>
      </c>
      <c r="BB57">
        <v>0</v>
      </c>
      <c r="BC57">
        <v>0</v>
      </c>
      <c r="BD57">
        <v>0</v>
      </c>
      <c r="BE57">
        <v>0</v>
      </c>
      <c r="BF57" t="s">
        <v>1063</v>
      </c>
      <c r="BG57" t="s">
        <v>3326</v>
      </c>
      <c r="BH57">
        <v>15</v>
      </c>
      <c r="BI57" t="s">
        <v>1247</v>
      </c>
      <c r="BK57">
        <v>767009</v>
      </c>
    </row>
    <row r="58" spans="1:63">
      <c r="A58" s="1">
        <f>HYPERLINK("https://lsnyc.legalserver.org/matter/dynamic-profile/view/1904989","19-1904989")</f>
        <v>0</v>
      </c>
      <c r="B58" t="s">
        <v>2857</v>
      </c>
      <c r="C58" t="s">
        <v>2975</v>
      </c>
      <c r="D58" t="s">
        <v>253</v>
      </c>
      <c r="E58" t="s">
        <v>2979</v>
      </c>
      <c r="F58" t="s">
        <v>275</v>
      </c>
      <c r="G58" t="s">
        <v>275</v>
      </c>
      <c r="H58">
        <v>0</v>
      </c>
      <c r="I58" t="s">
        <v>274</v>
      </c>
      <c r="K58" t="s">
        <v>1677</v>
      </c>
      <c r="L58" t="s">
        <v>298</v>
      </c>
      <c r="P58" t="s">
        <v>492</v>
      </c>
      <c r="Q58" t="s">
        <v>501</v>
      </c>
      <c r="S58" t="s">
        <v>503</v>
      </c>
      <c r="T58" t="s">
        <v>508</v>
      </c>
      <c r="U58" t="s">
        <v>511</v>
      </c>
      <c r="V58">
        <v>11001</v>
      </c>
      <c r="W58" t="s">
        <v>544</v>
      </c>
      <c r="X58" t="s">
        <v>549</v>
      </c>
      <c r="Y58" t="s">
        <v>275</v>
      </c>
      <c r="Z58" t="s">
        <v>3061</v>
      </c>
      <c r="AA58" t="s">
        <v>2203</v>
      </c>
      <c r="AB58" t="s">
        <v>902</v>
      </c>
      <c r="AC58" t="s">
        <v>911</v>
      </c>
      <c r="AD58" t="s">
        <v>274</v>
      </c>
      <c r="AE58" t="s">
        <v>919</v>
      </c>
      <c r="AF58" t="s">
        <v>923</v>
      </c>
      <c r="AI58">
        <v>1</v>
      </c>
      <c r="AJ58" t="s">
        <v>558</v>
      </c>
      <c r="AK58" t="s">
        <v>2369</v>
      </c>
      <c r="AL58" t="s">
        <v>274</v>
      </c>
      <c r="AM58" t="s">
        <v>973</v>
      </c>
      <c r="AN58" t="s">
        <v>1677</v>
      </c>
      <c r="AO58" t="s">
        <v>978</v>
      </c>
      <c r="AP58" t="s">
        <v>467</v>
      </c>
      <c r="AQ58" t="s">
        <v>1037</v>
      </c>
      <c r="AR58" t="s">
        <v>1051</v>
      </c>
      <c r="AT58">
        <v>1</v>
      </c>
      <c r="AU58">
        <v>1</v>
      </c>
      <c r="AV58" t="s">
        <v>273</v>
      </c>
      <c r="AY58" t="s">
        <v>273</v>
      </c>
      <c r="BB58">
        <v>0</v>
      </c>
      <c r="BC58">
        <v>0</v>
      </c>
      <c r="BD58">
        <v>455</v>
      </c>
      <c r="BE58">
        <v>0</v>
      </c>
      <c r="BF58" t="s">
        <v>493</v>
      </c>
      <c r="BG58" t="s">
        <v>3327</v>
      </c>
      <c r="BH58">
        <v>32</v>
      </c>
      <c r="BI58" t="s">
        <v>1247</v>
      </c>
      <c r="BK58">
        <v>777375</v>
      </c>
    </row>
    <row r="59" spans="1:63">
      <c r="A59" s="1">
        <f>HYPERLINK("https://lsnyc.legalserver.org/matter/dynamic-profile/view/1904531","19-1904531")</f>
        <v>0</v>
      </c>
      <c r="B59" t="s">
        <v>2858</v>
      </c>
      <c r="C59" t="s">
        <v>2975</v>
      </c>
      <c r="D59" t="s">
        <v>252</v>
      </c>
      <c r="E59" t="s">
        <v>2979</v>
      </c>
      <c r="F59" t="s">
        <v>275</v>
      </c>
      <c r="G59" t="s">
        <v>275</v>
      </c>
      <c r="H59">
        <v>0</v>
      </c>
      <c r="I59" t="s">
        <v>275</v>
      </c>
      <c r="K59" t="s">
        <v>300</v>
      </c>
      <c r="L59" t="s">
        <v>280</v>
      </c>
      <c r="P59" t="s">
        <v>492</v>
      </c>
      <c r="Q59" t="s">
        <v>501</v>
      </c>
      <c r="S59" t="s">
        <v>503</v>
      </c>
      <c r="T59" t="s">
        <v>508</v>
      </c>
      <c r="U59" t="s">
        <v>511</v>
      </c>
      <c r="V59">
        <v>11206</v>
      </c>
      <c r="W59" t="s">
        <v>517</v>
      </c>
      <c r="X59" t="s">
        <v>549</v>
      </c>
      <c r="Z59" t="s">
        <v>3062</v>
      </c>
      <c r="AA59" t="s">
        <v>2182</v>
      </c>
      <c r="AB59" t="s">
        <v>902</v>
      </c>
      <c r="AC59" t="s">
        <v>904</v>
      </c>
      <c r="AD59" t="s">
        <v>275</v>
      </c>
      <c r="AE59" t="s">
        <v>920</v>
      </c>
      <c r="AF59" t="s">
        <v>928</v>
      </c>
      <c r="AI59">
        <v>3.25</v>
      </c>
      <c r="AJ59" t="s">
        <v>558</v>
      </c>
      <c r="AK59" t="s">
        <v>949</v>
      </c>
      <c r="AL59" t="s">
        <v>274</v>
      </c>
      <c r="AQ59" t="s">
        <v>1033</v>
      </c>
      <c r="AR59" t="s">
        <v>1053</v>
      </c>
      <c r="AS59" t="s">
        <v>3283</v>
      </c>
      <c r="AT59">
        <v>0</v>
      </c>
      <c r="AU59">
        <v>3</v>
      </c>
      <c r="AV59" t="s">
        <v>273</v>
      </c>
      <c r="AY59" t="s">
        <v>273</v>
      </c>
      <c r="BB59">
        <v>0</v>
      </c>
      <c r="BC59">
        <v>0</v>
      </c>
      <c r="BD59">
        <v>0</v>
      </c>
      <c r="BE59">
        <v>0</v>
      </c>
      <c r="BF59" t="s">
        <v>493</v>
      </c>
      <c r="BG59" t="s">
        <v>3328</v>
      </c>
      <c r="BH59">
        <v>22</v>
      </c>
      <c r="BI59" t="s">
        <v>1247</v>
      </c>
      <c r="BK59">
        <v>1905186</v>
      </c>
    </row>
    <row r="60" spans="1:63">
      <c r="A60" s="1">
        <f>HYPERLINK("https://lsnyc.legalserver.org/matter/dynamic-profile/view/1904516","19-1904516")</f>
        <v>0</v>
      </c>
      <c r="B60" t="s">
        <v>2859</v>
      </c>
      <c r="C60" t="s">
        <v>2975</v>
      </c>
      <c r="D60" t="s">
        <v>252</v>
      </c>
      <c r="E60" t="s">
        <v>2979</v>
      </c>
      <c r="F60" t="s">
        <v>273</v>
      </c>
      <c r="G60" t="s">
        <v>275</v>
      </c>
      <c r="H60">
        <v>0</v>
      </c>
      <c r="I60" t="s">
        <v>274</v>
      </c>
      <c r="K60" t="s">
        <v>300</v>
      </c>
      <c r="P60" t="s">
        <v>492</v>
      </c>
      <c r="Q60" t="s">
        <v>501</v>
      </c>
      <c r="S60" t="s">
        <v>503</v>
      </c>
      <c r="T60" t="s">
        <v>508</v>
      </c>
      <c r="U60" t="s">
        <v>511</v>
      </c>
      <c r="V60">
        <v>11204</v>
      </c>
      <c r="W60" t="s">
        <v>517</v>
      </c>
      <c r="X60" t="s">
        <v>549</v>
      </c>
      <c r="Z60" t="s">
        <v>3063</v>
      </c>
      <c r="AA60" t="s">
        <v>3174</v>
      </c>
      <c r="AB60" t="s">
        <v>902</v>
      </c>
      <c r="AC60" t="s">
        <v>904</v>
      </c>
      <c r="AF60" t="s">
        <v>923</v>
      </c>
      <c r="AI60">
        <v>4.5</v>
      </c>
      <c r="AJ60" t="s">
        <v>558</v>
      </c>
      <c r="AK60" t="s">
        <v>3257</v>
      </c>
      <c r="AL60" t="s">
        <v>274</v>
      </c>
      <c r="AM60" t="s">
        <v>973</v>
      </c>
      <c r="AN60" t="s">
        <v>476</v>
      </c>
      <c r="AS60" t="s">
        <v>3283</v>
      </c>
      <c r="AT60">
        <v>0</v>
      </c>
      <c r="AU60">
        <v>2</v>
      </c>
      <c r="AV60" t="s">
        <v>273</v>
      </c>
      <c r="AY60" t="s">
        <v>273</v>
      </c>
      <c r="BB60">
        <v>0</v>
      </c>
      <c r="BC60">
        <v>0</v>
      </c>
      <c r="BD60">
        <v>0</v>
      </c>
      <c r="BE60">
        <v>0</v>
      </c>
      <c r="BF60" t="s">
        <v>1063</v>
      </c>
      <c r="BG60" t="s">
        <v>3329</v>
      </c>
      <c r="BH60">
        <v>46</v>
      </c>
      <c r="BI60" t="s">
        <v>1247</v>
      </c>
      <c r="BK60">
        <v>1905171</v>
      </c>
    </row>
    <row r="61" spans="1:63">
      <c r="A61" s="1">
        <f>HYPERLINK("https://lsnyc.legalserver.org/matter/dynamic-profile/view/1904547","19-1904547")</f>
        <v>0</v>
      </c>
      <c r="B61" t="s">
        <v>2860</v>
      </c>
      <c r="C61" t="s">
        <v>2975</v>
      </c>
      <c r="D61" t="s">
        <v>255</v>
      </c>
      <c r="E61" t="s">
        <v>2979</v>
      </c>
      <c r="F61" t="s">
        <v>273</v>
      </c>
      <c r="G61" t="s">
        <v>275</v>
      </c>
      <c r="H61">
        <v>103.94</v>
      </c>
      <c r="I61" t="s">
        <v>274</v>
      </c>
      <c r="K61" t="s">
        <v>300</v>
      </c>
      <c r="P61" t="s">
        <v>492</v>
      </c>
      <c r="Q61" t="s">
        <v>501</v>
      </c>
      <c r="S61" t="s">
        <v>503</v>
      </c>
      <c r="T61" t="s">
        <v>508</v>
      </c>
      <c r="U61" t="s">
        <v>511</v>
      </c>
      <c r="V61">
        <v>10002</v>
      </c>
      <c r="W61" t="s">
        <v>517</v>
      </c>
      <c r="X61" t="s">
        <v>548</v>
      </c>
      <c r="Y61" t="s">
        <v>275</v>
      </c>
      <c r="Z61" t="s">
        <v>1920</v>
      </c>
      <c r="AA61" t="s">
        <v>2254</v>
      </c>
      <c r="AB61" t="s">
        <v>902</v>
      </c>
      <c r="AC61" t="s">
        <v>904</v>
      </c>
      <c r="AF61" t="s">
        <v>923</v>
      </c>
      <c r="AI61">
        <v>4.5</v>
      </c>
      <c r="AJ61" t="s">
        <v>558</v>
      </c>
      <c r="AK61" t="s">
        <v>950</v>
      </c>
      <c r="AL61" t="s">
        <v>274</v>
      </c>
      <c r="AS61" t="s">
        <v>3283</v>
      </c>
      <c r="AT61">
        <v>1</v>
      </c>
      <c r="AU61">
        <v>1</v>
      </c>
      <c r="AV61" t="s">
        <v>273</v>
      </c>
      <c r="AY61" t="s">
        <v>273</v>
      </c>
      <c r="BB61">
        <v>0</v>
      </c>
      <c r="BC61">
        <v>0</v>
      </c>
      <c r="BD61">
        <v>0</v>
      </c>
      <c r="BE61">
        <v>0</v>
      </c>
      <c r="BF61" t="s">
        <v>1063</v>
      </c>
      <c r="BG61" t="s">
        <v>3330</v>
      </c>
      <c r="BH61">
        <v>53</v>
      </c>
      <c r="BI61" t="s">
        <v>3448</v>
      </c>
      <c r="BK61">
        <v>1843864</v>
      </c>
    </row>
    <row r="62" spans="1:63">
      <c r="A62" s="1">
        <f>HYPERLINK("https://lsnyc.legalserver.org/matter/dynamic-profile/view/1903733","19-1903733")</f>
        <v>0</v>
      </c>
      <c r="B62" t="s">
        <v>2839</v>
      </c>
      <c r="C62" t="s">
        <v>2975</v>
      </c>
      <c r="D62" t="s">
        <v>257</v>
      </c>
      <c r="E62" t="s">
        <v>2981</v>
      </c>
      <c r="F62" t="s">
        <v>273</v>
      </c>
      <c r="G62" t="s">
        <v>275</v>
      </c>
      <c r="H62">
        <v>165.1</v>
      </c>
      <c r="I62" t="s">
        <v>274</v>
      </c>
      <c r="K62" t="s">
        <v>301</v>
      </c>
      <c r="P62" t="s">
        <v>492</v>
      </c>
      <c r="Q62" t="s">
        <v>501</v>
      </c>
      <c r="S62" t="s">
        <v>503</v>
      </c>
      <c r="T62" t="s">
        <v>508</v>
      </c>
      <c r="U62" t="s">
        <v>511</v>
      </c>
      <c r="V62">
        <v>10453</v>
      </c>
      <c r="W62" t="s">
        <v>520</v>
      </c>
      <c r="X62" t="s">
        <v>548</v>
      </c>
      <c r="Z62" t="s">
        <v>3046</v>
      </c>
      <c r="AA62" t="s">
        <v>3165</v>
      </c>
      <c r="AB62" t="s">
        <v>902</v>
      </c>
      <c r="AC62" t="s">
        <v>909</v>
      </c>
      <c r="AI62">
        <v>0</v>
      </c>
      <c r="AJ62" t="s">
        <v>931</v>
      </c>
      <c r="AK62" t="s">
        <v>3254</v>
      </c>
      <c r="AL62" t="s">
        <v>274</v>
      </c>
      <c r="AT62">
        <v>0</v>
      </c>
      <c r="AU62">
        <v>4</v>
      </c>
      <c r="AV62" t="s">
        <v>273</v>
      </c>
      <c r="AY62" t="s">
        <v>273</v>
      </c>
      <c r="BB62">
        <v>0</v>
      </c>
      <c r="BC62">
        <v>0</v>
      </c>
      <c r="BD62">
        <v>0</v>
      </c>
      <c r="BE62">
        <v>0</v>
      </c>
      <c r="BF62" t="s">
        <v>1063</v>
      </c>
      <c r="BG62" t="s">
        <v>3310</v>
      </c>
      <c r="BH62">
        <v>37</v>
      </c>
      <c r="BI62" t="s">
        <v>3442</v>
      </c>
      <c r="BK62">
        <v>1885732</v>
      </c>
    </row>
    <row r="63" spans="1:63">
      <c r="A63" s="1">
        <f>HYPERLINK("https://lsnyc.legalserver.org/matter/dynamic-profile/view/1904406","19-1904406")</f>
        <v>0</v>
      </c>
      <c r="B63" t="s">
        <v>2839</v>
      </c>
      <c r="C63" t="s">
        <v>2975</v>
      </c>
      <c r="D63" t="s">
        <v>257</v>
      </c>
      <c r="E63" t="s">
        <v>2981</v>
      </c>
      <c r="F63" t="s">
        <v>273</v>
      </c>
      <c r="G63" t="s">
        <v>275</v>
      </c>
      <c r="H63">
        <v>40.82</v>
      </c>
      <c r="I63" t="s">
        <v>274</v>
      </c>
      <c r="K63" t="s">
        <v>301</v>
      </c>
      <c r="P63" t="s">
        <v>492</v>
      </c>
      <c r="Q63" t="s">
        <v>501</v>
      </c>
      <c r="S63" t="s">
        <v>503</v>
      </c>
      <c r="T63" t="s">
        <v>508</v>
      </c>
      <c r="U63" t="s">
        <v>511</v>
      </c>
      <c r="V63">
        <v>10453</v>
      </c>
      <c r="W63" t="s">
        <v>523</v>
      </c>
      <c r="X63" t="s">
        <v>548</v>
      </c>
      <c r="Z63" t="s">
        <v>3046</v>
      </c>
      <c r="AA63" t="s">
        <v>3165</v>
      </c>
      <c r="AB63" t="s">
        <v>902</v>
      </c>
      <c r="AC63" t="s">
        <v>909</v>
      </c>
      <c r="AI63">
        <v>7.5</v>
      </c>
      <c r="AJ63" t="s">
        <v>931</v>
      </c>
      <c r="AK63" t="s">
        <v>3254</v>
      </c>
      <c r="AL63" t="s">
        <v>274</v>
      </c>
      <c r="AT63">
        <v>0</v>
      </c>
      <c r="AU63">
        <v>4</v>
      </c>
      <c r="AV63" t="s">
        <v>273</v>
      </c>
      <c r="AY63" t="s">
        <v>273</v>
      </c>
      <c r="BB63">
        <v>0</v>
      </c>
      <c r="BC63">
        <v>0</v>
      </c>
      <c r="BD63">
        <v>0</v>
      </c>
      <c r="BE63">
        <v>0</v>
      </c>
      <c r="BF63" t="s">
        <v>1063</v>
      </c>
      <c r="BG63" t="s">
        <v>3310</v>
      </c>
      <c r="BH63">
        <v>37</v>
      </c>
      <c r="BI63" t="s">
        <v>3449</v>
      </c>
      <c r="BK63">
        <v>1885732</v>
      </c>
    </row>
    <row r="64" spans="1:63">
      <c r="A64" s="1">
        <f>HYPERLINK("https://lsnyc.legalserver.org/matter/dynamic-profile/view/1904418","19-1904418")</f>
        <v>0</v>
      </c>
      <c r="B64" t="s">
        <v>2861</v>
      </c>
      <c r="C64" t="s">
        <v>2975</v>
      </c>
      <c r="D64" t="s">
        <v>252</v>
      </c>
      <c r="E64" t="s">
        <v>2977</v>
      </c>
      <c r="F64" t="s">
        <v>273</v>
      </c>
      <c r="G64" t="s">
        <v>275</v>
      </c>
      <c r="H64">
        <v>198.87</v>
      </c>
      <c r="I64" t="s">
        <v>274</v>
      </c>
      <c r="K64" t="s">
        <v>301</v>
      </c>
      <c r="O64" t="s">
        <v>275</v>
      </c>
      <c r="P64" t="s">
        <v>492</v>
      </c>
      <c r="Q64" t="s">
        <v>501</v>
      </c>
      <c r="S64" t="s">
        <v>503</v>
      </c>
      <c r="T64" t="s">
        <v>508</v>
      </c>
      <c r="U64" t="s">
        <v>511</v>
      </c>
      <c r="V64">
        <v>11207</v>
      </c>
      <c r="W64" t="s">
        <v>539</v>
      </c>
      <c r="X64" t="s">
        <v>549</v>
      </c>
      <c r="Y64" t="s">
        <v>274</v>
      </c>
      <c r="Z64" t="s">
        <v>3064</v>
      </c>
      <c r="AA64" t="s">
        <v>3175</v>
      </c>
      <c r="AB64" t="s">
        <v>902</v>
      </c>
      <c r="AC64" t="s">
        <v>904</v>
      </c>
      <c r="AF64" t="s">
        <v>923</v>
      </c>
      <c r="AI64">
        <v>30.25</v>
      </c>
      <c r="AJ64" t="s">
        <v>558</v>
      </c>
      <c r="AK64" t="s">
        <v>3258</v>
      </c>
      <c r="AL64" t="s">
        <v>274</v>
      </c>
      <c r="AM64" t="s">
        <v>973</v>
      </c>
      <c r="AN64" t="s">
        <v>486</v>
      </c>
      <c r="AT64">
        <v>3</v>
      </c>
      <c r="AU64">
        <v>2</v>
      </c>
      <c r="AV64" t="s">
        <v>273</v>
      </c>
      <c r="AY64" t="s">
        <v>273</v>
      </c>
      <c r="BB64">
        <v>0</v>
      </c>
      <c r="BC64">
        <v>0</v>
      </c>
      <c r="BD64">
        <v>0</v>
      </c>
      <c r="BE64">
        <v>0</v>
      </c>
      <c r="BF64" t="s">
        <v>1063</v>
      </c>
      <c r="BG64" t="s">
        <v>3331</v>
      </c>
      <c r="BH64">
        <v>39</v>
      </c>
      <c r="BI64" t="s">
        <v>1246</v>
      </c>
      <c r="BK64">
        <v>779713</v>
      </c>
    </row>
    <row r="65" spans="1:64">
      <c r="A65" s="1">
        <f>HYPERLINK("https://lsnyc.legalserver.org/matter/dynamic-profile/view/1904429","19-1904429")</f>
        <v>0</v>
      </c>
      <c r="B65" t="s">
        <v>2839</v>
      </c>
      <c r="C65" t="s">
        <v>2975</v>
      </c>
      <c r="D65" t="s">
        <v>257</v>
      </c>
      <c r="E65" t="s">
        <v>2981</v>
      </c>
      <c r="F65" t="s">
        <v>273</v>
      </c>
      <c r="G65" t="s">
        <v>275</v>
      </c>
      <c r="H65">
        <v>118.49</v>
      </c>
      <c r="I65" t="s">
        <v>274</v>
      </c>
      <c r="K65" t="s">
        <v>301</v>
      </c>
      <c r="P65" t="s">
        <v>492</v>
      </c>
      <c r="Q65" t="s">
        <v>501</v>
      </c>
      <c r="S65" t="s">
        <v>503</v>
      </c>
      <c r="T65" t="s">
        <v>508</v>
      </c>
      <c r="U65" t="s">
        <v>511</v>
      </c>
      <c r="V65">
        <v>10453</v>
      </c>
      <c r="W65" t="s">
        <v>543</v>
      </c>
      <c r="X65" t="s">
        <v>549</v>
      </c>
      <c r="Z65" t="s">
        <v>3046</v>
      </c>
      <c r="AA65" t="s">
        <v>3165</v>
      </c>
      <c r="AB65" t="s">
        <v>902</v>
      </c>
      <c r="AC65" t="s">
        <v>909</v>
      </c>
      <c r="AI65">
        <v>0</v>
      </c>
      <c r="AJ65" t="s">
        <v>931</v>
      </c>
      <c r="AK65" t="s">
        <v>3254</v>
      </c>
      <c r="AL65" t="s">
        <v>274</v>
      </c>
      <c r="AT65">
        <v>0</v>
      </c>
      <c r="AU65">
        <v>4</v>
      </c>
      <c r="AV65" t="s">
        <v>273</v>
      </c>
      <c r="AY65" t="s">
        <v>273</v>
      </c>
      <c r="BB65">
        <v>0</v>
      </c>
      <c r="BC65">
        <v>0</v>
      </c>
      <c r="BD65">
        <v>0</v>
      </c>
      <c r="BE65">
        <v>0</v>
      </c>
      <c r="BF65" t="s">
        <v>1063</v>
      </c>
      <c r="BG65" t="s">
        <v>3310</v>
      </c>
      <c r="BH65">
        <v>37</v>
      </c>
      <c r="BI65" t="s">
        <v>3450</v>
      </c>
      <c r="BK65">
        <v>1885732</v>
      </c>
    </row>
    <row r="66" spans="1:64">
      <c r="A66" s="1">
        <f>HYPERLINK("https://lsnyc.legalserver.org/matter/dynamic-profile/view/1904356","19-1904356")</f>
        <v>0</v>
      </c>
      <c r="B66" t="s">
        <v>2862</v>
      </c>
      <c r="C66" t="s">
        <v>2975</v>
      </c>
      <c r="D66" t="s">
        <v>255</v>
      </c>
      <c r="E66" t="s">
        <v>2977</v>
      </c>
      <c r="F66" t="s">
        <v>273</v>
      </c>
      <c r="G66" t="s">
        <v>275</v>
      </c>
      <c r="H66">
        <v>0</v>
      </c>
      <c r="I66" t="s">
        <v>274</v>
      </c>
      <c r="K66" t="s">
        <v>485</v>
      </c>
      <c r="O66" t="s">
        <v>275</v>
      </c>
      <c r="P66" t="s">
        <v>492</v>
      </c>
      <c r="Q66" t="s">
        <v>501</v>
      </c>
      <c r="S66" t="s">
        <v>503</v>
      </c>
      <c r="T66" t="s">
        <v>508</v>
      </c>
      <c r="U66" t="s">
        <v>511</v>
      </c>
      <c r="V66">
        <v>10065</v>
      </c>
      <c r="W66" t="s">
        <v>536</v>
      </c>
      <c r="X66" t="s">
        <v>549</v>
      </c>
      <c r="Y66" t="s">
        <v>275</v>
      </c>
      <c r="Z66" t="s">
        <v>3065</v>
      </c>
      <c r="AA66" t="s">
        <v>3176</v>
      </c>
      <c r="AB66" t="s">
        <v>902</v>
      </c>
      <c r="AC66" t="s">
        <v>905</v>
      </c>
      <c r="AF66" t="s">
        <v>927</v>
      </c>
      <c r="AI66">
        <v>4.5</v>
      </c>
      <c r="AJ66" t="s">
        <v>931</v>
      </c>
      <c r="AK66" t="s">
        <v>3259</v>
      </c>
      <c r="AL66" t="s">
        <v>274</v>
      </c>
      <c r="AT66">
        <v>0</v>
      </c>
      <c r="AU66">
        <v>1</v>
      </c>
      <c r="AV66" t="s">
        <v>273</v>
      </c>
      <c r="AY66" t="s">
        <v>273</v>
      </c>
      <c r="BB66">
        <v>0</v>
      </c>
      <c r="BC66">
        <v>0</v>
      </c>
      <c r="BD66">
        <v>0</v>
      </c>
      <c r="BE66">
        <v>0</v>
      </c>
      <c r="BF66" t="s">
        <v>1063</v>
      </c>
      <c r="BG66" t="s">
        <v>3332</v>
      </c>
      <c r="BH66">
        <v>34</v>
      </c>
      <c r="BI66" t="s">
        <v>1247</v>
      </c>
      <c r="BK66">
        <v>1897846</v>
      </c>
    </row>
    <row r="67" spans="1:64">
      <c r="A67" s="1">
        <f>HYPERLINK("https://lsnyc.legalserver.org/matter/dynamic-profile/view/1903820","19-1903820")</f>
        <v>0</v>
      </c>
      <c r="B67" t="s">
        <v>2863</v>
      </c>
      <c r="C67" t="s">
        <v>2975</v>
      </c>
      <c r="D67" t="s">
        <v>255</v>
      </c>
      <c r="E67" t="s">
        <v>2978</v>
      </c>
      <c r="F67" t="s">
        <v>275</v>
      </c>
      <c r="G67" t="s">
        <v>275</v>
      </c>
      <c r="H67">
        <v>0</v>
      </c>
      <c r="I67" t="s">
        <v>274</v>
      </c>
      <c r="K67" t="s">
        <v>1679</v>
      </c>
      <c r="L67" t="s">
        <v>1661</v>
      </c>
      <c r="P67" t="s">
        <v>493</v>
      </c>
      <c r="Q67" t="s">
        <v>501</v>
      </c>
      <c r="S67" t="s">
        <v>503</v>
      </c>
      <c r="T67" t="s">
        <v>507</v>
      </c>
      <c r="U67" t="s">
        <v>511</v>
      </c>
      <c r="V67">
        <v>10027</v>
      </c>
      <c r="W67" t="s">
        <v>520</v>
      </c>
      <c r="X67" t="s">
        <v>548</v>
      </c>
      <c r="Y67" t="s">
        <v>275</v>
      </c>
      <c r="Z67" t="s">
        <v>3066</v>
      </c>
      <c r="AA67" t="s">
        <v>3177</v>
      </c>
      <c r="AB67" t="s">
        <v>902</v>
      </c>
      <c r="AC67" t="s">
        <v>906</v>
      </c>
      <c r="AD67" t="s">
        <v>275</v>
      </c>
      <c r="AE67" t="s">
        <v>919</v>
      </c>
      <c r="AF67" t="s">
        <v>923</v>
      </c>
      <c r="AI67">
        <v>3.5</v>
      </c>
      <c r="AJ67" t="s">
        <v>558</v>
      </c>
      <c r="AK67" t="s">
        <v>947</v>
      </c>
      <c r="AL67" t="s">
        <v>274</v>
      </c>
      <c r="AM67" t="s">
        <v>973</v>
      </c>
      <c r="AN67" t="s">
        <v>1676</v>
      </c>
      <c r="AO67" t="s">
        <v>976</v>
      </c>
      <c r="AP67" t="s">
        <v>1662</v>
      </c>
      <c r="AQ67" t="s">
        <v>1038</v>
      </c>
      <c r="AR67" t="s">
        <v>1051</v>
      </c>
      <c r="AT67">
        <v>1</v>
      </c>
      <c r="AU67">
        <v>1</v>
      </c>
      <c r="AV67" t="s">
        <v>273</v>
      </c>
      <c r="AY67" t="s">
        <v>273</v>
      </c>
      <c r="BB67">
        <v>0</v>
      </c>
      <c r="BC67">
        <v>0</v>
      </c>
      <c r="BD67">
        <v>0</v>
      </c>
      <c r="BE67">
        <v>0</v>
      </c>
      <c r="BF67" t="s">
        <v>493</v>
      </c>
      <c r="BG67" t="s">
        <v>3333</v>
      </c>
      <c r="BH67">
        <v>52</v>
      </c>
      <c r="BI67" t="s">
        <v>1247</v>
      </c>
      <c r="BK67">
        <v>826850</v>
      </c>
    </row>
    <row r="68" spans="1:64">
      <c r="A68" s="1">
        <f>HYPERLINK("https://lsnyc.legalserver.org/matter/dynamic-profile/view/1903724","19-1903724")</f>
        <v>0</v>
      </c>
      <c r="B68" t="s">
        <v>2839</v>
      </c>
      <c r="C68" t="s">
        <v>2975</v>
      </c>
      <c r="D68" t="s">
        <v>257</v>
      </c>
      <c r="E68" t="s">
        <v>2981</v>
      </c>
      <c r="F68" t="s">
        <v>273</v>
      </c>
      <c r="G68" t="s">
        <v>275</v>
      </c>
      <c r="H68">
        <v>118.49</v>
      </c>
      <c r="I68" t="s">
        <v>274</v>
      </c>
      <c r="K68" t="s">
        <v>1680</v>
      </c>
      <c r="P68" t="s">
        <v>492</v>
      </c>
      <c r="Q68" t="s">
        <v>501</v>
      </c>
      <c r="S68" t="s">
        <v>503</v>
      </c>
      <c r="T68" t="s">
        <v>508</v>
      </c>
      <c r="U68" t="s">
        <v>511</v>
      </c>
      <c r="V68">
        <v>10453</v>
      </c>
      <c r="W68" t="s">
        <v>531</v>
      </c>
      <c r="X68" t="s">
        <v>548</v>
      </c>
      <c r="Z68" t="s">
        <v>3046</v>
      </c>
      <c r="AA68" t="s">
        <v>3165</v>
      </c>
      <c r="AB68" t="s">
        <v>902</v>
      </c>
      <c r="AC68" t="s">
        <v>909</v>
      </c>
      <c r="AI68">
        <v>0</v>
      </c>
      <c r="AJ68" t="s">
        <v>931</v>
      </c>
      <c r="AK68" t="s">
        <v>3254</v>
      </c>
      <c r="AL68" t="s">
        <v>274</v>
      </c>
      <c r="AT68">
        <v>0</v>
      </c>
      <c r="AU68">
        <v>4</v>
      </c>
      <c r="AV68" t="s">
        <v>273</v>
      </c>
      <c r="AY68" t="s">
        <v>273</v>
      </c>
      <c r="BB68">
        <v>0</v>
      </c>
      <c r="BC68">
        <v>0</v>
      </c>
      <c r="BD68">
        <v>0</v>
      </c>
      <c r="BE68">
        <v>0</v>
      </c>
      <c r="BF68" t="s">
        <v>1063</v>
      </c>
      <c r="BG68" t="s">
        <v>3310</v>
      </c>
      <c r="BH68">
        <v>37</v>
      </c>
      <c r="BI68" t="s">
        <v>3450</v>
      </c>
      <c r="BK68">
        <v>1885732</v>
      </c>
    </row>
    <row r="69" spans="1:64">
      <c r="A69" s="1">
        <f>HYPERLINK("https://lsnyc.legalserver.org/matter/dynamic-profile/view/1903652","19-1903652")</f>
        <v>0</v>
      </c>
      <c r="B69" t="s">
        <v>2842</v>
      </c>
      <c r="C69" t="s">
        <v>2975</v>
      </c>
      <c r="D69" t="s">
        <v>257</v>
      </c>
      <c r="E69" t="s">
        <v>2979</v>
      </c>
      <c r="F69" t="s">
        <v>273</v>
      </c>
      <c r="G69" t="s">
        <v>275</v>
      </c>
      <c r="H69">
        <v>23.06</v>
      </c>
      <c r="I69" t="s">
        <v>274</v>
      </c>
      <c r="K69" t="s">
        <v>304</v>
      </c>
      <c r="M69" t="s">
        <v>471</v>
      </c>
      <c r="N69" t="s">
        <v>485</v>
      </c>
      <c r="P69" t="s">
        <v>492</v>
      </c>
      <c r="Q69" t="s">
        <v>502</v>
      </c>
      <c r="S69" t="s">
        <v>503</v>
      </c>
      <c r="T69" t="s">
        <v>508</v>
      </c>
      <c r="U69" t="s">
        <v>511</v>
      </c>
      <c r="V69">
        <v>10456</v>
      </c>
      <c r="W69" t="s">
        <v>519</v>
      </c>
      <c r="X69" t="s">
        <v>548</v>
      </c>
      <c r="Y69" t="s">
        <v>275</v>
      </c>
      <c r="Z69" t="s">
        <v>717</v>
      </c>
      <c r="AA69" t="s">
        <v>815</v>
      </c>
      <c r="AB69" t="s">
        <v>902</v>
      </c>
      <c r="AC69" t="s">
        <v>905</v>
      </c>
      <c r="AF69" t="s">
        <v>926</v>
      </c>
      <c r="AI69">
        <v>13.3</v>
      </c>
      <c r="AJ69" t="s">
        <v>558</v>
      </c>
      <c r="AK69" t="s">
        <v>936</v>
      </c>
      <c r="AL69" t="s">
        <v>274</v>
      </c>
      <c r="AM69" t="s">
        <v>973</v>
      </c>
      <c r="AN69" t="s">
        <v>485</v>
      </c>
      <c r="AT69">
        <v>1</v>
      </c>
      <c r="AU69">
        <v>1</v>
      </c>
      <c r="AV69" t="s">
        <v>273</v>
      </c>
      <c r="AY69" t="s">
        <v>273</v>
      </c>
      <c r="BB69">
        <v>0</v>
      </c>
      <c r="BC69">
        <v>0</v>
      </c>
      <c r="BD69">
        <v>0</v>
      </c>
      <c r="BE69">
        <v>0</v>
      </c>
      <c r="BF69" t="s">
        <v>1063</v>
      </c>
      <c r="BG69" t="s">
        <v>3313</v>
      </c>
      <c r="BH69">
        <v>5</v>
      </c>
      <c r="BI69" t="s">
        <v>3445</v>
      </c>
      <c r="BK69">
        <v>1861984</v>
      </c>
    </row>
    <row r="70" spans="1:64">
      <c r="A70" s="1">
        <f>HYPERLINK("https://lsnyc.legalserver.org/matter/dynamic-profile/view/1904265","19-1904265")</f>
        <v>0</v>
      </c>
      <c r="B70" t="s">
        <v>2864</v>
      </c>
      <c r="C70" t="s">
        <v>2975</v>
      </c>
      <c r="D70" t="s">
        <v>255</v>
      </c>
      <c r="E70" t="s">
        <v>2978</v>
      </c>
      <c r="F70" t="s">
        <v>273</v>
      </c>
      <c r="G70" t="s">
        <v>275</v>
      </c>
      <c r="H70">
        <v>0</v>
      </c>
      <c r="I70" t="s">
        <v>274</v>
      </c>
      <c r="K70" t="s">
        <v>304</v>
      </c>
      <c r="P70" t="s">
        <v>492</v>
      </c>
      <c r="Q70" t="s">
        <v>502</v>
      </c>
      <c r="S70" t="s">
        <v>503</v>
      </c>
      <c r="T70" t="s">
        <v>507</v>
      </c>
      <c r="U70" t="s">
        <v>511</v>
      </c>
      <c r="V70">
        <v>10033</v>
      </c>
      <c r="W70" t="s">
        <v>518</v>
      </c>
      <c r="X70" t="s">
        <v>548</v>
      </c>
      <c r="Y70" t="s">
        <v>275</v>
      </c>
      <c r="Z70" t="s">
        <v>3067</v>
      </c>
      <c r="AA70" t="s">
        <v>3178</v>
      </c>
      <c r="AB70" t="s">
        <v>902</v>
      </c>
      <c r="AC70" t="s">
        <v>905</v>
      </c>
      <c r="AF70" t="s">
        <v>926</v>
      </c>
      <c r="AI70">
        <v>18.6</v>
      </c>
      <c r="AJ70" t="s">
        <v>558</v>
      </c>
      <c r="AK70" t="s">
        <v>934</v>
      </c>
      <c r="AL70" t="s">
        <v>274</v>
      </c>
      <c r="AT70">
        <v>1</v>
      </c>
      <c r="AU70">
        <v>0</v>
      </c>
      <c r="AV70" t="s">
        <v>273</v>
      </c>
      <c r="AY70" t="s">
        <v>273</v>
      </c>
      <c r="BB70">
        <v>0</v>
      </c>
      <c r="BC70">
        <v>0</v>
      </c>
      <c r="BD70">
        <v>0</v>
      </c>
      <c r="BE70">
        <v>0</v>
      </c>
      <c r="BF70" t="s">
        <v>1063</v>
      </c>
      <c r="BG70" t="s">
        <v>3334</v>
      </c>
      <c r="BH70">
        <v>16</v>
      </c>
      <c r="BI70" t="s">
        <v>1247</v>
      </c>
      <c r="BK70">
        <v>1904920</v>
      </c>
    </row>
    <row r="71" spans="1:64">
      <c r="A71" s="1">
        <f>HYPERLINK("https://lsnyc.legalserver.org/matter/dynamic-profile/view/1904269","19-1904269")</f>
        <v>0</v>
      </c>
      <c r="B71" t="s">
        <v>2864</v>
      </c>
      <c r="C71" t="s">
        <v>2975</v>
      </c>
      <c r="D71" t="s">
        <v>255</v>
      </c>
      <c r="E71" t="s">
        <v>2978</v>
      </c>
      <c r="F71" t="s">
        <v>273</v>
      </c>
      <c r="G71" t="s">
        <v>275</v>
      </c>
      <c r="H71">
        <v>0</v>
      </c>
      <c r="I71" t="s">
        <v>274</v>
      </c>
      <c r="K71" t="s">
        <v>304</v>
      </c>
      <c r="P71" t="s">
        <v>492</v>
      </c>
      <c r="Q71" t="s">
        <v>502</v>
      </c>
      <c r="S71" t="s">
        <v>503</v>
      </c>
      <c r="T71" t="s">
        <v>507</v>
      </c>
      <c r="U71" t="s">
        <v>511</v>
      </c>
      <c r="V71">
        <v>10033</v>
      </c>
      <c r="W71" t="s">
        <v>519</v>
      </c>
      <c r="X71" t="s">
        <v>548</v>
      </c>
      <c r="Y71" t="s">
        <v>275</v>
      </c>
      <c r="Z71" t="s">
        <v>3067</v>
      </c>
      <c r="AA71" t="s">
        <v>3178</v>
      </c>
      <c r="AB71" t="s">
        <v>902</v>
      </c>
      <c r="AC71" t="s">
        <v>905</v>
      </c>
      <c r="AF71" t="s">
        <v>926</v>
      </c>
      <c r="AI71">
        <v>0.75</v>
      </c>
      <c r="AJ71" t="s">
        <v>558</v>
      </c>
      <c r="AK71" t="s">
        <v>934</v>
      </c>
      <c r="AL71" t="s">
        <v>274</v>
      </c>
      <c r="AT71">
        <v>1</v>
      </c>
      <c r="AU71">
        <v>0</v>
      </c>
      <c r="AV71" t="s">
        <v>273</v>
      </c>
      <c r="AY71" t="s">
        <v>273</v>
      </c>
      <c r="BB71">
        <v>0</v>
      </c>
      <c r="BC71">
        <v>0</v>
      </c>
      <c r="BD71">
        <v>0</v>
      </c>
      <c r="BE71">
        <v>0</v>
      </c>
      <c r="BF71" t="s">
        <v>1063</v>
      </c>
      <c r="BG71" t="s">
        <v>3334</v>
      </c>
      <c r="BH71">
        <v>16</v>
      </c>
      <c r="BI71" t="s">
        <v>1247</v>
      </c>
      <c r="BK71">
        <v>1904920</v>
      </c>
    </row>
    <row r="72" spans="1:64">
      <c r="A72" s="1">
        <f>HYPERLINK("https://lsnyc.legalserver.org/matter/dynamic-profile/view/1904285","19-1904285")</f>
        <v>0</v>
      </c>
      <c r="B72" t="s">
        <v>2864</v>
      </c>
      <c r="C72" t="s">
        <v>2975</v>
      </c>
      <c r="D72" t="s">
        <v>255</v>
      </c>
      <c r="E72" t="s">
        <v>2978</v>
      </c>
      <c r="F72" t="s">
        <v>273</v>
      </c>
      <c r="G72" t="s">
        <v>275</v>
      </c>
      <c r="H72">
        <v>0</v>
      </c>
      <c r="I72" t="s">
        <v>274</v>
      </c>
      <c r="K72" t="s">
        <v>304</v>
      </c>
      <c r="M72" t="s">
        <v>472</v>
      </c>
      <c r="N72" t="s">
        <v>1664</v>
      </c>
      <c r="P72" t="s">
        <v>492</v>
      </c>
      <c r="Q72" t="s">
        <v>502</v>
      </c>
      <c r="S72" t="s">
        <v>504</v>
      </c>
      <c r="T72" t="s">
        <v>507</v>
      </c>
      <c r="U72" t="s">
        <v>512</v>
      </c>
      <c r="V72">
        <v>10033</v>
      </c>
      <c r="X72" t="s">
        <v>548</v>
      </c>
      <c r="Y72" t="s">
        <v>275</v>
      </c>
      <c r="Z72" t="s">
        <v>3067</v>
      </c>
      <c r="AA72" t="s">
        <v>3178</v>
      </c>
      <c r="AB72" t="s">
        <v>902</v>
      </c>
      <c r="AC72" t="s">
        <v>905</v>
      </c>
      <c r="AF72" t="s">
        <v>926</v>
      </c>
      <c r="AI72">
        <v>12.5</v>
      </c>
      <c r="AK72" t="s">
        <v>934</v>
      </c>
      <c r="AL72" t="s">
        <v>274</v>
      </c>
      <c r="AT72">
        <v>1</v>
      </c>
      <c r="AU72">
        <v>0</v>
      </c>
      <c r="AV72" t="s">
        <v>273</v>
      </c>
      <c r="AY72" t="s">
        <v>273</v>
      </c>
      <c r="BB72">
        <v>0</v>
      </c>
      <c r="BC72">
        <v>0</v>
      </c>
      <c r="BD72">
        <v>0</v>
      </c>
      <c r="BE72">
        <v>0</v>
      </c>
      <c r="BF72" t="s">
        <v>1063</v>
      </c>
      <c r="BG72" t="s">
        <v>3334</v>
      </c>
      <c r="BH72">
        <v>16</v>
      </c>
      <c r="BI72" t="s">
        <v>1247</v>
      </c>
      <c r="BK72">
        <v>1904920</v>
      </c>
    </row>
    <row r="73" spans="1:64">
      <c r="A73" s="1">
        <f>HYPERLINK("https://lsnyc.legalserver.org/matter/dynamic-profile/view/1904296","19-1904296")</f>
        <v>0</v>
      </c>
      <c r="B73" t="s">
        <v>2865</v>
      </c>
      <c r="C73" t="s">
        <v>2975</v>
      </c>
      <c r="D73" t="s">
        <v>255</v>
      </c>
      <c r="E73" t="s">
        <v>2978</v>
      </c>
      <c r="F73" t="s">
        <v>273</v>
      </c>
      <c r="G73" t="s">
        <v>275</v>
      </c>
      <c r="H73">
        <v>62.45</v>
      </c>
      <c r="I73" t="s">
        <v>274</v>
      </c>
      <c r="K73" t="s">
        <v>304</v>
      </c>
      <c r="P73" t="s">
        <v>492</v>
      </c>
      <c r="Q73" t="s">
        <v>502</v>
      </c>
      <c r="S73" t="s">
        <v>504</v>
      </c>
      <c r="T73" t="s">
        <v>507</v>
      </c>
      <c r="U73" t="s">
        <v>512</v>
      </c>
      <c r="V73">
        <v>10039</v>
      </c>
      <c r="X73" t="s">
        <v>557</v>
      </c>
      <c r="Y73" t="s">
        <v>275</v>
      </c>
      <c r="Z73" t="s">
        <v>3068</v>
      </c>
      <c r="AA73" t="s">
        <v>3179</v>
      </c>
      <c r="AB73" t="s">
        <v>902</v>
      </c>
      <c r="AC73" t="s">
        <v>905</v>
      </c>
      <c r="AF73" t="s">
        <v>926</v>
      </c>
      <c r="AI73">
        <v>0.75</v>
      </c>
      <c r="AK73" t="s">
        <v>967</v>
      </c>
      <c r="AL73" t="s">
        <v>274</v>
      </c>
      <c r="AT73">
        <v>0</v>
      </c>
      <c r="AU73">
        <v>1</v>
      </c>
      <c r="AV73" t="s">
        <v>273</v>
      </c>
      <c r="AY73" t="s">
        <v>273</v>
      </c>
      <c r="BB73">
        <v>0</v>
      </c>
      <c r="BC73">
        <v>0</v>
      </c>
      <c r="BD73">
        <v>0</v>
      </c>
      <c r="BE73">
        <v>0</v>
      </c>
      <c r="BF73" t="s">
        <v>1063</v>
      </c>
      <c r="BG73" t="s">
        <v>3335</v>
      </c>
      <c r="BH73">
        <v>19</v>
      </c>
      <c r="BI73" t="s">
        <v>2771</v>
      </c>
      <c r="BK73">
        <v>1870840</v>
      </c>
    </row>
    <row r="74" spans="1:64">
      <c r="A74" s="1">
        <f>HYPERLINK("https://lsnyc.legalserver.org/matter/dynamic-profile/view/1904320","19-1904320")</f>
        <v>0</v>
      </c>
      <c r="B74" t="s">
        <v>2866</v>
      </c>
      <c r="C74" t="s">
        <v>2975</v>
      </c>
      <c r="D74" t="s">
        <v>257</v>
      </c>
      <c r="E74" t="s">
        <v>2978</v>
      </c>
      <c r="F74" t="s">
        <v>273</v>
      </c>
      <c r="G74" t="s">
        <v>275</v>
      </c>
      <c r="H74">
        <v>94.13</v>
      </c>
      <c r="I74" t="s">
        <v>274</v>
      </c>
      <c r="K74" t="s">
        <v>304</v>
      </c>
      <c r="P74" t="s">
        <v>492</v>
      </c>
      <c r="Q74" t="s">
        <v>502</v>
      </c>
      <c r="S74" t="s">
        <v>503</v>
      </c>
      <c r="T74" t="s">
        <v>508</v>
      </c>
      <c r="U74" t="s">
        <v>511</v>
      </c>
      <c r="V74">
        <v>10458</v>
      </c>
      <c r="W74" t="s">
        <v>518</v>
      </c>
      <c r="X74" t="s">
        <v>548</v>
      </c>
      <c r="Y74" t="s">
        <v>275</v>
      </c>
      <c r="Z74" t="s">
        <v>3069</v>
      </c>
      <c r="AA74" t="s">
        <v>3180</v>
      </c>
      <c r="AB74" t="s">
        <v>902</v>
      </c>
      <c r="AC74" t="s">
        <v>906</v>
      </c>
      <c r="AF74" t="s">
        <v>926</v>
      </c>
      <c r="AI74">
        <v>2</v>
      </c>
      <c r="AJ74" t="s">
        <v>558</v>
      </c>
      <c r="AK74" t="s">
        <v>934</v>
      </c>
      <c r="AL74" t="s">
        <v>274</v>
      </c>
      <c r="AT74">
        <v>2</v>
      </c>
      <c r="AU74">
        <v>3</v>
      </c>
      <c r="AV74" t="s">
        <v>273</v>
      </c>
      <c r="AY74" t="s">
        <v>273</v>
      </c>
      <c r="BB74">
        <v>0</v>
      </c>
      <c r="BC74">
        <v>0</v>
      </c>
      <c r="BD74">
        <v>0</v>
      </c>
      <c r="BE74">
        <v>0</v>
      </c>
      <c r="BF74" t="s">
        <v>1063</v>
      </c>
      <c r="BG74" t="s">
        <v>3336</v>
      </c>
      <c r="BH74">
        <v>18</v>
      </c>
      <c r="BI74" t="s">
        <v>3451</v>
      </c>
      <c r="BK74">
        <v>1904975</v>
      </c>
    </row>
    <row r="75" spans="1:64">
      <c r="A75" s="1">
        <f>HYPERLINK("https://lsnyc.legalserver.org/matter/dynamic-profile/view/1904323","19-1904323")</f>
        <v>0</v>
      </c>
      <c r="B75" t="s">
        <v>2866</v>
      </c>
      <c r="C75" t="s">
        <v>2975</v>
      </c>
      <c r="D75" t="s">
        <v>257</v>
      </c>
      <c r="E75" t="s">
        <v>2978</v>
      </c>
      <c r="F75" t="s">
        <v>273</v>
      </c>
      <c r="G75" t="s">
        <v>275</v>
      </c>
      <c r="H75">
        <v>94.13</v>
      </c>
      <c r="I75" t="s">
        <v>274</v>
      </c>
      <c r="K75" t="s">
        <v>304</v>
      </c>
      <c r="P75" t="s">
        <v>492</v>
      </c>
      <c r="Q75" t="s">
        <v>502</v>
      </c>
      <c r="S75" t="s">
        <v>503</v>
      </c>
      <c r="T75" t="s">
        <v>508</v>
      </c>
      <c r="U75" t="s">
        <v>511</v>
      </c>
      <c r="V75">
        <v>10458</v>
      </c>
      <c r="W75" t="s">
        <v>519</v>
      </c>
      <c r="X75" t="s">
        <v>548</v>
      </c>
      <c r="Y75" t="s">
        <v>275</v>
      </c>
      <c r="Z75" t="s">
        <v>3069</v>
      </c>
      <c r="AA75" t="s">
        <v>3180</v>
      </c>
      <c r="AB75" t="s">
        <v>902</v>
      </c>
      <c r="AC75" t="s">
        <v>906</v>
      </c>
      <c r="AF75" t="s">
        <v>926</v>
      </c>
      <c r="AI75">
        <v>0.75</v>
      </c>
      <c r="AJ75" t="s">
        <v>558</v>
      </c>
      <c r="AK75" t="s">
        <v>934</v>
      </c>
      <c r="AL75" t="s">
        <v>274</v>
      </c>
      <c r="AT75">
        <v>2</v>
      </c>
      <c r="AU75">
        <v>3</v>
      </c>
      <c r="AV75" t="s">
        <v>273</v>
      </c>
      <c r="AY75" t="s">
        <v>273</v>
      </c>
      <c r="BB75">
        <v>0</v>
      </c>
      <c r="BC75">
        <v>0</v>
      </c>
      <c r="BD75">
        <v>0</v>
      </c>
      <c r="BE75">
        <v>0</v>
      </c>
      <c r="BF75" t="s">
        <v>1063</v>
      </c>
      <c r="BG75" t="s">
        <v>3336</v>
      </c>
      <c r="BH75">
        <v>18</v>
      </c>
      <c r="BI75" t="s">
        <v>3451</v>
      </c>
      <c r="BK75">
        <v>1904975</v>
      </c>
    </row>
    <row r="76" spans="1:64">
      <c r="A76" s="1">
        <f>HYPERLINK("https://lsnyc.legalserver.org/matter/dynamic-profile/view/1904336","19-1904336")</f>
        <v>0</v>
      </c>
      <c r="B76" t="s">
        <v>2866</v>
      </c>
      <c r="C76" t="s">
        <v>2975</v>
      </c>
      <c r="D76" t="s">
        <v>257</v>
      </c>
      <c r="E76" t="s">
        <v>2978</v>
      </c>
      <c r="F76" t="s">
        <v>273</v>
      </c>
      <c r="G76" t="s">
        <v>275</v>
      </c>
      <c r="H76">
        <v>94.13</v>
      </c>
      <c r="I76" t="s">
        <v>274</v>
      </c>
      <c r="K76" t="s">
        <v>304</v>
      </c>
      <c r="P76" t="s">
        <v>492</v>
      </c>
      <c r="Q76" t="s">
        <v>502</v>
      </c>
      <c r="S76" t="s">
        <v>504</v>
      </c>
      <c r="T76" t="s">
        <v>508</v>
      </c>
      <c r="U76" t="s">
        <v>512</v>
      </c>
      <c r="V76">
        <v>10458</v>
      </c>
      <c r="X76" t="s">
        <v>548</v>
      </c>
      <c r="Y76" t="s">
        <v>275</v>
      </c>
      <c r="Z76" t="s">
        <v>3069</v>
      </c>
      <c r="AA76" t="s">
        <v>3180</v>
      </c>
      <c r="AB76" t="s">
        <v>902</v>
      </c>
      <c r="AC76" t="s">
        <v>906</v>
      </c>
      <c r="AF76" t="s">
        <v>926</v>
      </c>
      <c r="AI76">
        <v>0.75</v>
      </c>
      <c r="AK76" t="s">
        <v>934</v>
      </c>
      <c r="AL76" t="s">
        <v>274</v>
      </c>
      <c r="AT76">
        <v>2</v>
      </c>
      <c r="AU76">
        <v>3</v>
      </c>
      <c r="AV76" t="s">
        <v>273</v>
      </c>
      <c r="AY76" t="s">
        <v>273</v>
      </c>
      <c r="BB76">
        <v>0</v>
      </c>
      <c r="BC76">
        <v>0</v>
      </c>
      <c r="BD76">
        <v>0</v>
      </c>
      <c r="BE76">
        <v>0</v>
      </c>
      <c r="BF76" t="s">
        <v>1063</v>
      </c>
      <c r="BG76" t="s">
        <v>3336</v>
      </c>
      <c r="BH76">
        <v>18</v>
      </c>
      <c r="BI76" t="s">
        <v>3451</v>
      </c>
      <c r="BK76">
        <v>1904975</v>
      </c>
    </row>
    <row r="77" spans="1:64">
      <c r="A77" s="1">
        <f>HYPERLINK("https://lsnyc.legalserver.org/matter/dynamic-profile/view/1904349","19-1904349")</f>
        <v>0</v>
      </c>
      <c r="B77" t="s">
        <v>2867</v>
      </c>
      <c r="C77" t="s">
        <v>2975</v>
      </c>
      <c r="D77" t="s">
        <v>257</v>
      </c>
      <c r="E77" t="s">
        <v>2978</v>
      </c>
      <c r="F77" t="s">
        <v>273</v>
      </c>
      <c r="G77" t="s">
        <v>275</v>
      </c>
      <c r="H77">
        <v>94.13</v>
      </c>
      <c r="I77" t="s">
        <v>274</v>
      </c>
      <c r="K77" t="s">
        <v>304</v>
      </c>
      <c r="P77" t="s">
        <v>492</v>
      </c>
      <c r="Q77" t="s">
        <v>502</v>
      </c>
      <c r="S77" t="s">
        <v>503</v>
      </c>
      <c r="T77" t="s">
        <v>507</v>
      </c>
      <c r="U77" t="s">
        <v>511</v>
      </c>
      <c r="V77">
        <v>10458</v>
      </c>
      <c r="W77" t="s">
        <v>518</v>
      </c>
      <c r="X77" t="s">
        <v>548</v>
      </c>
      <c r="Y77" t="s">
        <v>275</v>
      </c>
      <c r="Z77" t="s">
        <v>3070</v>
      </c>
      <c r="AA77" t="s">
        <v>3181</v>
      </c>
      <c r="AB77" t="s">
        <v>902</v>
      </c>
      <c r="AC77" t="s">
        <v>905</v>
      </c>
      <c r="AF77" t="s">
        <v>926</v>
      </c>
      <c r="AI77">
        <v>0.75</v>
      </c>
      <c r="AJ77" t="s">
        <v>558</v>
      </c>
      <c r="AK77" t="s">
        <v>934</v>
      </c>
      <c r="AL77" t="s">
        <v>274</v>
      </c>
      <c r="AT77">
        <v>3</v>
      </c>
      <c r="AU77">
        <v>2</v>
      </c>
      <c r="AV77" t="s">
        <v>273</v>
      </c>
      <c r="AY77" t="s">
        <v>273</v>
      </c>
      <c r="BB77">
        <v>0</v>
      </c>
      <c r="BC77">
        <v>0</v>
      </c>
      <c r="BD77">
        <v>0</v>
      </c>
      <c r="BE77">
        <v>0</v>
      </c>
      <c r="BF77" t="s">
        <v>1063</v>
      </c>
      <c r="BG77" t="s">
        <v>3337</v>
      </c>
      <c r="BH77">
        <v>15</v>
      </c>
      <c r="BI77" t="s">
        <v>3451</v>
      </c>
      <c r="BK77">
        <v>1905004</v>
      </c>
    </row>
    <row r="78" spans="1:64">
      <c r="A78" s="1">
        <f>HYPERLINK("https://lsnyc.legalserver.org/matter/dynamic-profile/view/1904352","19-1904352")</f>
        <v>0</v>
      </c>
      <c r="B78" t="s">
        <v>2867</v>
      </c>
      <c r="C78" t="s">
        <v>2975</v>
      </c>
      <c r="D78" t="s">
        <v>257</v>
      </c>
      <c r="E78" t="s">
        <v>2978</v>
      </c>
      <c r="F78" t="s">
        <v>273</v>
      </c>
      <c r="G78" t="s">
        <v>275</v>
      </c>
      <c r="H78">
        <v>94.13</v>
      </c>
      <c r="I78" t="s">
        <v>274</v>
      </c>
      <c r="K78" t="s">
        <v>304</v>
      </c>
      <c r="P78" t="s">
        <v>492</v>
      </c>
      <c r="Q78" t="s">
        <v>502</v>
      </c>
      <c r="S78" t="s">
        <v>503</v>
      </c>
      <c r="T78" t="s">
        <v>507</v>
      </c>
      <c r="U78" t="s">
        <v>511</v>
      </c>
      <c r="V78">
        <v>10458</v>
      </c>
      <c r="W78" t="s">
        <v>519</v>
      </c>
      <c r="X78" t="s">
        <v>548</v>
      </c>
      <c r="Y78" t="s">
        <v>275</v>
      </c>
      <c r="Z78" t="s">
        <v>3070</v>
      </c>
      <c r="AA78" t="s">
        <v>3181</v>
      </c>
      <c r="AB78" t="s">
        <v>902</v>
      </c>
      <c r="AC78" t="s">
        <v>905</v>
      </c>
      <c r="AF78" t="s">
        <v>926</v>
      </c>
      <c r="AI78">
        <v>0.75</v>
      </c>
      <c r="AJ78" t="s">
        <v>558</v>
      </c>
      <c r="AK78" t="s">
        <v>934</v>
      </c>
      <c r="AL78" t="s">
        <v>274</v>
      </c>
      <c r="AT78">
        <v>3</v>
      </c>
      <c r="AU78">
        <v>2</v>
      </c>
      <c r="AV78" t="s">
        <v>273</v>
      </c>
      <c r="AY78" t="s">
        <v>273</v>
      </c>
      <c r="BB78">
        <v>0</v>
      </c>
      <c r="BC78">
        <v>0</v>
      </c>
      <c r="BD78">
        <v>0</v>
      </c>
      <c r="BE78">
        <v>0</v>
      </c>
      <c r="BF78" t="s">
        <v>1063</v>
      </c>
      <c r="BG78" t="s">
        <v>3337</v>
      </c>
      <c r="BH78">
        <v>15</v>
      </c>
      <c r="BI78" t="s">
        <v>3451</v>
      </c>
      <c r="BK78">
        <v>1905004</v>
      </c>
    </row>
    <row r="79" spans="1:64">
      <c r="A79" s="1">
        <f>HYPERLINK("https://lsnyc.legalserver.org/matter/dynamic-profile/view/1904353","19-1904353")</f>
        <v>0</v>
      </c>
      <c r="B79" t="s">
        <v>2867</v>
      </c>
      <c r="C79" t="s">
        <v>2975</v>
      </c>
      <c r="D79" t="s">
        <v>257</v>
      </c>
      <c r="E79" t="s">
        <v>2978</v>
      </c>
      <c r="F79" t="s">
        <v>273</v>
      </c>
      <c r="G79" t="s">
        <v>275</v>
      </c>
      <c r="H79">
        <v>94.13</v>
      </c>
      <c r="I79" t="s">
        <v>274</v>
      </c>
      <c r="K79" t="s">
        <v>304</v>
      </c>
      <c r="P79" t="s">
        <v>492</v>
      </c>
      <c r="Q79" t="s">
        <v>502</v>
      </c>
      <c r="S79" t="s">
        <v>504</v>
      </c>
      <c r="T79" t="s">
        <v>507</v>
      </c>
      <c r="U79" t="s">
        <v>512</v>
      </c>
      <c r="V79">
        <v>10458</v>
      </c>
      <c r="X79" t="s">
        <v>548</v>
      </c>
      <c r="Y79" t="s">
        <v>275</v>
      </c>
      <c r="Z79" t="s">
        <v>3070</v>
      </c>
      <c r="AA79" t="s">
        <v>3181</v>
      </c>
      <c r="AB79" t="s">
        <v>902</v>
      </c>
      <c r="AC79" t="s">
        <v>905</v>
      </c>
      <c r="AF79" t="s">
        <v>926</v>
      </c>
      <c r="AI79">
        <v>0.75</v>
      </c>
      <c r="AK79" t="s">
        <v>934</v>
      </c>
      <c r="AL79" t="s">
        <v>274</v>
      </c>
      <c r="AT79">
        <v>3</v>
      </c>
      <c r="AU79">
        <v>2</v>
      </c>
      <c r="AV79" t="s">
        <v>273</v>
      </c>
      <c r="AY79" t="s">
        <v>273</v>
      </c>
      <c r="BB79">
        <v>0</v>
      </c>
      <c r="BC79">
        <v>0</v>
      </c>
      <c r="BD79">
        <v>0</v>
      </c>
      <c r="BE79">
        <v>0</v>
      </c>
      <c r="BF79" t="s">
        <v>1063</v>
      </c>
      <c r="BG79" t="s">
        <v>3337</v>
      </c>
      <c r="BH79">
        <v>15</v>
      </c>
      <c r="BI79" t="s">
        <v>3451</v>
      </c>
      <c r="BK79">
        <v>1905004</v>
      </c>
    </row>
    <row r="80" spans="1:64">
      <c r="A80" s="1">
        <f>HYPERLINK("https://lsnyc.legalserver.org/matter/dynamic-profile/view/1903443","19-1903443")</f>
        <v>0</v>
      </c>
      <c r="B80" t="s">
        <v>2868</v>
      </c>
      <c r="C80" t="s">
        <v>2975</v>
      </c>
      <c r="D80" t="s">
        <v>255</v>
      </c>
      <c r="E80" t="s">
        <v>2979</v>
      </c>
      <c r="F80" t="s">
        <v>275</v>
      </c>
      <c r="G80" t="s">
        <v>275</v>
      </c>
      <c r="H80">
        <v>0</v>
      </c>
      <c r="I80" t="s">
        <v>274</v>
      </c>
      <c r="K80" t="s">
        <v>1681</v>
      </c>
      <c r="L80" t="s">
        <v>1660</v>
      </c>
      <c r="P80" t="s">
        <v>493</v>
      </c>
      <c r="Q80" t="s">
        <v>501</v>
      </c>
      <c r="S80" t="s">
        <v>503</v>
      </c>
      <c r="T80" t="s">
        <v>508</v>
      </c>
      <c r="U80" t="s">
        <v>511</v>
      </c>
      <c r="V80">
        <v>10016</v>
      </c>
      <c r="W80" t="s">
        <v>544</v>
      </c>
      <c r="X80" t="s">
        <v>548</v>
      </c>
      <c r="Y80" t="s">
        <v>275</v>
      </c>
      <c r="Z80" t="s">
        <v>3071</v>
      </c>
      <c r="AA80" t="s">
        <v>3182</v>
      </c>
      <c r="AB80" t="s">
        <v>902</v>
      </c>
      <c r="AC80" t="s">
        <v>904</v>
      </c>
      <c r="AD80" t="s">
        <v>275</v>
      </c>
      <c r="AE80" t="s">
        <v>918</v>
      </c>
      <c r="AF80" t="s">
        <v>923</v>
      </c>
      <c r="AI80">
        <v>2.25</v>
      </c>
      <c r="AK80" t="s">
        <v>966</v>
      </c>
      <c r="AL80" t="s">
        <v>274</v>
      </c>
      <c r="AM80" t="s">
        <v>973</v>
      </c>
      <c r="AN80" t="s">
        <v>1812</v>
      </c>
      <c r="AO80" t="s">
        <v>978</v>
      </c>
      <c r="AP80" t="s">
        <v>1663</v>
      </c>
      <c r="AQ80" t="s">
        <v>1037</v>
      </c>
      <c r="AR80" t="s">
        <v>1051</v>
      </c>
      <c r="AT80">
        <v>0</v>
      </c>
      <c r="AU80">
        <v>1</v>
      </c>
      <c r="AV80" t="s">
        <v>273</v>
      </c>
      <c r="AY80" t="s">
        <v>273</v>
      </c>
      <c r="BB80">
        <v>0</v>
      </c>
      <c r="BC80">
        <v>0</v>
      </c>
      <c r="BD80">
        <v>455</v>
      </c>
      <c r="BE80">
        <v>0</v>
      </c>
      <c r="BF80" t="s">
        <v>493</v>
      </c>
      <c r="BG80" t="s">
        <v>3338</v>
      </c>
      <c r="BH80">
        <v>57</v>
      </c>
      <c r="BI80" t="s">
        <v>1247</v>
      </c>
      <c r="BK80">
        <v>1904094</v>
      </c>
      <c r="BL80" t="s">
        <v>275</v>
      </c>
    </row>
    <row r="81" spans="1:64">
      <c r="A81" s="1">
        <f>HYPERLINK("https://lsnyc.legalserver.org/matter/dynamic-profile/view/1903439","19-1903439")</f>
        <v>0</v>
      </c>
      <c r="B81" t="s">
        <v>2868</v>
      </c>
      <c r="C81" t="s">
        <v>2975</v>
      </c>
      <c r="D81" t="s">
        <v>255</v>
      </c>
      <c r="E81" t="s">
        <v>2979</v>
      </c>
      <c r="F81" t="s">
        <v>273</v>
      </c>
      <c r="G81" t="s">
        <v>275</v>
      </c>
      <c r="H81">
        <v>0</v>
      </c>
      <c r="I81" t="s">
        <v>274</v>
      </c>
      <c r="K81" t="s">
        <v>1681</v>
      </c>
      <c r="P81" t="s">
        <v>492</v>
      </c>
      <c r="Q81" t="s">
        <v>501</v>
      </c>
      <c r="S81" t="s">
        <v>503</v>
      </c>
      <c r="T81" t="s">
        <v>508</v>
      </c>
      <c r="U81" t="s">
        <v>511</v>
      </c>
      <c r="V81">
        <v>10016</v>
      </c>
      <c r="W81" t="s">
        <v>525</v>
      </c>
      <c r="X81" t="s">
        <v>548</v>
      </c>
      <c r="Z81" t="s">
        <v>3071</v>
      </c>
      <c r="AA81" t="s">
        <v>3182</v>
      </c>
      <c r="AB81" t="s">
        <v>902</v>
      </c>
      <c r="AC81" t="s">
        <v>904</v>
      </c>
      <c r="AF81" t="s">
        <v>923</v>
      </c>
      <c r="AI81">
        <v>7</v>
      </c>
      <c r="AJ81" t="s">
        <v>558</v>
      </c>
      <c r="AK81" t="s">
        <v>966</v>
      </c>
      <c r="AL81" t="s">
        <v>274</v>
      </c>
      <c r="AM81" t="s">
        <v>973</v>
      </c>
      <c r="AN81" t="s">
        <v>1812</v>
      </c>
      <c r="AT81">
        <v>0</v>
      </c>
      <c r="AU81">
        <v>1</v>
      </c>
      <c r="AV81" t="s">
        <v>273</v>
      </c>
      <c r="AY81" t="s">
        <v>273</v>
      </c>
      <c r="BB81">
        <v>0</v>
      </c>
      <c r="BC81">
        <v>0</v>
      </c>
      <c r="BD81">
        <v>0</v>
      </c>
      <c r="BE81">
        <v>0</v>
      </c>
      <c r="BF81" t="s">
        <v>1063</v>
      </c>
      <c r="BG81" t="s">
        <v>3338</v>
      </c>
      <c r="BH81">
        <v>57</v>
      </c>
      <c r="BI81" t="s">
        <v>1247</v>
      </c>
      <c r="BK81">
        <v>1904094</v>
      </c>
    </row>
    <row r="82" spans="1:64">
      <c r="A82" s="1">
        <f>HYPERLINK("https://lsnyc.legalserver.org/matter/dynamic-profile/view/1903180","19-1903180")</f>
        <v>0</v>
      </c>
      <c r="B82" t="s">
        <v>2862</v>
      </c>
      <c r="C82" t="s">
        <v>2975</v>
      </c>
      <c r="D82" t="s">
        <v>255</v>
      </c>
      <c r="E82" t="s">
        <v>2977</v>
      </c>
      <c r="F82" t="s">
        <v>273</v>
      </c>
      <c r="G82" t="s">
        <v>275</v>
      </c>
      <c r="H82">
        <v>0</v>
      </c>
      <c r="I82" t="s">
        <v>274</v>
      </c>
      <c r="K82" t="s">
        <v>2386</v>
      </c>
      <c r="O82" t="s">
        <v>275</v>
      </c>
      <c r="P82" t="s">
        <v>492</v>
      </c>
      <c r="Q82" t="s">
        <v>501</v>
      </c>
      <c r="S82" t="s">
        <v>503</v>
      </c>
      <c r="T82" t="s">
        <v>508</v>
      </c>
      <c r="U82" t="s">
        <v>511</v>
      </c>
      <c r="V82">
        <v>10065</v>
      </c>
      <c r="W82" t="s">
        <v>522</v>
      </c>
      <c r="X82" t="s">
        <v>549</v>
      </c>
      <c r="Y82" t="s">
        <v>275</v>
      </c>
      <c r="Z82" t="s">
        <v>3065</v>
      </c>
      <c r="AA82" t="s">
        <v>3176</v>
      </c>
      <c r="AB82" t="s">
        <v>902</v>
      </c>
      <c r="AC82" t="s">
        <v>909</v>
      </c>
      <c r="AF82" t="s">
        <v>923</v>
      </c>
      <c r="AI82">
        <v>3.1</v>
      </c>
      <c r="AJ82" t="s">
        <v>931</v>
      </c>
      <c r="AK82" t="s">
        <v>3259</v>
      </c>
      <c r="AL82" t="s">
        <v>274</v>
      </c>
      <c r="AM82" t="s">
        <v>973</v>
      </c>
      <c r="AN82" t="s">
        <v>485</v>
      </c>
      <c r="AO82" t="s">
        <v>978</v>
      </c>
      <c r="AP82" t="s">
        <v>445</v>
      </c>
      <c r="AT82">
        <v>0</v>
      </c>
      <c r="AU82">
        <v>1</v>
      </c>
      <c r="AV82" t="s">
        <v>273</v>
      </c>
      <c r="AY82" t="s">
        <v>273</v>
      </c>
      <c r="BB82">
        <v>0</v>
      </c>
      <c r="BC82">
        <v>0</v>
      </c>
      <c r="BD82">
        <v>0</v>
      </c>
      <c r="BE82">
        <v>0</v>
      </c>
      <c r="BF82" t="s">
        <v>1063</v>
      </c>
      <c r="BG82" t="s">
        <v>3332</v>
      </c>
      <c r="BH82">
        <v>34</v>
      </c>
      <c r="BI82" t="s">
        <v>1247</v>
      </c>
      <c r="BK82">
        <v>1897846</v>
      </c>
    </row>
    <row r="83" spans="1:64">
      <c r="A83" s="1">
        <f>HYPERLINK("https://lsnyc.legalserver.org/matter/dynamic-profile/view/1901798","19-1901798")</f>
        <v>0</v>
      </c>
      <c r="B83" t="s">
        <v>2869</v>
      </c>
      <c r="C83" t="s">
        <v>2975</v>
      </c>
      <c r="D83" t="s">
        <v>257</v>
      </c>
      <c r="E83" t="s">
        <v>2981</v>
      </c>
      <c r="F83" t="s">
        <v>273</v>
      </c>
      <c r="G83" t="s">
        <v>275</v>
      </c>
      <c r="H83">
        <v>5.06</v>
      </c>
      <c r="I83" t="s">
        <v>274</v>
      </c>
      <c r="K83" t="s">
        <v>1685</v>
      </c>
      <c r="P83" t="s">
        <v>492</v>
      </c>
      <c r="Q83" t="s">
        <v>501</v>
      </c>
      <c r="S83" t="s">
        <v>503</v>
      </c>
      <c r="T83" t="s">
        <v>508</v>
      </c>
      <c r="U83" t="s">
        <v>511</v>
      </c>
      <c r="V83">
        <v>10457</v>
      </c>
      <c r="W83" t="s">
        <v>519</v>
      </c>
      <c r="X83" t="s">
        <v>548</v>
      </c>
      <c r="Z83" t="s">
        <v>3072</v>
      </c>
      <c r="AA83" t="s">
        <v>832</v>
      </c>
      <c r="AB83" t="s">
        <v>902</v>
      </c>
      <c r="AC83" t="s">
        <v>911</v>
      </c>
      <c r="AD83" t="s">
        <v>274</v>
      </c>
      <c r="AF83" t="s">
        <v>926</v>
      </c>
      <c r="AI83">
        <v>0</v>
      </c>
      <c r="AJ83" t="s">
        <v>558</v>
      </c>
      <c r="AK83" t="s">
        <v>936</v>
      </c>
      <c r="AL83" t="s">
        <v>274</v>
      </c>
      <c r="AT83">
        <v>2</v>
      </c>
      <c r="AU83">
        <v>1</v>
      </c>
      <c r="AV83" t="s">
        <v>273</v>
      </c>
      <c r="AY83" t="s">
        <v>273</v>
      </c>
      <c r="BB83">
        <v>0</v>
      </c>
      <c r="BC83">
        <v>0</v>
      </c>
      <c r="BD83">
        <v>0</v>
      </c>
      <c r="BE83">
        <v>0</v>
      </c>
      <c r="BF83" t="s">
        <v>1063</v>
      </c>
      <c r="BG83" t="s">
        <v>3339</v>
      </c>
      <c r="BH83">
        <v>29</v>
      </c>
      <c r="BI83" t="s">
        <v>3452</v>
      </c>
      <c r="BK83">
        <v>1877658</v>
      </c>
    </row>
    <row r="84" spans="1:64">
      <c r="A84" s="1">
        <f>HYPERLINK("https://lsnyc.legalserver.org/matter/dynamic-profile/view/1901803","19-1901803")</f>
        <v>0</v>
      </c>
      <c r="B84" t="s">
        <v>2870</v>
      </c>
      <c r="C84" t="s">
        <v>2975</v>
      </c>
      <c r="D84" t="s">
        <v>255</v>
      </c>
      <c r="E84" t="s">
        <v>2981</v>
      </c>
      <c r="F84" t="s">
        <v>273</v>
      </c>
      <c r="G84" t="s">
        <v>275</v>
      </c>
      <c r="H84">
        <v>5.06</v>
      </c>
      <c r="I84" t="s">
        <v>274</v>
      </c>
      <c r="K84" t="s">
        <v>1685</v>
      </c>
      <c r="P84" t="s">
        <v>492</v>
      </c>
      <c r="Q84" t="s">
        <v>502</v>
      </c>
      <c r="S84" t="s">
        <v>503</v>
      </c>
      <c r="T84" t="s">
        <v>508</v>
      </c>
      <c r="U84" t="s">
        <v>511</v>
      </c>
      <c r="V84">
        <v>10037</v>
      </c>
      <c r="W84" t="s">
        <v>518</v>
      </c>
      <c r="X84" t="s">
        <v>548</v>
      </c>
      <c r="Z84" t="s">
        <v>3073</v>
      </c>
      <c r="AA84" t="s">
        <v>3183</v>
      </c>
      <c r="AB84" t="s">
        <v>902</v>
      </c>
      <c r="AC84" t="s">
        <v>905</v>
      </c>
      <c r="AI84">
        <v>0</v>
      </c>
      <c r="AJ84" t="s">
        <v>558</v>
      </c>
      <c r="AK84" t="s">
        <v>936</v>
      </c>
      <c r="AL84" t="s">
        <v>274</v>
      </c>
      <c r="AT84">
        <v>2</v>
      </c>
      <c r="AU84">
        <v>1</v>
      </c>
      <c r="AV84" t="s">
        <v>273</v>
      </c>
      <c r="AY84" t="s">
        <v>273</v>
      </c>
      <c r="BB84">
        <v>0</v>
      </c>
      <c r="BC84">
        <v>0</v>
      </c>
      <c r="BD84">
        <v>0</v>
      </c>
      <c r="BE84">
        <v>0</v>
      </c>
      <c r="BF84" t="s">
        <v>1063</v>
      </c>
      <c r="BG84" t="s">
        <v>3340</v>
      </c>
      <c r="BH84">
        <v>5</v>
      </c>
      <c r="BI84" t="s">
        <v>3452</v>
      </c>
      <c r="BK84">
        <v>1902456</v>
      </c>
    </row>
    <row r="85" spans="1:64">
      <c r="A85" s="1">
        <f>HYPERLINK("https://lsnyc.legalserver.org/matter/dynamic-profile/view/1901805","19-1901805")</f>
        <v>0</v>
      </c>
      <c r="B85" t="s">
        <v>2870</v>
      </c>
      <c r="C85" t="s">
        <v>2975</v>
      </c>
      <c r="D85" t="s">
        <v>255</v>
      </c>
      <c r="E85" t="s">
        <v>2981</v>
      </c>
      <c r="F85" t="s">
        <v>273</v>
      </c>
      <c r="G85" t="s">
        <v>275</v>
      </c>
      <c r="H85">
        <v>5.06</v>
      </c>
      <c r="I85" t="s">
        <v>274</v>
      </c>
      <c r="K85" t="s">
        <v>1685</v>
      </c>
      <c r="P85" t="s">
        <v>492</v>
      </c>
      <c r="Q85" t="s">
        <v>502</v>
      </c>
      <c r="S85" t="s">
        <v>503</v>
      </c>
      <c r="T85" t="s">
        <v>508</v>
      </c>
      <c r="U85" t="s">
        <v>511</v>
      </c>
      <c r="V85">
        <v>10037</v>
      </c>
      <c r="W85" t="s">
        <v>519</v>
      </c>
      <c r="X85" t="s">
        <v>548</v>
      </c>
      <c r="Z85" t="s">
        <v>3073</v>
      </c>
      <c r="AA85" t="s">
        <v>3183</v>
      </c>
      <c r="AB85" t="s">
        <v>902</v>
      </c>
      <c r="AC85" t="s">
        <v>905</v>
      </c>
      <c r="AF85" t="s">
        <v>926</v>
      </c>
      <c r="AI85">
        <v>0</v>
      </c>
      <c r="AJ85" t="s">
        <v>558</v>
      </c>
      <c r="AK85" t="s">
        <v>936</v>
      </c>
      <c r="AL85" t="s">
        <v>274</v>
      </c>
      <c r="AT85">
        <v>2</v>
      </c>
      <c r="AU85">
        <v>1</v>
      </c>
      <c r="AV85" t="s">
        <v>273</v>
      </c>
      <c r="AY85" t="s">
        <v>273</v>
      </c>
      <c r="BB85">
        <v>0</v>
      </c>
      <c r="BC85">
        <v>0</v>
      </c>
      <c r="BD85">
        <v>0</v>
      </c>
      <c r="BE85">
        <v>0</v>
      </c>
      <c r="BF85" t="s">
        <v>1063</v>
      </c>
      <c r="BG85" t="s">
        <v>3340</v>
      </c>
      <c r="BH85">
        <v>5</v>
      </c>
      <c r="BI85" t="s">
        <v>3452</v>
      </c>
      <c r="BK85">
        <v>1902456</v>
      </c>
    </row>
    <row r="86" spans="1:64">
      <c r="A86" s="1">
        <f>HYPERLINK("https://lsnyc.legalserver.org/matter/dynamic-profile/view/1901807","19-1901807")</f>
        <v>0</v>
      </c>
      <c r="B86" t="s">
        <v>2870</v>
      </c>
      <c r="C86" t="s">
        <v>2975</v>
      </c>
      <c r="D86" t="s">
        <v>255</v>
      </c>
      <c r="E86" t="s">
        <v>2981</v>
      </c>
      <c r="F86" t="s">
        <v>273</v>
      </c>
      <c r="G86" t="s">
        <v>275</v>
      </c>
      <c r="H86">
        <v>5.06</v>
      </c>
      <c r="I86" t="s">
        <v>274</v>
      </c>
      <c r="K86" t="s">
        <v>1685</v>
      </c>
      <c r="P86" t="s">
        <v>492</v>
      </c>
      <c r="Q86" t="s">
        <v>502</v>
      </c>
      <c r="S86" t="s">
        <v>503</v>
      </c>
      <c r="T86" t="s">
        <v>508</v>
      </c>
      <c r="U86" t="s">
        <v>511</v>
      </c>
      <c r="V86">
        <v>10037</v>
      </c>
      <c r="W86" t="s">
        <v>532</v>
      </c>
      <c r="X86" t="s">
        <v>548</v>
      </c>
      <c r="Z86" t="s">
        <v>3073</v>
      </c>
      <c r="AA86" t="s">
        <v>3183</v>
      </c>
      <c r="AB86" t="s">
        <v>902</v>
      </c>
      <c r="AC86" t="s">
        <v>905</v>
      </c>
      <c r="AF86" t="s">
        <v>923</v>
      </c>
      <c r="AI86">
        <v>6.6</v>
      </c>
      <c r="AJ86" t="s">
        <v>558</v>
      </c>
      <c r="AK86" t="s">
        <v>936</v>
      </c>
      <c r="AL86" t="s">
        <v>274</v>
      </c>
      <c r="AT86">
        <v>2</v>
      </c>
      <c r="AU86">
        <v>1</v>
      </c>
      <c r="AV86" t="s">
        <v>273</v>
      </c>
      <c r="AY86" t="s">
        <v>273</v>
      </c>
      <c r="BB86">
        <v>0</v>
      </c>
      <c r="BC86">
        <v>0</v>
      </c>
      <c r="BD86">
        <v>0</v>
      </c>
      <c r="BE86">
        <v>0</v>
      </c>
      <c r="BF86" t="s">
        <v>1063</v>
      </c>
      <c r="BG86" t="s">
        <v>3340</v>
      </c>
      <c r="BH86">
        <v>5</v>
      </c>
      <c r="BI86" t="s">
        <v>3452</v>
      </c>
      <c r="BK86">
        <v>1902456</v>
      </c>
    </row>
    <row r="87" spans="1:64">
      <c r="A87" s="1">
        <f>HYPERLINK("https://lsnyc.legalserver.org/matter/dynamic-profile/view/1901710","19-1901710")</f>
        <v>0</v>
      </c>
      <c r="B87" t="s">
        <v>2871</v>
      </c>
      <c r="C87" t="s">
        <v>2975</v>
      </c>
      <c r="D87" t="s">
        <v>255</v>
      </c>
      <c r="E87" t="s">
        <v>2979</v>
      </c>
      <c r="F87" t="s">
        <v>275</v>
      </c>
      <c r="G87" t="s">
        <v>275</v>
      </c>
      <c r="H87">
        <v>0</v>
      </c>
      <c r="I87" t="s">
        <v>274</v>
      </c>
      <c r="K87" t="s">
        <v>2388</v>
      </c>
      <c r="L87" t="s">
        <v>485</v>
      </c>
      <c r="P87" t="s">
        <v>493</v>
      </c>
      <c r="Q87" t="s">
        <v>501</v>
      </c>
      <c r="S87" t="s">
        <v>503</v>
      </c>
      <c r="T87" t="s">
        <v>507</v>
      </c>
      <c r="U87" t="s">
        <v>511</v>
      </c>
      <c r="V87">
        <v>10014</v>
      </c>
      <c r="W87" t="s">
        <v>544</v>
      </c>
      <c r="X87" t="s">
        <v>553</v>
      </c>
      <c r="Y87" t="s">
        <v>275</v>
      </c>
      <c r="Z87" t="s">
        <v>3074</v>
      </c>
      <c r="AA87" t="s">
        <v>3184</v>
      </c>
      <c r="AB87" t="s">
        <v>902</v>
      </c>
      <c r="AC87" t="s">
        <v>906</v>
      </c>
      <c r="AD87" t="s">
        <v>275</v>
      </c>
      <c r="AE87" t="s">
        <v>919</v>
      </c>
      <c r="AF87" t="s">
        <v>923</v>
      </c>
      <c r="AI87">
        <v>2.75</v>
      </c>
      <c r="AJ87" t="s">
        <v>558</v>
      </c>
      <c r="AK87" t="s">
        <v>3260</v>
      </c>
      <c r="AL87" t="s">
        <v>274</v>
      </c>
      <c r="AM87" t="s">
        <v>973</v>
      </c>
      <c r="AN87" t="s">
        <v>1681</v>
      </c>
      <c r="AO87" t="s">
        <v>978</v>
      </c>
      <c r="AP87" t="s">
        <v>482</v>
      </c>
      <c r="AQ87" t="s">
        <v>1037</v>
      </c>
      <c r="AR87" t="s">
        <v>1051</v>
      </c>
      <c r="AT87">
        <v>0</v>
      </c>
      <c r="AU87">
        <v>1</v>
      </c>
      <c r="AV87" t="s">
        <v>273</v>
      </c>
      <c r="AY87" t="s">
        <v>273</v>
      </c>
      <c r="BB87">
        <v>0</v>
      </c>
      <c r="BC87">
        <v>0</v>
      </c>
      <c r="BD87">
        <v>495</v>
      </c>
      <c r="BE87">
        <v>0</v>
      </c>
      <c r="BF87" t="s">
        <v>493</v>
      </c>
      <c r="BG87" t="s">
        <v>3341</v>
      </c>
      <c r="BH87">
        <v>38</v>
      </c>
      <c r="BI87" t="s">
        <v>1247</v>
      </c>
      <c r="BK87">
        <v>817318</v>
      </c>
    </row>
    <row r="88" spans="1:64">
      <c r="A88" s="1">
        <f>HYPERLINK("https://lsnyc.legalserver.org/matter/dynamic-profile/view/1901667","19-1901667")</f>
        <v>0</v>
      </c>
      <c r="B88" t="s">
        <v>2871</v>
      </c>
      <c r="C88" t="s">
        <v>2975</v>
      </c>
      <c r="D88" t="s">
        <v>255</v>
      </c>
      <c r="E88" t="s">
        <v>2979</v>
      </c>
      <c r="F88" t="s">
        <v>275</v>
      </c>
      <c r="G88" t="s">
        <v>275</v>
      </c>
      <c r="H88">
        <v>0</v>
      </c>
      <c r="I88" t="s">
        <v>274</v>
      </c>
      <c r="K88" t="s">
        <v>2388</v>
      </c>
      <c r="L88" t="s">
        <v>449</v>
      </c>
      <c r="P88" t="s">
        <v>493</v>
      </c>
      <c r="Q88" t="s">
        <v>501</v>
      </c>
      <c r="S88" t="s">
        <v>503</v>
      </c>
      <c r="T88" t="s">
        <v>507</v>
      </c>
      <c r="U88" t="s">
        <v>511</v>
      </c>
      <c r="V88">
        <v>10014</v>
      </c>
      <c r="W88" t="s">
        <v>520</v>
      </c>
      <c r="X88" t="s">
        <v>553</v>
      </c>
      <c r="Z88" t="s">
        <v>3074</v>
      </c>
      <c r="AA88" t="s">
        <v>3184</v>
      </c>
      <c r="AB88" t="s">
        <v>902</v>
      </c>
      <c r="AC88" t="s">
        <v>906</v>
      </c>
      <c r="AD88" t="s">
        <v>275</v>
      </c>
      <c r="AE88" t="s">
        <v>919</v>
      </c>
      <c r="AF88" t="s">
        <v>923</v>
      </c>
      <c r="AI88">
        <v>4.25</v>
      </c>
      <c r="AJ88" t="s">
        <v>558</v>
      </c>
      <c r="AK88" t="s">
        <v>3260</v>
      </c>
      <c r="AL88" t="s">
        <v>274</v>
      </c>
      <c r="AM88" t="s">
        <v>973</v>
      </c>
      <c r="AN88" t="s">
        <v>1681</v>
      </c>
      <c r="AO88" t="s">
        <v>978</v>
      </c>
      <c r="AP88" t="s">
        <v>1812</v>
      </c>
      <c r="AQ88" t="s">
        <v>1036</v>
      </c>
      <c r="AR88" t="s">
        <v>1051</v>
      </c>
      <c r="AT88">
        <v>0</v>
      </c>
      <c r="AU88">
        <v>1</v>
      </c>
      <c r="AV88" t="s">
        <v>273</v>
      </c>
      <c r="AY88" t="s">
        <v>273</v>
      </c>
      <c r="BB88">
        <v>0</v>
      </c>
      <c r="BC88">
        <v>0</v>
      </c>
      <c r="BD88">
        <v>495</v>
      </c>
      <c r="BE88">
        <v>0</v>
      </c>
      <c r="BF88" t="s">
        <v>493</v>
      </c>
      <c r="BG88" t="s">
        <v>3341</v>
      </c>
      <c r="BH88">
        <v>38</v>
      </c>
      <c r="BI88" t="s">
        <v>1247</v>
      </c>
      <c r="BK88">
        <v>817318</v>
      </c>
    </row>
    <row r="89" spans="1:64">
      <c r="A89" s="1">
        <f>HYPERLINK("https://lsnyc.legalserver.org/matter/dynamic-profile/view/1901210","19-1901210")</f>
        <v>0</v>
      </c>
      <c r="B89" t="s">
        <v>2872</v>
      </c>
      <c r="C89" t="s">
        <v>2975</v>
      </c>
      <c r="D89" t="s">
        <v>255</v>
      </c>
      <c r="E89" t="s">
        <v>2977</v>
      </c>
      <c r="F89" t="s">
        <v>273</v>
      </c>
      <c r="G89" t="s">
        <v>275</v>
      </c>
      <c r="H89">
        <v>0</v>
      </c>
      <c r="I89" t="s">
        <v>274</v>
      </c>
      <c r="K89" t="s">
        <v>311</v>
      </c>
      <c r="M89" t="s">
        <v>472</v>
      </c>
      <c r="N89" t="s">
        <v>284</v>
      </c>
      <c r="O89" t="s">
        <v>275</v>
      </c>
      <c r="P89" t="s">
        <v>492</v>
      </c>
      <c r="Q89" t="s">
        <v>501</v>
      </c>
      <c r="S89" t="s">
        <v>503</v>
      </c>
      <c r="T89" t="s">
        <v>507</v>
      </c>
      <c r="U89" t="s">
        <v>511</v>
      </c>
      <c r="V89">
        <v>10032</v>
      </c>
      <c r="W89" t="s">
        <v>520</v>
      </c>
      <c r="X89" t="s">
        <v>548</v>
      </c>
      <c r="Y89" t="s">
        <v>275</v>
      </c>
      <c r="Z89" t="s">
        <v>602</v>
      </c>
      <c r="AA89" t="s">
        <v>884</v>
      </c>
      <c r="AB89" t="s">
        <v>902</v>
      </c>
      <c r="AC89" t="s">
        <v>910</v>
      </c>
      <c r="AF89" t="s">
        <v>923</v>
      </c>
      <c r="AI89">
        <v>12.15</v>
      </c>
      <c r="AJ89" t="s">
        <v>558</v>
      </c>
      <c r="AK89" t="s">
        <v>945</v>
      </c>
      <c r="AL89" t="s">
        <v>274</v>
      </c>
      <c r="AM89" t="s">
        <v>973</v>
      </c>
      <c r="AN89" t="s">
        <v>311</v>
      </c>
      <c r="AO89" t="s">
        <v>976</v>
      </c>
      <c r="AP89" t="s">
        <v>983</v>
      </c>
      <c r="AT89">
        <v>0</v>
      </c>
      <c r="AU89">
        <v>1</v>
      </c>
      <c r="AV89" t="s">
        <v>273</v>
      </c>
      <c r="AY89" t="s">
        <v>273</v>
      </c>
      <c r="BB89">
        <v>0</v>
      </c>
      <c r="BC89">
        <v>0</v>
      </c>
      <c r="BD89">
        <v>0</v>
      </c>
      <c r="BE89">
        <v>0</v>
      </c>
      <c r="BF89" t="s">
        <v>1063</v>
      </c>
      <c r="BG89" t="s">
        <v>3342</v>
      </c>
      <c r="BH89">
        <v>34</v>
      </c>
      <c r="BI89" t="s">
        <v>1247</v>
      </c>
      <c r="BK89">
        <v>1873787</v>
      </c>
      <c r="BL89" t="s">
        <v>275</v>
      </c>
    </row>
    <row r="90" spans="1:64">
      <c r="A90" s="1">
        <f>HYPERLINK("https://lsnyc.legalserver.org/matter/dynamic-profile/view/1900476","19-1900476")</f>
        <v>0</v>
      </c>
      <c r="B90" t="s">
        <v>2873</v>
      </c>
      <c r="C90" t="s">
        <v>2975</v>
      </c>
      <c r="D90" t="s">
        <v>253</v>
      </c>
      <c r="E90" t="s">
        <v>2979</v>
      </c>
      <c r="F90" t="s">
        <v>273</v>
      </c>
      <c r="G90" t="s">
        <v>275</v>
      </c>
      <c r="H90">
        <v>0</v>
      </c>
      <c r="I90" t="s">
        <v>274</v>
      </c>
      <c r="K90" t="s">
        <v>1688</v>
      </c>
      <c r="O90" t="s">
        <v>275</v>
      </c>
      <c r="P90" t="s">
        <v>492</v>
      </c>
      <c r="Q90" t="s">
        <v>501</v>
      </c>
      <c r="R90" t="s">
        <v>1816</v>
      </c>
      <c r="S90" t="s">
        <v>503</v>
      </c>
      <c r="T90" t="s">
        <v>508</v>
      </c>
      <c r="U90" t="s">
        <v>511</v>
      </c>
      <c r="V90">
        <v>11434</v>
      </c>
      <c r="W90" t="s">
        <v>525</v>
      </c>
      <c r="X90" t="s">
        <v>549</v>
      </c>
      <c r="Y90" t="s">
        <v>274</v>
      </c>
      <c r="Z90" t="s">
        <v>3075</v>
      </c>
      <c r="AA90" t="s">
        <v>3185</v>
      </c>
      <c r="AB90" t="s">
        <v>902</v>
      </c>
      <c r="AC90" t="s">
        <v>905</v>
      </c>
      <c r="AF90" t="s">
        <v>923</v>
      </c>
      <c r="AI90">
        <v>8.75</v>
      </c>
      <c r="AJ90" t="s">
        <v>558</v>
      </c>
      <c r="AK90" t="s">
        <v>3261</v>
      </c>
      <c r="AL90" t="s">
        <v>274</v>
      </c>
      <c r="AS90" t="s">
        <v>1061</v>
      </c>
      <c r="AT90">
        <v>1</v>
      </c>
      <c r="AU90">
        <v>1</v>
      </c>
      <c r="AV90" t="s">
        <v>273</v>
      </c>
      <c r="AY90" t="s">
        <v>273</v>
      </c>
      <c r="BB90">
        <v>0</v>
      </c>
      <c r="BC90">
        <v>0</v>
      </c>
      <c r="BD90">
        <v>0</v>
      </c>
      <c r="BE90">
        <v>0</v>
      </c>
      <c r="BF90" t="s">
        <v>1063</v>
      </c>
      <c r="BG90" t="s">
        <v>3343</v>
      </c>
      <c r="BH90">
        <v>37</v>
      </c>
      <c r="BI90" t="s">
        <v>1247</v>
      </c>
      <c r="BK90">
        <v>1901126</v>
      </c>
    </row>
    <row r="91" spans="1:64">
      <c r="A91" s="1">
        <f>HYPERLINK("https://lsnyc.legalserver.org/matter/dynamic-profile/view/1900284","19-1900284")</f>
        <v>0</v>
      </c>
      <c r="B91" t="s">
        <v>2861</v>
      </c>
      <c r="C91" t="s">
        <v>2975</v>
      </c>
      <c r="D91" t="s">
        <v>252</v>
      </c>
      <c r="E91" t="s">
        <v>2977</v>
      </c>
      <c r="F91" t="s">
        <v>273</v>
      </c>
      <c r="G91" t="s">
        <v>275</v>
      </c>
      <c r="H91">
        <v>198.87</v>
      </c>
      <c r="I91" t="s">
        <v>274</v>
      </c>
      <c r="K91" t="s">
        <v>1002</v>
      </c>
      <c r="M91" t="s">
        <v>473</v>
      </c>
      <c r="N91" t="s">
        <v>302</v>
      </c>
      <c r="O91" t="s">
        <v>275</v>
      </c>
      <c r="P91" t="s">
        <v>492</v>
      </c>
      <c r="Q91" t="s">
        <v>501</v>
      </c>
      <c r="S91" t="s">
        <v>503</v>
      </c>
      <c r="T91" t="s">
        <v>508</v>
      </c>
      <c r="U91" t="s">
        <v>511</v>
      </c>
      <c r="V91">
        <v>11207</v>
      </c>
      <c r="W91" t="s">
        <v>518</v>
      </c>
      <c r="X91" t="s">
        <v>549</v>
      </c>
      <c r="Y91" t="s">
        <v>274</v>
      </c>
      <c r="Z91" t="s">
        <v>3064</v>
      </c>
      <c r="AA91" t="s">
        <v>3175</v>
      </c>
      <c r="AB91" t="s">
        <v>902</v>
      </c>
      <c r="AC91" t="s">
        <v>904</v>
      </c>
      <c r="AF91" t="s">
        <v>926</v>
      </c>
      <c r="AI91">
        <v>3</v>
      </c>
      <c r="AJ91" t="s">
        <v>558</v>
      </c>
      <c r="AK91" t="s">
        <v>3258</v>
      </c>
      <c r="AL91" t="s">
        <v>274</v>
      </c>
      <c r="AT91">
        <v>3</v>
      </c>
      <c r="AU91">
        <v>2</v>
      </c>
      <c r="AV91" t="s">
        <v>273</v>
      </c>
      <c r="AY91" t="s">
        <v>273</v>
      </c>
      <c r="BB91">
        <v>0</v>
      </c>
      <c r="BC91">
        <v>0</v>
      </c>
      <c r="BD91">
        <v>0</v>
      </c>
      <c r="BE91">
        <v>0</v>
      </c>
      <c r="BF91" t="s">
        <v>1063</v>
      </c>
      <c r="BG91" t="s">
        <v>3331</v>
      </c>
      <c r="BH91">
        <v>38</v>
      </c>
      <c r="BI91" t="s">
        <v>1246</v>
      </c>
      <c r="BK91">
        <v>779713</v>
      </c>
    </row>
    <row r="92" spans="1:64">
      <c r="A92" s="1">
        <f>HYPERLINK("https://lsnyc.legalserver.org/matter/dynamic-profile/view/1900292","19-1900292")</f>
        <v>0</v>
      </c>
      <c r="B92" t="s">
        <v>2874</v>
      </c>
      <c r="C92" t="s">
        <v>2975</v>
      </c>
      <c r="D92" t="s">
        <v>257</v>
      </c>
      <c r="E92" t="s">
        <v>2977</v>
      </c>
      <c r="F92" t="s">
        <v>273</v>
      </c>
      <c r="G92" t="s">
        <v>275</v>
      </c>
      <c r="H92">
        <v>0</v>
      </c>
      <c r="I92" t="s">
        <v>274</v>
      </c>
      <c r="K92" t="s">
        <v>1002</v>
      </c>
      <c r="M92" t="s">
        <v>474</v>
      </c>
      <c r="N92" t="s">
        <v>465</v>
      </c>
      <c r="O92" t="s">
        <v>275</v>
      </c>
      <c r="P92" t="s">
        <v>492</v>
      </c>
      <c r="Q92" t="s">
        <v>501</v>
      </c>
      <c r="S92" t="s">
        <v>503</v>
      </c>
      <c r="T92" t="s">
        <v>508</v>
      </c>
      <c r="U92" t="s">
        <v>511</v>
      </c>
      <c r="V92">
        <v>10457</v>
      </c>
      <c r="W92" t="s">
        <v>519</v>
      </c>
      <c r="X92" t="s">
        <v>548</v>
      </c>
      <c r="Y92" t="s">
        <v>275</v>
      </c>
      <c r="Z92" t="s">
        <v>3076</v>
      </c>
      <c r="AA92" t="s">
        <v>3186</v>
      </c>
      <c r="AB92" t="s">
        <v>902</v>
      </c>
      <c r="AC92" t="s">
        <v>905</v>
      </c>
      <c r="AF92" t="s">
        <v>926</v>
      </c>
      <c r="AI92">
        <v>18.65</v>
      </c>
      <c r="AJ92" t="s">
        <v>558</v>
      </c>
      <c r="AK92" t="s">
        <v>934</v>
      </c>
      <c r="AL92" t="s">
        <v>274</v>
      </c>
      <c r="AM92" t="s">
        <v>973</v>
      </c>
      <c r="AN92" t="s">
        <v>308</v>
      </c>
      <c r="AT92">
        <v>1</v>
      </c>
      <c r="AU92">
        <v>1</v>
      </c>
      <c r="AV92" t="s">
        <v>273</v>
      </c>
      <c r="AY92" t="s">
        <v>273</v>
      </c>
      <c r="BB92">
        <v>0</v>
      </c>
      <c r="BC92">
        <v>0</v>
      </c>
      <c r="BD92">
        <v>0</v>
      </c>
      <c r="BE92">
        <v>0</v>
      </c>
      <c r="BF92" t="s">
        <v>1063</v>
      </c>
      <c r="BG92" t="s">
        <v>3344</v>
      </c>
      <c r="BH92">
        <v>30</v>
      </c>
      <c r="BI92" t="s">
        <v>1247</v>
      </c>
      <c r="BK92">
        <v>1886055</v>
      </c>
    </row>
    <row r="93" spans="1:64">
      <c r="A93" s="1">
        <f>HYPERLINK("https://lsnyc.legalserver.org/matter/dynamic-profile/view/1900227","19-1900227")</f>
        <v>0</v>
      </c>
      <c r="B93" t="s">
        <v>2875</v>
      </c>
      <c r="C93" t="s">
        <v>2975</v>
      </c>
      <c r="D93" t="s">
        <v>255</v>
      </c>
      <c r="E93" t="s">
        <v>2979</v>
      </c>
      <c r="F93" t="s">
        <v>273</v>
      </c>
      <c r="G93" t="s">
        <v>275</v>
      </c>
      <c r="H93">
        <v>0</v>
      </c>
      <c r="I93" t="s">
        <v>274</v>
      </c>
      <c r="K93" t="s">
        <v>1005</v>
      </c>
      <c r="O93" t="s">
        <v>275</v>
      </c>
      <c r="Q93" t="s">
        <v>501</v>
      </c>
      <c r="S93" t="s">
        <v>503</v>
      </c>
      <c r="T93" t="s">
        <v>508</v>
      </c>
      <c r="U93" t="s">
        <v>511</v>
      </c>
      <c r="V93">
        <v>10024</v>
      </c>
      <c r="W93" t="s">
        <v>518</v>
      </c>
      <c r="X93" t="s">
        <v>548</v>
      </c>
      <c r="Z93" t="s">
        <v>3077</v>
      </c>
      <c r="AA93" t="s">
        <v>3187</v>
      </c>
      <c r="AB93" t="s">
        <v>902</v>
      </c>
      <c r="AC93" t="s">
        <v>905</v>
      </c>
      <c r="AF93" t="s">
        <v>925</v>
      </c>
      <c r="AI93">
        <v>9.41</v>
      </c>
      <c r="AJ93" t="s">
        <v>558</v>
      </c>
      <c r="AK93" t="s">
        <v>934</v>
      </c>
      <c r="AL93" t="s">
        <v>274</v>
      </c>
      <c r="AT93">
        <v>2</v>
      </c>
      <c r="AU93">
        <v>1</v>
      </c>
      <c r="AV93" t="s">
        <v>273</v>
      </c>
      <c r="AY93" t="s">
        <v>273</v>
      </c>
      <c r="BB93">
        <v>0</v>
      </c>
      <c r="BC93">
        <v>0</v>
      </c>
      <c r="BD93">
        <v>0</v>
      </c>
      <c r="BE93">
        <v>0</v>
      </c>
      <c r="BF93" t="s">
        <v>1063</v>
      </c>
      <c r="BG93" t="s">
        <v>3345</v>
      </c>
      <c r="BH93">
        <v>23</v>
      </c>
      <c r="BI93" t="s">
        <v>1247</v>
      </c>
      <c r="BK93">
        <v>1900879</v>
      </c>
    </row>
    <row r="94" spans="1:64">
      <c r="A94" s="1">
        <f>HYPERLINK("https://lsnyc.legalserver.org/matter/dynamic-profile/view/1900228","19-1900228")</f>
        <v>0</v>
      </c>
      <c r="B94" t="s">
        <v>2876</v>
      </c>
      <c r="C94" t="s">
        <v>2975</v>
      </c>
      <c r="D94" t="s">
        <v>255</v>
      </c>
      <c r="E94" t="s">
        <v>2979</v>
      </c>
      <c r="F94" t="s">
        <v>273</v>
      </c>
      <c r="G94" t="s">
        <v>275</v>
      </c>
      <c r="H94">
        <v>0</v>
      </c>
      <c r="I94" t="s">
        <v>274</v>
      </c>
      <c r="K94" t="s">
        <v>1005</v>
      </c>
      <c r="O94" t="s">
        <v>275</v>
      </c>
      <c r="Q94" t="s">
        <v>502</v>
      </c>
      <c r="S94" t="s">
        <v>503</v>
      </c>
      <c r="T94" t="s">
        <v>507</v>
      </c>
      <c r="U94" t="s">
        <v>511</v>
      </c>
      <c r="V94">
        <v>10024</v>
      </c>
      <c r="W94" t="s">
        <v>518</v>
      </c>
      <c r="X94" t="s">
        <v>548</v>
      </c>
      <c r="Z94" t="s">
        <v>3078</v>
      </c>
      <c r="AA94" t="s">
        <v>3188</v>
      </c>
      <c r="AB94" t="s">
        <v>902</v>
      </c>
      <c r="AC94" t="s">
        <v>905</v>
      </c>
      <c r="AF94" t="s">
        <v>925</v>
      </c>
      <c r="AI94">
        <v>1.75</v>
      </c>
      <c r="AJ94" t="s">
        <v>558</v>
      </c>
      <c r="AK94" t="s">
        <v>934</v>
      </c>
      <c r="AL94" t="s">
        <v>274</v>
      </c>
      <c r="AT94">
        <v>2</v>
      </c>
      <c r="AU94">
        <v>1</v>
      </c>
      <c r="AV94" t="s">
        <v>273</v>
      </c>
      <c r="AY94" t="s">
        <v>273</v>
      </c>
      <c r="BB94">
        <v>0</v>
      </c>
      <c r="BC94">
        <v>0</v>
      </c>
      <c r="BD94">
        <v>0</v>
      </c>
      <c r="BE94">
        <v>0</v>
      </c>
      <c r="BF94" t="s">
        <v>1063</v>
      </c>
      <c r="BG94" t="s">
        <v>3346</v>
      </c>
      <c r="BH94">
        <v>2</v>
      </c>
      <c r="BI94" t="s">
        <v>1247</v>
      </c>
      <c r="BK94">
        <v>1900879</v>
      </c>
    </row>
    <row r="95" spans="1:64">
      <c r="A95" s="1">
        <f>HYPERLINK("https://lsnyc.legalserver.org/matter/dynamic-profile/view/1900229","19-1900229")</f>
        <v>0</v>
      </c>
      <c r="B95" t="s">
        <v>2877</v>
      </c>
      <c r="C95" t="s">
        <v>2975</v>
      </c>
      <c r="D95" t="s">
        <v>255</v>
      </c>
      <c r="E95" t="s">
        <v>2979</v>
      </c>
      <c r="F95" t="s">
        <v>273</v>
      </c>
      <c r="G95" t="s">
        <v>275</v>
      </c>
      <c r="H95">
        <v>0</v>
      </c>
      <c r="I95" t="s">
        <v>274</v>
      </c>
      <c r="K95" t="s">
        <v>1005</v>
      </c>
      <c r="O95" t="s">
        <v>275</v>
      </c>
      <c r="Q95" t="s">
        <v>502</v>
      </c>
      <c r="S95" t="s">
        <v>503</v>
      </c>
      <c r="T95" t="s">
        <v>507</v>
      </c>
      <c r="U95" t="s">
        <v>511</v>
      </c>
      <c r="V95">
        <v>10024</v>
      </c>
      <c r="W95" t="s">
        <v>518</v>
      </c>
      <c r="X95" t="s">
        <v>548</v>
      </c>
      <c r="Z95" t="s">
        <v>1965</v>
      </c>
      <c r="AA95" t="s">
        <v>3187</v>
      </c>
      <c r="AB95" t="s">
        <v>902</v>
      </c>
      <c r="AC95" t="s">
        <v>905</v>
      </c>
      <c r="AF95" t="s">
        <v>925</v>
      </c>
      <c r="AI95">
        <v>1.75</v>
      </c>
      <c r="AJ95" t="s">
        <v>558</v>
      </c>
      <c r="AK95" t="s">
        <v>934</v>
      </c>
      <c r="AL95" t="s">
        <v>274</v>
      </c>
      <c r="AT95">
        <v>2</v>
      </c>
      <c r="AU95">
        <v>1</v>
      </c>
      <c r="AV95" t="s">
        <v>273</v>
      </c>
      <c r="AY95" t="s">
        <v>273</v>
      </c>
      <c r="BB95">
        <v>0</v>
      </c>
      <c r="BC95">
        <v>0</v>
      </c>
      <c r="BD95">
        <v>0</v>
      </c>
      <c r="BE95">
        <v>0</v>
      </c>
      <c r="BF95" t="s">
        <v>1063</v>
      </c>
      <c r="BG95" t="s">
        <v>1750</v>
      </c>
      <c r="BH95">
        <v>1</v>
      </c>
      <c r="BI95" t="s">
        <v>1247</v>
      </c>
      <c r="BK95">
        <v>1900879</v>
      </c>
    </row>
    <row r="96" spans="1:64">
      <c r="A96" s="1">
        <f>HYPERLINK("https://lsnyc.legalserver.org/matter/dynamic-profile/view/1900237","19-1900237")</f>
        <v>0</v>
      </c>
      <c r="B96" t="s">
        <v>2878</v>
      </c>
      <c r="C96" t="s">
        <v>2975</v>
      </c>
      <c r="D96" t="s">
        <v>255</v>
      </c>
      <c r="E96" t="s">
        <v>2983</v>
      </c>
      <c r="F96" t="s">
        <v>273</v>
      </c>
      <c r="G96" t="s">
        <v>275</v>
      </c>
      <c r="H96">
        <v>0</v>
      </c>
      <c r="I96" t="s">
        <v>274</v>
      </c>
      <c r="K96" t="s">
        <v>1005</v>
      </c>
      <c r="P96" t="s">
        <v>492</v>
      </c>
      <c r="Q96" t="s">
        <v>501</v>
      </c>
      <c r="S96" t="s">
        <v>503</v>
      </c>
      <c r="T96" t="s">
        <v>508</v>
      </c>
      <c r="U96" t="s">
        <v>511</v>
      </c>
      <c r="V96">
        <v>10016</v>
      </c>
      <c r="W96" t="s">
        <v>519</v>
      </c>
      <c r="X96" t="s">
        <v>548</v>
      </c>
      <c r="Y96" t="s">
        <v>275</v>
      </c>
      <c r="Z96" t="s">
        <v>3079</v>
      </c>
      <c r="AA96" t="s">
        <v>2250</v>
      </c>
      <c r="AB96" t="s">
        <v>902</v>
      </c>
      <c r="AC96" t="s">
        <v>905</v>
      </c>
      <c r="AF96" t="s">
        <v>926</v>
      </c>
      <c r="AI96">
        <v>21.8</v>
      </c>
      <c r="AJ96" t="s">
        <v>558</v>
      </c>
      <c r="AK96" t="s">
        <v>934</v>
      </c>
      <c r="AL96" t="s">
        <v>274</v>
      </c>
      <c r="AM96" t="s">
        <v>973</v>
      </c>
      <c r="AN96" t="s">
        <v>293</v>
      </c>
      <c r="AT96">
        <v>1</v>
      </c>
      <c r="AU96">
        <v>1</v>
      </c>
      <c r="AV96" t="s">
        <v>273</v>
      </c>
      <c r="AY96" t="s">
        <v>273</v>
      </c>
      <c r="BB96">
        <v>0</v>
      </c>
      <c r="BC96">
        <v>0</v>
      </c>
      <c r="BD96">
        <v>0</v>
      </c>
      <c r="BE96">
        <v>0</v>
      </c>
      <c r="BF96" t="s">
        <v>1063</v>
      </c>
      <c r="BG96" t="s">
        <v>3347</v>
      </c>
      <c r="BH96">
        <v>33</v>
      </c>
      <c r="BI96" t="s">
        <v>1247</v>
      </c>
      <c r="BK96">
        <v>1898884</v>
      </c>
    </row>
    <row r="97" spans="1:64">
      <c r="A97" s="1">
        <f>HYPERLINK("https://lsnyc.legalserver.org/matter/dynamic-profile/view/1900240","19-1900240")</f>
        <v>0</v>
      </c>
      <c r="B97" t="s">
        <v>2879</v>
      </c>
      <c r="C97" t="s">
        <v>2975</v>
      </c>
      <c r="D97" t="s">
        <v>255</v>
      </c>
      <c r="E97" t="s">
        <v>2983</v>
      </c>
      <c r="F97" t="s">
        <v>273</v>
      </c>
      <c r="G97" t="s">
        <v>275</v>
      </c>
      <c r="H97">
        <v>0</v>
      </c>
      <c r="I97" t="s">
        <v>274</v>
      </c>
      <c r="K97" t="s">
        <v>1005</v>
      </c>
      <c r="P97" t="s">
        <v>492</v>
      </c>
      <c r="Q97" t="s">
        <v>502</v>
      </c>
      <c r="S97" t="s">
        <v>503</v>
      </c>
      <c r="T97" t="s">
        <v>507</v>
      </c>
      <c r="U97" t="s">
        <v>511</v>
      </c>
      <c r="V97">
        <v>10016</v>
      </c>
      <c r="W97" t="s">
        <v>519</v>
      </c>
      <c r="X97" t="s">
        <v>548</v>
      </c>
      <c r="Z97" t="s">
        <v>3080</v>
      </c>
      <c r="AA97" t="s">
        <v>3189</v>
      </c>
      <c r="AB97" t="s">
        <v>902</v>
      </c>
      <c r="AC97" t="s">
        <v>905</v>
      </c>
      <c r="AF97" t="s">
        <v>926</v>
      </c>
      <c r="AI97">
        <v>20.45</v>
      </c>
      <c r="AJ97" t="s">
        <v>558</v>
      </c>
      <c r="AK97" t="s">
        <v>934</v>
      </c>
      <c r="AL97" t="s">
        <v>274</v>
      </c>
      <c r="AM97" t="s">
        <v>973</v>
      </c>
      <c r="AN97" t="s">
        <v>293</v>
      </c>
      <c r="AT97">
        <v>1</v>
      </c>
      <c r="AU97">
        <v>1</v>
      </c>
      <c r="AV97" t="s">
        <v>273</v>
      </c>
      <c r="AY97" t="s">
        <v>273</v>
      </c>
      <c r="BB97">
        <v>0</v>
      </c>
      <c r="BC97">
        <v>0</v>
      </c>
      <c r="BD97">
        <v>0</v>
      </c>
      <c r="BE97">
        <v>0</v>
      </c>
      <c r="BF97" t="s">
        <v>1063</v>
      </c>
      <c r="BG97" t="s">
        <v>3348</v>
      </c>
      <c r="BH97">
        <v>11</v>
      </c>
      <c r="BI97" t="s">
        <v>1247</v>
      </c>
      <c r="BK97">
        <v>1898884</v>
      </c>
    </row>
    <row r="98" spans="1:64">
      <c r="A98" s="1">
        <f>HYPERLINK("https://lsnyc.legalserver.org/matter/dynamic-profile/view/1900274","19-1900274")</f>
        <v>0</v>
      </c>
      <c r="B98" t="s">
        <v>2880</v>
      </c>
      <c r="C98" t="s">
        <v>2975</v>
      </c>
      <c r="D98" t="s">
        <v>257</v>
      </c>
      <c r="E98" t="s">
        <v>2977</v>
      </c>
      <c r="F98" t="s">
        <v>273</v>
      </c>
      <c r="G98" t="s">
        <v>275</v>
      </c>
      <c r="H98">
        <v>0</v>
      </c>
      <c r="I98" t="s">
        <v>274</v>
      </c>
      <c r="K98" t="s">
        <v>1005</v>
      </c>
      <c r="M98" t="s">
        <v>473</v>
      </c>
      <c r="N98" t="s">
        <v>447</v>
      </c>
      <c r="O98" t="s">
        <v>275</v>
      </c>
      <c r="P98" t="s">
        <v>492</v>
      </c>
      <c r="Q98" t="s">
        <v>502</v>
      </c>
      <c r="S98" t="s">
        <v>503</v>
      </c>
      <c r="T98" t="s">
        <v>507</v>
      </c>
      <c r="U98" t="s">
        <v>511</v>
      </c>
      <c r="V98">
        <v>10457</v>
      </c>
      <c r="W98" t="s">
        <v>519</v>
      </c>
      <c r="X98" t="s">
        <v>548</v>
      </c>
      <c r="Y98" t="s">
        <v>275</v>
      </c>
      <c r="Z98" t="s">
        <v>3042</v>
      </c>
      <c r="AA98" t="s">
        <v>3162</v>
      </c>
      <c r="AB98" t="s">
        <v>902</v>
      </c>
      <c r="AC98" t="s">
        <v>908</v>
      </c>
      <c r="AF98" t="s">
        <v>926</v>
      </c>
      <c r="AI98">
        <v>1.5</v>
      </c>
      <c r="AJ98" t="s">
        <v>558</v>
      </c>
      <c r="AK98" t="s">
        <v>934</v>
      </c>
      <c r="AL98" t="s">
        <v>274</v>
      </c>
      <c r="AT98">
        <v>2</v>
      </c>
      <c r="AU98">
        <v>1</v>
      </c>
      <c r="AV98" t="s">
        <v>273</v>
      </c>
      <c r="AY98" t="s">
        <v>273</v>
      </c>
      <c r="BB98">
        <v>0</v>
      </c>
      <c r="BC98">
        <v>0</v>
      </c>
      <c r="BD98">
        <v>0</v>
      </c>
      <c r="BE98">
        <v>0</v>
      </c>
      <c r="BF98" t="s">
        <v>1063</v>
      </c>
      <c r="BG98" t="s">
        <v>3349</v>
      </c>
      <c r="BH98">
        <v>13</v>
      </c>
      <c r="BI98" t="s">
        <v>1247</v>
      </c>
      <c r="BK98">
        <v>1873406</v>
      </c>
    </row>
    <row r="99" spans="1:64">
      <c r="A99" s="1">
        <f>HYPERLINK("https://lsnyc.legalserver.org/matter/dynamic-profile/view/1900275","19-1900275")</f>
        <v>0</v>
      </c>
      <c r="B99" t="s">
        <v>2880</v>
      </c>
      <c r="C99" t="s">
        <v>2975</v>
      </c>
      <c r="D99" t="s">
        <v>257</v>
      </c>
      <c r="E99" t="s">
        <v>2977</v>
      </c>
      <c r="F99" t="s">
        <v>273</v>
      </c>
      <c r="G99" t="s">
        <v>275</v>
      </c>
      <c r="H99">
        <v>0</v>
      </c>
      <c r="I99" t="s">
        <v>274</v>
      </c>
      <c r="K99" t="s">
        <v>1005</v>
      </c>
      <c r="M99" t="s">
        <v>473</v>
      </c>
      <c r="N99" t="s">
        <v>447</v>
      </c>
      <c r="O99" t="s">
        <v>275</v>
      </c>
      <c r="P99" t="s">
        <v>492</v>
      </c>
      <c r="Q99" t="s">
        <v>502</v>
      </c>
      <c r="S99" t="s">
        <v>503</v>
      </c>
      <c r="T99" t="s">
        <v>507</v>
      </c>
      <c r="U99" t="s">
        <v>511</v>
      </c>
      <c r="V99">
        <v>10457</v>
      </c>
      <c r="W99" t="s">
        <v>518</v>
      </c>
      <c r="X99" t="s">
        <v>548</v>
      </c>
      <c r="Y99" t="s">
        <v>275</v>
      </c>
      <c r="Z99" t="s">
        <v>3042</v>
      </c>
      <c r="AA99" t="s">
        <v>3162</v>
      </c>
      <c r="AB99" t="s">
        <v>902</v>
      </c>
      <c r="AC99" t="s">
        <v>908</v>
      </c>
      <c r="AF99" t="s">
        <v>926</v>
      </c>
      <c r="AI99">
        <v>9.050000000000001</v>
      </c>
      <c r="AJ99" t="s">
        <v>558</v>
      </c>
      <c r="AK99" t="s">
        <v>934</v>
      </c>
      <c r="AL99" t="s">
        <v>274</v>
      </c>
      <c r="AT99">
        <v>2</v>
      </c>
      <c r="AU99">
        <v>1</v>
      </c>
      <c r="AV99" t="s">
        <v>273</v>
      </c>
      <c r="AY99" t="s">
        <v>273</v>
      </c>
      <c r="BB99">
        <v>0</v>
      </c>
      <c r="BC99">
        <v>0</v>
      </c>
      <c r="BD99">
        <v>0</v>
      </c>
      <c r="BE99">
        <v>0</v>
      </c>
      <c r="BF99" t="s">
        <v>1063</v>
      </c>
      <c r="BG99" t="s">
        <v>3349</v>
      </c>
      <c r="BH99">
        <v>13</v>
      </c>
      <c r="BI99" t="s">
        <v>1247</v>
      </c>
      <c r="BK99">
        <v>1873406</v>
      </c>
    </row>
    <row r="100" spans="1:64">
      <c r="A100" s="1">
        <f>HYPERLINK("https://lsnyc.legalserver.org/matter/dynamic-profile/view/1899310","19-1899310")</f>
        <v>0</v>
      </c>
      <c r="B100" t="s">
        <v>2881</v>
      </c>
      <c r="C100" t="s">
        <v>2975</v>
      </c>
      <c r="D100" t="s">
        <v>257</v>
      </c>
      <c r="E100" t="s">
        <v>2978</v>
      </c>
      <c r="F100" t="s">
        <v>273</v>
      </c>
      <c r="G100" t="s">
        <v>275</v>
      </c>
      <c r="H100">
        <v>0</v>
      </c>
      <c r="I100" t="s">
        <v>274</v>
      </c>
      <c r="K100" t="s">
        <v>315</v>
      </c>
      <c r="P100" t="s">
        <v>492</v>
      </c>
      <c r="Q100" t="s">
        <v>502</v>
      </c>
      <c r="S100" t="s">
        <v>503</v>
      </c>
      <c r="T100" t="s">
        <v>507</v>
      </c>
      <c r="U100" t="s">
        <v>511</v>
      </c>
      <c r="V100">
        <v>10460</v>
      </c>
      <c r="W100" t="s">
        <v>529</v>
      </c>
      <c r="X100" t="s">
        <v>548</v>
      </c>
      <c r="Y100" t="s">
        <v>275</v>
      </c>
      <c r="Z100" t="s">
        <v>3081</v>
      </c>
      <c r="AA100" t="s">
        <v>3181</v>
      </c>
      <c r="AB100" t="s">
        <v>902</v>
      </c>
      <c r="AC100" t="s">
        <v>906</v>
      </c>
      <c r="AF100" t="s">
        <v>926</v>
      </c>
      <c r="AI100">
        <v>0.2</v>
      </c>
      <c r="AJ100" t="s">
        <v>558</v>
      </c>
      <c r="AK100" t="s">
        <v>934</v>
      </c>
      <c r="AL100" t="s">
        <v>274</v>
      </c>
      <c r="AT100">
        <v>0</v>
      </c>
      <c r="AU100">
        <v>1</v>
      </c>
      <c r="AV100" t="s">
        <v>273</v>
      </c>
      <c r="AY100" t="s">
        <v>273</v>
      </c>
      <c r="BB100">
        <v>0</v>
      </c>
      <c r="BC100">
        <v>0</v>
      </c>
      <c r="BD100">
        <v>0</v>
      </c>
      <c r="BE100">
        <v>0</v>
      </c>
      <c r="BF100" t="s">
        <v>1063</v>
      </c>
      <c r="BG100" t="s">
        <v>3350</v>
      </c>
      <c r="BH100">
        <v>20</v>
      </c>
      <c r="BI100" t="s">
        <v>1247</v>
      </c>
      <c r="BK100">
        <v>822986</v>
      </c>
    </row>
    <row r="101" spans="1:64">
      <c r="A101" s="1">
        <f>HYPERLINK("https://lsnyc.legalserver.org/matter/dynamic-profile/view/1899089","19-1899089")</f>
        <v>0</v>
      </c>
      <c r="B101" t="s">
        <v>2882</v>
      </c>
      <c r="C101" t="s">
        <v>2975</v>
      </c>
      <c r="D101" t="s">
        <v>255</v>
      </c>
      <c r="E101" t="s">
        <v>2978</v>
      </c>
      <c r="F101" t="s">
        <v>273</v>
      </c>
      <c r="G101" t="s">
        <v>275</v>
      </c>
      <c r="H101">
        <v>0</v>
      </c>
      <c r="I101" t="s">
        <v>274</v>
      </c>
      <c r="K101" t="s">
        <v>2985</v>
      </c>
      <c r="M101" t="s">
        <v>471</v>
      </c>
      <c r="N101" t="s">
        <v>452</v>
      </c>
      <c r="P101" t="s">
        <v>492</v>
      </c>
      <c r="Q101" t="s">
        <v>501</v>
      </c>
      <c r="S101" t="s">
        <v>503</v>
      </c>
      <c r="T101" t="s">
        <v>507</v>
      </c>
      <c r="U101" t="s">
        <v>511</v>
      </c>
      <c r="V101">
        <v>10033</v>
      </c>
      <c r="W101" t="s">
        <v>518</v>
      </c>
      <c r="X101" t="s">
        <v>548</v>
      </c>
      <c r="Y101" t="s">
        <v>275</v>
      </c>
      <c r="Z101" t="s">
        <v>3082</v>
      </c>
      <c r="AA101" t="s">
        <v>3190</v>
      </c>
      <c r="AB101" t="s">
        <v>902</v>
      </c>
      <c r="AC101" t="s">
        <v>906</v>
      </c>
      <c r="AF101" t="s">
        <v>923</v>
      </c>
      <c r="AI101">
        <v>76</v>
      </c>
      <c r="AJ101" t="s">
        <v>558</v>
      </c>
      <c r="AK101" t="s">
        <v>934</v>
      </c>
      <c r="AL101" t="s">
        <v>274</v>
      </c>
      <c r="AT101">
        <v>2</v>
      </c>
      <c r="AU101">
        <v>1</v>
      </c>
      <c r="AV101" t="s">
        <v>273</v>
      </c>
      <c r="AY101" t="s">
        <v>273</v>
      </c>
      <c r="BB101">
        <v>0</v>
      </c>
      <c r="BC101">
        <v>0</v>
      </c>
      <c r="BD101">
        <v>0</v>
      </c>
      <c r="BE101">
        <v>0</v>
      </c>
      <c r="BF101" t="s">
        <v>1063</v>
      </c>
      <c r="BG101" t="s">
        <v>3351</v>
      </c>
      <c r="BH101">
        <v>27</v>
      </c>
      <c r="BI101" t="s">
        <v>1247</v>
      </c>
      <c r="BK101">
        <v>1888905</v>
      </c>
      <c r="BL101" t="s">
        <v>274</v>
      </c>
    </row>
    <row r="102" spans="1:64">
      <c r="A102" s="1">
        <f>HYPERLINK("https://lsnyc.legalserver.org/matter/dynamic-profile/view/1899100","19-1899100")</f>
        <v>0</v>
      </c>
      <c r="B102" t="s">
        <v>2883</v>
      </c>
      <c r="C102" t="s">
        <v>2975</v>
      </c>
      <c r="D102" t="s">
        <v>255</v>
      </c>
      <c r="E102" t="s">
        <v>2978</v>
      </c>
      <c r="F102" t="s">
        <v>273</v>
      </c>
      <c r="G102" t="s">
        <v>275</v>
      </c>
      <c r="H102">
        <v>0</v>
      </c>
      <c r="I102" t="s">
        <v>274</v>
      </c>
      <c r="K102" t="s">
        <v>2985</v>
      </c>
      <c r="P102" t="s">
        <v>492</v>
      </c>
      <c r="Q102" t="s">
        <v>502</v>
      </c>
      <c r="S102" t="s">
        <v>503</v>
      </c>
      <c r="T102" t="s">
        <v>507</v>
      </c>
      <c r="U102" t="s">
        <v>511</v>
      </c>
      <c r="V102">
        <v>10033</v>
      </c>
      <c r="W102" t="s">
        <v>521</v>
      </c>
      <c r="X102" t="s">
        <v>548</v>
      </c>
      <c r="Y102" t="s">
        <v>275</v>
      </c>
      <c r="Z102" t="s">
        <v>3083</v>
      </c>
      <c r="AA102" t="s">
        <v>3191</v>
      </c>
      <c r="AB102" t="s">
        <v>902</v>
      </c>
      <c r="AC102" t="s">
        <v>906</v>
      </c>
      <c r="AF102" t="s">
        <v>923</v>
      </c>
      <c r="AI102">
        <v>11.2</v>
      </c>
      <c r="AJ102" t="s">
        <v>558</v>
      </c>
      <c r="AK102" t="s">
        <v>934</v>
      </c>
      <c r="AL102" t="s">
        <v>274</v>
      </c>
      <c r="AT102">
        <v>2</v>
      </c>
      <c r="AU102">
        <v>1</v>
      </c>
      <c r="AV102" t="s">
        <v>273</v>
      </c>
      <c r="AY102" t="s">
        <v>273</v>
      </c>
      <c r="BB102">
        <v>0</v>
      </c>
      <c r="BC102">
        <v>0</v>
      </c>
      <c r="BD102">
        <v>0</v>
      </c>
      <c r="BE102">
        <v>0</v>
      </c>
      <c r="BF102" t="s">
        <v>1063</v>
      </c>
      <c r="BG102" t="s">
        <v>3352</v>
      </c>
      <c r="BH102">
        <v>16</v>
      </c>
      <c r="BI102" t="s">
        <v>1247</v>
      </c>
      <c r="BK102">
        <v>1895859</v>
      </c>
    </row>
    <row r="103" spans="1:64">
      <c r="A103" s="1">
        <f>HYPERLINK("https://lsnyc.legalserver.org/matter/dynamic-profile/view/1899105","19-1899105")</f>
        <v>0</v>
      </c>
      <c r="B103" t="s">
        <v>2883</v>
      </c>
      <c r="C103" t="s">
        <v>2975</v>
      </c>
      <c r="D103" t="s">
        <v>255</v>
      </c>
      <c r="E103" t="s">
        <v>2978</v>
      </c>
      <c r="F103" t="s">
        <v>273</v>
      </c>
      <c r="G103" t="s">
        <v>275</v>
      </c>
      <c r="H103">
        <v>0</v>
      </c>
      <c r="I103" t="s">
        <v>274</v>
      </c>
      <c r="K103" t="s">
        <v>2985</v>
      </c>
      <c r="P103" t="s">
        <v>492</v>
      </c>
      <c r="Q103" t="s">
        <v>502</v>
      </c>
      <c r="S103" t="s">
        <v>504</v>
      </c>
      <c r="T103" t="s">
        <v>507</v>
      </c>
      <c r="U103" t="s">
        <v>512</v>
      </c>
      <c r="V103">
        <v>10033</v>
      </c>
      <c r="X103" t="s">
        <v>548</v>
      </c>
      <c r="Y103" t="s">
        <v>275</v>
      </c>
      <c r="Z103" t="s">
        <v>3083</v>
      </c>
      <c r="AA103" t="s">
        <v>3191</v>
      </c>
      <c r="AB103" t="s">
        <v>902</v>
      </c>
      <c r="AC103" t="s">
        <v>906</v>
      </c>
      <c r="AF103" t="s">
        <v>926</v>
      </c>
      <c r="AI103">
        <v>11.7</v>
      </c>
      <c r="AJ103" t="s">
        <v>558</v>
      </c>
      <c r="AK103" t="s">
        <v>934</v>
      </c>
      <c r="AL103" t="s">
        <v>274</v>
      </c>
      <c r="AT103">
        <v>2</v>
      </c>
      <c r="AU103">
        <v>1</v>
      </c>
      <c r="AV103" t="s">
        <v>273</v>
      </c>
      <c r="AY103" t="s">
        <v>273</v>
      </c>
      <c r="BB103">
        <v>0</v>
      </c>
      <c r="BC103">
        <v>0</v>
      </c>
      <c r="BD103">
        <v>0</v>
      </c>
      <c r="BE103">
        <v>0</v>
      </c>
      <c r="BF103" t="s">
        <v>1063</v>
      </c>
      <c r="BG103" t="s">
        <v>3352</v>
      </c>
      <c r="BH103">
        <v>16</v>
      </c>
      <c r="BI103" t="s">
        <v>1247</v>
      </c>
      <c r="BK103">
        <v>1895859</v>
      </c>
    </row>
    <row r="104" spans="1:64">
      <c r="A104" s="1">
        <f>HYPERLINK("https://lsnyc.legalserver.org/matter/dynamic-profile/view/1899108","19-1899108")</f>
        <v>0</v>
      </c>
      <c r="B104" t="s">
        <v>2884</v>
      </c>
      <c r="C104" t="s">
        <v>2975</v>
      </c>
      <c r="D104" t="s">
        <v>257</v>
      </c>
      <c r="E104" t="s">
        <v>2978</v>
      </c>
      <c r="F104" t="s">
        <v>273</v>
      </c>
      <c r="G104" t="s">
        <v>275</v>
      </c>
      <c r="H104">
        <v>97.52</v>
      </c>
      <c r="I104" t="s">
        <v>274</v>
      </c>
      <c r="K104" t="s">
        <v>2985</v>
      </c>
      <c r="P104" t="s">
        <v>492</v>
      </c>
      <c r="Q104" t="s">
        <v>502</v>
      </c>
      <c r="S104" t="s">
        <v>503</v>
      </c>
      <c r="T104" t="s">
        <v>507</v>
      </c>
      <c r="U104" t="s">
        <v>511</v>
      </c>
      <c r="V104">
        <v>10451</v>
      </c>
      <c r="W104" t="s">
        <v>3017</v>
      </c>
      <c r="X104" t="s">
        <v>548</v>
      </c>
      <c r="Y104" t="s">
        <v>275</v>
      </c>
      <c r="Z104" t="s">
        <v>657</v>
      </c>
      <c r="AA104" t="s">
        <v>2261</v>
      </c>
      <c r="AB104" t="s">
        <v>902</v>
      </c>
      <c r="AC104" t="s">
        <v>2359</v>
      </c>
      <c r="AF104" t="s">
        <v>926</v>
      </c>
      <c r="AI104">
        <v>10.45</v>
      </c>
      <c r="AJ104" t="s">
        <v>558</v>
      </c>
      <c r="AK104" t="s">
        <v>934</v>
      </c>
      <c r="AL104" t="s">
        <v>274</v>
      </c>
      <c r="AT104">
        <v>1</v>
      </c>
      <c r="AU104">
        <v>2</v>
      </c>
      <c r="AV104" t="s">
        <v>273</v>
      </c>
      <c r="AY104" t="s">
        <v>273</v>
      </c>
      <c r="BB104">
        <v>0</v>
      </c>
      <c r="BC104">
        <v>0</v>
      </c>
      <c r="BD104">
        <v>0</v>
      </c>
      <c r="BE104">
        <v>0</v>
      </c>
      <c r="BF104" t="s">
        <v>1063</v>
      </c>
      <c r="BG104" t="s">
        <v>3353</v>
      </c>
      <c r="BH104">
        <v>11</v>
      </c>
      <c r="BI104" t="s">
        <v>1261</v>
      </c>
      <c r="BK104">
        <v>768462</v>
      </c>
    </row>
    <row r="105" spans="1:64">
      <c r="A105" s="1">
        <f>HYPERLINK("https://lsnyc.legalserver.org/matter/dynamic-profile/view/1898819","19-1898819")</f>
        <v>0</v>
      </c>
      <c r="B105" t="s">
        <v>2885</v>
      </c>
      <c r="C105" t="s">
        <v>2975</v>
      </c>
      <c r="D105" t="s">
        <v>255</v>
      </c>
      <c r="E105" t="s">
        <v>2983</v>
      </c>
      <c r="F105" t="s">
        <v>273</v>
      </c>
      <c r="G105" t="s">
        <v>275</v>
      </c>
      <c r="H105">
        <v>0</v>
      </c>
      <c r="I105" t="s">
        <v>274</v>
      </c>
      <c r="K105" t="s">
        <v>317</v>
      </c>
      <c r="P105" t="s">
        <v>492</v>
      </c>
      <c r="Q105" t="s">
        <v>502</v>
      </c>
      <c r="S105" t="s">
        <v>503</v>
      </c>
      <c r="T105" t="s">
        <v>507</v>
      </c>
      <c r="U105" t="s">
        <v>511</v>
      </c>
      <c r="V105">
        <v>10026</v>
      </c>
      <c r="W105" t="s">
        <v>519</v>
      </c>
      <c r="X105" t="s">
        <v>548</v>
      </c>
      <c r="Z105" t="s">
        <v>3084</v>
      </c>
      <c r="AA105" t="s">
        <v>2102</v>
      </c>
      <c r="AB105" t="s">
        <v>902</v>
      </c>
      <c r="AC105" t="s">
        <v>905</v>
      </c>
      <c r="AF105" t="s">
        <v>930</v>
      </c>
      <c r="AI105">
        <v>11.2</v>
      </c>
      <c r="AJ105" t="s">
        <v>558</v>
      </c>
      <c r="AK105" t="s">
        <v>934</v>
      </c>
      <c r="AL105" t="s">
        <v>274</v>
      </c>
      <c r="AT105">
        <v>1</v>
      </c>
      <c r="AU105">
        <v>1</v>
      </c>
      <c r="AV105" t="s">
        <v>273</v>
      </c>
      <c r="AY105" t="s">
        <v>273</v>
      </c>
      <c r="BB105">
        <v>0</v>
      </c>
      <c r="BC105">
        <v>0</v>
      </c>
      <c r="BD105">
        <v>0</v>
      </c>
      <c r="BE105">
        <v>0</v>
      </c>
      <c r="BF105" t="s">
        <v>1063</v>
      </c>
      <c r="BG105" t="s">
        <v>3354</v>
      </c>
      <c r="BH105">
        <v>7</v>
      </c>
      <c r="BI105" t="s">
        <v>1247</v>
      </c>
      <c r="BK105">
        <v>1896068</v>
      </c>
    </row>
    <row r="106" spans="1:64">
      <c r="A106" s="1">
        <f>HYPERLINK("https://lsnyc.legalserver.org/matter/dynamic-profile/view/1898833","19-1898833")</f>
        <v>0</v>
      </c>
      <c r="B106" t="s">
        <v>2886</v>
      </c>
      <c r="C106" t="s">
        <v>2975</v>
      </c>
      <c r="D106" t="s">
        <v>255</v>
      </c>
      <c r="E106" t="s">
        <v>2983</v>
      </c>
      <c r="F106" t="s">
        <v>273</v>
      </c>
      <c r="G106" t="s">
        <v>275</v>
      </c>
      <c r="H106">
        <v>0</v>
      </c>
      <c r="I106" t="s">
        <v>274</v>
      </c>
      <c r="K106" t="s">
        <v>317</v>
      </c>
      <c r="P106" t="s">
        <v>492</v>
      </c>
      <c r="Q106" t="s">
        <v>501</v>
      </c>
      <c r="S106" t="s">
        <v>503</v>
      </c>
      <c r="T106" t="s">
        <v>508</v>
      </c>
      <c r="U106" t="s">
        <v>511</v>
      </c>
      <c r="V106">
        <v>10026</v>
      </c>
      <c r="W106" t="s">
        <v>519</v>
      </c>
      <c r="X106" t="s">
        <v>548</v>
      </c>
      <c r="Z106" t="s">
        <v>3085</v>
      </c>
      <c r="AA106" t="s">
        <v>2102</v>
      </c>
      <c r="AB106" t="s">
        <v>902</v>
      </c>
      <c r="AC106" t="s">
        <v>907</v>
      </c>
      <c r="AF106" t="s">
        <v>930</v>
      </c>
      <c r="AI106">
        <v>25.48</v>
      </c>
      <c r="AJ106" t="s">
        <v>558</v>
      </c>
      <c r="AK106" t="s">
        <v>934</v>
      </c>
      <c r="AL106" t="s">
        <v>274</v>
      </c>
      <c r="AT106">
        <v>1</v>
      </c>
      <c r="AU106">
        <v>1</v>
      </c>
      <c r="AV106" t="s">
        <v>273</v>
      </c>
      <c r="AY106" t="s">
        <v>273</v>
      </c>
      <c r="BB106">
        <v>0</v>
      </c>
      <c r="BC106">
        <v>0</v>
      </c>
      <c r="BD106">
        <v>0</v>
      </c>
      <c r="BE106">
        <v>0</v>
      </c>
      <c r="BF106" t="s">
        <v>1063</v>
      </c>
      <c r="BG106" t="s">
        <v>3355</v>
      </c>
      <c r="BH106">
        <v>29</v>
      </c>
      <c r="BI106" t="s">
        <v>1247</v>
      </c>
      <c r="BK106">
        <v>1895743</v>
      </c>
    </row>
    <row r="107" spans="1:64">
      <c r="A107" s="1">
        <f>HYPERLINK("https://lsnyc.legalserver.org/matter/dynamic-profile/view/1898642","19-1898642")</f>
        <v>0</v>
      </c>
      <c r="B107" t="s">
        <v>2887</v>
      </c>
      <c r="C107" t="s">
        <v>2975</v>
      </c>
      <c r="D107" t="s">
        <v>255</v>
      </c>
      <c r="E107" t="s">
        <v>2981</v>
      </c>
      <c r="F107" t="s">
        <v>273</v>
      </c>
      <c r="G107" t="s">
        <v>275</v>
      </c>
      <c r="H107">
        <v>7.65</v>
      </c>
      <c r="I107" t="s">
        <v>274</v>
      </c>
      <c r="K107" t="s">
        <v>2986</v>
      </c>
      <c r="P107" t="s">
        <v>492</v>
      </c>
      <c r="Q107" t="s">
        <v>502</v>
      </c>
      <c r="S107" t="s">
        <v>503</v>
      </c>
      <c r="T107" t="s">
        <v>507</v>
      </c>
      <c r="U107" t="s">
        <v>511</v>
      </c>
      <c r="V107">
        <v>10025</v>
      </c>
      <c r="W107" t="s">
        <v>519</v>
      </c>
      <c r="X107" t="s">
        <v>548</v>
      </c>
      <c r="Z107" t="s">
        <v>3086</v>
      </c>
      <c r="AA107" t="s">
        <v>3192</v>
      </c>
      <c r="AB107" t="s">
        <v>902</v>
      </c>
      <c r="AC107" t="s">
        <v>905</v>
      </c>
      <c r="AF107" t="s">
        <v>926</v>
      </c>
      <c r="AI107">
        <v>0</v>
      </c>
      <c r="AJ107" t="s">
        <v>558</v>
      </c>
      <c r="AK107" t="s">
        <v>934</v>
      </c>
      <c r="AL107" t="s">
        <v>274</v>
      </c>
      <c r="AT107">
        <v>2</v>
      </c>
      <c r="AU107">
        <v>1</v>
      </c>
      <c r="AV107" t="s">
        <v>273</v>
      </c>
      <c r="AY107" t="s">
        <v>273</v>
      </c>
      <c r="BB107">
        <v>0</v>
      </c>
      <c r="BC107">
        <v>0</v>
      </c>
      <c r="BD107">
        <v>0</v>
      </c>
      <c r="BE107">
        <v>0</v>
      </c>
      <c r="BF107" t="s">
        <v>1063</v>
      </c>
      <c r="BG107" t="s">
        <v>3356</v>
      </c>
      <c r="BH107">
        <v>5</v>
      </c>
      <c r="BI107" t="s">
        <v>3453</v>
      </c>
      <c r="BK107">
        <v>1896834</v>
      </c>
    </row>
    <row r="108" spans="1:64">
      <c r="A108" s="1">
        <f>HYPERLINK("https://lsnyc.legalserver.org/matter/dynamic-profile/view/1898651","19-1898651")</f>
        <v>0</v>
      </c>
      <c r="B108" t="s">
        <v>2888</v>
      </c>
      <c r="C108" t="s">
        <v>2975</v>
      </c>
      <c r="D108" t="s">
        <v>255</v>
      </c>
      <c r="E108" t="s">
        <v>2981</v>
      </c>
      <c r="F108" t="s">
        <v>273</v>
      </c>
      <c r="G108" t="s">
        <v>275</v>
      </c>
      <c r="H108">
        <v>6.34</v>
      </c>
      <c r="I108" t="s">
        <v>274</v>
      </c>
      <c r="K108" t="s">
        <v>2986</v>
      </c>
      <c r="P108" t="s">
        <v>492</v>
      </c>
      <c r="Q108" t="s">
        <v>501</v>
      </c>
      <c r="S108" t="s">
        <v>503</v>
      </c>
      <c r="T108" t="s">
        <v>508</v>
      </c>
      <c r="U108" t="s">
        <v>511</v>
      </c>
      <c r="V108">
        <v>10025</v>
      </c>
      <c r="W108" t="s">
        <v>519</v>
      </c>
      <c r="X108" t="s">
        <v>548</v>
      </c>
      <c r="Y108" t="s">
        <v>275</v>
      </c>
      <c r="Z108" t="s">
        <v>3087</v>
      </c>
      <c r="AA108" t="s">
        <v>3192</v>
      </c>
      <c r="AB108" t="s">
        <v>902</v>
      </c>
      <c r="AC108" t="s">
        <v>905</v>
      </c>
      <c r="AF108" t="s">
        <v>926</v>
      </c>
      <c r="AI108">
        <v>28</v>
      </c>
      <c r="AJ108" t="s">
        <v>558</v>
      </c>
      <c r="AK108" t="s">
        <v>934</v>
      </c>
      <c r="AL108" t="s">
        <v>274</v>
      </c>
      <c r="AT108">
        <v>3</v>
      </c>
      <c r="AU108">
        <v>1</v>
      </c>
      <c r="AV108" t="s">
        <v>273</v>
      </c>
      <c r="AY108" t="s">
        <v>273</v>
      </c>
      <c r="BB108">
        <v>0</v>
      </c>
      <c r="BC108">
        <v>0</v>
      </c>
      <c r="BD108">
        <v>0</v>
      </c>
      <c r="BE108">
        <v>0</v>
      </c>
      <c r="BF108" t="s">
        <v>1063</v>
      </c>
      <c r="BG108" t="s">
        <v>3357</v>
      </c>
      <c r="BH108">
        <v>30</v>
      </c>
      <c r="BI108" t="s">
        <v>3453</v>
      </c>
      <c r="BK108">
        <v>1892741</v>
      </c>
    </row>
    <row r="109" spans="1:64">
      <c r="A109" s="1">
        <f>HYPERLINK("https://lsnyc.legalserver.org/matter/dynamic-profile/view/1898660","19-1898660")</f>
        <v>0</v>
      </c>
      <c r="B109" t="s">
        <v>2834</v>
      </c>
      <c r="C109" t="s">
        <v>2975</v>
      </c>
      <c r="D109" t="s">
        <v>257</v>
      </c>
      <c r="E109" t="s">
        <v>2977</v>
      </c>
      <c r="F109" t="s">
        <v>273</v>
      </c>
      <c r="G109" t="s">
        <v>275</v>
      </c>
      <c r="H109">
        <v>0</v>
      </c>
      <c r="I109" t="s">
        <v>274</v>
      </c>
      <c r="K109" t="s">
        <v>2986</v>
      </c>
      <c r="M109" t="s">
        <v>473</v>
      </c>
      <c r="N109" t="s">
        <v>447</v>
      </c>
      <c r="O109" t="s">
        <v>275</v>
      </c>
      <c r="P109" t="s">
        <v>492</v>
      </c>
      <c r="Q109" t="s">
        <v>501</v>
      </c>
      <c r="S109" t="s">
        <v>503</v>
      </c>
      <c r="T109" t="s">
        <v>507</v>
      </c>
      <c r="U109" t="s">
        <v>511</v>
      </c>
      <c r="V109">
        <v>10457</v>
      </c>
      <c r="W109" t="s">
        <v>518</v>
      </c>
      <c r="X109" t="s">
        <v>548</v>
      </c>
      <c r="Y109" t="s">
        <v>275</v>
      </c>
      <c r="Z109" t="s">
        <v>3042</v>
      </c>
      <c r="AA109" t="s">
        <v>3161</v>
      </c>
      <c r="AB109" t="s">
        <v>902</v>
      </c>
      <c r="AC109" t="s">
        <v>910</v>
      </c>
      <c r="AF109" t="s">
        <v>926</v>
      </c>
      <c r="AI109">
        <v>0.85</v>
      </c>
      <c r="AJ109" t="s">
        <v>558</v>
      </c>
      <c r="AK109" t="s">
        <v>934</v>
      </c>
      <c r="AL109" t="s">
        <v>274</v>
      </c>
      <c r="AT109">
        <v>1</v>
      </c>
      <c r="AU109">
        <v>1</v>
      </c>
      <c r="AV109" t="s">
        <v>273</v>
      </c>
      <c r="AY109" t="s">
        <v>273</v>
      </c>
      <c r="BB109">
        <v>0</v>
      </c>
      <c r="BC109">
        <v>0</v>
      </c>
      <c r="BD109">
        <v>0</v>
      </c>
      <c r="BE109">
        <v>0</v>
      </c>
      <c r="BF109" t="s">
        <v>1063</v>
      </c>
      <c r="BG109" t="s">
        <v>3305</v>
      </c>
      <c r="BH109">
        <v>41</v>
      </c>
      <c r="BI109" t="s">
        <v>1247</v>
      </c>
      <c r="BK109">
        <v>1873406</v>
      </c>
    </row>
    <row r="110" spans="1:64">
      <c r="A110" s="1">
        <f>HYPERLINK("https://lsnyc.legalserver.org/matter/dynamic-profile/view/1898663","19-1898663")</f>
        <v>0</v>
      </c>
      <c r="B110" t="s">
        <v>2889</v>
      </c>
      <c r="C110" t="s">
        <v>2975</v>
      </c>
      <c r="D110" t="s">
        <v>257</v>
      </c>
      <c r="E110" t="s">
        <v>2981</v>
      </c>
      <c r="F110" t="s">
        <v>273</v>
      </c>
      <c r="G110" t="s">
        <v>275</v>
      </c>
      <c r="H110">
        <v>0</v>
      </c>
      <c r="I110" t="s">
        <v>274</v>
      </c>
      <c r="K110" t="s">
        <v>2986</v>
      </c>
      <c r="P110" t="s">
        <v>492</v>
      </c>
      <c r="Q110" t="s">
        <v>501</v>
      </c>
      <c r="S110" t="s">
        <v>503</v>
      </c>
      <c r="T110" t="s">
        <v>508</v>
      </c>
      <c r="U110" t="s">
        <v>511</v>
      </c>
      <c r="V110">
        <v>10452</v>
      </c>
      <c r="W110" t="s">
        <v>519</v>
      </c>
      <c r="X110" t="s">
        <v>548</v>
      </c>
      <c r="Y110" t="s">
        <v>275</v>
      </c>
      <c r="Z110" t="s">
        <v>3076</v>
      </c>
      <c r="AA110" t="s">
        <v>3193</v>
      </c>
      <c r="AB110" t="s">
        <v>902</v>
      </c>
      <c r="AC110" t="s">
        <v>905</v>
      </c>
      <c r="AF110" t="s">
        <v>926</v>
      </c>
      <c r="AI110">
        <v>0</v>
      </c>
      <c r="AJ110" t="s">
        <v>558</v>
      </c>
      <c r="AK110" t="s">
        <v>934</v>
      </c>
      <c r="AL110" t="s">
        <v>274</v>
      </c>
      <c r="AT110">
        <v>3</v>
      </c>
      <c r="AU110">
        <v>1</v>
      </c>
      <c r="AV110" t="s">
        <v>273</v>
      </c>
      <c r="AY110" t="s">
        <v>273</v>
      </c>
      <c r="BB110">
        <v>0</v>
      </c>
      <c r="BC110">
        <v>0</v>
      </c>
      <c r="BD110">
        <v>0</v>
      </c>
      <c r="BE110">
        <v>0</v>
      </c>
      <c r="BF110" t="s">
        <v>1063</v>
      </c>
      <c r="BG110" t="s">
        <v>3358</v>
      </c>
      <c r="BH110">
        <v>44</v>
      </c>
      <c r="BI110" t="s">
        <v>1247</v>
      </c>
      <c r="BK110">
        <v>1887704</v>
      </c>
    </row>
    <row r="111" spans="1:64">
      <c r="A111" s="1">
        <f>HYPERLINK("https://lsnyc.legalserver.org/matter/dynamic-profile/view/1898708","19-1898708")</f>
        <v>0</v>
      </c>
      <c r="B111" t="s">
        <v>2890</v>
      </c>
      <c r="C111" t="s">
        <v>2975</v>
      </c>
      <c r="D111" t="s">
        <v>257</v>
      </c>
      <c r="E111" t="s">
        <v>2981</v>
      </c>
      <c r="F111" t="s">
        <v>273</v>
      </c>
      <c r="G111" t="s">
        <v>275</v>
      </c>
      <c r="H111">
        <v>0</v>
      </c>
      <c r="I111" t="s">
        <v>274</v>
      </c>
      <c r="K111" t="s">
        <v>2986</v>
      </c>
      <c r="P111" t="s">
        <v>492</v>
      </c>
      <c r="Q111" t="s">
        <v>502</v>
      </c>
      <c r="S111" t="s">
        <v>503</v>
      </c>
      <c r="T111" t="s">
        <v>508</v>
      </c>
      <c r="U111" t="s">
        <v>511</v>
      </c>
      <c r="V111">
        <v>10452</v>
      </c>
      <c r="W111" t="s">
        <v>529</v>
      </c>
      <c r="X111" t="s">
        <v>548</v>
      </c>
      <c r="Y111" t="s">
        <v>275</v>
      </c>
      <c r="Z111" t="s">
        <v>3088</v>
      </c>
      <c r="AA111" t="s">
        <v>3194</v>
      </c>
      <c r="AB111" t="s">
        <v>902</v>
      </c>
      <c r="AC111" t="s">
        <v>905</v>
      </c>
      <c r="AF111" t="s">
        <v>923</v>
      </c>
      <c r="AI111">
        <v>0</v>
      </c>
      <c r="AJ111" t="s">
        <v>558</v>
      </c>
      <c r="AK111" t="s">
        <v>934</v>
      </c>
      <c r="AL111" t="s">
        <v>274</v>
      </c>
      <c r="AT111">
        <v>3</v>
      </c>
      <c r="AU111">
        <v>1</v>
      </c>
      <c r="AV111" t="s">
        <v>273</v>
      </c>
      <c r="AY111" t="s">
        <v>273</v>
      </c>
      <c r="BB111">
        <v>0</v>
      </c>
      <c r="BC111">
        <v>0</v>
      </c>
      <c r="BD111">
        <v>0</v>
      </c>
      <c r="BE111">
        <v>0</v>
      </c>
      <c r="BF111" t="s">
        <v>1063</v>
      </c>
      <c r="BG111" t="s">
        <v>3359</v>
      </c>
      <c r="BH111">
        <v>5</v>
      </c>
      <c r="BI111" t="s">
        <v>1247</v>
      </c>
      <c r="BK111">
        <v>1893441</v>
      </c>
    </row>
    <row r="112" spans="1:64">
      <c r="A112" s="1">
        <f>HYPERLINK("https://lsnyc.legalserver.org/matter/dynamic-profile/view/1898715","19-1898715")</f>
        <v>0</v>
      </c>
      <c r="B112" t="s">
        <v>2890</v>
      </c>
      <c r="C112" t="s">
        <v>2975</v>
      </c>
      <c r="D112" t="s">
        <v>257</v>
      </c>
      <c r="E112" t="s">
        <v>2981</v>
      </c>
      <c r="F112" t="s">
        <v>273</v>
      </c>
      <c r="G112" t="s">
        <v>275</v>
      </c>
      <c r="H112">
        <v>0</v>
      </c>
      <c r="I112" t="s">
        <v>274</v>
      </c>
      <c r="K112" t="s">
        <v>2986</v>
      </c>
      <c r="P112" t="s">
        <v>492</v>
      </c>
      <c r="Q112" t="s">
        <v>502</v>
      </c>
      <c r="S112" t="s">
        <v>503</v>
      </c>
      <c r="T112" t="s">
        <v>508</v>
      </c>
      <c r="U112" t="s">
        <v>511</v>
      </c>
      <c r="V112">
        <v>10452</v>
      </c>
      <c r="W112" t="s">
        <v>519</v>
      </c>
      <c r="X112" t="s">
        <v>548</v>
      </c>
      <c r="Y112" t="s">
        <v>275</v>
      </c>
      <c r="Z112" t="s">
        <v>3088</v>
      </c>
      <c r="AA112" t="s">
        <v>3194</v>
      </c>
      <c r="AB112" t="s">
        <v>902</v>
      </c>
      <c r="AC112" t="s">
        <v>905</v>
      </c>
      <c r="AF112" t="s">
        <v>926</v>
      </c>
      <c r="AI112">
        <v>0</v>
      </c>
      <c r="AJ112" t="s">
        <v>558</v>
      </c>
      <c r="AK112" t="s">
        <v>934</v>
      </c>
      <c r="AL112" t="s">
        <v>274</v>
      </c>
      <c r="AT112">
        <v>3</v>
      </c>
      <c r="AU112">
        <v>1</v>
      </c>
      <c r="AV112" t="s">
        <v>273</v>
      </c>
      <c r="AY112" t="s">
        <v>273</v>
      </c>
      <c r="BB112">
        <v>0</v>
      </c>
      <c r="BC112">
        <v>0</v>
      </c>
      <c r="BD112">
        <v>0</v>
      </c>
      <c r="BE112">
        <v>0</v>
      </c>
      <c r="BF112" t="s">
        <v>1063</v>
      </c>
      <c r="BG112" t="s">
        <v>3359</v>
      </c>
      <c r="BH112">
        <v>5</v>
      </c>
      <c r="BI112" t="s">
        <v>1247</v>
      </c>
      <c r="BK112">
        <v>1893441</v>
      </c>
    </row>
    <row r="113" spans="1:63">
      <c r="A113" s="1">
        <f>HYPERLINK("https://lsnyc.legalserver.org/matter/dynamic-profile/view/1898723","19-1898723")</f>
        <v>0</v>
      </c>
      <c r="B113" t="s">
        <v>2891</v>
      </c>
      <c r="C113" t="s">
        <v>2975</v>
      </c>
      <c r="D113" t="s">
        <v>257</v>
      </c>
      <c r="E113" t="s">
        <v>2981</v>
      </c>
      <c r="F113" t="s">
        <v>273</v>
      </c>
      <c r="G113" t="s">
        <v>275</v>
      </c>
      <c r="H113">
        <v>0</v>
      </c>
      <c r="I113" t="s">
        <v>274</v>
      </c>
      <c r="K113" t="s">
        <v>2986</v>
      </c>
      <c r="P113" t="s">
        <v>492</v>
      </c>
      <c r="Q113" t="s">
        <v>502</v>
      </c>
      <c r="S113" t="s">
        <v>503</v>
      </c>
      <c r="T113" t="s">
        <v>508</v>
      </c>
      <c r="U113" t="s">
        <v>511</v>
      </c>
      <c r="V113">
        <v>10452</v>
      </c>
      <c r="W113" t="s">
        <v>519</v>
      </c>
      <c r="X113" t="s">
        <v>548</v>
      </c>
      <c r="Y113" t="s">
        <v>275</v>
      </c>
      <c r="Z113" t="s">
        <v>3089</v>
      </c>
      <c r="AA113" t="s">
        <v>3194</v>
      </c>
      <c r="AB113" t="s">
        <v>902</v>
      </c>
      <c r="AC113" t="s">
        <v>905</v>
      </c>
      <c r="AF113" t="s">
        <v>926</v>
      </c>
      <c r="AI113">
        <v>0</v>
      </c>
      <c r="AJ113" t="s">
        <v>558</v>
      </c>
      <c r="AK113" t="s">
        <v>934</v>
      </c>
      <c r="AL113" t="s">
        <v>274</v>
      </c>
      <c r="AT113">
        <v>3</v>
      </c>
      <c r="AU113">
        <v>1</v>
      </c>
      <c r="AV113" t="s">
        <v>273</v>
      </c>
      <c r="AY113" t="s">
        <v>273</v>
      </c>
      <c r="BB113">
        <v>0</v>
      </c>
      <c r="BC113">
        <v>0</v>
      </c>
      <c r="BD113">
        <v>0</v>
      </c>
      <c r="BE113">
        <v>0</v>
      </c>
      <c r="BF113" t="s">
        <v>1063</v>
      </c>
      <c r="BG113" t="s">
        <v>3360</v>
      </c>
      <c r="BH113">
        <v>17</v>
      </c>
      <c r="BI113" t="s">
        <v>1247</v>
      </c>
      <c r="BK113">
        <v>1893445</v>
      </c>
    </row>
    <row r="114" spans="1:63">
      <c r="A114" s="1">
        <f>HYPERLINK("https://lsnyc.legalserver.org/matter/dynamic-profile/view/1898725","19-1898725")</f>
        <v>0</v>
      </c>
      <c r="B114" t="s">
        <v>2891</v>
      </c>
      <c r="C114" t="s">
        <v>2975</v>
      </c>
      <c r="D114" t="s">
        <v>257</v>
      </c>
      <c r="E114" t="s">
        <v>2981</v>
      </c>
      <c r="F114" t="s">
        <v>273</v>
      </c>
      <c r="G114" t="s">
        <v>275</v>
      </c>
      <c r="H114">
        <v>0</v>
      </c>
      <c r="I114" t="s">
        <v>274</v>
      </c>
      <c r="K114" t="s">
        <v>2986</v>
      </c>
      <c r="P114" t="s">
        <v>492</v>
      </c>
      <c r="Q114" t="s">
        <v>502</v>
      </c>
      <c r="S114" t="s">
        <v>503</v>
      </c>
      <c r="T114" t="s">
        <v>508</v>
      </c>
      <c r="U114" t="s">
        <v>511</v>
      </c>
      <c r="V114">
        <v>10452</v>
      </c>
      <c r="W114" t="s">
        <v>529</v>
      </c>
      <c r="X114" t="s">
        <v>548</v>
      </c>
      <c r="Y114" t="s">
        <v>275</v>
      </c>
      <c r="Z114" t="s">
        <v>3089</v>
      </c>
      <c r="AA114" t="s">
        <v>3194</v>
      </c>
      <c r="AB114" t="s">
        <v>902</v>
      </c>
      <c r="AC114" t="s">
        <v>905</v>
      </c>
      <c r="AF114" t="s">
        <v>923</v>
      </c>
      <c r="AI114">
        <v>0</v>
      </c>
      <c r="AJ114" t="s">
        <v>558</v>
      </c>
      <c r="AK114" t="s">
        <v>934</v>
      </c>
      <c r="AL114" t="s">
        <v>274</v>
      </c>
      <c r="AT114">
        <v>3</v>
      </c>
      <c r="AU114">
        <v>1</v>
      </c>
      <c r="AV114" t="s">
        <v>273</v>
      </c>
      <c r="AY114" t="s">
        <v>273</v>
      </c>
      <c r="BB114">
        <v>0</v>
      </c>
      <c r="BC114">
        <v>0</v>
      </c>
      <c r="BD114">
        <v>0</v>
      </c>
      <c r="BE114">
        <v>0</v>
      </c>
      <c r="BF114" t="s">
        <v>1063</v>
      </c>
      <c r="BG114" t="s">
        <v>3360</v>
      </c>
      <c r="BH114">
        <v>17</v>
      </c>
      <c r="BI114" t="s">
        <v>1247</v>
      </c>
      <c r="BK114">
        <v>1893445</v>
      </c>
    </row>
    <row r="115" spans="1:63">
      <c r="A115" s="1">
        <f>HYPERLINK("https://lsnyc.legalserver.org/matter/dynamic-profile/view/1898735","19-1898735")</f>
        <v>0</v>
      </c>
      <c r="B115" t="s">
        <v>2892</v>
      </c>
      <c r="C115" t="s">
        <v>2975</v>
      </c>
      <c r="D115" t="s">
        <v>257</v>
      </c>
      <c r="E115" t="s">
        <v>2981</v>
      </c>
      <c r="F115" t="s">
        <v>273</v>
      </c>
      <c r="G115" t="s">
        <v>275</v>
      </c>
      <c r="H115">
        <v>0</v>
      </c>
      <c r="I115" t="s">
        <v>274</v>
      </c>
      <c r="K115" t="s">
        <v>2986</v>
      </c>
      <c r="P115" t="s">
        <v>492</v>
      </c>
      <c r="Q115" t="s">
        <v>502</v>
      </c>
      <c r="S115" t="s">
        <v>503</v>
      </c>
      <c r="T115" t="s">
        <v>508</v>
      </c>
      <c r="U115" t="s">
        <v>511</v>
      </c>
      <c r="V115">
        <v>10452</v>
      </c>
      <c r="W115" t="s">
        <v>529</v>
      </c>
      <c r="X115" t="s">
        <v>548</v>
      </c>
      <c r="Z115" t="s">
        <v>3090</v>
      </c>
      <c r="AA115" t="s">
        <v>3194</v>
      </c>
      <c r="AB115" t="s">
        <v>902</v>
      </c>
      <c r="AC115" t="s">
        <v>905</v>
      </c>
      <c r="AF115" t="s">
        <v>923</v>
      </c>
      <c r="AI115">
        <v>0</v>
      </c>
      <c r="AJ115" t="s">
        <v>558</v>
      </c>
      <c r="AK115" t="s">
        <v>934</v>
      </c>
      <c r="AL115" t="s">
        <v>274</v>
      </c>
      <c r="AT115">
        <v>3</v>
      </c>
      <c r="AU115">
        <v>1</v>
      </c>
      <c r="AV115" t="s">
        <v>273</v>
      </c>
      <c r="AY115" t="s">
        <v>273</v>
      </c>
      <c r="BB115">
        <v>0</v>
      </c>
      <c r="BC115">
        <v>0</v>
      </c>
      <c r="BD115">
        <v>0</v>
      </c>
      <c r="BE115">
        <v>0</v>
      </c>
      <c r="BF115" t="s">
        <v>1063</v>
      </c>
      <c r="BG115" t="s">
        <v>3361</v>
      </c>
      <c r="BH115">
        <v>14</v>
      </c>
      <c r="BI115" t="s">
        <v>1247</v>
      </c>
      <c r="BK115">
        <v>1893451</v>
      </c>
    </row>
    <row r="116" spans="1:63">
      <c r="A116" s="1">
        <f>HYPERLINK("https://lsnyc.legalserver.org/matter/dynamic-profile/view/1898737","19-1898737")</f>
        <v>0</v>
      </c>
      <c r="B116" t="s">
        <v>2892</v>
      </c>
      <c r="C116" t="s">
        <v>2975</v>
      </c>
      <c r="D116" t="s">
        <v>257</v>
      </c>
      <c r="E116" t="s">
        <v>2981</v>
      </c>
      <c r="F116" t="s">
        <v>273</v>
      </c>
      <c r="G116" t="s">
        <v>275</v>
      </c>
      <c r="H116">
        <v>0</v>
      </c>
      <c r="I116" t="s">
        <v>274</v>
      </c>
      <c r="K116" t="s">
        <v>2986</v>
      </c>
      <c r="P116" t="s">
        <v>492</v>
      </c>
      <c r="Q116" t="s">
        <v>502</v>
      </c>
      <c r="S116" t="s">
        <v>503</v>
      </c>
      <c r="T116" t="s">
        <v>508</v>
      </c>
      <c r="U116" t="s">
        <v>511</v>
      </c>
      <c r="V116">
        <v>10452</v>
      </c>
      <c r="W116" t="s">
        <v>519</v>
      </c>
      <c r="X116" t="s">
        <v>548</v>
      </c>
      <c r="Y116" t="s">
        <v>274</v>
      </c>
      <c r="Z116" t="s">
        <v>3090</v>
      </c>
      <c r="AA116" t="s">
        <v>3194</v>
      </c>
      <c r="AB116" t="s">
        <v>902</v>
      </c>
      <c r="AC116" t="s">
        <v>905</v>
      </c>
      <c r="AF116" t="s">
        <v>926</v>
      </c>
      <c r="AI116">
        <v>0</v>
      </c>
      <c r="AJ116" t="s">
        <v>558</v>
      </c>
      <c r="AK116" t="s">
        <v>934</v>
      </c>
      <c r="AL116" t="s">
        <v>274</v>
      </c>
      <c r="AT116">
        <v>3</v>
      </c>
      <c r="AU116">
        <v>1</v>
      </c>
      <c r="AV116" t="s">
        <v>273</v>
      </c>
      <c r="AY116" t="s">
        <v>273</v>
      </c>
      <c r="BB116">
        <v>0</v>
      </c>
      <c r="BC116">
        <v>0</v>
      </c>
      <c r="BD116">
        <v>0</v>
      </c>
      <c r="BE116">
        <v>0</v>
      </c>
      <c r="BF116" t="s">
        <v>1063</v>
      </c>
      <c r="BG116" t="s">
        <v>3361</v>
      </c>
      <c r="BH116">
        <v>14</v>
      </c>
      <c r="BI116" t="s">
        <v>1247</v>
      </c>
      <c r="BK116">
        <v>1893451</v>
      </c>
    </row>
    <row r="117" spans="1:63">
      <c r="A117" s="1">
        <f>HYPERLINK("https://lsnyc.legalserver.org/matter/dynamic-profile/view/1898587","19-1898587")</f>
        <v>0</v>
      </c>
      <c r="B117" t="s">
        <v>2887</v>
      </c>
      <c r="C117" t="s">
        <v>2975</v>
      </c>
      <c r="D117" t="s">
        <v>255</v>
      </c>
      <c r="E117" t="s">
        <v>2981</v>
      </c>
      <c r="F117" t="s">
        <v>273</v>
      </c>
      <c r="G117" t="s">
        <v>275</v>
      </c>
      <c r="H117">
        <v>7.65</v>
      </c>
      <c r="I117" t="s">
        <v>274</v>
      </c>
      <c r="K117" t="s">
        <v>998</v>
      </c>
      <c r="P117" t="s">
        <v>492</v>
      </c>
      <c r="Q117" t="s">
        <v>502</v>
      </c>
      <c r="S117" t="s">
        <v>503</v>
      </c>
      <c r="T117" t="s">
        <v>507</v>
      </c>
      <c r="U117" t="s">
        <v>511</v>
      </c>
      <c r="V117">
        <v>10025</v>
      </c>
      <c r="W117" t="s">
        <v>529</v>
      </c>
      <c r="X117" t="s">
        <v>548</v>
      </c>
      <c r="Z117" t="s">
        <v>3086</v>
      </c>
      <c r="AA117" t="s">
        <v>3192</v>
      </c>
      <c r="AB117" t="s">
        <v>902</v>
      </c>
      <c r="AC117" t="s">
        <v>905</v>
      </c>
      <c r="AF117" t="s">
        <v>923</v>
      </c>
      <c r="AI117">
        <v>0</v>
      </c>
      <c r="AJ117" t="s">
        <v>558</v>
      </c>
      <c r="AK117" t="s">
        <v>934</v>
      </c>
      <c r="AL117" t="s">
        <v>274</v>
      </c>
      <c r="AT117">
        <v>2</v>
      </c>
      <c r="AU117">
        <v>1</v>
      </c>
      <c r="AV117" t="s">
        <v>273</v>
      </c>
      <c r="AY117" t="s">
        <v>273</v>
      </c>
      <c r="BB117">
        <v>0</v>
      </c>
      <c r="BC117">
        <v>0</v>
      </c>
      <c r="BD117">
        <v>0</v>
      </c>
      <c r="BE117">
        <v>0</v>
      </c>
      <c r="BF117" t="s">
        <v>1063</v>
      </c>
      <c r="BG117" t="s">
        <v>3356</v>
      </c>
      <c r="BH117">
        <v>4</v>
      </c>
      <c r="BI117" t="s">
        <v>3453</v>
      </c>
      <c r="BK117">
        <v>1896834</v>
      </c>
    </row>
    <row r="118" spans="1:63">
      <c r="A118" s="1">
        <f>HYPERLINK("https://lsnyc.legalserver.org/matter/dynamic-profile/view/1898594","19-1898594")</f>
        <v>0</v>
      </c>
      <c r="B118" t="s">
        <v>2893</v>
      </c>
      <c r="C118" t="s">
        <v>2975</v>
      </c>
      <c r="D118" t="s">
        <v>255</v>
      </c>
      <c r="E118" t="s">
        <v>2981</v>
      </c>
      <c r="F118" t="s">
        <v>273</v>
      </c>
      <c r="G118" t="s">
        <v>275</v>
      </c>
      <c r="H118">
        <v>7.65</v>
      </c>
      <c r="I118" t="s">
        <v>274</v>
      </c>
      <c r="K118" t="s">
        <v>998</v>
      </c>
      <c r="P118" t="s">
        <v>492</v>
      </c>
      <c r="Q118" t="s">
        <v>502</v>
      </c>
      <c r="S118" t="s">
        <v>503</v>
      </c>
      <c r="T118" t="s">
        <v>507</v>
      </c>
      <c r="U118" t="s">
        <v>511</v>
      </c>
      <c r="V118">
        <v>10025</v>
      </c>
      <c r="W118" t="s">
        <v>529</v>
      </c>
      <c r="X118" t="s">
        <v>548</v>
      </c>
      <c r="Z118" t="s">
        <v>3091</v>
      </c>
      <c r="AA118" t="s">
        <v>2320</v>
      </c>
      <c r="AB118" t="s">
        <v>902</v>
      </c>
      <c r="AC118" t="s">
        <v>905</v>
      </c>
      <c r="AF118" t="s">
        <v>923</v>
      </c>
      <c r="AI118">
        <v>0</v>
      </c>
      <c r="AJ118" t="s">
        <v>558</v>
      </c>
      <c r="AK118" t="s">
        <v>934</v>
      </c>
      <c r="AL118" t="s">
        <v>274</v>
      </c>
      <c r="AT118">
        <v>2</v>
      </c>
      <c r="AU118">
        <v>1</v>
      </c>
      <c r="AV118" t="s">
        <v>273</v>
      </c>
      <c r="AY118" t="s">
        <v>273</v>
      </c>
      <c r="BB118">
        <v>0</v>
      </c>
      <c r="BC118">
        <v>0</v>
      </c>
      <c r="BD118">
        <v>0</v>
      </c>
      <c r="BE118">
        <v>0</v>
      </c>
      <c r="BF118" t="s">
        <v>1063</v>
      </c>
      <c r="BG118" t="s">
        <v>3362</v>
      </c>
      <c r="BH118">
        <v>8</v>
      </c>
      <c r="BI118" t="s">
        <v>3453</v>
      </c>
      <c r="BK118">
        <v>1896828</v>
      </c>
    </row>
    <row r="119" spans="1:63">
      <c r="A119" s="1">
        <f>HYPERLINK("https://lsnyc.legalserver.org/matter/dynamic-profile/view/1898603","19-1898603")</f>
        <v>0</v>
      </c>
      <c r="B119" t="s">
        <v>2893</v>
      </c>
      <c r="C119" t="s">
        <v>2975</v>
      </c>
      <c r="D119" t="s">
        <v>255</v>
      </c>
      <c r="E119" t="s">
        <v>2981</v>
      </c>
      <c r="F119" t="s">
        <v>273</v>
      </c>
      <c r="G119" t="s">
        <v>275</v>
      </c>
      <c r="H119">
        <v>7.65</v>
      </c>
      <c r="K119" t="s">
        <v>998</v>
      </c>
      <c r="P119" t="s">
        <v>492</v>
      </c>
      <c r="Q119" t="s">
        <v>502</v>
      </c>
      <c r="S119" t="s">
        <v>503</v>
      </c>
      <c r="T119" t="s">
        <v>507</v>
      </c>
      <c r="U119" t="s">
        <v>511</v>
      </c>
      <c r="V119">
        <v>10025</v>
      </c>
      <c r="W119" t="s">
        <v>519</v>
      </c>
      <c r="X119" t="s">
        <v>548</v>
      </c>
      <c r="Z119" t="s">
        <v>3091</v>
      </c>
      <c r="AA119" t="s">
        <v>2320</v>
      </c>
      <c r="AB119" t="s">
        <v>902</v>
      </c>
      <c r="AC119" t="s">
        <v>905</v>
      </c>
      <c r="AF119" t="s">
        <v>926</v>
      </c>
      <c r="AI119">
        <v>0</v>
      </c>
      <c r="AJ119" t="s">
        <v>558</v>
      </c>
      <c r="AK119" t="s">
        <v>934</v>
      </c>
      <c r="AT119">
        <v>2</v>
      </c>
      <c r="AU119">
        <v>1</v>
      </c>
      <c r="AV119" t="s">
        <v>273</v>
      </c>
      <c r="AY119" t="s">
        <v>273</v>
      </c>
      <c r="BB119">
        <v>0</v>
      </c>
      <c r="BC119">
        <v>0</v>
      </c>
      <c r="BD119">
        <v>0</v>
      </c>
      <c r="BE119">
        <v>0</v>
      </c>
      <c r="BF119" t="s">
        <v>1063</v>
      </c>
      <c r="BG119" t="s">
        <v>3362</v>
      </c>
      <c r="BH119">
        <v>8</v>
      </c>
      <c r="BI119" t="s">
        <v>3453</v>
      </c>
      <c r="BK119">
        <v>1896828</v>
      </c>
    </row>
    <row r="120" spans="1:63">
      <c r="A120" s="1">
        <f>HYPERLINK("https://lsnyc.legalserver.org/matter/dynamic-profile/view/1898487","19-1898487")</f>
        <v>0</v>
      </c>
      <c r="B120" t="s">
        <v>2894</v>
      </c>
      <c r="C120" t="s">
        <v>2975</v>
      </c>
      <c r="D120" t="s">
        <v>255</v>
      </c>
      <c r="E120" t="s">
        <v>2977</v>
      </c>
      <c r="F120" t="s">
        <v>273</v>
      </c>
      <c r="G120" t="s">
        <v>275</v>
      </c>
      <c r="H120">
        <v>0</v>
      </c>
      <c r="I120" t="s">
        <v>274</v>
      </c>
      <c r="K120" t="s">
        <v>318</v>
      </c>
      <c r="M120" t="s">
        <v>473</v>
      </c>
      <c r="N120" t="s">
        <v>451</v>
      </c>
      <c r="O120" t="s">
        <v>275</v>
      </c>
      <c r="P120" t="s">
        <v>492</v>
      </c>
      <c r="Q120" t="s">
        <v>502</v>
      </c>
      <c r="S120" t="s">
        <v>504</v>
      </c>
      <c r="T120" t="s">
        <v>508</v>
      </c>
      <c r="U120" t="s">
        <v>512</v>
      </c>
      <c r="V120">
        <v>10029</v>
      </c>
      <c r="X120" t="s">
        <v>548</v>
      </c>
      <c r="Y120" t="s">
        <v>275</v>
      </c>
      <c r="Z120" t="s">
        <v>3092</v>
      </c>
      <c r="AA120" t="s">
        <v>3195</v>
      </c>
      <c r="AB120" t="s">
        <v>902</v>
      </c>
      <c r="AC120" t="s">
        <v>910</v>
      </c>
      <c r="AF120" t="s">
        <v>924</v>
      </c>
      <c r="AI120">
        <v>0.65</v>
      </c>
      <c r="AJ120" t="s">
        <v>558</v>
      </c>
      <c r="AK120" t="s">
        <v>934</v>
      </c>
      <c r="AL120" t="s">
        <v>274</v>
      </c>
      <c r="AT120">
        <v>2</v>
      </c>
      <c r="AU120">
        <v>1</v>
      </c>
      <c r="AV120" t="s">
        <v>273</v>
      </c>
      <c r="AY120" t="s">
        <v>273</v>
      </c>
      <c r="BB120">
        <v>0</v>
      </c>
      <c r="BC120">
        <v>0</v>
      </c>
      <c r="BD120">
        <v>0</v>
      </c>
      <c r="BE120">
        <v>0</v>
      </c>
      <c r="BF120" t="s">
        <v>1063</v>
      </c>
      <c r="BG120" t="s">
        <v>3363</v>
      </c>
      <c r="BH120">
        <v>6</v>
      </c>
      <c r="BI120" t="s">
        <v>1247</v>
      </c>
      <c r="BK120">
        <v>1880992</v>
      </c>
    </row>
    <row r="121" spans="1:63">
      <c r="A121" s="1">
        <f>HYPERLINK("https://lsnyc.legalserver.org/matter/dynamic-profile/view/1898497","19-1898497")</f>
        <v>0</v>
      </c>
      <c r="B121" t="s">
        <v>2895</v>
      </c>
      <c r="C121" t="s">
        <v>2975</v>
      </c>
      <c r="D121" t="s">
        <v>255</v>
      </c>
      <c r="E121" t="s">
        <v>2977</v>
      </c>
      <c r="F121" t="s">
        <v>273</v>
      </c>
      <c r="G121" t="s">
        <v>275</v>
      </c>
      <c r="H121">
        <v>0</v>
      </c>
      <c r="I121" t="s">
        <v>274</v>
      </c>
      <c r="K121" t="s">
        <v>318</v>
      </c>
      <c r="M121" t="s">
        <v>473</v>
      </c>
      <c r="N121" t="s">
        <v>451</v>
      </c>
      <c r="O121" t="s">
        <v>275</v>
      </c>
      <c r="P121" t="s">
        <v>492</v>
      </c>
      <c r="Q121" t="s">
        <v>502</v>
      </c>
      <c r="S121" t="s">
        <v>506</v>
      </c>
      <c r="T121" t="s">
        <v>507</v>
      </c>
      <c r="U121" t="s">
        <v>1821</v>
      </c>
      <c r="V121">
        <v>10029</v>
      </c>
      <c r="W121" t="s">
        <v>1828</v>
      </c>
      <c r="X121" t="s">
        <v>558</v>
      </c>
      <c r="Y121" t="s">
        <v>275</v>
      </c>
      <c r="Z121" t="s">
        <v>1952</v>
      </c>
      <c r="AA121" t="s">
        <v>3196</v>
      </c>
      <c r="AB121" t="s">
        <v>902</v>
      </c>
      <c r="AC121" t="s">
        <v>910</v>
      </c>
      <c r="AF121" t="s">
        <v>924</v>
      </c>
      <c r="AI121">
        <v>0.4</v>
      </c>
      <c r="AJ121" t="s">
        <v>558</v>
      </c>
      <c r="AK121" t="s">
        <v>934</v>
      </c>
      <c r="AL121" t="s">
        <v>274</v>
      </c>
      <c r="AT121">
        <v>2</v>
      </c>
      <c r="AU121">
        <v>1</v>
      </c>
      <c r="AV121" t="s">
        <v>273</v>
      </c>
      <c r="AY121" t="s">
        <v>273</v>
      </c>
      <c r="BB121">
        <v>0</v>
      </c>
      <c r="BC121">
        <v>0</v>
      </c>
      <c r="BD121">
        <v>0</v>
      </c>
      <c r="BE121">
        <v>0</v>
      </c>
      <c r="BF121" t="s">
        <v>1063</v>
      </c>
      <c r="BG121" t="s">
        <v>3364</v>
      </c>
      <c r="BH121">
        <v>15</v>
      </c>
      <c r="BI121" t="s">
        <v>1247</v>
      </c>
      <c r="BK121">
        <v>1880987</v>
      </c>
    </row>
    <row r="122" spans="1:63">
      <c r="A122" s="1">
        <f>HYPERLINK("https://lsnyc.legalserver.org/matter/dynamic-profile/view/1898498","19-1898498")</f>
        <v>0</v>
      </c>
      <c r="B122" t="s">
        <v>2896</v>
      </c>
      <c r="C122" t="s">
        <v>2975</v>
      </c>
      <c r="D122" t="s">
        <v>255</v>
      </c>
      <c r="E122" t="s">
        <v>2977</v>
      </c>
      <c r="F122" t="s">
        <v>273</v>
      </c>
      <c r="G122" t="s">
        <v>275</v>
      </c>
      <c r="H122">
        <v>0</v>
      </c>
      <c r="I122" t="s">
        <v>274</v>
      </c>
      <c r="K122" t="s">
        <v>318</v>
      </c>
      <c r="M122" t="s">
        <v>473</v>
      </c>
      <c r="N122" t="s">
        <v>297</v>
      </c>
      <c r="P122" t="s">
        <v>492</v>
      </c>
      <c r="Q122" t="s">
        <v>502</v>
      </c>
      <c r="S122" t="s">
        <v>504</v>
      </c>
      <c r="T122" t="s">
        <v>507</v>
      </c>
      <c r="U122" t="s">
        <v>512</v>
      </c>
      <c r="V122">
        <v>10025</v>
      </c>
      <c r="X122" t="s">
        <v>548</v>
      </c>
      <c r="Y122" t="s">
        <v>275</v>
      </c>
      <c r="Z122" t="s">
        <v>3093</v>
      </c>
      <c r="AA122" t="s">
        <v>884</v>
      </c>
      <c r="AB122" t="s">
        <v>902</v>
      </c>
      <c r="AC122" t="s">
        <v>905</v>
      </c>
      <c r="AF122" t="s">
        <v>924</v>
      </c>
      <c r="AI122">
        <v>0.25</v>
      </c>
      <c r="AJ122" t="s">
        <v>558</v>
      </c>
      <c r="AK122" t="s">
        <v>934</v>
      </c>
      <c r="AL122" t="s">
        <v>274</v>
      </c>
      <c r="AT122">
        <v>1</v>
      </c>
      <c r="AU122">
        <v>2</v>
      </c>
      <c r="AV122" t="s">
        <v>273</v>
      </c>
      <c r="AY122" t="s">
        <v>273</v>
      </c>
      <c r="BB122">
        <v>0</v>
      </c>
      <c r="BC122">
        <v>0</v>
      </c>
      <c r="BD122">
        <v>0</v>
      </c>
      <c r="BE122">
        <v>0</v>
      </c>
      <c r="BF122" t="s">
        <v>1063</v>
      </c>
      <c r="BG122" t="s">
        <v>3365</v>
      </c>
      <c r="BH122">
        <v>19</v>
      </c>
      <c r="BI122" t="s">
        <v>1247</v>
      </c>
      <c r="BK122">
        <v>1896186</v>
      </c>
    </row>
    <row r="123" spans="1:63">
      <c r="A123" s="1">
        <f>HYPERLINK("https://lsnyc.legalserver.org/matter/dynamic-profile/view/1898500","19-1898500")</f>
        <v>0</v>
      </c>
      <c r="B123" t="s">
        <v>2835</v>
      </c>
      <c r="C123" t="s">
        <v>2975</v>
      </c>
      <c r="D123" t="s">
        <v>257</v>
      </c>
      <c r="E123" t="s">
        <v>2977</v>
      </c>
      <c r="F123" t="s">
        <v>273</v>
      </c>
      <c r="G123" t="s">
        <v>275</v>
      </c>
      <c r="H123">
        <v>0</v>
      </c>
      <c r="I123" t="s">
        <v>274</v>
      </c>
      <c r="K123" t="s">
        <v>318</v>
      </c>
      <c r="M123" t="s">
        <v>473</v>
      </c>
      <c r="N123" t="s">
        <v>1676</v>
      </c>
      <c r="P123" t="s">
        <v>492</v>
      </c>
      <c r="Q123" t="s">
        <v>502</v>
      </c>
      <c r="S123" t="s">
        <v>503</v>
      </c>
      <c r="T123" t="s">
        <v>507</v>
      </c>
      <c r="U123" t="s">
        <v>511</v>
      </c>
      <c r="V123">
        <v>10457</v>
      </c>
      <c r="W123" t="s">
        <v>518</v>
      </c>
      <c r="X123" t="s">
        <v>548</v>
      </c>
      <c r="Y123" t="s">
        <v>275</v>
      </c>
      <c r="Z123" t="s">
        <v>3043</v>
      </c>
      <c r="AA123" t="s">
        <v>3162</v>
      </c>
      <c r="AB123" t="s">
        <v>902</v>
      </c>
      <c r="AC123" t="s">
        <v>910</v>
      </c>
      <c r="AF123" t="s">
        <v>926</v>
      </c>
      <c r="AI123">
        <v>0.3</v>
      </c>
      <c r="AJ123" t="s">
        <v>558</v>
      </c>
      <c r="AK123" t="s">
        <v>934</v>
      </c>
      <c r="AL123" t="s">
        <v>274</v>
      </c>
      <c r="AT123">
        <v>1</v>
      </c>
      <c r="AU123">
        <v>1</v>
      </c>
      <c r="AV123" t="s">
        <v>273</v>
      </c>
      <c r="AY123" t="s">
        <v>273</v>
      </c>
      <c r="BB123">
        <v>0</v>
      </c>
      <c r="BC123">
        <v>0</v>
      </c>
      <c r="BD123">
        <v>0</v>
      </c>
      <c r="BE123">
        <v>0</v>
      </c>
      <c r="BF123" t="s">
        <v>1063</v>
      </c>
      <c r="BG123" t="s">
        <v>3306</v>
      </c>
      <c r="BH123">
        <v>10</v>
      </c>
      <c r="BI123" t="s">
        <v>1247</v>
      </c>
      <c r="BK123">
        <v>1873406</v>
      </c>
    </row>
    <row r="124" spans="1:63">
      <c r="A124" s="1">
        <f>HYPERLINK("https://lsnyc.legalserver.org/matter/dynamic-profile/view/1898501","19-1898501")</f>
        <v>0</v>
      </c>
      <c r="B124" t="s">
        <v>2897</v>
      </c>
      <c r="C124" t="s">
        <v>2975</v>
      </c>
      <c r="D124" t="s">
        <v>257</v>
      </c>
      <c r="E124" t="s">
        <v>2977</v>
      </c>
      <c r="F124" t="s">
        <v>273</v>
      </c>
      <c r="G124" t="s">
        <v>275</v>
      </c>
      <c r="H124">
        <v>0</v>
      </c>
      <c r="I124" t="s">
        <v>274</v>
      </c>
      <c r="K124" t="s">
        <v>318</v>
      </c>
      <c r="M124" t="s">
        <v>474</v>
      </c>
      <c r="N124" t="s">
        <v>464</v>
      </c>
      <c r="P124" t="s">
        <v>492</v>
      </c>
      <c r="Q124" t="s">
        <v>502</v>
      </c>
      <c r="S124" t="s">
        <v>503</v>
      </c>
      <c r="T124" t="s">
        <v>508</v>
      </c>
      <c r="U124" t="s">
        <v>511</v>
      </c>
      <c r="V124">
        <v>10457</v>
      </c>
      <c r="W124" t="s">
        <v>519</v>
      </c>
      <c r="X124" t="s">
        <v>548</v>
      </c>
      <c r="Y124" t="s">
        <v>275</v>
      </c>
      <c r="Z124" t="s">
        <v>3094</v>
      </c>
      <c r="AA124" t="s">
        <v>3197</v>
      </c>
      <c r="AB124" t="s">
        <v>902</v>
      </c>
      <c r="AC124" t="s">
        <v>905</v>
      </c>
      <c r="AF124" t="s">
        <v>926</v>
      </c>
      <c r="AI124">
        <v>88.55</v>
      </c>
      <c r="AJ124" t="s">
        <v>558</v>
      </c>
      <c r="AK124" t="s">
        <v>934</v>
      </c>
      <c r="AL124" t="s">
        <v>274</v>
      </c>
      <c r="AM124" t="s">
        <v>973</v>
      </c>
      <c r="AN124" t="s">
        <v>1682</v>
      </c>
      <c r="AT124">
        <v>1</v>
      </c>
      <c r="AU124">
        <v>1</v>
      </c>
      <c r="AV124" t="s">
        <v>273</v>
      </c>
      <c r="AY124" t="s">
        <v>273</v>
      </c>
      <c r="BB124">
        <v>0</v>
      </c>
      <c r="BC124">
        <v>0</v>
      </c>
      <c r="BD124">
        <v>0</v>
      </c>
      <c r="BE124">
        <v>0</v>
      </c>
      <c r="BF124" t="s">
        <v>1063</v>
      </c>
      <c r="BG124" t="s">
        <v>3366</v>
      </c>
      <c r="BH124">
        <v>8</v>
      </c>
      <c r="BI124" t="s">
        <v>1247</v>
      </c>
      <c r="BK124">
        <v>1886055</v>
      </c>
    </row>
    <row r="125" spans="1:63">
      <c r="A125" s="1">
        <f>HYPERLINK("https://lsnyc.legalserver.org/matter/dynamic-profile/view/1898240","19-1898240")</f>
        <v>0</v>
      </c>
      <c r="B125" t="s">
        <v>2879</v>
      </c>
      <c r="C125" t="s">
        <v>2975</v>
      </c>
      <c r="D125" t="s">
        <v>255</v>
      </c>
      <c r="E125" t="s">
        <v>2983</v>
      </c>
      <c r="F125" t="s">
        <v>273</v>
      </c>
      <c r="G125" t="s">
        <v>275</v>
      </c>
      <c r="H125">
        <v>0</v>
      </c>
      <c r="I125" t="s">
        <v>274</v>
      </c>
      <c r="K125" t="s">
        <v>1020</v>
      </c>
      <c r="O125" t="s">
        <v>275</v>
      </c>
      <c r="Q125" t="s">
        <v>502</v>
      </c>
      <c r="S125" t="s">
        <v>503</v>
      </c>
      <c r="T125" t="s">
        <v>507</v>
      </c>
      <c r="U125" t="s">
        <v>511</v>
      </c>
      <c r="V125">
        <v>10016</v>
      </c>
      <c r="W125" t="s">
        <v>518</v>
      </c>
      <c r="X125" t="s">
        <v>548</v>
      </c>
      <c r="Y125" t="s">
        <v>275</v>
      </c>
      <c r="Z125" t="s">
        <v>3080</v>
      </c>
      <c r="AA125" t="s">
        <v>3189</v>
      </c>
      <c r="AB125" t="s">
        <v>902</v>
      </c>
      <c r="AC125" t="s">
        <v>905</v>
      </c>
      <c r="AF125" t="s">
        <v>923</v>
      </c>
      <c r="AI125">
        <v>44.34</v>
      </c>
      <c r="AJ125" t="s">
        <v>558</v>
      </c>
      <c r="AK125" t="s">
        <v>934</v>
      </c>
      <c r="AL125" t="s">
        <v>274</v>
      </c>
      <c r="AM125" t="s">
        <v>977</v>
      </c>
      <c r="AN125" t="s">
        <v>293</v>
      </c>
      <c r="AT125">
        <v>1</v>
      </c>
      <c r="AU125">
        <v>1</v>
      </c>
      <c r="AV125" t="s">
        <v>273</v>
      </c>
      <c r="AY125" t="s">
        <v>273</v>
      </c>
      <c r="BB125">
        <v>0</v>
      </c>
      <c r="BC125">
        <v>0</v>
      </c>
      <c r="BD125">
        <v>0</v>
      </c>
      <c r="BE125">
        <v>0</v>
      </c>
      <c r="BF125" t="s">
        <v>1063</v>
      </c>
      <c r="BG125" t="s">
        <v>3348</v>
      </c>
      <c r="BH125">
        <v>11</v>
      </c>
      <c r="BI125" t="s">
        <v>1247</v>
      </c>
      <c r="BK125">
        <v>1898884</v>
      </c>
    </row>
    <row r="126" spans="1:63">
      <c r="A126" s="1">
        <f>HYPERLINK("https://lsnyc.legalserver.org/matter/dynamic-profile/view/1898254","19-1898254")</f>
        <v>0</v>
      </c>
      <c r="B126" t="s">
        <v>2878</v>
      </c>
      <c r="C126" t="s">
        <v>2975</v>
      </c>
      <c r="D126" t="s">
        <v>255</v>
      </c>
      <c r="E126" t="s">
        <v>2983</v>
      </c>
      <c r="F126" t="s">
        <v>273</v>
      </c>
      <c r="G126" t="s">
        <v>275</v>
      </c>
      <c r="H126">
        <v>0</v>
      </c>
      <c r="I126" t="s">
        <v>274</v>
      </c>
      <c r="K126" t="s">
        <v>1020</v>
      </c>
      <c r="O126" t="s">
        <v>275</v>
      </c>
      <c r="Q126" t="s">
        <v>501</v>
      </c>
      <c r="S126" t="s">
        <v>503</v>
      </c>
      <c r="T126" t="s">
        <v>508</v>
      </c>
      <c r="U126" t="s">
        <v>511</v>
      </c>
      <c r="V126">
        <v>10016</v>
      </c>
      <c r="W126" t="s">
        <v>518</v>
      </c>
      <c r="X126" t="s">
        <v>548</v>
      </c>
      <c r="Y126" t="s">
        <v>275</v>
      </c>
      <c r="Z126" t="s">
        <v>3079</v>
      </c>
      <c r="AA126" t="s">
        <v>2250</v>
      </c>
      <c r="AB126" t="s">
        <v>902</v>
      </c>
      <c r="AC126" t="s">
        <v>905</v>
      </c>
      <c r="AF126" t="s">
        <v>926</v>
      </c>
      <c r="AI126">
        <v>58.84</v>
      </c>
      <c r="AJ126" t="s">
        <v>558</v>
      </c>
      <c r="AK126" t="s">
        <v>934</v>
      </c>
      <c r="AL126" t="s">
        <v>274</v>
      </c>
      <c r="AM126" t="s">
        <v>973</v>
      </c>
      <c r="AN126" t="s">
        <v>293</v>
      </c>
      <c r="AT126">
        <v>1</v>
      </c>
      <c r="AU126">
        <v>1</v>
      </c>
      <c r="AV126" t="s">
        <v>273</v>
      </c>
      <c r="AY126" t="s">
        <v>273</v>
      </c>
      <c r="BB126">
        <v>0</v>
      </c>
      <c r="BC126">
        <v>0</v>
      </c>
      <c r="BD126">
        <v>0</v>
      </c>
      <c r="BE126">
        <v>0</v>
      </c>
      <c r="BF126" t="s">
        <v>1063</v>
      </c>
      <c r="BG126" t="s">
        <v>3347</v>
      </c>
      <c r="BH126">
        <v>33</v>
      </c>
      <c r="BI126" t="s">
        <v>1247</v>
      </c>
      <c r="BK126">
        <v>1898884</v>
      </c>
    </row>
    <row r="127" spans="1:63">
      <c r="A127" s="1">
        <f>HYPERLINK("https://lsnyc.legalserver.org/matter/dynamic-profile/view/1898079","19-1898079")</f>
        <v>0</v>
      </c>
      <c r="B127" t="s">
        <v>2898</v>
      </c>
      <c r="C127" t="s">
        <v>2975</v>
      </c>
      <c r="D127" t="s">
        <v>253</v>
      </c>
      <c r="E127" t="s">
        <v>2979</v>
      </c>
      <c r="F127" t="s">
        <v>275</v>
      </c>
      <c r="G127" t="s">
        <v>275</v>
      </c>
      <c r="H127">
        <v>73.8</v>
      </c>
      <c r="I127" t="s">
        <v>274</v>
      </c>
      <c r="K127" t="s">
        <v>319</v>
      </c>
      <c r="L127" t="s">
        <v>452</v>
      </c>
      <c r="M127" t="s">
        <v>471</v>
      </c>
      <c r="N127" t="s">
        <v>1668</v>
      </c>
      <c r="P127" t="s">
        <v>493</v>
      </c>
      <c r="Q127" t="s">
        <v>501</v>
      </c>
      <c r="S127" t="s">
        <v>503</v>
      </c>
      <c r="T127" t="s">
        <v>507</v>
      </c>
      <c r="U127" t="s">
        <v>511</v>
      </c>
      <c r="V127">
        <v>11373</v>
      </c>
      <c r="W127" t="s">
        <v>518</v>
      </c>
      <c r="X127" t="s">
        <v>548</v>
      </c>
      <c r="Y127" t="s">
        <v>275</v>
      </c>
      <c r="Z127" t="s">
        <v>3095</v>
      </c>
      <c r="AA127" t="s">
        <v>3198</v>
      </c>
      <c r="AB127" t="s">
        <v>902</v>
      </c>
      <c r="AC127" t="s">
        <v>906</v>
      </c>
      <c r="AD127" t="s">
        <v>275</v>
      </c>
      <c r="AE127" t="s">
        <v>917</v>
      </c>
      <c r="AF127" t="s">
        <v>926</v>
      </c>
      <c r="AI127">
        <v>20.75</v>
      </c>
      <c r="AJ127" t="s">
        <v>558</v>
      </c>
      <c r="AK127" t="s">
        <v>941</v>
      </c>
      <c r="AL127" t="s">
        <v>274</v>
      </c>
      <c r="AQ127" t="s">
        <v>1038</v>
      </c>
      <c r="AR127" t="s">
        <v>1053</v>
      </c>
      <c r="AT127">
        <v>1</v>
      </c>
      <c r="AU127">
        <v>1</v>
      </c>
      <c r="AV127" t="s">
        <v>273</v>
      </c>
      <c r="AY127" t="s">
        <v>273</v>
      </c>
      <c r="BB127">
        <v>0</v>
      </c>
      <c r="BC127">
        <v>0</v>
      </c>
      <c r="BD127">
        <v>0</v>
      </c>
      <c r="BE127">
        <v>0</v>
      </c>
      <c r="BF127" t="s">
        <v>493</v>
      </c>
      <c r="BG127" t="s">
        <v>3367</v>
      </c>
      <c r="BH127">
        <v>41</v>
      </c>
      <c r="BI127" t="s">
        <v>3454</v>
      </c>
      <c r="BK127">
        <v>1898723</v>
      </c>
    </row>
    <row r="128" spans="1:63">
      <c r="A128" s="1">
        <f>HYPERLINK("https://lsnyc.legalserver.org/matter/dynamic-profile/view/1898083","19-1898083")</f>
        <v>0</v>
      </c>
      <c r="B128" t="s">
        <v>2899</v>
      </c>
      <c r="C128" t="s">
        <v>2975</v>
      </c>
      <c r="D128" t="s">
        <v>253</v>
      </c>
      <c r="E128" t="s">
        <v>2979</v>
      </c>
      <c r="F128" t="s">
        <v>275</v>
      </c>
      <c r="G128" t="s">
        <v>275</v>
      </c>
      <c r="H128">
        <v>0</v>
      </c>
      <c r="I128" t="s">
        <v>274</v>
      </c>
      <c r="K128" t="s">
        <v>319</v>
      </c>
      <c r="L128" t="s">
        <v>452</v>
      </c>
      <c r="M128" t="s">
        <v>471</v>
      </c>
      <c r="N128" t="s">
        <v>1668</v>
      </c>
      <c r="P128" t="s">
        <v>493</v>
      </c>
      <c r="Q128" t="s">
        <v>502</v>
      </c>
      <c r="S128" t="s">
        <v>503</v>
      </c>
      <c r="T128" t="s">
        <v>508</v>
      </c>
      <c r="U128" t="s">
        <v>511</v>
      </c>
      <c r="V128">
        <v>11373</v>
      </c>
      <c r="W128" t="s">
        <v>518</v>
      </c>
      <c r="X128" t="s">
        <v>548</v>
      </c>
      <c r="Y128" t="s">
        <v>275</v>
      </c>
      <c r="Z128" t="s">
        <v>1897</v>
      </c>
      <c r="AA128" t="s">
        <v>3199</v>
      </c>
      <c r="AB128" t="s">
        <v>902</v>
      </c>
      <c r="AC128" t="s">
        <v>906</v>
      </c>
      <c r="AD128" t="s">
        <v>275</v>
      </c>
      <c r="AE128" t="s">
        <v>917</v>
      </c>
      <c r="AF128" t="s">
        <v>926</v>
      </c>
      <c r="AI128">
        <v>9.75</v>
      </c>
      <c r="AJ128" t="s">
        <v>558</v>
      </c>
      <c r="AK128" t="s">
        <v>941</v>
      </c>
      <c r="AL128" t="s">
        <v>274</v>
      </c>
      <c r="AM128" t="s">
        <v>978</v>
      </c>
      <c r="AN128" t="s">
        <v>1668</v>
      </c>
      <c r="AQ128" t="s">
        <v>1038</v>
      </c>
      <c r="AR128" t="s">
        <v>1053</v>
      </c>
      <c r="AT128">
        <v>1</v>
      </c>
      <c r="AU128">
        <v>1</v>
      </c>
      <c r="AV128" t="s">
        <v>273</v>
      </c>
      <c r="AY128" t="s">
        <v>273</v>
      </c>
      <c r="BB128">
        <v>0</v>
      </c>
      <c r="BC128">
        <v>0</v>
      </c>
      <c r="BD128">
        <v>0</v>
      </c>
      <c r="BE128">
        <v>0</v>
      </c>
      <c r="BF128" t="s">
        <v>493</v>
      </c>
      <c r="BG128" t="s">
        <v>3368</v>
      </c>
      <c r="BH128">
        <v>13</v>
      </c>
      <c r="BI128" t="s">
        <v>1247</v>
      </c>
      <c r="BK128">
        <v>1898723</v>
      </c>
    </row>
    <row r="129" spans="1:64">
      <c r="A129" s="1">
        <f>HYPERLINK("https://lsnyc.legalserver.org/matter/dynamic-profile/view/1898122","19-1898122")</f>
        <v>0</v>
      </c>
      <c r="B129" t="s">
        <v>2900</v>
      </c>
      <c r="C129" t="s">
        <v>2975</v>
      </c>
      <c r="D129" t="s">
        <v>255</v>
      </c>
      <c r="E129" t="s">
        <v>2977</v>
      </c>
      <c r="F129" t="s">
        <v>273</v>
      </c>
      <c r="G129" t="s">
        <v>275</v>
      </c>
      <c r="H129">
        <v>0</v>
      </c>
      <c r="I129" t="s">
        <v>274</v>
      </c>
      <c r="K129" t="s">
        <v>319</v>
      </c>
      <c r="M129" t="s">
        <v>473</v>
      </c>
      <c r="N129" t="s">
        <v>445</v>
      </c>
      <c r="P129" t="s">
        <v>492</v>
      </c>
      <c r="Q129" t="s">
        <v>501</v>
      </c>
      <c r="S129" t="s">
        <v>503</v>
      </c>
      <c r="T129" t="s">
        <v>507</v>
      </c>
      <c r="U129" t="s">
        <v>511</v>
      </c>
      <c r="V129">
        <v>10040</v>
      </c>
      <c r="W129" t="s">
        <v>524</v>
      </c>
      <c r="X129" t="s">
        <v>548</v>
      </c>
      <c r="Y129" t="s">
        <v>274</v>
      </c>
      <c r="Z129" t="s">
        <v>1989</v>
      </c>
      <c r="AA129" t="s">
        <v>824</v>
      </c>
      <c r="AB129" t="s">
        <v>902</v>
      </c>
      <c r="AC129" t="s">
        <v>909</v>
      </c>
      <c r="AF129" t="s">
        <v>923</v>
      </c>
      <c r="AI129">
        <v>0.3</v>
      </c>
      <c r="AJ129" t="s">
        <v>931</v>
      </c>
      <c r="AK129" t="s">
        <v>950</v>
      </c>
      <c r="AL129" t="s">
        <v>274</v>
      </c>
      <c r="AT129">
        <v>0</v>
      </c>
      <c r="AU129">
        <v>2</v>
      </c>
      <c r="AV129" t="s">
        <v>273</v>
      </c>
      <c r="AY129" t="s">
        <v>273</v>
      </c>
      <c r="BB129">
        <v>0</v>
      </c>
      <c r="BC129">
        <v>0</v>
      </c>
      <c r="BD129">
        <v>0</v>
      </c>
      <c r="BE129">
        <v>0</v>
      </c>
      <c r="BF129" t="s">
        <v>1063</v>
      </c>
      <c r="BG129" t="s">
        <v>3369</v>
      </c>
      <c r="BH129">
        <v>29</v>
      </c>
      <c r="BI129" t="s">
        <v>1247</v>
      </c>
      <c r="BK129">
        <v>1896298</v>
      </c>
    </row>
    <row r="130" spans="1:64">
      <c r="A130" s="1">
        <f>HYPERLINK("https://lsnyc.legalserver.org/matter/dynamic-profile/view/1898152","19-1898152")</f>
        <v>0</v>
      </c>
      <c r="B130" t="s">
        <v>2881</v>
      </c>
      <c r="C130" t="s">
        <v>2975</v>
      </c>
      <c r="D130" t="s">
        <v>257</v>
      </c>
      <c r="E130" t="s">
        <v>2978</v>
      </c>
      <c r="F130" t="s">
        <v>273</v>
      </c>
      <c r="G130" t="s">
        <v>275</v>
      </c>
      <c r="H130">
        <v>0</v>
      </c>
      <c r="I130" t="s">
        <v>274</v>
      </c>
      <c r="K130" t="s">
        <v>319</v>
      </c>
      <c r="P130" t="s">
        <v>492</v>
      </c>
      <c r="Q130" t="s">
        <v>502</v>
      </c>
      <c r="S130" t="s">
        <v>503</v>
      </c>
      <c r="T130" t="s">
        <v>507</v>
      </c>
      <c r="U130" t="s">
        <v>511</v>
      </c>
      <c r="V130">
        <v>10460</v>
      </c>
      <c r="W130" t="s">
        <v>518</v>
      </c>
      <c r="X130" t="s">
        <v>548</v>
      </c>
      <c r="Y130" t="s">
        <v>275</v>
      </c>
      <c r="Z130" t="s">
        <v>3081</v>
      </c>
      <c r="AA130" t="s">
        <v>3181</v>
      </c>
      <c r="AB130" t="s">
        <v>902</v>
      </c>
      <c r="AC130" t="s">
        <v>906</v>
      </c>
      <c r="AF130" t="s">
        <v>926</v>
      </c>
      <c r="AI130">
        <v>0.6</v>
      </c>
      <c r="AJ130" t="s">
        <v>558</v>
      </c>
      <c r="AK130" t="s">
        <v>934</v>
      </c>
      <c r="AL130" t="s">
        <v>274</v>
      </c>
      <c r="AT130">
        <v>0</v>
      </c>
      <c r="AU130">
        <v>1</v>
      </c>
      <c r="AV130" t="s">
        <v>273</v>
      </c>
      <c r="AY130" t="s">
        <v>273</v>
      </c>
      <c r="BB130">
        <v>0</v>
      </c>
      <c r="BC130">
        <v>0</v>
      </c>
      <c r="BD130">
        <v>0</v>
      </c>
      <c r="BE130">
        <v>0</v>
      </c>
      <c r="BF130" t="s">
        <v>1063</v>
      </c>
      <c r="BG130" t="s">
        <v>3350</v>
      </c>
      <c r="BH130">
        <v>20</v>
      </c>
      <c r="BI130" t="s">
        <v>1247</v>
      </c>
      <c r="BK130">
        <v>822986</v>
      </c>
    </row>
    <row r="131" spans="1:64">
      <c r="A131" s="1">
        <f>HYPERLINK("https://lsnyc.legalserver.org/matter/dynamic-profile/view/1898156","19-1898156")</f>
        <v>0</v>
      </c>
      <c r="B131" t="s">
        <v>2901</v>
      </c>
      <c r="C131" t="s">
        <v>2975</v>
      </c>
      <c r="D131" t="s">
        <v>255</v>
      </c>
      <c r="E131" t="s">
        <v>2978</v>
      </c>
      <c r="F131" t="s">
        <v>273</v>
      </c>
      <c r="G131" t="s">
        <v>275</v>
      </c>
      <c r="H131">
        <v>0</v>
      </c>
      <c r="I131" t="s">
        <v>274</v>
      </c>
      <c r="K131" t="s">
        <v>319</v>
      </c>
      <c r="M131" t="s">
        <v>471</v>
      </c>
      <c r="N131" t="s">
        <v>452</v>
      </c>
      <c r="P131" t="s">
        <v>492</v>
      </c>
      <c r="Q131" t="s">
        <v>502</v>
      </c>
      <c r="S131" t="s">
        <v>503</v>
      </c>
      <c r="T131" t="s">
        <v>508</v>
      </c>
      <c r="U131" t="s">
        <v>511</v>
      </c>
      <c r="V131">
        <v>10033</v>
      </c>
      <c r="W131" t="s">
        <v>518</v>
      </c>
      <c r="X131" t="s">
        <v>548</v>
      </c>
      <c r="Y131" t="s">
        <v>275</v>
      </c>
      <c r="Z131" t="s">
        <v>3096</v>
      </c>
      <c r="AA131" t="s">
        <v>3190</v>
      </c>
      <c r="AB131" t="s">
        <v>902</v>
      </c>
      <c r="AC131" t="s">
        <v>907</v>
      </c>
      <c r="AF131" t="s">
        <v>926</v>
      </c>
      <c r="AI131">
        <v>1</v>
      </c>
      <c r="AJ131" t="s">
        <v>558</v>
      </c>
      <c r="AK131" t="s">
        <v>934</v>
      </c>
      <c r="AL131" t="s">
        <v>274</v>
      </c>
      <c r="AT131">
        <v>2</v>
      </c>
      <c r="AU131">
        <v>1</v>
      </c>
      <c r="AV131" t="s">
        <v>273</v>
      </c>
      <c r="AY131" t="s">
        <v>273</v>
      </c>
      <c r="BB131">
        <v>0</v>
      </c>
      <c r="BC131">
        <v>0</v>
      </c>
      <c r="BD131">
        <v>0</v>
      </c>
      <c r="BE131">
        <v>0</v>
      </c>
      <c r="BF131" t="s">
        <v>1063</v>
      </c>
      <c r="BG131" t="s">
        <v>3370</v>
      </c>
      <c r="BH131">
        <v>8</v>
      </c>
      <c r="BI131" t="s">
        <v>1247</v>
      </c>
      <c r="BK131">
        <v>1888912</v>
      </c>
      <c r="BL131" t="s">
        <v>274</v>
      </c>
    </row>
    <row r="132" spans="1:64">
      <c r="A132" s="1">
        <f>HYPERLINK("https://lsnyc.legalserver.org/matter/dynamic-profile/view/1897490","19-1897490")</f>
        <v>0</v>
      </c>
      <c r="B132" t="s">
        <v>2902</v>
      </c>
      <c r="C132" t="s">
        <v>2975</v>
      </c>
      <c r="D132" t="s">
        <v>255</v>
      </c>
      <c r="E132" t="s">
        <v>2979</v>
      </c>
      <c r="F132" t="s">
        <v>275</v>
      </c>
      <c r="G132" t="s">
        <v>275</v>
      </c>
      <c r="H132">
        <v>107.63</v>
      </c>
      <c r="I132" t="s">
        <v>274</v>
      </c>
      <c r="K132" t="s">
        <v>2987</v>
      </c>
      <c r="L132" t="s">
        <v>291</v>
      </c>
      <c r="P132" t="s">
        <v>493</v>
      </c>
      <c r="Q132" t="s">
        <v>501</v>
      </c>
      <c r="S132" t="s">
        <v>503</v>
      </c>
      <c r="T132" t="s">
        <v>507</v>
      </c>
      <c r="U132" t="s">
        <v>511</v>
      </c>
      <c r="V132">
        <v>10032</v>
      </c>
      <c r="W132" t="s">
        <v>520</v>
      </c>
      <c r="X132" t="s">
        <v>548</v>
      </c>
      <c r="Y132" t="s">
        <v>275</v>
      </c>
      <c r="Z132" t="s">
        <v>563</v>
      </c>
      <c r="AA132" t="s">
        <v>3200</v>
      </c>
      <c r="AB132" t="s">
        <v>902</v>
      </c>
      <c r="AC132" t="s">
        <v>906</v>
      </c>
      <c r="AD132" t="s">
        <v>275</v>
      </c>
      <c r="AE132" t="s">
        <v>919</v>
      </c>
      <c r="AF132" t="s">
        <v>923</v>
      </c>
      <c r="AI132">
        <v>4.75</v>
      </c>
      <c r="AJ132" t="s">
        <v>558</v>
      </c>
      <c r="AK132" t="s">
        <v>950</v>
      </c>
      <c r="AL132" t="s">
        <v>274</v>
      </c>
      <c r="AM132" t="s">
        <v>973</v>
      </c>
      <c r="AN132" t="s">
        <v>2986</v>
      </c>
      <c r="AO132" t="s">
        <v>978</v>
      </c>
      <c r="AP132" t="s">
        <v>295</v>
      </c>
      <c r="AQ132" t="s">
        <v>1036</v>
      </c>
      <c r="AR132" t="s">
        <v>1051</v>
      </c>
      <c r="AT132">
        <v>0</v>
      </c>
      <c r="AU132">
        <v>2</v>
      </c>
      <c r="AV132" t="s">
        <v>273</v>
      </c>
      <c r="AY132" t="s">
        <v>273</v>
      </c>
      <c r="BB132">
        <v>0</v>
      </c>
      <c r="BC132">
        <v>0</v>
      </c>
      <c r="BD132">
        <v>0</v>
      </c>
      <c r="BE132">
        <v>0</v>
      </c>
      <c r="BF132" t="s">
        <v>493</v>
      </c>
      <c r="BG132" t="s">
        <v>3371</v>
      </c>
      <c r="BH132">
        <v>28</v>
      </c>
      <c r="BI132" t="s">
        <v>1260</v>
      </c>
      <c r="BK132">
        <v>803136</v>
      </c>
    </row>
    <row r="133" spans="1:64">
      <c r="A133" s="1">
        <f>HYPERLINK("https://lsnyc.legalserver.org/matter/dynamic-profile/view/1897203","19-1897203")</f>
        <v>0</v>
      </c>
      <c r="B133" t="s">
        <v>2862</v>
      </c>
      <c r="C133" t="s">
        <v>2975</v>
      </c>
      <c r="D133" t="s">
        <v>255</v>
      </c>
      <c r="E133" t="s">
        <v>2977</v>
      </c>
      <c r="F133" t="s">
        <v>275</v>
      </c>
      <c r="G133" t="s">
        <v>275</v>
      </c>
      <c r="H133">
        <v>0</v>
      </c>
      <c r="I133" t="s">
        <v>274</v>
      </c>
      <c r="K133" t="s">
        <v>1691</v>
      </c>
      <c r="L133" t="s">
        <v>485</v>
      </c>
      <c r="O133" t="s">
        <v>275</v>
      </c>
      <c r="P133" t="s">
        <v>495</v>
      </c>
      <c r="Q133" t="s">
        <v>501</v>
      </c>
      <c r="S133" t="s">
        <v>503</v>
      </c>
      <c r="T133" t="s">
        <v>508</v>
      </c>
      <c r="U133" t="s">
        <v>511</v>
      </c>
      <c r="V133">
        <v>10065</v>
      </c>
      <c r="W133" t="s">
        <v>523</v>
      </c>
      <c r="X133" t="s">
        <v>549</v>
      </c>
      <c r="Y133" t="s">
        <v>275</v>
      </c>
      <c r="Z133" t="s">
        <v>3065</v>
      </c>
      <c r="AA133" t="s">
        <v>3176</v>
      </c>
      <c r="AB133" t="s">
        <v>902</v>
      </c>
      <c r="AC133" t="s">
        <v>905</v>
      </c>
      <c r="AD133" t="s">
        <v>275</v>
      </c>
      <c r="AE133" t="s">
        <v>920</v>
      </c>
      <c r="AF133" t="s">
        <v>928</v>
      </c>
      <c r="AI133">
        <v>6.35</v>
      </c>
      <c r="AJ133" t="s">
        <v>931</v>
      </c>
      <c r="AK133" t="s">
        <v>3259</v>
      </c>
      <c r="AL133" t="s">
        <v>274</v>
      </c>
      <c r="AM133" t="s">
        <v>975</v>
      </c>
      <c r="AN133" t="s">
        <v>485</v>
      </c>
      <c r="AQ133" t="s">
        <v>1033</v>
      </c>
      <c r="AR133" t="s">
        <v>1053</v>
      </c>
      <c r="AT133">
        <v>0</v>
      </c>
      <c r="AU133">
        <v>1</v>
      </c>
      <c r="AV133" t="s">
        <v>273</v>
      </c>
      <c r="AY133" t="s">
        <v>273</v>
      </c>
      <c r="BB133">
        <v>0</v>
      </c>
      <c r="BC133">
        <v>0</v>
      </c>
      <c r="BD133">
        <v>0</v>
      </c>
      <c r="BE133">
        <v>0</v>
      </c>
      <c r="BF133" t="s">
        <v>493</v>
      </c>
      <c r="BG133" t="s">
        <v>3332</v>
      </c>
      <c r="BH133">
        <v>34</v>
      </c>
      <c r="BI133" t="s">
        <v>1247</v>
      </c>
      <c r="BK133">
        <v>1897846</v>
      </c>
    </row>
    <row r="134" spans="1:64">
      <c r="A134" s="1">
        <f>HYPERLINK("https://lsnyc.legalserver.org/matter/dynamic-profile/view/1897101","19-1897101")</f>
        <v>0</v>
      </c>
      <c r="B134" t="s">
        <v>2903</v>
      </c>
      <c r="C134" t="s">
        <v>2975</v>
      </c>
      <c r="D134" t="s">
        <v>255</v>
      </c>
      <c r="E134" t="s">
        <v>2977</v>
      </c>
      <c r="F134" t="s">
        <v>273</v>
      </c>
      <c r="G134" t="s">
        <v>275</v>
      </c>
      <c r="H134">
        <v>183.5</v>
      </c>
      <c r="I134" t="s">
        <v>274</v>
      </c>
      <c r="K134" t="s">
        <v>1000</v>
      </c>
      <c r="M134" t="s">
        <v>473</v>
      </c>
      <c r="N134" t="s">
        <v>301</v>
      </c>
      <c r="O134" t="s">
        <v>275</v>
      </c>
      <c r="P134" t="s">
        <v>492</v>
      </c>
      <c r="Q134" t="s">
        <v>501</v>
      </c>
      <c r="S134" t="s">
        <v>503</v>
      </c>
      <c r="T134" t="s">
        <v>508</v>
      </c>
      <c r="U134" t="s">
        <v>511</v>
      </c>
      <c r="V134">
        <v>10039</v>
      </c>
      <c r="W134" t="s">
        <v>3017</v>
      </c>
      <c r="X134" t="s">
        <v>3026</v>
      </c>
      <c r="Y134" t="s">
        <v>275</v>
      </c>
      <c r="Z134" t="s">
        <v>3097</v>
      </c>
      <c r="AA134" t="s">
        <v>3201</v>
      </c>
      <c r="AB134" t="s">
        <v>903</v>
      </c>
      <c r="AF134" t="s">
        <v>923</v>
      </c>
      <c r="AI134">
        <v>6.8</v>
      </c>
      <c r="AJ134" t="s">
        <v>558</v>
      </c>
      <c r="AK134" t="s">
        <v>951</v>
      </c>
      <c r="AL134" t="s">
        <v>274</v>
      </c>
      <c r="AM134" t="s">
        <v>973</v>
      </c>
      <c r="AN134" t="s">
        <v>985</v>
      </c>
      <c r="AT134">
        <v>0</v>
      </c>
      <c r="AU134">
        <v>2</v>
      </c>
      <c r="AV134" t="s">
        <v>273</v>
      </c>
      <c r="AY134" t="s">
        <v>273</v>
      </c>
      <c r="BB134">
        <v>0</v>
      </c>
      <c r="BC134">
        <v>0</v>
      </c>
      <c r="BD134">
        <v>0</v>
      </c>
      <c r="BE134">
        <v>0</v>
      </c>
      <c r="BF134" t="s">
        <v>1063</v>
      </c>
      <c r="BG134" t="s">
        <v>3372</v>
      </c>
      <c r="BH134">
        <v>65</v>
      </c>
      <c r="BI134" t="s">
        <v>3455</v>
      </c>
      <c r="BK134">
        <v>1892793</v>
      </c>
    </row>
    <row r="135" spans="1:64">
      <c r="A135" s="1">
        <f>HYPERLINK("https://lsnyc.legalserver.org/matter/dynamic-profile/view/1896943","19-1896943")</f>
        <v>0</v>
      </c>
      <c r="B135" t="s">
        <v>2857</v>
      </c>
      <c r="C135" t="s">
        <v>2975</v>
      </c>
      <c r="D135" t="s">
        <v>1642</v>
      </c>
      <c r="E135" t="s">
        <v>2979</v>
      </c>
      <c r="F135" t="s">
        <v>275</v>
      </c>
      <c r="G135" t="s">
        <v>275</v>
      </c>
      <c r="H135">
        <v>0</v>
      </c>
      <c r="I135" t="s">
        <v>274</v>
      </c>
      <c r="K135" t="s">
        <v>1692</v>
      </c>
      <c r="L135" t="s">
        <v>449</v>
      </c>
      <c r="P135" t="s">
        <v>493</v>
      </c>
      <c r="Q135" t="s">
        <v>501</v>
      </c>
      <c r="S135" t="s">
        <v>503</v>
      </c>
      <c r="T135" t="s">
        <v>508</v>
      </c>
      <c r="U135" t="s">
        <v>511</v>
      </c>
      <c r="V135">
        <v>11418</v>
      </c>
      <c r="W135" t="s">
        <v>520</v>
      </c>
      <c r="X135" t="s">
        <v>549</v>
      </c>
      <c r="Y135" t="s">
        <v>275</v>
      </c>
      <c r="Z135" t="s">
        <v>3061</v>
      </c>
      <c r="AA135" t="s">
        <v>2203</v>
      </c>
      <c r="AB135" t="s">
        <v>902</v>
      </c>
      <c r="AC135" t="s">
        <v>911</v>
      </c>
      <c r="AD135" t="s">
        <v>274</v>
      </c>
      <c r="AE135" t="s">
        <v>919</v>
      </c>
      <c r="AF135" t="s">
        <v>923</v>
      </c>
      <c r="AI135">
        <v>8</v>
      </c>
      <c r="AJ135" t="s">
        <v>558</v>
      </c>
      <c r="AK135" t="s">
        <v>2369</v>
      </c>
      <c r="AL135" t="s">
        <v>274</v>
      </c>
      <c r="AM135" t="s">
        <v>973</v>
      </c>
      <c r="AN135" t="s">
        <v>1677</v>
      </c>
      <c r="AO135" t="s">
        <v>978</v>
      </c>
      <c r="AP135" t="s">
        <v>451</v>
      </c>
      <c r="AQ135" t="s">
        <v>1036</v>
      </c>
      <c r="AR135" t="s">
        <v>1051</v>
      </c>
      <c r="AT135">
        <v>1</v>
      </c>
      <c r="AU135">
        <v>1</v>
      </c>
      <c r="AV135" t="s">
        <v>273</v>
      </c>
      <c r="AY135" t="s">
        <v>273</v>
      </c>
      <c r="BB135">
        <v>0</v>
      </c>
      <c r="BC135">
        <v>0</v>
      </c>
      <c r="BD135">
        <v>495</v>
      </c>
      <c r="BE135">
        <v>0</v>
      </c>
      <c r="BF135" t="s">
        <v>493</v>
      </c>
      <c r="BG135" t="s">
        <v>3327</v>
      </c>
      <c r="BH135">
        <v>32</v>
      </c>
      <c r="BI135" t="s">
        <v>1247</v>
      </c>
      <c r="BK135">
        <v>777375</v>
      </c>
    </row>
    <row r="136" spans="1:64">
      <c r="A136" s="1">
        <f>HYPERLINK("https://lsnyc.legalserver.org/matter/dynamic-profile/view/1896424","19-1896424")</f>
        <v>0</v>
      </c>
      <c r="B136" t="s">
        <v>2904</v>
      </c>
      <c r="C136" t="s">
        <v>2975</v>
      </c>
      <c r="D136" t="s">
        <v>252</v>
      </c>
      <c r="E136" t="s">
        <v>2978</v>
      </c>
      <c r="F136" t="s">
        <v>273</v>
      </c>
      <c r="G136" t="s">
        <v>275</v>
      </c>
      <c r="H136">
        <v>0</v>
      </c>
      <c r="I136" t="s">
        <v>274</v>
      </c>
      <c r="K136" t="s">
        <v>322</v>
      </c>
      <c r="P136" t="s">
        <v>492</v>
      </c>
      <c r="Q136" t="s">
        <v>502</v>
      </c>
      <c r="S136" t="s">
        <v>503</v>
      </c>
      <c r="T136" t="s">
        <v>507</v>
      </c>
      <c r="U136" t="s">
        <v>511</v>
      </c>
      <c r="V136">
        <v>11230</v>
      </c>
      <c r="W136" t="s">
        <v>529</v>
      </c>
      <c r="X136" t="s">
        <v>549</v>
      </c>
      <c r="Y136" t="s">
        <v>275</v>
      </c>
      <c r="Z136" t="s">
        <v>3098</v>
      </c>
      <c r="AA136" t="s">
        <v>3202</v>
      </c>
      <c r="AB136" t="s">
        <v>902</v>
      </c>
      <c r="AC136" t="s">
        <v>906</v>
      </c>
      <c r="AF136" t="s">
        <v>923</v>
      </c>
      <c r="AI136">
        <v>5.2</v>
      </c>
      <c r="AJ136" t="s">
        <v>558</v>
      </c>
      <c r="AK136" t="s">
        <v>946</v>
      </c>
      <c r="AL136" t="s">
        <v>274</v>
      </c>
      <c r="AT136">
        <v>0</v>
      </c>
      <c r="AU136">
        <v>1</v>
      </c>
      <c r="AV136" t="s">
        <v>273</v>
      </c>
      <c r="AY136" t="s">
        <v>273</v>
      </c>
      <c r="BB136">
        <v>0</v>
      </c>
      <c r="BC136">
        <v>0</v>
      </c>
      <c r="BD136">
        <v>0</v>
      </c>
      <c r="BE136">
        <v>0</v>
      </c>
      <c r="BF136" t="s">
        <v>1063</v>
      </c>
      <c r="BG136" t="s">
        <v>2411</v>
      </c>
      <c r="BH136">
        <v>19</v>
      </c>
      <c r="BI136" t="s">
        <v>1247</v>
      </c>
      <c r="BK136">
        <v>1897066</v>
      </c>
    </row>
    <row r="137" spans="1:64">
      <c r="A137" s="1">
        <f>HYPERLINK("https://lsnyc.legalserver.org/matter/dynamic-profile/view/1896430","19-1896430")</f>
        <v>0</v>
      </c>
      <c r="B137" t="s">
        <v>2904</v>
      </c>
      <c r="C137" t="s">
        <v>2975</v>
      </c>
      <c r="D137" t="s">
        <v>252</v>
      </c>
      <c r="E137" t="s">
        <v>2978</v>
      </c>
      <c r="F137" t="s">
        <v>273</v>
      </c>
      <c r="G137" t="s">
        <v>275</v>
      </c>
      <c r="H137">
        <v>0</v>
      </c>
      <c r="I137" t="s">
        <v>274</v>
      </c>
      <c r="K137" t="s">
        <v>322</v>
      </c>
      <c r="M137" t="s">
        <v>472</v>
      </c>
      <c r="N137" t="s">
        <v>480</v>
      </c>
      <c r="P137" t="s">
        <v>492</v>
      </c>
      <c r="Q137" t="s">
        <v>502</v>
      </c>
      <c r="S137" t="s">
        <v>503</v>
      </c>
      <c r="T137" t="s">
        <v>507</v>
      </c>
      <c r="U137" t="s">
        <v>511</v>
      </c>
      <c r="V137">
        <v>11230</v>
      </c>
      <c r="W137" t="s">
        <v>532</v>
      </c>
      <c r="X137" t="s">
        <v>549</v>
      </c>
      <c r="Y137" t="s">
        <v>275</v>
      </c>
      <c r="Z137" t="s">
        <v>3098</v>
      </c>
      <c r="AA137" t="s">
        <v>3202</v>
      </c>
      <c r="AB137" t="s">
        <v>902</v>
      </c>
      <c r="AC137" t="s">
        <v>906</v>
      </c>
      <c r="AF137" t="s">
        <v>923</v>
      </c>
      <c r="AI137">
        <v>30.8</v>
      </c>
      <c r="AJ137" t="s">
        <v>558</v>
      </c>
      <c r="AK137" t="s">
        <v>946</v>
      </c>
      <c r="AL137" t="s">
        <v>274</v>
      </c>
      <c r="AT137">
        <v>0</v>
      </c>
      <c r="AU137">
        <v>1</v>
      </c>
      <c r="AV137" t="s">
        <v>273</v>
      </c>
      <c r="AY137" t="s">
        <v>273</v>
      </c>
      <c r="BB137">
        <v>0</v>
      </c>
      <c r="BC137">
        <v>0</v>
      </c>
      <c r="BD137">
        <v>0</v>
      </c>
      <c r="BE137">
        <v>0</v>
      </c>
      <c r="BF137" t="s">
        <v>1063</v>
      </c>
      <c r="BG137" t="s">
        <v>2411</v>
      </c>
      <c r="BH137">
        <v>19</v>
      </c>
      <c r="BI137" t="s">
        <v>1247</v>
      </c>
      <c r="BK137">
        <v>1897066</v>
      </c>
    </row>
    <row r="138" spans="1:64">
      <c r="A138" s="1">
        <f>HYPERLINK("https://lsnyc.legalserver.org/matter/dynamic-profile/view/1896186","19-1896186")</f>
        <v>0</v>
      </c>
      <c r="B138" t="s">
        <v>2893</v>
      </c>
      <c r="C138" t="s">
        <v>2975</v>
      </c>
      <c r="D138" t="s">
        <v>255</v>
      </c>
      <c r="E138" t="s">
        <v>2981</v>
      </c>
      <c r="F138" t="s">
        <v>273</v>
      </c>
      <c r="G138" t="s">
        <v>275</v>
      </c>
      <c r="H138">
        <v>7.65</v>
      </c>
      <c r="I138" t="s">
        <v>274</v>
      </c>
      <c r="K138" t="s">
        <v>323</v>
      </c>
      <c r="P138" t="s">
        <v>492</v>
      </c>
      <c r="Q138" t="s">
        <v>502</v>
      </c>
      <c r="S138" t="s">
        <v>503</v>
      </c>
      <c r="T138" t="s">
        <v>507</v>
      </c>
      <c r="U138" t="s">
        <v>511</v>
      </c>
      <c r="V138">
        <v>10025</v>
      </c>
      <c r="W138" t="s">
        <v>518</v>
      </c>
      <c r="X138" t="s">
        <v>548</v>
      </c>
      <c r="Z138" t="s">
        <v>3091</v>
      </c>
      <c r="AA138" t="s">
        <v>2320</v>
      </c>
      <c r="AB138" t="s">
        <v>902</v>
      </c>
      <c r="AC138" t="s">
        <v>905</v>
      </c>
      <c r="AF138" t="s">
        <v>926</v>
      </c>
      <c r="AI138">
        <v>0</v>
      </c>
      <c r="AJ138" t="s">
        <v>558</v>
      </c>
      <c r="AK138" t="s">
        <v>934</v>
      </c>
      <c r="AL138" t="s">
        <v>274</v>
      </c>
      <c r="AT138">
        <v>2</v>
      </c>
      <c r="AU138">
        <v>1</v>
      </c>
      <c r="AV138" t="s">
        <v>273</v>
      </c>
      <c r="AY138" t="s">
        <v>273</v>
      </c>
      <c r="BB138">
        <v>0</v>
      </c>
      <c r="BC138">
        <v>0</v>
      </c>
      <c r="BD138">
        <v>0</v>
      </c>
      <c r="BE138">
        <v>0</v>
      </c>
      <c r="BF138" t="s">
        <v>1063</v>
      </c>
      <c r="BG138" t="s">
        <v>3362</v>
      </c>
      <c r="BH138">
        <v>8</v>
      </c>
      <c r="BI138" t="s">
        <v>3453</v>
      </c>
      <c r="BK138">
        <v>1896828</v>
      </c>
    </row>
    <row r="139" spans="1:64">
      <c r="A139" s="1">
        <f>HYPERLINK("https://lsnyc.legalserver.org/matter/dynamic-profile/view/1896192","19-1896192")</f>
        <v>0</v>
      </c>
      <c r="B139" t="s">
        <v>2887</v>
      </c>
      <c r="C139" t="s">
        <v>2975</v>
      </c>
      <c r="D139" t="s">
        <v>255</v>
      </c>
      <c r="E139" t="s">
        <v>2981</v>
      </c>
      <c r="F139" t="s">
        <v>273</v>
      </c>
      <c r="G139" t="s">
        <v>275</v>
      </c>
      <c r="H139">
        <v>7.65</v>
      </c>
      <c r="I139" t="s">
        <v>274</v>
      </c>
      <c r="K139" t="s">
        <v>323</v>
      </c>
      <c r="P139" t="s">
        <v>492</v>
      </c>
      <c r="Q139" t="s">
        <v>502</v>
      </c>
      <c r="S139" t="s">
        <v>503</v>
      </c>
      <c r="T139" t="s">
        <v>507</v>
      </c>
      <c r="U139" t="s">
        <v>511</v>
      </c>
      <c r="V139">
        <v>10025</v>
      </c>
      <c r="W139" t="s">
        <v>518</v>
      </c>
      <c r="X139" t="s">
        <v>548</v>
      </c>
      <c r="Z139" t="s">
        <v>3086</v>
      </c>
      <c r="AA139" t="s">
        <v>3192</v>
      </c>
      <c r="AB139" t="s">
        <v>902</v>
      </c>
      <c r="AC139" t="s">
        <v>905</v>
      </c>
      <c r="AF139" t="s">
        <v>926</v>
      </c>
      <c r="AI139">
        <v>0</v>
      </c>
      <c r="AJ139" t="s">
        <v>558</v>
      </c>
      <c r="AK139" t="s">
        <v>934</v>
      </c>
      <c r="AL139" t="s">
        <v>274</v>
      </c>
      <c r="AT139">
        <v>2</v>
      </c>
      <c r="AU139">
        <v>1</v>
      </c>
      <c r="AV139" t="s">
        <v>273</v>
      </c>
      <c r="AY139" t="s">
        <v>273</v>
      </c>
      <c r="BB139">
        <v>0</v>
      </c>
      <c r="BC139">
        <v>0</v>
      </c>
      <c r="BD139">
        <v>0</v>
      </c>
      <c r="BE139">
        <v>0</v>
      </c>
      <c r="BF139" t="s">
        <v>1063</v>
      </c>
      <c r="BG139" t="s">
        <v>3356</v>
      </c>
      <c r="BH139">
        <v>4</v>
      </c>
      <c r="BI139" t="s">
        <v>3453</v>
      </c>
      <c r="BK139">
        <v>1896834</v>
      </c>
    </row>
    <row r="140" spans="1:64">
      <c r="A140" s="1">
        <f>HYPERLINK("https://lsnyc.legalserver.org/matter/dynamic-profile/view/1896232","19-1896232")</f>
        <v>0</v>
      </c>
      <c r="B140" t="s">
        <v>2896</v>
      </c>
      <c r="C140" t="s">
        <v>2975</v>
      </c>
      <c r="D140" t="s">
        <v>255</v>
      </c>
      <c r="E140" t="s">
        <v>2977</v>
      </c>
      <c r="F140" t="s">
        <v>273</v>
      </c>
      <c r="G140" t="s">
        <v>275</v>
      </c>
      <c r="H140">
        <v>0</v>
      </c>
      <c r="I140" t="s">
        <v>274</v>
      </c>
      <c r="K140" t="s">
        <v>323</v>
      </c>
      <c r="M140" t="s">
        <v>473</v>
      </c>
      <c r="N140" t="s">
        <v>297</v>
      </c>
      <c r="O140" t="s">
        <v>275</v>
      </c>
      <c r="P140" t="s">
        <v>492</v>
      </c>
      <c r="Q140" t="s">
        <v>502</v>
      </c>
      <c r="S140" t="s">
        <v>503</v>
      </c>
      <c r="T140" t="s">
        <v>507</v>
      </c>
      <c r="U140" t="s">
        <v>511</v>
      </c>
      <c r="V140">
        <v>10025</v>
      </c>
      <c r="W140" t="s">
        <v>529</v>
      </c>
      <c r="X140" t="s">
        <v>548</v>
      </c>
      <c r="Y140" t="s">
        <v>275</v>
      </c>
      <c r="Z140" t="s">
        <v>3093</v>
      </c>
      <c r="AA140" t="s">
        <v>884</v>
      </c>
      <c r="AB140" t="s">
        <v>902</v>
      </c>
      <c r="AC140" t="s">
        <v>905</v>
      </c>
      <c r="AF140" t="s">
        <v>923</v>
      </c>
      <c r="AI140">
        <v>1</v>
      </c>
      <c r="AJ140" t="s">
        <v>558</v>
      </c>
      <c r="AK140" t="s">
        <v>934</v>
      </c>
      <c r="AL140" t="s">
        <v>274</v>
      </c>
      <c r="AT140">
        <v>1</v>
      </c>
      <c r="AU140">
        <v>2</v>
      </c>
      <c r="AV140" t="s">
        <v>273</v>
      </c>
      <c r="AY140" t="s">
        <v>273</v>
      </c>
      <c r="BB140">
        <v>0</v>
      </c>
      <c r="BC140">
        <v>0</v>
      </c>
      <c r="BD140">
        <v>0</v>
      </c>
      <c r="BE140">
        <v>0</v>
      </c>
      <c r="BF140" t="s">
        <v>1063</v>
      </c>
      <c r="BG140" t="s">
        <v>3365</v>
      </c>
      <c r="BH140">
        <v>19</v>
      </c>
      <c r="BI140" t="s">
        <v>1247</v>
      </c>
      <c r="BK140">
        <v>1896186</v>
      </c>
    </row>
    <row r="141" spans="1:64">
      <c r="A141" s="1">
        <f>HYPERLINK("https://lsnyc.legalserver.org/matter/dynamic-profile/view/1896071","19-1896071")</f>
        <v>0</v>
      </c>
      <c r="B141" t="s">
        <v>2905</v>
      </c>
      <c r="C141" t="s">
        <v>2975</v>
      </c>
      <c r="D141" t="s">
        <v>255</v>
      </c>
      <c r="E141" t="s">
        <v>2980</v>
      </c>
      <c r="F141" t="s">
        <v>273</v>
      </c>
      <c r="G141" t="s">
        <v>275</v>
      </c>
      <c r="H141">
        <v>0</v>
      </c>
      <c r="K141" t="s">
        <v>1695</v>
      </c>
      <c r="O141" t="s">
        <v>275</v>
      </c>
      <c r="P141" t="s">
        <v>499</v>
      </c>
      <c r="Q141" t="s">
        <v>501</v>
      </c>
      <c r="S141" t="s">
        <v>503</v>
      </c>
      <c r="T141" t="s">
        <v>508</v>
      </c>
      <c r="U141" t="s">
        <v>511</v>
      </c>
      <c r="V141">
        <v>10075</v>
      </c>
      <c r="X141" t="s">
        <v>549</v>
      </c>
      <c r="Z141" t="s">
        <v>3099</v>
      </c>
      <c r="AA141" t="s">
        <v>3203</v>
      </c>
      <c r="AB141" t="s">
        <v>902</v>
      </c>
      <c r="AC141" t="s">
        <v>905</v>
      </c>
      <c r="AI141">
        <v>1</v>
      </c>
      <c r="AJ141" t="s">
        <v>558</v>
      </c>
      <c r="AK141" t="s">
        <v>2369</v>
      </c>
      <c r="AT141">
        <v>0</v>
      </c>
      <c r="AU141">
        <v>1</v>
      </c>
      <c r="AV141" t="s">
        <v>273</v>
      </c>
      <c r="AY141" t="s">
        <v>273</v>
      </c>
      <c r="BB141">
        <v>0</v>
      </c>
      <c r="BC141">
        <v>0</v>
      </c>
      <c r="BD141">
        <v>0</v>
      </c>
      <c r="BE141">
        <v>0</v>
      </c>
      <c r="BF141" t="s">
        <v>1063</v>
      </c>
      <c r="BG141" t="s">
        <v>3373</v>
      </c>
      <c r="BH141">
        <v>28</v>
      </c>
      <c r="BI141" t="s">
        <v>1247</v>
      </c>
      <c r="BK141">
        <v>1896713</v>
      </c>
    </row>
    <row r="142" spans="1:64">
      <c r="A142" s="1">
        <f>HYPERLINK("https://lsnyc.legalserver.org/matter/dynamic-profile/view/1895621","19-1895621")</f>
        <v>0</v>
      </c>
      <c r="B142" t="s">
        <v>2906</v>
      </c>
      <c r="C142" t="s">
        <v>2975</v>
      </c>
      <c r="D142" t="s">
        <v>255</v>
      </c>
      <c r="E142" t="s">
        <v>2977</v>
      </c>
      <c r="F142" t="s">
        <v>275</v>
      </c>
      <c r="G142" t="s">
        <v>275</v>
      </c>
      <c r="H142">
        <v>0</v>
      </c>
      <c r="I142" t="s">
        <v>274</v>
      </c>
      <c r="K142" t="s">
        <v>324</v>
      </c>
      <c r="L142" t="s">
        <v>453</v>
      </c>
      <c r="O142" t="s">
        <v>275</v>
      </c>
      <c r="P142" t="s">
        <v>495</v>
      </c>
      <c r="Q142" t="s">
        <v>501</v>
      </c>
      <c r="S142" t="s">
        <v>503</v>
      </c>
      <c r="T142" t="s">
        <v>507</v>
      </c>
      <c r="U142" t="s">
        <v>511</v>
      </c>
      <c r="V142">
        <v>10002</v>
      </c>
      <c r="W142" t="s">
        <v>522</v>
      </c>
      <c r="X142" t="s">
        <v>555</v>
      </c>
      <c r="Y142" t="s">
        <v>275</v>
      </c>
      <c r="Z142" t="s">
        <v>3100</v>
      </c>
      <c r="AA142" t="s">
        <v>3204</v>
      </c>
      <c r="AB142" t="s">
        <v>902</v>
      </c>
      <c r="AC142" t="s">
        <v>906</v>
      </c>
      <c r="AD142" t="s">
        <v>916</v>
      </c>
      <c r="AE142" t="s">
        <v>919</v>
      </c>
      <c r="AF142" t="s">
        <v>923</v>
      </c>
      <c r="AI142">
        <v>1.55</v>
      </c>
      <c r="AJ142" t="s">
        <v>558</v>
      </c>
      <c r="AK142" t="s">
        <v>951</v>
      </c>
      <c r="AL142" t="s">
        <v>274</v>
      </c>
      <c r="AM142" t="s">
        <v>973</v>
      </c>
      <c r="AN142" t="s">
        <v>1013</v>
      </c>
      <c r="AO142" t="s">
        <v>978</v>
      </c>
      <c r="AP142" t="s">
        <v>995</v>
      </c>
      <c r="AQ142" t="s">
        <v>1038</v>
      </c>
      <c r="AR142" t="s">
        <v>1051</v>
      </c>
      <c r="AT142">
        <v>0</v>
      </c>
      <c r="AU142">
        <v>1</v>
      </c>
      <c r="AV142" t="s">
        <v>273</v>
      </c>
      <c r="AY142" t="s">
        <v>273</v>
      </c>
      <c r="BB142">
        <v>0</v>
      </c>
      <c r="BC142">
        <v>0</v>
      </c>
      <c r="BD142">
        <v>0</v>
      </c>
      <c r="BE142">
        <v>0</v>
      </c>
      <c r="BF142" t="s">
        <v>493</v>
      </c>
      <c r="BG142" t="s">
        <v>3374</v>
      </c>
      <c r="BH142">
        <v>52</v>
      </c>
      <c r="BI142" t="s">
        <v>1247</v>
      </c>
      <c r="BK142">
        <v>1883917</v>
      </c>
    </row>
    <row r="143" spans="1:64">
      <c r="A143" s="1">
        <f>HYPERLINK("https://lsnyc.legalserver.org/matter/dynamic-profile/view/1895656","19-1895656")</f>
        <v>0</v>
      </c>
      <c r="B143" t="s">
        <v>2900</v>
      </c>
      <c r="C143" t="s">
        <v>2975</v>
      </c>
      <c r="D143" t="s">
        <v>255</v>
      </c>
      <c r="E143" t="s">
        <v>2977</v>
      </c>
      <c r="F143" t="s">
        <v>273</v>
      </c>
      <c r="G143" t="s">
        <v>275</v>
      </c>
      <c r="H143">
        <v>522.77</v>
      </c>
      <c r="I143" t="s">
        <v>274</v>
      </c>
      <c r="K143" t="s">
        <v>324</v>
      </c>
      <c r="M143" t="s">
        <v>473</v>
      </c>
      <c r="N143" t="s">
        <v>445</v>
      </c>
      <c r="P143" t="s">
        <v>492</v>
      </c>
      <c r="Q143" t="s">
        <v>501</v>
      </c>
      <c r="S143" t="s">
        <v>503</v>
      </c>
      <c r="T143" t="s">
        <v>507</v>
      </c>
      <c r="U143" t="s">
        <v>511</v>
      </c>
      <c r="V143">
        <v>10040</v>
      </c>
      <c r="W143" t="s">
        <v>523</v>
      </c>
      <c r="X143" t="s">
        <v>548</v>
      </c>
      <c r="Y143" t="s">
        <v>274</v>
      </c>
      <c r="Z143" t="s">
        <v>1989</v>
      </c>
      <c r="AA143" t="s">
        <v>824</v>
      </c>
      <c r="AB143" t="s">
        <v>902</v>
      </c>
      <c r="AC143" t="s">
        <v>909</v>
      </c>
      <c r="AF143" t="s">
        <v>923</v>
      </c>
      <c r="AI143">
        <v>2.25</v>
      </c>
      <c r="AJ143" t="s">
        <v>931</v>
      </c>
      <c r="AK143" t="s">
        <v>950</v>
      </c>
      <c r="AL143" t="s">
        <v>274</v>
      </c>
      <c r="AT143">
        <v>0</v>
      </c>
      <c r="AU143">
        <v>2</v>
      </c>
      <c r="AV143" t="s">
        <v>273</v>
      </c>
      <c r="AY143" t="s">
        <v>273</v>
      </c>
      <c r="BB143">
        <v>0</v>
      </c>
      <c r="BC143">
        <v>0</v>
      </c>
      <c r="BD143">
        <v>0</v>
      </c>
      <c r="BE143">
        <v>0</v>
      </c>
      <c r="BF143" t="s">
        <v>1063</v>
      </c>
      <c r="BG143" t="s">
        <v>3369</v>
      </c>
      <c r="BH143">
        <v>29</v>
      </c>
      <c r="BI143" t="s">
        <v>3456</v>
      </c>
      <c r="BK143">
        <v>1896298</v>
      </c>
    </row>
    <row r="144" spans="1:64">
      <c r="A144" s="1">
        <f>HYPERLINK("https://lsnyc.legalserver.org/matter/dynamic-profile/view/1895426","19-1895426")</f>
        <v>0</v>
      </c>
      <c r="B144" t="s">
        <v>2885</v>
      </c>
      <c r="C144" t="s">
        <v>2975</v>
      </c>
      <c r="D144" t="s">
        <v>255</v>
      </c>
      <c r="E144" t="s">
        <v>2983</v>
      </c>
      <c r="F144" t="s">
        <v>273</v>
      </c>
      <c r="G144" t="s">
        <v>275</v>
      </c>
      <c r="H144">
        <v>0</v>
      </c>
      <c r="I144" t="s">
        <v>274</v>
      </c>
      <c r="K144" t="s">
        <v>988</v>
      </c>
      <c r="P144" t="s">
        <v>492</v>
      </c>
      <c r="Q144" t="s">
        <v>502</v>
      </c>
      <c r="S144" t="s">
        <v>503</v>
      </c>
      <c r="T144" t="s">
        <v>507</v>
      </c>
      <c r="U144" t="s">
        <v>511</v>
      </c>
      <c r="V144">
        <v>10026</v>
      </c>
      <c r="W144" t="s">
        <v>518</v>
      </c>
      <c r="X144" t="s">
        <v>548</v>
      </c>
      <c r="Z144" t="s">
        <v>3084</v>
      </c>
      <c r="AA144" t="s">
        <v>2102</v>
      </c>
      <c r="AB144" t="s">
        <v>902</v>
      </c>
      <c r="AC144" t="s">
        <v>905</v>
      </c>
      <c r="AF144" t="s">
        <v>926</v>
      </c>
      <c r="AI144">
        <v>23.9</v>
      </c>
      <c r="AJ144" t="s">
        <v>558</v>
      </c>
      <c r="AK144" t="s">
        <v>934</v>
      </c>
      <c r="AL144" t="s">
        <v>274</v>
      </c>
      <c r="AT144">
        <v>1</v>
      </c>
      <c r="AU144">
        <v>1</v>
      </c>
      <c r="AV144" t="s">
        <v>273</v>
      </c>
      <c r="AY144" t="s">
        <v>273</v>
      </c>
      <c r="BB144">
        <v>0</v>
      </c>
      <c r="BC144">
        <v>0</v>
      </c>
      <c r="BD144">
        <v>0</v>
      </c>
      <c r="BE144">
        <v>0</v>
      </c>
      <c r="BF144" t="s">
        <v>1063</v>
      </c>
      <c r="BG144" t="s">
        <v>3354</v>
      </c>
      <c r="BH144">
        <v>7</v>
      </c>
      <c r="BI144" t="s">
        <v>1247</v>
      </c>
      <c r="BK144">
        <v>1896068</v>
      </c>
    </row>
    <row r="145" spans="1:64">
      <c r="A145" s="1">
        <f>HYPERLINK("https://lsnyc.legalserver.org/matter/dynamic-profile/view/1895544","19-1895544")</f>
        <v>0</v>
      </c>
      <c r="B145" t="s">
        <v>2896</v>
      </c>
      <c r="C145" t="s">
        <v>2975</v>
      </c>
      <c r="D145" t="s">
        <v>255</v>
      </c>
      <c r="E145" t="s">
        <v>2977</v>
      </c>
      <c r="F145" t="s">
        <v>273</v>
      </c>
      <c r="G145" t="s">
        <v>275</v>
      </c>
      <c r="H145">
        <v>0</v>
      </c>
      <c r="I145" t="s">
        <v>274</v>
      </c>
      <c r="K145" t="s">
        <v>988</v>
      </c>
      <c r="M145" t="s">
        <v>473</v>
      </c>
      <c r="N145" t="s">
        <v>297</v>
      </c>
      <c r="P145" t="s">
        <v>492</v>
      </c>
      <c r="Q145" t="s">
        <v>502</v>
      </c>
      <c r="S145" t="s">
        <v>503</v>
      </c>
      <c r="T145" t="s">
        <v>507</v>
      </c>
      <c r="U145" t="s">
        <v>511</v>
      </c>
      <c r="V145">
        <v>10025</v>
      </c>
      <c r="W145" t="s">
        <v>518</v>
      </c>
      <c r="X145" t="s">
        <v>548</v>
      </c>
      <c r="Y145" t="s">
        <v>275</v>
      </c>
      <c r="Z145" t="s">
        <v>3093</v>
      </c>
      <c r="AA145" t="s">
        <v>884</v>
      </c>
      <c r="AB145" t="s">
        <v>902</v>
      </c>
      <c r="AC145" t="s">
        <v>905</v>
      </c>
      <c r="AF145" t="s">
        <v>926</v>
      </c>
      <c r="AI145">
        <v>22.05</v>
      </c>
      <c r="AJ145" t="s">
        <v>558</v>
      </c>
      <c r="AK145" t="s">
        <v>934</v>
      </c>
      <c r="AL145" t="s">
        <v>274</v>
      </c>
      <c r="AT145">
        <v>1</v>
      </c>
      <c r="AU145">
        <v>2</v>
      </c>
      <c r="AV145" t="s">
        <v>273</v>
      </c>
      <c r="AY145" t="s">
        <v>273</v>
      </c>
      <c r="BB145">
        <v>0</v>
      </c>
      <c r="BC145">
        <v>0</v>
      </c>
      <c r="BD145">
        <v>0</v>
      </c>
      <c r="BE145">
        <v>0</v>
      </c>
      <c r="BF145" t="s">
        <v>1063</v>
      </c>
      <c r="BG145" t="s">
        <v>3365</v>
      </c>
      <c r="BH145">
        <v>19</v>
      </c>
      <c r="BI145" t="s">
        <v>1247</v>
      </c>
      <c r="BK145">
        <v>1896186</v>
      </c>
    </row>
    <row r="146" spans="1:64">
      <c r="A146" s="1">
        <f>HYPERLINK("https://lsnyc.legalserver.org/matter/dynamic-profile/view/1895345","19-1895345")</f>
        <v>0</v>
      </c>
      <c r="B146" t="s">
        <v>2907</v>
      </c>
      <c r="C146" t="s">
        <v>2975</v>
      </c>
      <c r="D146" t="s">
        <v>255</v>
      </c>
      <c r="E146" t="s">
        <v>2977</v>
      </c>
      <c r="F146" t="s">
        <v>273</v>
      </c>
      <c r="G146" t="s">
        <v>275</v>
      </c>
      <c r="H146">
        <v>144.12</v>
      </c>
      <c r="I146" t="s">
        <v>274</v>
      </c>
      <c r="K146" t="s">
        <v>989</v>
      </c>
      <c r="M146" t="s">
        <v>473</v>
      </c>
      <c r="N146" t="s">
        <v>466</v>
      </c>
      <c r="O146" t="s">
        <v>275</v>
      </c>
      <c r="P146" t="s">
        <v>492</v>
      </c>
      <c r="Q146" t="s">
        <v>501</v>
      </c>
      <c r="R146" t="s">
        <v>501</v>
      </c>
      <c r="S146" t="s">
        <v>503</v>
      </c>
      <c r="T146" t="s">
        <v>508</v>
      </c>
      <c r="U146" t="s">
        <v>511</v>
      </c>
      <c r="V146">
        <v>10019</v>
      </c>
      <c r="W146" t="s">
        <v>521</v>
      </c>
      <c r="X146" t="s">
        <v>548</v>
      </c>
      <c r="Y146" t="s">
        <v>275</v>
      </c>
      <c r="Z146" t="s">
        <v>674</v>
      </c>
      <c r="AA146" t="s">
        <v>770</v>
      </c>
      <c r="AB146" t="s">
        <v>902</v>
      </c>
      <c r="AC146" t="s">
        <v>905</v>
      </c>
      <c r="AF146" t="s">
        <v>923</v>
      </c>
      <c r="AI146">
        <v>36.43</v>
      </c>
      <c r="AJ146" t="s">
        <v>558</v>
      </c>
      <c r="AK146" t="s">
        <v>945</v>
      </c>
      <c r="AL146" t="s">
        <v>274</v>
      </c>
      <c r="AT146">
        <v>0</v>
      </c>
      <c r="AU146">
        <v>1</v>
      </c>
      <c r="AV146" t="s">
        <v>273</v>
      </c>
      <c r="AY146" t="s">
        <v>273</v>
      </c>
      <c r="BB146">
        <v>0</v>
      </c>
      <c r="BC146">
        <v>0</v>
      </c>
      <c r="BD146">
        <v>0</v>
      </c>
      <c r="BE146">
        <v>0</v>
      </c>
      <c r="BF146" t="s">
        <v>1063</v>
      </c>
      <c r="BG146" t="s">
        <v>3375</v>
      </c>
      <c r="BH146">
        <v>34</v>
      </c>
      <c r="BI146" t="s">
        <v>1289</v>
      </c>
      <c r="BK146">
        <v>1895987</v>
      </c>
    </row>
    <row r="147" spans="1:64">
      <c r="A147" s="1">
        <f>HYPERLINK("https://lsnyc.legalserver.org/matter/dynamic-profile/view/1895195","19-1895195")</f>
        <v>0</v>
      </c>
      <c r="B147" t="s">
        <v>2908</v>
      </c>
      <c r="C147" t="s">
        <v>2975</v>
      </c>
      <c r="D147" t="s">
        <v>255</v>
      </c>
      <c r="E147" t="s">
        <v>2979</v>
      </c>
      <c r="F147" t="s">
        <v>275</v>
      </c>
      <c r="G147" t="s">
        <v>275</v>
      </c>
      <c r="H147">
        <v>0</v>
      </c>
      <c r="I147" t="s">
        <v>274</v>
      </c>
      <c r="K147" t="s">
        <v>986</v>
      </c>
      <c r="L147" t="s">
        <v>293</v>
      </c>
      <c r="P147" t="s">
        <v>493</v>
      </c>
      <c r="Q147" t="s">
        <v>501</v>
      </c>
      <c r="S147" t="s">
        <v>503</v>
      </c>
      <c r="T147" t="s">
        <v>507</v>
      </c>
      <c r="U147" t="s">
        <v>511</v>
      </c>
      <c r="V147">
        <v>10031</v>
      </c>
      <c r="W147" t="s">
        <v>544</v>
      </c>
      <c r="X147" t="s">
        <v>549</v>
      </c>
      <c r="Y147" t="s">
        <v>275</v>
      </c>
      <c r="Z147" t="s">
        <v>3101</v>
      </c>
      <c r="AA147" t="s">
        <v>3205</v>
      </c>
      <c r="AB147" t="s">
        <v>902</v>
      </c>
      <c r="AC147" t="s">
        <v>904</v>
      </c>
      <c r="AD147" t="s">
        <v>275</v>
      </c>
      <c r="AE147" t="s">
        <v>919</v>
      </c>
      <c r="AF147" t="s">
        <v>923</v>
      </c>
      <c r="AI147">
        <v>3</v>
      </c>
      <c r="AJ147" t="s">
        <v>558</v>
      </c>
      <c r="AK147" t="s">
        <v>950</v>
      </c>
      <c r="AL147" t="s">
        <v>274</v>
      </c>
      <c r="AM147" t="s">
        <v>973</v>
      </c>
      <c r="AN147" t="s">
        <v>1677</v>
      </c>
      <c r="AO147" t="s">
        <v>978</v>
      </c>
      <c r="AP147" t="s">
        <v>296</v>
      </c>
      <c r="AQ147" t="s">
        <v>1037</v>
      </c>
      <c r="AR147" t="s">
        <v>1051</v>
      </c>
      <c r="AT147">
        <v>0</v>
      </c>
      <c r="AU147">
        <v>1</v>
      </c>
      <c r="AV147" t="s">
        <v>273</v>
      </c>
      <c r="AY147" t="s">
        <v>273</v>
      </c>
      <c r="BB147">
        <v>0</v>
      </c>
      <c r="BC147">
        <v>0</v>
      </c>
      <c r="BD147">
        <v>725</v>
      </c>
      <c r="BE147">
        <v>0</v>
      </c>
      <c r="BF147" t="s">
        <v>493</v>
      </c>
      <c r="BG147" t="s">
        <v>3376</v>
      </c>
      <c r="BH147">
        <v>35</v>
      </c>
      <c r="BI147" t="s">
        <v>1247</v>
      </c>
      <c r="BK147">
        <v>1845253</v>
      </c>
    </row>
    <row r="148" spans="1:64">
      <c r="A148" s="1">
        <f>HYPERLINK("https://lsnyc.legalserver.org/matter/dynamic-profile/view/1895217","19-1895217")</f>
        <v>0</v>
      </c>
      <c r="B148" t="s">
        <v>2883</v>
      </c>
      <c r="C148" t="s">
        <v>2975</v>
      </c>
      <c r="D148" t="s">
        <v>255</v>
      </c>
      <c r="E148" t="s">
        <v>2978</v>
      </c>
      <c r="F148" t="s">
        <v>273</v>
      </c>
      <c r="G148" t="s">
        <v>275</v>
      </c>
      <c r="H148">
        <v>0</v>
      </c>
      <c r="I148" t="s">
        <v>274</v>
      </c>
      <c r="K148" t="s">
        <v>986</v>
      </c>
      <c r="M148" t="s">
        <v>471</v>
      </c>
      <c r="N148" t="s">
        <v>279</v>
      </c>
      <c r="P148" t="s">
        <v>492</v>
      </c>
      <c r="Q148" t="s">
        <v>502</v>
      </c>
      <c r="S148" t="s">
        <v>503</v>
      </c>
      <c r="T148" t="s">
        <v>507</v>
      </c>
      <c r="U148" t="s">
        <v>511</v>
      </c>
      <c r="V148">
        <v>10033</v>
      </c>
      <c r="W148" t="s">
        <v>518</v>
      </c>
      <c r="X148" t="s">
        <v>548</v>
      </c>
      <c r="Z148" t="s">
        <v>3083</v>
      </c>
      <c r="AA148" t="s">
        <v>3191</v>
      </c>
      <c r="AB148" t="s">
        <v>902</v>
      </c>
      <c r="AC148" t="s">
        <v>906</v>
      </c>
      <c r="AF148" t="s">
        <v>926</v>
      </c>
      <c r="AI148">
        <v>68.75</v>
      </c>
      <c r="AJ148" t="s">
        <v>558</v>
      </c>
      <c r="AK148" t="s">
        <v>934</v>
      </c>
      <c r="AL148" t="s">
        <v>274</v>
      </c>
      <c r="AT148">
        <v>2</v>
      </c>
      <c r="AU148">
        <v>1</v>
      </c>
      <c r="AV148" t="s">
        <v>273</v>
      </c>
      <c r="AY148" t="s">
        <v>273</v>
      </c>
      <c r="BB148">
        <v>0</v>
      </c>
      <c r="BC148">
        <v>0</v>
      </c>
      <c r="BD148">
        <v>0</v>
      </c>
      <c r="BE148">
        <v>0</v>
      </c>
      <c r="BF148" t="s">
        <v>1063</v>
      </c>
      <c r="BG148" t="s">
        <v>3352</v>
      </c>
      <c r="BH148">
        <v>16</v>
      </c>
      <c r="BI148" t="s">
        <v>1247</v>
      </c>
      <c r="BK148">
        <v>1895859</v>
      </c>
    </row>
    <row r="149" spans="1:64">
      <c r="A149" s="1">
        <f>HYPERLINK("https://lsnyc.legalserver.org/matter/dynamic-profile/view/1895102","19-1895102")</f>
        <v>0</v>
      </c>
      <c r="B149" t="s">
        <v>2886</v>
      </c>
      <c r="C149" t="s">
        <v>2975</v>
      </c>
      <c r="D149" t="s">
        <v>255</v>
      </c>
      <c r="E149" t="s">
        <v>2983</v>
      </c>
      <c r="F149" t="s">
        <v>273</v>
      </c>
      <c r="G149" t="s">
        <v>275</v>
      </c>
      <c r="H149">
        <v>0</v>
      </c>
      <c r="I149" t="s">
        <v>274</v>
      </c>
      <c r="K149" t="s">
        <v>325</v>
      </c>
      <c r="O149" t="s">
        <v>275</v>
      </c>
      <c r="Q149" t="s">
        <v>501</v>
      </c>
      <c r="S149" t="s">
        <v>503</v>
      </c>
      <c r="T149" t="s">
        <v>508</v>
      </c>
      <c r="U149" t="s">
        <v>511</v>
      </c>
      <c r="V149">
        <v>10026</v>
      </c>
      <c r="W149" t="s">
        <v>518</v>
      </c>
      <c r="X149" t="s">
        <v>548</v>
      </c>
      <c r="Z149" t="s">
        <v>3085</v>
      </c>
      <c r="AA149" t="s">
        <v>2102</v>
      </c>
      <c r="AB149" t="s">
        <v>902</v>
      </c>
      <c r="AC149" t="s">
        <v>905</v>
      </c>
      <c r="AF149" t="s">
        <v>926</v>
      </c>
      <c r="AI149">
        <v>36.5</v>
      </c>
      <c r="AJ149" t="s">
        <v>558</v>
      </c>
      <c r="AK149" t="s">
        <v>934</v>
      </c>
      <c r="AL149" t="s">
        <v>274</v>
      </c>
      <c r="AT149">
        <v>1</v>
      </c>
      <c r="AU149">
        <v>1</v>
      </c>
      <c r="AV149" t="s">
        <v>273</v>
      </c>
      <c r="AY149" t="s">
        <v>273</v>
      </c>
      <c r="BB149">
        <v>0</v>
      </c>
      <c r="BC149">
        <v>0</v>
      </c>
      <c r="BD149">
        <v>0</v>
      </c>
      <c r="BE149">
        <v>0</v>
      </c>
      <c r="BF149" t="s">
        <v>1063</v>
      </c>
      <c r="BG149" t="s">
        <v>3355</v>
      </c>
      <c r="BH149">
        <v>29</v>
      </c>
      <c r="BI149" t="s">
        <v>1247</v>
      </c>
      <c r="BK149">
        <v>1895743</v>
      </c>
    </row>
    <row r="150" spans="1:64">
      <c r="A150" s="1">
        <f>HYPERLINK("https://lsnyc.legalserver.org/matter/dynamic-profile/view/1894911","19-1894911")</f>
        <v>0</v>
      </c>
      <c r="B150" t="s">
        <v>2909</v>
      </c>
      <c r="C150" t="s">
        <v>2975</v>
      </c>
      <c r="D150" t="s">
        <v>255</v>
      </c>
      <c r="E150" t="s">
        <v>2977</v>
      </c>
      <c r="F150" t="s">
        <v>273</v>
      </c>
      <c r="G150" t="s">
        <v>275</v>
      </c>
      <c r="H150">
        <v>0</v>
      </c>
      <c r="I150" t="s">
        <v>274</v>
      </c>
      <c r="K150" t="s">
        <v>326</v>
      </c>
      <c r="M150" t="s">
        <v>472</v>
      </c>
      <c r="N150" t="s">
        <v>453</v>
      </c>
      <c r="O150" t="s">
        <v>275</v>
      </c>
      <c r="P150" t="s">
        <v>492</v>
      </c>
      <c r="Q150" t="s">
        <v>501</v>
      </c>
      <c r="S150" t="s">
        <v>503</v>
      </c>
      <c r="T150" t="s">
        <v>508</v>
      </c>
      <c r="U150" t="s">
        <v>511</v>
      </c>
      <c r="V150">
        <v>10025</v>
      </c>
      <c r="W150" t="s">
        <v>532</v>
      </c>
      <c r="X150" t="s">
        <v>548</v>
      </c>
      <c r="Y150" t="s">
        <v>275</v>
      </c>
      <c r="Z150" t="s">
        <v>3102</v>
      </c>
      <c r="AA150" t="s">
        <v>3206</v>
      </c>
      <c r="AB150" t="s">
        <v>902</v>
      </c>
      <c r="AC150" t="s">
        <v>905</v>
      </c>
      <c r="AF150" t="s">
        <v>923</v>
      </c>
      <c r="AI150">
        <v>5.15</v>
      </c>
      <c r="AJ150" t="s">
        <v>558</v>
      </c>
      <c r="AK150" t="s">
        <v>933</v>
      </c>
      <c r="AL150" t="s">
        <v>274</v>
      </c>
      <c r="AT150">
        <v>0</v>
      </c>
      <c r="AU150">
        <v>1</v>
      </c>
      <c r="AV150" t="s">
        <v>273</v>
      </c>
      <c r="AY150" t="s">
        <v>273</v>
      </c>
      <c r="BB150">
        <v>0</v>
      </c>
      <c r="BC150">
        <v>0</v>
      </c>
      <c r="BD150">
        <v>0</v>
      </c>
      <c r="BE150">
        <v>0</v>
      </c>
      <c r="BF150" t="s">
        <v>1063</v>
      </c>
      <c r="BG150" t="s">
        <v>3377</v>
      </c>
      <c r="BH150">
        <v>58</v>
      </c>
      <c r="BI150" t="s">
        <v>1247</v>
      </c>
      <c r="BK150">
        <v>1893075</v>
      </c>
    </row>
    <row r="151" spans="1:64">
      <c r="A151" s="1">
        <f>HYPERLINK("https://lsnyc.legalserver.org/matter/dynamic-profile/view/1894096","19-1894096")</f>
        <v>0</v>
      </c>
      <c r="B151" t="s">
        <v>2910</v>
      </c>
      <c r="C151" t="s">
        <v>2975</v>
      </c>
      <c r="D151" t="s">
        <v>255</v>
      </c>
      <c r="E151" t="s">
        <v>2980</v>
      </c>
      <c r="F151" t="s">
        <v>273</v>
      </c>
      <c r="G151" t="s">
        <v>275</v>
      </c>
      <c r="H151">
        <v>73.11</v>
      </c>
      <c r="K151" t="s">
        <v>331</v>
      </c>
      <c r="O151" t="s">
        <v>275</v>
      </c>
      <c r="Q151" t="s">
        <v>501</v>
      </c>
      <c r="S151" t="s">
        <v>503</v>
      </c>
      <c r="T151" t="s">
        <v>508</v>
      </c>
      <c r="U151" t="s">
        <v>511</v>
      </c>
      <c r="V151">
        <v>10031</v>
      </c>
      <c r="X151" t="s">
        <v>548</v>
      </c>
      <c r="Z151" t="s">
        <v>2015</v>
      </c>
      <c r="AA151" t="s">
        <v>2111</v>
      </c>
      <c r="AB151" t="s">
        <v>902</v>
      </c>
      <c r="AC151" t="s">
        <v>904</v>
      </c>
      <c r="AI151">
        <v>0.5</v>
      </c>
      <c r="AJ151" t="s">
        <v>558</v>
      </c>
      <c r="AK151" t="s">
        <v>950</v>
      </c>
      <c r="AT151">
        <v>0</v>
      </c>
      <c r="AU151">
        <v>1</v>
      </c>
      <c r="AV151" t="s">
        <v>273</v>
      </c>
      <c r="AY151" t="s">
        <v>273</v>
      </c>
      <c r="BB151">
        <v>0</v>
      </c>
      <c r="BC151">
        <v>0</v>
      </c>
      <c r="BD151">
        <v>0</v>
      </c>
      <c r="BE151">
        <v>0</v>
      </c>
      <c r="BF151" t="s">
        <v>1063</v>
      </c>
      <c r="BG151" t="s">
        <v>3378</v>
      </c>
      <c r="BH151">
        <v>57</v>
      </c>
      <c r="BI151" t="s">
        <v>3457</v>
      </c>
      <c r="BK151">
        <v>1894735</v>
      </c>
    </row>
    <row r="152" spans="1:64">
      <c r="A152" s="1">
        <f>HYPERLINK("https://lsnyc.legalserver.org/matter/dynamic-profile/view/1894158","19-1894158")</f>
        <v>0</v>
      </c>
      <c r="B152" t="s">
        <v>2911</v>
      </c>
      <c r="C152" t="s">
        <v>2975</v>
      </c>
      <c r="D152" t="s">
        <v>2976</v>
      </c>
      <c r="E152" t="s">
        <v>2979</v>
      </c>
      <c r="F152" t="s">
        <v>273</v>
      </c>
      <c r="G152" t="s">
        <v>275</v>
      </c>
      <c r="H152">
        <v>0</v>
      </c>
      <c r="I152" t="s">
        <v>274</v>
      </c>
      <c r="K152" t="s">
        <v>331</v>
      </c>
      <c r="P152" t="s">
        <v>492</v>
      </c>
      <c r="Q152" t="s">
        <v>501</v>
      </c>
      <c r="S152" t="s">
        <v>503</v>
      </c>
      <c r="T152" t="s">
        <v>507</v>
      </c>
      <c r="U152" t="s">
        <v>511</v>
      </c>
      <c r="V152">
        <v>10031</v>
      </c>
      <c r="W152" t="s">
        <v>531</v>
      </c>
      <c r="X152" t="s">
        <v>548</v>
      </c>
      <c r="Y152" t="s">
        <v>275</v>
      </c>
      <c r="Z152" t="s">
        <v>3103</v>
      </c>
      <c r="AA152" t="s">
        <v>3207</v>
      </c>
      <c r="AB152" t="s">
        <v>902</v>
      </c>
      <c r="AC152" t="s">
        <v>909</v>
      </c>
      <c r="AF152" t="s">
        <v>926</v>
      </c>
      <c r="AI152">
        <v>22.25</v>
      </c>
      <c r="AJ152" t="s">
        <v>558</v>
      </c>
      <c r="AK152" t="s">
        <v>938</v>
      </c>
      <c r="AL152" t="s">
        <v>274</v>
      </c>
      <c r="AM152" t="s">
        <v>973</v>
      </c>
      <c r="AN152" t="s">
        <v>1696</v>
      </c>
      <c r="AT152">
        <v>0</v>
      </c>
      <c r="AU152">
        <v>2</v>
      </c>
      <c r="AV152" t="s">
        <v>273</v>
      </c>
      <c r="AY152" t="s">
        <v>273</v>
      </c>
      <c r="BB152">
        <v>0</v>
      </c>
      <c r="BC152">
        <v>0</v>
      </c>
      <c r="BD152">
        <v>0</v>
      </c>
      <c r="BE152">
        <v>0</v>
      </c>
      <c r="BF152" t="s">
        <v>1063</v>
      </c>
      <c r="BG152" t="s">
        <v>3379</v>
      </c>
      <c r="BH152">
        <v>44</v>
      </c>
      <c r="BI152" t="s">
        <v>1247</v>
      </c>
      <c r="BK152">
        <v>1835723</v>
      </c>
    </row>
    <row r="153" spans="1:64">
      <c r="A153" s="1">
        <f>HYPERLINK("https://lsnyc.legalserver.org/matter/dynamic-profile/view/1893902","19-1893902")</f>
        <v>0</v>
      </c>
      <c r="B153" t="s">
        <v>2912</v>
      </c>
      <c r="C153" t="s">
        <v>2975</v>
      </c>
      <c r="D153" t="s">
        <v>255</v>
      </c>
      <c r="E153" t="s">
        <v>2980</v>
      </c>
      <c r="F153" t="s">
        <v>275</v>
      </c>
      <c r="G153" t="s">
        <v>275</v>
      </c>
      <c r="H153">
        <v>183.19</v>
      </c>
      <c r="K153" t="s">
        <v>332</v>
      </c>
      <c r="L153" t="s">
        <v>478</v>
      </c>
      <c r="O153" t="s">
        <v>275</v>
      </c>
      <c r="P153" t="s">
        <v>493</v>
      </c>
      <c r="Q153" t="s">
        <v>501</v>
      </c>
      <c r="S153" t="s">
        <v>503</v>
      </c>
      <c r="T153" t="s">
        <v>507</v>
      </c>
      <c r="U153" t="s">
        <v>511</v>
      </c>
      <c r="V153">
        <v>10033</v>
      </c>
      <c r="X153" t="s">
        <v>548</v>
      </c>
      <c r="Z153" t="s">
        <v>689</v>
      </c>
      <c r="AA153" t="s">
        <v>2124</v>
      </c>
      <c r="AB153" t="s">
        <v>902</v>
      </c>
      <c r="AC153" t="s">
        <v>905</v>
      </c>
      <c r="AD153" t="s">
        <v>916</v>
      </c>
      <c r="AE153" t="s">
        <v>920</v>
      </c>
      <c r="AI153">
        <v>1.45</v>
      </c>
      <c r="AJ153" t="s">
        <v>558</v>
      </c>
      <c r="AK153" t="s">
        <v>936</v>
      </c>
      <c r="AQ153" t="s">
        <v>1033</v>
      </c>
      <c r="AR153" t="s">
        <v>1051</v>
      </c>
      <c r="AT153">
        <v>0</v>
      </c>
      <c r="AU153">
        <v>1</v>
      </c>
      <c r="AV153" t="s">
        <v>273</v>
      </c>
      <c r="AY153" t="s">
        <v>273</v>
      </c>
      <c r="BB153">
        <v>0</v>
      </c>
      <c r="BC153">
        <v>0</v>
      </c>
      <c r="BD153">
        <v>0</v>
      </c>
      <c r="BE153">
        <v>0</v>
      </c>
      <c r="BF153" t="s">
        <v>493</v>
      </c>
      <c r="BG153" t="s">
        <v>3380</v>
      </c>
      <c r="BH153">
        <v>29</v>
      </c>
      <c r="BI153" t="s">
        <v>3458</v>
      </c>
      <c r="BK153">
        <v>1894540</v>
      </c>
    </row>
    <row r="154" spans="1:64">
      <c r="A154" s="1">
        <f>HYPERLINK("https://lsnyc.legalserver.org/matter/dynamic-profile/view/1893781","19-1893781")</f>
        <v>0</v>
      </c>
      <c r="B154" t="s">
        <v>2913</v>
      </c>
      <c r="C154" t="s">
        <v>2975</v>
      </c>
      <c r="D154" t="s">
        <v>255</v>
      </c>
      <c r="E154" t="s">
        <v>2977</v>
      </c>
      <c r="F154" t="s">
        <v>275</v>
      </c>
      <c r="G154" t="s">
        <v>275</v>
      </c>
      <c r="H154">
        <v>76.86</v>
      </c>
      <c r="I154" t="s">
        <v>274</v>
      </c>
      <c r="K154" t="s">
        <v>1013</v>
      </c>
      <c r="L154" t="s">
        <v>982</v>
      </c>
      <c r="O154" t="s">
        <v>275</v>
      </c>
      <c r="P154" t="s">
        <v>495</v>
      </c>
      <c r="Q154" t="s">
        <v>501</v>
      </c>
      <c r="S154" t="s">
        <v>503</v>
      </c>
      <c r="T154" t="s">
        <v>507</v>
      </c>
      <c r="U154" t="s">
        <v>511</v>
      </c>
      <c r="V154">
        <v>10024</v>
      </c>
      <c r="W154" t="s">
        <v>523</v>
      </c>
      <c r="X154" t="s">
        <v>549</v>
      </c>
      <c r="Y154" t="s">
        <v>274</v>
      </c>
      <c r="Z154" t="s">
        <v>2005</v>
      </c>
      <c r="AA154" t="s">
        <v>2337</v>
      </c>
      <c r="AB154" t="s">
        <v>903</v>
      </c>
      <c r="AD154" t="s">
        <v>916</v>
      </c>
      <c r="AE154" t="s">
        <v>922</v>
      </c>
      <c r="AF154" t="s">
        <v>923</v>
      </c>
      <c r="AI154">
        <v>14.95</v>
      </c>
      <c r="AJ154" t="s">
        <v>558</v>
      </c>
      <c r="AK154" t="s">
        <v>960</v>
      </c>
      <c r="AL154" t="s">
        <v>274</v>
      </c>
      <c r="AM154" t="s">
        <v>973</v>
      </c>
      <c r="AN154" t="s">
        <v>3271</v>
      </c>
      <c r="AO154" t="s">
        <v>979</v>
      </c>
      <c r="AP154" t="s">
        <v>1664</v>
      </c>
      <c r="AQ154" t="s">
        <v>1048</v>
      </c>
      <c r="AR154" t="s">
        <v>1052</v>
      </c>
      <c r="AT154">
        <v>0</v>
      </c>
      <c r="AU154">
        <v>1</v>
      </c>
      <c r="AV154" t="s">
        <v>273</v>
      </c>
      <c r="AY154" t="s">
        <v>273</v>
      </c>
      <c r="BB154">
        <v>0</v>
      </c>
      <c r="BC154">
        <v>0</v>
      </c>
      <c r="BD154">
        <v>0</v>
      </c>
      <c r="BE154">
        <v>0</v>
      </c>
      <c r="BF154" t="s">
        <v>493</v>
      </c>
      <c r="BG154" t="s">
        <v>3381</v>
      </c>
      <c r="BH154">
        <v>51</v>
      </c>
      <c r="BI154" t="s">
        <v>1280</v>
      </c>
      <c r="BK154">
        <v>1878073</v>
      </c>
      <c r="BL154" t="s">
        <v>275</v>
      </c>
    </row>
    <row r="155" spans="1:64">
      <c r="A155" s="1">
        <f>HYPERLINK("https://lsnyc.legalserver.org/matter/dynamic-profile/view/1893357","19-1893357")</f>
        <v>0</v>
      </c>
      <c r="B155" t="s">
        <v>2914</v>
      </c>
      <c r="C155" t="s">
        <v>2975</v>
      </c>
      <c r="D155" t="s">
        <v>255</v>
      </c>
      <c r="E155" t="s">
        <v>2979</v>
      </c>
      <c r="F155" t="s">
        <v>275</v>
      </c>
      <c r="G155" t="s">
        <v>275</v>
      </c>
      <c r="H155">
        <v>201.94</v>
      </c>
      <c r="I155" t="s">
        <v>274</v>
      </c>
      <c r="K155" t="s">
        <v>333</v>
      </c>
      <c r="L155" t="s">
        <v>285</v>
      </c>
      <c r="P155" t="s">
        <v>493</v>
      </c>
      <c r="Q155" t="s">
        <v>501</v>
      </c>
      <c r="S155" t="s">
        <v>503</v>
      </c>
      <c r="T155" t="s">
        <v>508</v>
      </c>
      <c r="U155" t="s">
        <v>511</v>
      </c>
      <c r="V155">
        <v>10030</v>
      </c>
      <c r="W155" t="s">
        <v>520</v>
      </c>
      <c r="X155" t="s">
        <v>549</v>
      </c>
      <c r="Y155" t="s">
        <v>275</v>
      </c>
      <c r="Z155" t="s">
        <v>3104</v>
      </c>
      <c r="AA155" t="s">
        <v>3208</v>
      </c>
      <c r="AB155" t="s">
        <v>902</v>
      </c>
      <c r="AC155" t="s">
        <v>909</v>
      </c>
      <c r="AD155" t="s">
        <v>275</v>
      </c>
      <c r="AE155" t="s">
        <v>922</v>
      </c>
      <c r="AF155" t="s">
        <v>923</v>
      </c>
      <c r="AI155">
        <v>3.75</v>
      </c>
      <c r="AJ155" t="s">
        <v>558</v>
      </c>
      <c r="AK155" t="s">
        <v>3262</v>
      </c>
      <c r="AL155" t="s">
        <v>274</v>
      </c>
      <c r="AM155" t="s">
        <v>973</v>
      </c>
      <c r="AN155" t="s">
        <v>333</v>
      </c>
      <c r="AQ155" t="s">
        <v>1037</v>
      </c>
      <c r="AR155" t="s">
        <v>1053</v>
      </c>
      <c r="AT155">
        <v>2</v>
      </c>
      <c r="AU155">
        <v>2</v>
      </c>
      <c r="AV155" t="s">
        <v>273</v>
      </c>
      <c r="AY155" t="s">
        <v>273</v>
      </c>
      <c r="BB155">
        <v>0</v>
      </c>
      <c r="BC155">
        <v>0</v>
      </c>
      <c r="BD155">
        <v>0</v>
      </c>
      <c r="BE155">
        <v>0</v>
      </c>
      <c r="BF155" t="s">
        <v>493</v>
      </c>
      <c r="BG155" t="s">
        <v>3382</v>
      </c>
      <c r="BH155">
        <v>35</v>
      </c>
      <c r="BI155" t="s">
        <v>2791</v>
      </c>
      <c r="BK155">
        <v>826441</v>
      </c>
    </row>
    <row r="156" spans="1:64">
      <c r="A156" s="1">
        <f>HYPERLINK("https://lsnyc.legalserver.org/matter/dynamic-profile/view/1892805","19-1892805")</f>
        <v>0</v>
      </c>
      <c r="B156" t="s">
        <v>2890</v>
      </c>
      <c r="C156" t="s">
        <v>2975</v>
      </c>
      <c r="D156" t="s">
        <v>257</v>
      </c>
      <c r="E156" t="s">
        <v>2981</v>
      </c>
      <c r="F156" t="s">
        <v>273</v>
      </c>
      <c r="G156" t="s">
        <v>275</v>
      </c>
      <c r="H156">
        <v>0</v>
      </c>
      <c r="I156" t="s">
        <v>274</v>
      </c>
      <c r="K156" t="s">
        <v>334</v>
      </c>
      <c r="P156" t="s">
        <v>492</v>
      </c>
      <c r="Q156" t="s">
        <v>502</v>
      </c>
      <c r="S156" t="s">
        <v>503</v>
      </c>
      <c r="T156" t="s">
        <v>508</v>
      </c>
      <c r="U156" t="s">
        <v>511</v>
      </c>
      <c r="V156">
        <v>10452</v>
      </c>
      <c r="W156" t="s">
        <v>518</v>
      </c>
      <c r="X156" t="s">
        <v>548</v>
      </c>
      <c r="Y156" t="s">
        <v>275</v>
      </c>
      <c r="Z156" t="s">
        <v>3088</v>
      </c>
      <c r="AA156" t="s">
        <v>3194</v>
      </c>
      <c r="AB156" t="s">
        <v>902</v>
      </c>
      <c r="AC156" t="s">
        <v>905</v>
      </c>
      <c r="AF156" t="s">
        <v>926</v>
      </c>
      <c r="AI156">
        <v>7.9</v>
      </c>
      <c r="AJ156" t="s">
        <v>558</v>
      </c>
      <c r="AK156" t="s">
        <v>934</v>
      </c>
      <c r="AL156" t="s">
        <v>274</v>
      </c>
      <c r="AT156">
        <v>3</v>
      </c>
      <c r="AU156">
        <v>1</v>
      </c>
      <c r="AV156" t="s">
        <v>273</v>
      </c>
      <c r="AY156" t="s">
        <v>273</v>
      </c>
      <c r="BB156">
        <v>0</v>
      </c>
      <c r="BC156">
        <v>0</v>
      </c>
      <c r="BD156">
        <v>0</v>
      </c>
      <c r="BE156">
        <v>0</v>
      </c>
      <c r="BF156" t="s">
        <v>1063</v>
      </c>
      <c r="BG156" t="s">
        <v>3359</v>
      </c>
      <c r="BH156">
        <v>5</v>
      </c>
      <c r="BI156" t="s">
        <v>1247</v>
      </c>
      <c r="BK156">
        <v>1893441</v>
      </c>
    </row>
    <row r="157" spans="1:64">
      <c r="A157" s="1">
        <f>HYPERLINK("https://lsnyc.legalserver.org/matter/dynamic-profile/view/1892809","19-1892809")</f>
        <v>0</v>
      </c>
      <c r="B157" t="s">
        <v>2891</v>
      </c>
      <c r="C157" t="s">
        <v>2975</v>
      </c>
      <c r="D157" t="s">
        <v>257</v>
      </c>
      <c r="E157" t="s">
        <v>2981</v>
      </c>
      <c r="F157" t="s">
        <v>273</v>
      </c>
      <c r="G157" t="s">
        <v>275</v>
      </c>
      <c r="H157">
        <v>0</v>
      </c>
      <c r="I157" t="s">
        <v>274</v>
      </c>
      <c r="K157" t="s">
        <v>334</v>
      </c>
      <c r="P157" t="s">
        <v>492</v>
      </c>
      <c r="Q157" t="s">
        <v>502</v>
      </c>
      <c r="S157" t="s">
        <v>503</v>
      </c>
      <c r="T157" t="s">
        <v>508</v>
      </c>
      <c r="U157" t="s">
        <v>511</v>
      </c>
      <c r="V157">
        <v>10452</v>
      </c>
      <c r="W157" t="s">
        <v>518</v>
      </c>
      <c r="X157" t="s">
        <v>548</v>
      </c>
      <c r="Y157" t="s">
        <v>275</v>
      </c>
      <c r="Z157" t="s">
        <v>3089</v>
      </c>
      <c r="AA157" t="s">
        <v>3194</v>
      </c>
      <c r="AB157" t="s">
        <v>902</v>
      </c>
      <c r="AC157" t="s">
        <v>905</v>
      </c>
      <c r="AF157" t="s">
        <v>926</v>
      </c>
      <c r="AI157">
        <v>4.1</v>
      </c>
      <c r="AJ157" t="s">
        <v>558</v>
      </c>
      <c r="AK157" t="s">
        <v>934</v>
      </c>
      <c r="AL157" t="s">
        <v>274</v>
      </c>
      <c r="AT157">
        <v>3</v>
      </c>
      <c r="AU157">
        <v>1</v>
      </c>
      <c r="AV157" t="s">
        <v>273</v>
      </c>
      <c r="AY157" t="s">
        <v>273</v>
      </c>
      <c r="BB157">
        <v>0</v>
      </c>
      <c r="BC157">
        <v>0</v>
      </c>
      <c r="BD157">
        <v>0</v>
      </c>
      <c r="BE157">
        <v>0</v>
      </c>
      <c r="BF157" t="s">
        <v>1063</v>
      </c>
      <c r="BG157" t="s">
        <v>3360</v>
      </c>
      <c r="BH157">
        <v>17</v>
      </c>
      <c r="BI157" t="s">
        <v>1247</v>
      </c>
      <c r="BK157">
        <v>1893445</v>
      </c>
    </row>
    <row r="158" spans="1:64">
      <c r="A158" s="1">
        <f>HYPERLINK("https://lsnyc.legalserver.org/matter/dynamic-profile/view/1892815","19-1892815")</f>
        <v>0</v>
      </c>
      <c r="B158" t="s">
        <v>2892</v>
      </c>
      <c r="C158" t="s">
        <v>2975</v>
      </c>
      <c r="D158" t="s">
        <v>257</v>
      </c>
      <c r="E158" t="s">
        <v>2981</v>
      </c>
      <c r="F158" t="s">
        <v>273</v>
      </c>
      <c r="G158" t="s">
        <v>275</v>
      </c>
      <c r="H158">
        <v>0</v>
      </c>
      <c r="I158" t="s">
        <v>274</v>
      </c>
      <c r="K158" t="s">
        <v>334</v>
      </c>
      <c r="P158" t="s">
        <v>492</v>
      </c>
      <c r="Q158" t="s">
        <v>502</v>
      </c>
      <c r="S158" t="s">
        <v>503</v>
      </c>
      <c r="T158" t="s">
        <v>508</v>
      </c>
      <c r="U158" t="s">
        <v>511</v>
      </c>
      <c r="V158">
        <v>10452</v>
      </c>
      <c r="W158" t="s">
        <v>518</v>
      </c>
      <c r="X158" t="s">
        <v>548</v>
      </c>
      <c r="Y158" t="s">
        <v>275</v>
      </c>
      <c r="Z158" t="s">
        <v>3090</v>
      </c>
      <c r="AA158" t="s">
        <v>3194</v>
      </c>
      <c r="AB158" t="s">
        <v>902</v>
      </c>
      <c r="AC158" t="s">
        <v>905</v>
      </c>
      <c r="AF158" t="s">
        <v>926</v>
      </c>
      <c r="AI158">
        <v>5.1</v>
      </c>
      <c r="AJ158" t="s">
        <v>558</v>
      </c>
      <c r="AK158" t="s">
        <v>934</v>
      </c>
      <c r="AL158" t="s">
        <v>274</v>
      </c>
      <c r="AT158">
        <v>3</v>
      </c>
      <c r="AU158">
        <v>1</v>
      </c>
      <c r="AV158" t="s">
        <v>273</v>
      </c>
      <c r="AY158" t="s">
        <v>273</v>
      </c>
      <c r="BB158">
        <v>0</v>
      </c>
      <c r="BC158">
        <v>0</v>
      </c>
      <c r="BD158">
        <v>0</v>
      </c>
      <c r="BE158">
        <v>0</v>
      </c>
      <c r="BF158" t="s">
        <v>1063</v>
      </c>
      <c r="BG158" t="s">
        <v>3361</v>
      </c>
      <c r="BH158">
        <v>14</v>
      </c>
      <c r="BI158" t="s">
        <v>1247</v>
      </c>
      <c r="BK158">
        <v>1893451</v>
      </c>
    </row>
    <row r="159" spans="1:64">
      <c r="A159" s="1">
        <f>HYPERLINK("https://lsnyc.legalserver.org/matter/dynamic-profile/view/1892439","19-1892439")</f>
        <v>0</v>
      </c>
      <c r="B159" t="s">
        <v>2909</v>
      </c>
      <c r="C159" t="s">
        <v>2975</v>
      </c>
      <c r="D159" t="s">
        <v>255</v>
      </c>
      <c r="E159" t="s">
        <v>2977</v>
      </c>
      <c r="F159" t="s">
        <v>275</v>
      </c>
      <c r="G159" t="s">
        <v>275</v>
      </c>
      <c r="H159">
        <v>149.88</v>
      </c>
      <c r="I159" t="s">
        <v>274</v>
      </c>
      <c r="K159" t="s">
        <v>1021</v>
      </c>
      <c r="L159" t="s">
        <v>453</v>
      </c>
      <c r="O159" t="s">
        <v>275</v>
      </c>
      <c r="P159" t="s">
        <v>495</v>
      </c>
      <c r="Q159" t="s">
        <v>501</v>
      </c>
      <c r="S159" t="s">
        <v>503</v>
      </c>
      <c r="T159" t="s">
        <v>508</v>
      </c>
      <c r="U159" t="s">
        <v>511</v>
      </c>
      <c r="V159">
        <v>10025</v>
      </c>
      <c r="W159" t="s">
        <v>522</v>
      </c>
      <c r="X159" t="s">
        <v>548</v>
      </c>
      <c r="Y159" t="s">
        <v>275</v>
      </c>
      <c r="Z159" t="s">
        <v>3102</v>
      </c>
      <c r="AA159" t="s">
        <v>3206</v>
      </c>
      <c r="AB159" t="s">
        <v>902</v>
      </c>
      <c r="AC159" t="s">
        <v>905</v>
      </c>
      <c r="AD159" t="s">
        <v>274</v>
      </c>
      <c r="AE159" t="s">
        <v>919</v>
      </c>
      <c r="AF159" t="s">
        <v>923</v>
      </c>
      <c r="AI159">
        <v>9.1</v>
      </c>
      <c r="AJ159" t="s">
        <v>558</v>
      </c>
      <c r="AK159" t="s">
        <v>933</v>
      </c>
      <c r="AL159" t="s">
        <v>274</v>
      </c>
      <c r="AM159" t="s">
        <v>973</v>
      </c>
      <c r="AN159" t="s">
        <v>1013</v>
      </c>
      <c r="AO159" t="s">
        <v>978</v>
      </c>
      <c r="AP159" t="s">
        <v>461</v>
      </c>
      <c r="AQ159" t="s">
        <v>1038</v>
      </c>
      <c r="AR159" t="s">
        <v>1051</v>
      </c>
      <c r="AT159">
        <v>0</v>
      </c>
      <c r="AU159">
        <v>1</v>
      </c>
      <c r="AV159" t="s">
        <v>273</v>
      </c>
      <c r="AY159" t="s">
        <v>273</v>
      </c>
      <c r="BB159">
        <v>0</v>
      </c>
      <c r="BC159">
        <v>0</v>
      </c>
      <c r="BD159">
        <v>0</v>
      </c>
      <c r="BE159">
        <v>0</v>
      </c>
      <c r="BF159" t="s">
        <v>493</v>
      </c>
      <c r="BG159" t="s">
        <v>3377</v>
      </c>
      <c r="BH159">
        <v>58</v>
      </c>
      <c r="BI159" t="s">
        <v>1318</v>
      </c>
      <c r="BK159">
        <v>1893075</v>
      </c>
    </row>
    <row r="160" spans="1:64">
      <c r="A160" s="1">
        <f>HYPERLINK("https://lsnyc.legalserver.org/matter/dynamic-profile/view/1892343","19-1892343")</f>
        <v>0</v>
      </c>
      <c r="B160" t="s">
        <v>2837</v>
      </c>
      <c r="C160" t="s">
        <v>2975</v>
      </c>
      <c r="D160" t="s">
        <v>255</v>
      </c>
      <c r="E160" t="s">
        <v>2977</v>
      </c>
      <c r="F160" t="s">
        <v>273</v>
      </c>
      <c r="G160" t="s">
        <v>275</v>
      </c>
      <c r="H160">
        <v>184.51</v>
      </c>
      <c r="I160" t="s">
        <v>274</v>
      </c>
      <c r="K160" t="s">
        <v>1021</v>
      </c>
      <c r="M160" t="s">
        <v>473</v>
      </c>
      <c r="N160" t="s">
        <v>300</v>
      </c>
      <c r="O160" t="s">
        <v>275</v>
      </c>
      <c r="P160" t="s">
        <v>492</v>
      </c>
      <c r="Q160" t="s">
        <v>501</v>
      </c>
      <c r="S160" t="s">
        <v>503</v>
      </c>
      <c r="T160" t="s">
        <v>508</v>
      </c>
      <c r="U160" t="s">
        <v>511</v>
      </c>
      <c r="V160">
        <v>10029</v>
      </c>
      <c r="W160" t="s">
        <v>516</v>
      </c>
      <c r="X160" t="s">
        <v>549</v>
      </c>
      <c r="Y160" t="s">
        <v>275</v>
      </c>
      <c r="Z160" t="s">
        <v>614</v>
      </c>
      <c r="AA160" t="s">
        <v>3163</v>
      </c>
      <c r="AB160" t="s">
        <v>902</v>
      </c>
      <c r="AC160" t="s">
        <v>905</v>
      </c>
      <c r="AF160" t="s">
        <v>923</v>
      </c>
      <c r="AI160">
        <v>46.98</v>
      </c>
      <c r="AJ160" t="s">
        <v>558</v>
      </c>
      <c r="AK160" t="s">
        <v>950</v>
      </c>
      <c r="AL160" t="s">
        <v>274</v>
      </c>
      <c r="AT160">
        <v>1</v>
      </c>
      <c r="AU160">
        <v>1</v>
      </c>
      <c r="AV160" t="s">
        <v>273</v>
      </c>
      <c r="AY160" t="s">
        <v>273</v>
      </c>
      <c r="BB160">
        <v>0</v>
      </c>
      <c r="BC160">
        <v>0</v>
      </c>
      <c r="BD160">
        <v>0</v>
      </c>
      <c r="BE160">
        <v>0</v>
      </c>
      <c r="BF160" t="s">
        <v>1063</v>
      </c>
      <c r="BG160" t="s">
        <v>3308</v>
      </c>
      <c r="BH160">
        <v>39</v>
      </c>
      <c r="BI160" t="s">
        <v>1254</v>
      </c>
      <c r="BK160">
        <v>80655</v>
      </c>
    </row>
    <row r="161" spans="1:63">
      <c r="A161" s="1">
        <f>HYPERLINK("https://lsnyc.legalserver.org/matter/dynamic-profile/view/1892216","19-1892216")</f>
        <v>0</v>
      </c>
      <c r="B161" t="s">
        <v>2915</v>
      </c>
      <c r="C161" t="s">
        <v>2975</v>
      </c>
      <c r="D161" t="s">
        <v>255</v>
      </c>
      <c r="E161" t="s">
        <v>2977</v>
      </c>
      <c r="F161" t="s">
        <v>273</v>
      </c>
      <c r="G161" t="s">
        <v>275</v>
      </c>
      <c r="H161">
        <v>408.33</v>
      </c>
      <c r="I161" t="s">
        <v>274</v>
      </c>
      <c r="J161" t="s">
        <v>2984</v>
      </c>
      <c r="K161" t="s">
        <v>1697</v>
      </c>
      <c r="O161" t="s">
        <v>275</v>
      </c>
      <c r="P161" t="s">
        <v>492</v>
      </c>
      <c r="Q161" t="s">
        <v>501</v>
      </c>
      <c r="S161" t="s">
        <v>503</v>
      </c>
      <c r="T161" t="s">
        <v>507</v>
      </c>
      <c r="U161" t="s">
        <v>511</v>
      </c>
      <c r="V161">
        <v>10026</v>
      </c>
      <c r="W161" t="s">
        <v>525</v>
      </c>
      <c r="X161" t="s">
        <v>549</v>
      </c>
      <c r="Y161" t="s">
        <v>274</v>
      </c>
      <c r="Z161" t="s">
        <v>3105</v>
      </c>
      <c r="AA161" t="s">
        <v>3209</v>
      </c>
      <c r="AB161" t="s">
        <v>902</v>
      </c>
      <c r="AC161" t="s">
        <v>904</v>
      </c>
      <c r="AF161" t="s">
        <v>923</v>
      </c>
      <c r="AI161">
        <v>11</v>
      </c>
      <c r="AJ161" t="s">
        <v>558</v>
      </c>
      <c r="AK161" t="s">
        <v>2376</v>
      </c>
      <c r="AL161" t="s">
        <v>274</v>
      </c>
      <c r="AM161" t="s">
        <v>973</v>
      </c>
      <c r="AN161" t="s">
        <v>997</v>
      </c>
      <c r="AT161">
        <v>0</v>
      </c>
      <c r="AU161">
        <v>1</v>
      </c>
      <c r="AV161" t="s">
        <v>273</v>
      </c>
      <c r="AY161" t="s">
        <v>273</v>
      </c>
      <c r="BB161">
        <v>0</v>
      </c>
      <c r="BC161">
        <v>0</v>
      </c>
      <c r="BD161">
        <v>0</v>
      </c>
      <c r="BE161">
        <v>0</v>
      </c>
      <c r="BF161" t="s">
        <v>1063</v>
      </c>
      <c r="BG161" t="s">
        <v>3383</v>
      </c>
      <c r="BH161">
        <v>57</v>
      </c>
      <c r="BI161" t="s">
        <v>3459</v>
      </c>
      <c r="BK161">
        <v>1892852</v>
      </c>
    </row>
    <row r="162" spans="1:63">
      <c r="A162" s="1">
        <f>HYPERLINK("https://lsnyc.legalserver.org/matter/dynamic-profile/view/1892260","19-1892260")</f>
        <v>0</v>
      </c>
      <c r="B162" t="s">
        <v>2872</v>
      </c>
      <c r="C162" t="s">
        <v>2975</v>
      </c>
      <c r="D162" t="s">
        <v>255</v>
      </c>
      <c r="E162" t="s">
        <v>2977</v>
      </c>
      <c r="F162" t="s">
        <v>273</v>
      </c>
      <c r="G162" t="s">
        <v>275</v>
      </c>
      <c r="H162">
        <v>0</v>
      </c>
      <c r="I162" t="s">
        <v>274</v>
      </c>
      <c r="K162" t="s">
        <v>1697</v>
      </c>
      <c r="M162" t="s">
        <v>474</v>
      </c>
      <c r="N162" t="s">
        <v>287</v>
      </c>
      <c r="O162" t="s">
        <v>275</v>
      </c>
      <c r="P162" t="s">
        <v>492</v>
      </c>
      <c r="Q162" t="s">
        <v>501</v>
      </c>
      <c r="S162" t="s">
        <v>503</v>
      </c>
      <c r="T162" t="s">
        <v>507</v>
      </c>
      <c r="U162" t="s">
        <v>511</v>
      </c>
      <c r="V162">
        <v>10032</v>
      </c>
      <c r="W162" t="s">
        <v>518</v>
      </c>
      <c r="X162" t="s">
        <v>548</v>
      </c>
      <c r="Y162" t="s">
        <v>275</v>
      </c>
      <c r="Z162" t="s">
        <v>602</v>
      </c>
      <c r="AA162" t="s">
        <v>884</v>
      </c>
      <c r="AB162" t="s">
        <v>902</v>
      </c>
      <c r="AC162" t="s">
        <v>910</v>
      </c>
      <c r="AF162" t="s">
        <v>926</v>
      </c>
      <c r="AI162">
        <v>31.75</v>
      </c>
      <c r="AJ162" t="s">
        <v>558</v>
      </c>
      <c r="AK162" t="s">
        <v>945</v>
      </c>
      <c r="AL162" t="s">
        <v>274</v>
      </c>
      <c r="AT162">
        <v>0</v>
      </c>
      <c r="AU162">
        <v>1</v>
      </c>
      <c r="AV162" t="s">
        <v>273</v>
      </c>
      <c r="AY162" t="s">
        <v>273</v>
      </c>
      <c r="BB162">
        <v>0</v>
      </c>
      <c r="BC162">
        <v>0</v>
      </c>
      <c r="BD162">
        <v>0</v>
      </c>
      <c r="BE162">
        <v>0</v>
      </c>
      <c r="BF162" t="s">
        <v>1063</v>
      </c>
      <c r="BG162" t="s">
        <v>3342</v>
      </c>
      <c r="BH162">
        <v>34</v>
      </c>
      <c r="BI162" t="s">
        <v>1247</v>
      </c>
      <c r="BK162">
        <v>1873787</v>
      </c>
    </row>
    <row r="163" spans="1:63">
      <c r="A163" s="1">
        <f>HYPERLINK("https://lsnyc.legalserver.org/matter/dynamic-profile/view/1892105","19-1892105")</f>
        <v>0</v>
      </c>
      <c r="B163" t="s">
        <v>2888</v>
      </c>
      <c r="C163" t="s">
        <v>2975</v>
      </c>
      <c r="D163" t="s">
        <v>255</v>
      </c>
      <c r="E163" t="s">
        <v>2981</v>
      </c>
      <c r="F163" t="s">
        <v>273</v>
      </c>
      <c r="G163" t="s">
        <v>275</v>
      </c>
      <c r="H163">
        <v>6.34</v>
      </c>
      <c r="I163" t="s">
        <v>274</v>
      </c>
      <c r="K163" t="s">
        <v>337</v>
      </c>
      <c r="O163" t="s">
        <v>275</v>
      </c>
      <c r="Q163" t="s">
        <v>501</v>
      </c>
      <c r="S163" t="s">
        <v>503</v>
      </c>
      <c r="T163" t="s">
        <v>508</v>
      </c>
      <c r="U163" t="s">
        <v>511</v>
      </c>
      <c r="V163">
        <v>10025</v>
      </c>
      <c r="W163" t="s">
        <v>518</v>
      </c>
      <c r="X163" t="s">
        <v>548</v>
      </c>
      <c r="Y163" t="s">
        <v>275</v>
      </c>
      <c r="Z163" t="s">
        <v>3087</v>
      </c>
      <c r="AA163" t="s">
        <v>3192</v>
      </c>
      <c r="AB163" t="s">
        <v>902</v>
      </c>
      <c r="AC163" t="s">
        <v>905</v>
      </c>
      <c r="AF163" t="s">
        <v>926</v>
      </c>
      <c r="AI163">
        <v>48.3</v>
      </c>
      <c r="AK163" t="s">
        <v>934</v>
      </c>
      <c r="AL163" t="s">
        <v>274</v>
      </c>
      <c r="AT163">
        <v>3</v>
      </c>
      <c r="AU163">
        <v>1</v>
      </c>
      <c r="AV163" t="s">
        <v>273</v>
      </c>
      <c r="AY163" t="s">
        <v>273</v>
      </c>
      <c r="BB163">
        <v>0</v>
      </c>
      <c r="BC163">
        <v>0</v>
      </c>
      <c r="BD163">
        <v>0</v>
      </c>
      <c r="BE163">
        <v>0</v>
      </c>
      <c r="BF163" t="s">
        <v>1063</v>
      </c>
      <c r="BG163" t="s">
        <v>3357</v>
      </c>
      <c r="BH163">
        <v>30</v>
      </c>
      <c r="BI163" t="s">
        <v>3453</v>
      </c>
      <c r="BK163">
        <v>1892741</v>
      </c>
    </row>
    <row r="164" spans="1:63">
      <c r="A164" s="1">
        <f>HYPERLINK("https://lsnyc.legalserver.org/matter/dynamic-profile/view/1892157","19-1892157")</f>
        <v>0</v>
      </c>
      <c r="B164" t="s">
        <v>2916</v>
      </c>
      <c r="C164" t="s">
        <v>2975</v>
      </c>
      <c r="D164" t="s">
        <v>255</v>
      </c>
      <c r="E164" t="s">
        <v>2977</v>
      </c>
      <c r="F164" t="s">
        <v>273</v>
      </c>
      <c r="G164" t="s">
        <v>275</v>
      </c>
      <c r="H164">
        <v>183.5</v>
      </c>
      <c r="I164" t="s">
        <v>274</v>
      </c>
      <c r="K164" t="s">
        <v>337</v>
      </c>
      <c r="M164" t="s">
        <v>473</v>
      </c>
      <c r="N164" t="s">
        <v>301</v>
      </c>
      <c r="O164" t="s">
        <v>275</v>
      </c>
      <c r="P164" t="s">
        <v>492</v>
      </c>
      <c r="Q164" t="s">
        <v>501</v>
      </c>
      <c r="S164" t="s">
        <v>503</v>
      </c>
      <c r="T164" t="s">
        <v>508</v>
      </c>
      <c r="U164" t="s">
        <v>511</v>
      </c>
      <c r="V164">
        <v>10039</v>
      </c>
      <c r="W164" t="s">
        <v>3017</v>
      </c>
      <c r="X164" t="s">
        <v>3026</v>
      </c>
      <c r="Y164" t="s">
        <v>275</v>
      </c>
      <c r="Z164" t="s">
        <v>3097</v>
      </c>
      <c r="AA164" t="s">
        <v>3210</v>
      </c>
      <c r="AB164" t="s">
        <v>903</v>
      </c>
      <c r="AF164" t="s">
        <v>923</v>
      </c>
      <c r="AI164">
        <v>24.7</v>
      </c>
      <c r="AJ164" t="s">
        <v>558</v>
      </c>
      <c r="AK164" t="s">
        <v>951</v>
      </c>
      <c r="AL164" t="s">
        <v>274</v>
      </c>
      <c r="AM164" t="s">
        <v>973</v>
      </c>
      <c r="AN164" t="s">
        <v>1000</v>
      </c>
      <c r="AT164">
        <v>0</v>
      </c>
      <c r="AU164">
        <v>2</v>
      </c>
      <c r="AV164" t="s">
        <v>273</v>
      </c>
      <c r="AY164" t="s">
        <v>273</v>
      </c>
      <c r="BB164">
        <v>0</v>
      </c>
      <c r="BC164">
        <v>0</v>
      </c>
      <c r="BD164">
        <v>0</v>
      </c>
      <c r="BE164">
        <v>0</v>
      </c>
      <c r="BF164" t="s">
        <v>1063</v>
      </c>
      <c r="BG164" t="s">
        <v>3372</v>
      </c>
      <c r="BH164">
        <v>65</v>
      </c>
      <c r="BI164" t="s">
        <v>3455</v>
      </c>
      <c r="BK164">
        <v>1892793</v>
      </c>
    </row>
    <row r="165" spans="1:63">
      <c r="A165" s="1">
        <f>HYPERLINK("https://lsnyc.legalserver.org/matter/dynamic-profile/view/1891956","19-1891956")</f>
        <v>0</v>
      </c>
      <c r="B165" t="s">
        <v>2840</v>
      </c>
      <c r="C165" t="s">
        <v>2975</v>
      </c>
      <c r="D165" t="s">
        <v>255</v>
      </c>
      <c r="E165" t="s">
        <v>2977</v>
      </c>
      <c r="F165" t="s">
        <v>275</v>
      </c>
      <c r="G165" t="s">
        <v>275</v>
      </c>
      <c r="H165">
        <v>57.17</v>
      </c>
      <c r="I165" t="s">
        <v>274</v>
      </c>
      <c r="K165" t="s">
        <v>338</v>
      </c>
      <c r="L165" t="s">
        <v>1001</v>
      </c>
      <c r="O165" t="s">
        <v>275</v>
      </c>
      <c r="P165" t="s">
        <v>495</v>
      </c>
      <c r="Q165" t="s">
        <v>501</v>
      </c>
      <c r="S165" t="s">
        <v>503</v>
      </c>
      <c r="T165" t="s">
        <v>507</v>
      </c>
      <c r="U165" t="s">
        <v>511</v>
      </c>
      <c r="V165">
        <v>10027</v>
      </c>
      <c r="W165" t="s">
        <v>544</v>
      </c>
      <c r="X165" t="s">
        <v>549</v>
      </c>
      <c r="Y165" t="s">
        <v>275</v>
      </c>
      <c r="Z165" t="s">
        <v>3047</v>
      </c>
      <c r="AA165" t="s">
        <v>872</v>
      </c>
      <c r="AB165" t="s">
        <v>902</v>
      </c>
      <c r="AC165" t="s">
        <v>904</v>
      </c>
      <c r="AD165" t="s">
        <v>916</v>
      </c>
      <c r="AE165" t="s">
        <v>919</v>
      </c>
      <c r="AF165" t="s">
        <v>923</v>
      </c>
      <c r="AI165">
        <v>0.7</v>
      </c>
      <c r="AJ165" t="s">
        <v>558</v>
      </c>
      <c r="AK165" t="s">
        <v>969</v>
      </c>
      <c r="AL165" t="s">
        <v>274</v>
      </c>
      <c r="AM165" t="s">
        <v>973</v>
      </c>
      <c r="AN165" t="s">
        <v>337</v>
      </c>
      <c r="AO165" t="s">
        <v>978</v>
      </c>
      <c r="AP165" t="s">
        <v>1021</v>
      </c>
      <c r="AQ165" t="s">
        <v>1038</v>
      </c>
      <c r="AR165" t="s">
        <v>1051</v>
      </c>
      <c r="AT165">
        <v>0</v>
      </c>
      <c r="AU165">
        <v>1</v>
      </c>
      <c r="AV165" t="s">
        <v>273</v>
      </c>
      <c r="AY165" t="s">
        <v>273</v>
      </c>
      <c r="BB165">
        <v>0</v>
      </c>
      <c r="BC165">
        <v>0</v>
      </c>
      <c r="BD165">
        <v>0</v>
      </c>
      <c r="BE165">
        <v>0</v>
      </c>
      <c r="BF165" t="s">
        <v>493</v>
      </c>
      <c r="BG165" t="s">
        <v>3311</v>
      </c>
      <c r="BH165">
        <v>48</v>
      </c>
      <c r="BI165" t="s">
        <v>3443</v>
      </c>
      <c r="BK165">
        <v>1890781</v>
      </c>
    </row>
    <row r="166" spans="1:63">
      <c r="A166" s="1">
        <f>HYPERLINK("https://lsnyc.legalserver.org/matter/dynamic-profile/view/1891981","19-1891981")</f>
        <v>0</v>
      </c>
      <c r="B166" t="s">
        <v>2917</v>
      </c>
      <c r="C166" t="s">
        <v>2975</v>
      </c>
      <c r="D166" t="s">
        <v>255</v>
      </c>
      <c r="E166" t="s">
        <v>2981</v>
      </c>
      <c r="F166" t="s">
        <v>273</v>
      </c>
      <c r="G166" t="s">
        <v>275</v>
      </c>
      <c r="H166">
        <v>62.45</v>
      </c>
      <c r="I166" t="s">
        <v>274</v>
      </c>
      <c r="K166" t="s">
        <v>338</v>
      </c>
      <c r="O166" t="s">
        <v>275</v>
      </c>
      <c r="Q166" t="s">
        <v>501</v>
      </c>
      <c r="S166" t="s">
        <v>503</v>
      </c>
      <c r="T166" t="s">
        <v>507</v>
      </c>
      <c r="U166" t="s">
        <v>511</v>
      </c>
      <c r="V166">
        <v>10024</v>
      </c>
      <c r="W166" t="s">
        <v>519</v>
      </c>
      <c r="X166" t="s">
        <v>549</v>
      </c>
      <c r="Y166" t="s">
        <v>274</v>
      </c>
      <c r="Z166" t="s">
        <v>3106</v>
      </c>
      <c r="AA166" t="s">
        <v>3211</v>
      </c>
      <c r="AB166" t="s">
        <v>902</v>
      </c>
      <c r="AC166" t="s">
        <v>905</v>
      </c>
      <c r="AF166" t="s">
        <v>928</v>
      </c>
      <c r="AI166">
        <v>126.22</v>
      </c>
      <c r="AJ166" t="s">
        <v>558</v>
      </c>
      <c r="AK166" t="s">
        <v>939</v>
      </c>
      <c r="AL166" t="s">
        <v>274</v>
      </c>
      <c r="AT166">
        <v>0</v>
      </c>
      <c r="AU166">
        <v>1</v>
      </c>
      <c r="AV166" t="s">
        <v>273</v>
      </c>
      <c r="AY166" t="s">
        <v>273</v>
      </c>
      <c r="BB166">
        <v>0</v>
      </c>
      <c r="BC166">
        <v>0</v>
      </c>
      <c r="BD166">
        <v>0</v>
      </c>
      <c r="BE166">
        <v>0</v>
      </c>
      <c r="BF166" t="s">
        <v>1063</v>
      </c>
      <c r="BG166" t="s">
        <v>3384</v>
      </c>
      <c r="BH166">
        <v>55</v>
      </c>
      <c r="BI166" t="s">
        <v>2771</v>
      </c>
      <c r="BK166">
        <v>1892617</v>
      </c>
    </row>
    <row r="167" spans="1:63">
      <c r="A167" s="1">
        <f>HYPERLINK("https://lsnyc.legalserver.org/matter/dynamic-profile/view/1891732","19-1891732")</f>
        <v>0</v>
      </c>
      <c r="B167" t="s">
        <v>2918</v>
      </c>
      <c r="C167" t="s">
        <v>2975</v>
      </c>
      <c r="D167" t="s">
        <v>255</v>
      </c>
      <c r="E167" t="s">
        <v>2978</v>
      </c>
      <c r="F167" t="s">
        <v>273</v>
      </c>
      <c r="G167" t="s">
        <v>275</v>
      </c>
      <c r="H167">
        <v>77.67</v>
      </c>
      <c r="I167" t="s">
        <v>274</v>
      </c>
      <c r="K167" t="s">
        <v>339</v>
      </c>
      <c r="M167" t="s">
        <v>472</v>
      </c>
      <c r="N167" t="s">
        <v>295</v>
      </c>
      <c r="P167" t="s">
        <v>492</v>
      </c>
      <c r="Q167" t="s">
        <v>501</v>
      </c>
      <c r="S167" t="s">
        <v>503</v>
      </c>
      <c r="T167" t="s">
        <v>508</v>
      </c>
      <c r="U167" t="s">
        <v>511</v>
      </c>
      <c r="V167">
        <v>10033</v>
      </c>
      <c r="W167" t="s">
        <v>526</v>
      </c>
      <c r="X167" t="s">
        <v>548</v>
      </c>
      <c r="Y167" t="s">
        <v>275</v>
      </c>
      <c r="Z167" t="s">
        <v>3107</v>
      </c>
      <c r="AA167" t="s">
        <v>2102</v>
      </c>
      <c r="AB167" t="s">
        <v>902</v>
      </c>
      <c r="AC167" t="s">
        <v>906</v>
      </c>
      <c r="AF167" t="s">
        <v>923</v>
      </c>
      <c r="AI167">
        <v>9.25</v>
      </c>
      <c r="AJ167" t="s">
        <v>558</v>
      </c>
      <c r="AK167" t="s">
        <v>936</v>
      </c>
      <c r="AL167" t="s">
        <v>274</v>
      </c>
      <c r="AM167" t="s">
        <v>973</v>
      </c>
      <c r="AN167" t="s">
        <v>339</v>
      </c>
      <c r="AO167" t="s">
        <v>978</v>
      </c>
      <c r="AP167" t="s">
        <v>1020</v>
      </c>
      <c r="AT167">
        <v>3</v>
      </c>
      <c r="AU167">
        <v>1</v>
      </c>
      <c r="AV167" t="s">
        <v>273</v>
      </c>
      <c r="AY167" t="s">
        <v>273</v>
      </c>
      <c r="BB167">
        <v>0</v>
      </c>
      <c r="BC167">
        <v>0</v>
      </c>
      <c r="BD167">
        <v>0</v>
      </c>
      <c r="BE167">
        <v>0</v>
      </c>
      <c r="BF167" t="s">
        <v>1063</v>
      </c>
      <c r="BG167" t="s">
        <v>3385</v>
      </c>
      <c r="BH167">
        <v>30</v>
      </c>
      <c r="BI167" t="s">
        <v>1251</v>
      </c>
      <c r="BK167">
        <v>738578</v>
      </c>
    </row>
    <row r="168" spans="1:63">
      <c r="A168" s="1">
        <f>HYPERLINK("https://lsnyc.legalserver.org/matter/dynamic-profile/view/1891828","19-1891828")</f>
        <v>0</v>
      </c>
      <c r="B168" t="s">
        <v>2918</v>
      </c>
      <c r="C168" t="s">
        <v>2975</v>
      </c>
      <c r="D168" t="s">
        <v>255</v>
      </c>
      <c r="E168" t="s">
        <v>2978</v>
      </c>
      <c r="F168" t="s">
        <v>273</v>
      </c>
      <c r="G168" t="s">
        <v>275</v>
      </c>
      <c r="H168">
        <v>77.67</v>
      </c>
      <c r="I168" t="s">
        <v>274</v>
      </c>
      <c r="K168" t="s">
        <v>339</v>
      </c>
      <c r="M168" t="s">
        <v>472</v>
      </c>
      <c r="N168" t="s">
        <v>295</v>
      </c>
      <c r="P168" t="s">
        <v>492</v>
      </c>
      <c r="Q168" t="s">
        <v>501</v>
      </c>
      <c r="S168" t="s">
        <v>503</v>
      </c>
      <c r="T168" t="s">
        <v>508</v>
      </c>
      <c r="U168" t="s">
        <v>511</v>
      </c>
      <c r="V168">
        <v>10033</v>
      </c>
      <c r="W168" t="s">
        <v>526</v>
      </c>
      <c r="X168" t="s">
        <v>548</v>
      </c>
      <c r="Y168" t="s">
        <v>275</v>
      </c>
      <c r="Z168" t="s">
        <v>3107</v>
      </c>
      <c r="AA168" t="s">
        <v>2102</v>
      </c>
      <c r="AB168" t="s">
        <v>902</v>
      </c>
      <c r="AC168" t="s">
        <v>906</v>
      </c>
      <c r="AF168" t="s">
        <v>923</v>
      </c>
      <c r="AI168">
        <v>7.6</v>
      </c>
      <c r="AJ168" t="s">
        <v>558</v>
      </c>
      <c r="AK168" t="s">
        <v>936</v>
      </c>
      <c r="AL168" t="s">
        <v>274</v>
      </c>
      <c r="AM168" t="s">
        <v>973</v>
      </c>
      <c r="AN168" t="s">
        <v>3272</v>
      </c>
      <c r="AO168" t="s">
        <v>978</v>
      </c>
      <c r="AP168" t="s">
        <v>1020</v>
      </c>
      <c r="AT168">
        <v>3</v>
      </c>
      <c r="AU168">
        <v>1</v>
      </c>
      <c r="AV168" t="s">
        <v>273</v>
      </c>
      <c r="AY168" t="s">
        <v>273</v>
      </c>
      <c r="BB168">
        <v>0</v>
      </c>
      <c r="BC168">
        <v>0</v>
      </c>
      <c r="BD168">
        <v>0</v>
      </c>
      <c r="BE168">
        <v>0</v>
      </c>
      <c r="BF168" t="s">
        <v>1063</v>
      </c>
      <c r="BG168" t="s">
        <v>3385</v>
      </c>
      <c r="BH168">
        <v>30</v>
      </c>
      <c r="BI168" t="s">
        <v>1251</v>
      </c>
      <c r="BK168">
        <v>738578</v>
      </c>
    </row>
    <row r="169" spans="1:63">
      <c r="A169" s="1">
        <f>HYPERLINK("https://lsnyc.legalserver.org/matter/dynamic-profile/view/1891187","19-1891187")</f>
        <v>0</v>
      </c>
      <c r="B169" t="s">
        <v>2919</v>
      </c>
      <c r="C169" t="s">
        <v>2975</v>
      </c>
      <c r="D169" t="s">
        <v>252</v>
      </c>
      <c r="E169" t="s">
        <v>2979</v>
      </c>
      <c r="F169" t="s">
        <v>273</v>
      </c>
      <c r="G169" t="s">
        <v>275</v>
      </c>
      <c r="H169">
        <v>132.84</v>
      </c>
      <c r="I169" t="s">
        <v>274</v>
      </c>
      <c r="K169" t="s">
        <v>341</v>
      </c>
      <c r="P169" t="s">
        <v>492</v>
      </c>
      <c r="Q169" t="s">
        <v>501</v>
      </c>
      <c r="S169" t="s">
        <v>506</v>
      </c>
      <c r="T169" t="s">
        <v>508</v>
      </c>
      <c r="U169" t="s">
        <v>3016</v>
      </c>
      <c r="V169">
        <v>11204</v>
      </c>
      <c r="W169" t="s">
        <v>3022</v>
      </c>
      <c r="X169" t="s">
        <v>548</v>
      </c>
      <c r="Y169" t="s">
        <v>275</v>
      </c>
      <c r="Z169" t="s">
        <v>3108</v>
      </c>
      <c r="AA169" t="s">
        <v>3212</v>
      </c>
      <c r="AB169" t="s">
        <v>902</v>
      </c>
      <c r="AC169" t="s">
        <v>904</v>
      </c>
      <c r="AF169" t="s">
        <v>924</v>
      </c>
      <c r="AI169">
        <v>46.5</v>
      </c>
      <c r="AJ169" t="s">
        <v>558</v>
      </c>
      <c r="AK169" t="s">
        <v>950</v>
      </c>
      <c r="AL169" t="s">
        <v>274</v>
      </c>
      <c r="AT169">
        <v>1</v>
      </c>
      <c r="AU169">
        <v>1</v>
      </c>
      <c r="AV169" t="s">
        <v>273</v>
      </c>
      <c r="AY169" t="s">
        <v>273</v>
      </c>
      <c r="BB169">
        <v>0</v>
      </c>
      <c r="BC169">
        <v>0</v>
      </c>
      <c r="BD169">
        <v>0</v>
      </c>
      <c r="BE169">
        <v>0</v>
      </c>
      <c r="BF169" t="s">
        <v>1063</v>
      </c>
      <c r="BG169" t="s">
        <v>3386</v>
      </c>
      <c r="BH169">
        <v>28</v>
      </c>
      <c r="BI169" t="s">
        <v>3460</v>
      </c>
      <c r="BK169">
        <v>1839034</v>
      </c>
    </row>
    <row r="170" spans="1:63">
      <c r="A170" s="1">
        <f>HYPERLINK("https://lsnyc.legalserver.org/matter/dynamic-profile/view/1890859","19-1890859")</f>
        <v>0</v>
      </c>
      <c r="B170" t="s">
        <v>2840</v>
      </c>
      <c r="C170" t="s">
        <v>2975</v>
      </c>
      <c r="D170" t="s">
        <v>255</v>
      </c>
      <c r="E170" t="s">
        <v>2977</v>
      </c>
      <c r="F170" t="s">
        <v>273</v>
      </c>
      <c r="G170" t="s">
        <v>275</v>
      </c>
      <c r="H170">
        <v>57.17</v>
      </c>
      <c r="I170" t="s">
        <v>274</v>
      </c>
      <c r="K170" t="s">
        <v>1701</v>
      </c>
      <c r="P170" t="s">
        <v>492</v>
      </c>
      <c r="Q170" t="s">
        <v>501</v>
      </c>
      <c r="S170" t="s">
        <v>503</v>
      </c>
      <c r="T170" t="s">
        <v>507</v>
      </c>
      <c r="U170" t="s">
        <v>511</v>
      </c>
      <c r="V170">
        <v>10027</v>
      </c>
      <c r="W170" t="s">
        <v>517</v>
      </c>
      <c r="X170" t="s">
        <v>549</v>
      </c>
      <c r="Y170" t="s">
        <v>275</v>
      </c>
      <c r="Z170" t="s">
        <v>3047</v>
      </c>
      <c r="AA170" t="s">
        <v>872</v>
      </c>
      <c r="AB170" t="s">
        <v>902</v>
      </c>
      <c r="AC170" t="s">
        <v>904</v>
      </c>
      <c r="AF170" t="s">
        <v>927</v>
      </c>
      <c r="AI170">
        <v>7.45</v>
      </c>
      <c r="AJ170" t="s">
        <v>558</v>
      </c>
      <c r="AK170" t="s">
        <v>969</v>
      </c>
      <c r="AL170" t="s">
        <v>274</v>
      </c>
      <c r="AT170">
        <v>0</v>
      </c>
      <c r="AU170">
        <v>1</v>
      </c>
      <c r="AV170" t="s">
        <v>273</v>
      </c>
      <c r="AY170" t="s">
        <v>273</v>
      </c>
      <c r="BB170">
        <v>0</v>
      </c>
      <c r="BC170">
        <v>0</v>
      </c>
      <c r="BD170">
        <v>0</v>
      </c>
      <c r="BE170">
        <v>0</v>
      </c>
      <c r="BF170" t="s">
        <v>1063</v>
      </c>
      <c r="BG170" t="s">
        <v>3311</v>
      </c>
      <c r="BH170">
        <v>48</v>
      </c>
      <c r="BI170" t="s">
        <v>3443</v>
      </c>
      <c r="BK170">
        <v>1890781</v>
      </c>
    </row>
    <row r="171" spans="1:63">
      <c r="A171" s="1">
        <f>HYPERLINK("https://lsnyc.legalserver.org/matter/dynamic-profile/view/1890393","19-1890393")</f>
        <v>0</v>
      </c>
      <c r="B171" t="s">
        <v>2920</v>
      </c>
      <c r="C171" t="s">
        <v>2975</v>
      </c>
      <c r="D171" t="s">
        <v>255</v>
      </c>
      <c r="E171" t="s">
        <v>2977</v>
      </c>
      <c r="F171" t="s">
        <v>275</v>
      </c>
      <c r="G171" t="s">
        <v>275</v>
      </c>
      <c r="H171">
        <v>76.86</v>
      </c>
      <c r="I171" t="s">
        <v>275</v>
      </c>
      <c r="K171" t="s">
        <v>1703</v>
      </c>
      <c r="L171" t="s">
        <v>293</v>
      </c>
      <c r="O171" t="s">
        <v>275</v>
      </c>
      <c r="P171" t="s">
        <v>495</v>
      </c>
      <c r="Q171" t="s">
        <v>501</v>
      </c>
      <c r="S171" t="s">
        <v>503</v>
      </c>
      <c r="T171" t="s">
        <v>508</v>
      </c>
      <c r="U171" t="s">
        <v>511</v>
      </c>
      <c r="V171">
        <v>10031</v>
      </c>
      <c r="W171" t="s">
        <v>544</v>
      </c>
      <c r="X171" t="s">
        <v>548</v>
      </c>
      <c r="Y171" t="s">
        <v>274</v>
      </c>
      <c r="Z171" t="s">
        <v>3109</v>
      </c>
      <c r="AA171" t="s">
        <v>3213</v>
      </c>
      <c r="AB171" t="s">
        <v>902</v>
      </c>
      <c r="AC171" t="s">
        <v>904</v>
      </c>
      <c r="AD171" t="s">
        <v>274</v>
      </c>
      <c r="AE171" t="s">
        <v>920</v>
      </c>
      <c r="AF171" t="s">
        <v>928</v>
      </c>
      <c r="AI171">
        <v>0.8</v>
      </c>
      <c r="AK171" t="s">
        <v>950</v>
      </c>
      <c r="AL171" t="s">
        <v>275</v>
      </c>
      <c r="AM171" t="s">
        <v>975</v>
      </c>
      <c r="AN171" t="s">
        <v>1703</v>
      </c>
      <c r="AQ171" t="s">
        <v>1033</v>
      </c>
      <c r="AR171" t="s">
        <v>1053</v>
      </c>
      <c r="AT171">
        <v>0</v>
      </c>
      <c r="AU171">
        <v>1</v>
      </c>
      <c r="AV171" t="s">
        <v>273</v>
      </c>
      <c r="AY171" t="s">
        <v>273</v>
      </c>
      <c r="BB171">
        <v>0</v>
      </c>
      <c r="BC171">
        <v>0</v>
      </c>
      <c r="BD171">
        <v>0</v>
      </c>
      <c r="BE171">
        <v>0</v>
      </c>
      <c r="BF171" t="s">
        <v>493</v>
      </c>
      <c r="BG171" t="s">
        <v>3387</v>
      </c>
      <c r="BH171">
        <v>54</v>
      </c>
      <c r="BI171" t="s">
        <v>1280</v>
      </c>
      <c r="BK171">
        <v>1890717</v>
      </c>
    </row>
    <row r="172" spans="1:63">
      <c r="A172" s="1">
        <f>HYPERLINK("https://lsnyc.legalserver.org/matter/dynamic-profile/view/1890484","19-1890484")</f>
        <v>0</v>
      </c>
      <c r="B172" t="s">
        <v>2920</v>
      </c>
      <c r="C172" t="s">
        <v>2975</v>
      </c>
      <c r="D172" t="s">
        <v>255</v>
      </c>
      <c r="E172" t="s">
        <v>2977</v>
      </c>
      <c r="F172" t="s">
        <v>275</v>
      </c>
      <c r="G172" t="s">
        <v>275</v>
      </c>
      <c r="H172">
        <v>76.86</v>
      </c>
      <c r="I172" t="s">
        <v>275</v>
      </c>
      <c r="K172" t="s">
        <v>1703</v>
      </c>
      <c r="L172" t="s">
        <v>1004</v>
      </c>
      <c r="O172" t="s">
        <v>275</v>
      </c>
      <c r="P172" t="s">
        <v>495</v>
      </c>
      <c r="Q172" t="s">
        <v>501</v>
      </c>
      <c r="S172" t="s">
        <v>503</v>
      </c>
      <c r="T172" t="s">
        <v>508</v>
      </c>
      <c r="U172" t="s">
        <v>511</v>
      </c>
      <c r="V172">
        <v>10031</v>
      </c>
      <c r="W172" t="s">
        <v>517</v>
      </c>
      <c r="X172" t="s">
        <v>548</v>
      </c>
      <c r="Y172" t="s">
        <v>274</v>
      </c>
      <c r="Z172" t="s">
        <v>3109</v>
      </c>
      <c r="AA172" t="s">
        <v>3213</v>
      </c>
      <c r="AB172" t="s">
        <v>902</v>
      </c>
      <c r="AC172" t="s">
        <v>904</v>
      </c>
      <c r="AD172" t="s">
        <v>916</v>
      </c>
      <c r="AE172" t="s">
        <v>920</v>
      </c>
      <c r="AF172" t="s">
        <v>928</v>
      </c>
      <c r="AI172">
        <v>1.8</v>
      </c>
      <c r="AJ172" t="s">
        <v>558</v>
      </c>
      <c r="AK172" t="s">
        <v>950</v>
      </c>
      <c r="AL172" t="s">
        <v>275</v>
      </c>
      <c r="AM172" t="s">
        <v>975</v>
      </c>
      <c r="AN172" t="s">
        <v>1700</v>
      </c>
      <c r="AQ172" t="s">
        <v>1033</v>
      </c>
      <c r="AR172" t="s">
        <v>1053</v>
      </c>
      <c r="AT172">
        <v>0</v>
      </c>
      <c r="AU172">
        <v>1</v>
      </c>
      <c r="AV172" t="s">
        <v>273</v>
      </c>
      <c r="AY172" t="s">
        <v>273</v>
      </c>
      <c r="BB172">
        <v>0</v>
      </c>
      <c r="BC172">
        <v>0</v>
      </c>
      <c r="BD172">
        <v>0</v>
      </c>
      <c r="BE172">
        <v>0</v>
      </c>
      <c r="BF172" t="s">
        <v>493</v>
      </c>
      <c r="BG172" t="s">
        <v>3387</v>
      </c>
      <c r="BH172">
        <v>54</v>
      </c>
      <c r="BI172" t="s">
        <v>1280</v>
      </c>
      <c r="BK172">
        <v>1890717</v>
      </c>
    </row>
    <row r="173" spans="1:63">
      <c r="A173" s="1">
        <f>HYPERLINK("https://lsnyc.legalserver.org/matter/dynamic-profile/view/1890450","19-1890450")</f>
        <v>0</v>
      </c>
      <c r="B173" t="s">
        <v>2872</v>
      </c>
      <c r="C173" t="s">
        <v>2975</v>
      </c>
      <c r="D173" t="s">
        <v>255</v>
      </c>
      <c r="E173" t="s">
        <v>2977</v>
      </c>
      <c r="F173" t="s">
        <v>273</v>
      </c>
      <c r="G173" t="s">
        <v>275</v>
      </c>
      <c r="H173">
        <v>0</v>
      </c>
      <c r="I173" t="s">
        <v>274</v>
      </c>
      <c r="K173" t="s">
        <v>1703</v>
      </c>
      <c r="M173" t="s">
        <v>473</v>
      </c>
      <c r="N173" t="s">
        <v>288</v>
      </c>
      <c r="O173" t="s">
        <v>275</v>
      </c>
      <c r="P173" t="s">
        <v>492</v>
      </c>
      <c r="Q173" t="s">
        <v>501</v>
      </c>
      <c r="S173" t="s">
        <v>503</v>
      </c>
      <c r="T173" t="s">
        <v>507</v>
      </c>
      <c r="U173" t="s">
        <v>511</v>
      </c>
      <c r="V173">
        <v>10032</v>
      </c>
      <c r="W173" t="s">
        <v>519</v>
      </c>
      <c r="X173" t="s">
        <v>548</v>
      </c>
      <c r="Y173" t="s">
        <v>275</v>
      </c>
      <c r="Z173" t="s">
        <v>602</v>
      </c>
      <c r="AA173" t="s">
        <v>884</v>
      </c>
      <c r="AB173" t="s">
        <v>902</v>
      </c>
      <c r="AC173" t="s">
        <v>905</v>
      </c>
      <c r="AF173" t="s">
        <v>926</v>
      </c>
      <c r="AI173">
        <v>39.1</v>
      </c>
      <c r="AJ173" t="s">
        <v>558</v>
      </c>
      <c r="AK173" t="s">
        <v>945</v>
      </c>
      <c r="AL173" t="s">
        <v>274</v>
      </c>
      <c r="AM173" t="s">
        <v>973</v>
      </c>
      <c r="AN173" t="s">
        <v>3273</v>
      </c>
      <c r="AT173">
        <v>0</v>
      </c>
      <c r="AU173">
        <v>1</v>
      </c>
      <c r="AV173" t="s">
        <v>273</v>
      </c>
      <c r="AY173" t="s">
        <v>273</v>
      </c>
      <c r="BB173">
        <v>0</v>
      </c>
      <c r="BC173">
        <v>0</v>
      </c>
      <c r="BD173">
        <v>0</v>
      </c>
      <c r="BE173">
        <v>0</v>
      </c>
      <c r="BF173" t="s">
        <v>1063</v>
      </c>
      <c r="BG173" t="s">
        <v>3342</v>
      </c>
      <c r="BH173">
        <v>34</v>
      </c>
      <c r="BI173" t="s">
        <v>1247</v>
      </c>
      <c r="BK173">
        <v>1873787</v>
      </c>
    </row>
    <row r="174" spans="1:63">
      <c r="A174" s="1">
        <f>HYPERLINK("https://lsnyc.legalserver.org/matter/dynamic-profile/view/1890149","19-1890149")</f>
        <v>0</v>
      </c>
      <c r="B174" t="s">
        <v>2840</v>
      </c>
      <c r="C174" t="s">
        <v>2975</v>
      </c>
      <c r="D174" t="s">
        <v>255</v>
      </c>
      <c r="E174" t="s">
        <v>2977</v>
      </c>
      <c r="F174" t="s">
        <v>273</v>
      </c>
      <c r="G174" t="s">
        <v>275</v>
      </c>
      <c r="H174">
        <v>57.17</v>
      </c>
      <c r="I174" t="s">
        <v>274</v>
      </c>
      <c r="K174" t="s">
        <v>343</v>
      </c>
      <c r="O174" t="s">
        <v>275</v>
      </c>
      <c r="P174" t="s">
        <v>492</v>
      </c>
      <c r="Q174" t="s">
        <v>501</v>
      </c>
      <c r="S174" t="s">
        <v>503</v>
      </c>
      <c r="T174" t="s">
        <v>507</v>
      </c>
      <c r="U174" t="s">
        <v>511</v>
      </c>
      <c r="V174">
        <v>10027</v>
      </c>
      <c r="W174" t="s">
        <v>525</v>
      </c>
      <c r="X174" t="s">
        <v>549</v>
      </c>
      <c r="Y174" t="s">
        <v>275</v>
      </c>
      <c r="Z174" t="s">
        <v>3047</v>
      </c>
      <c r="AA174" t="s">
        <v>872</v>
      </c>
      <c r="AB174" t="s">
        <v>902</v>
      </c>
      <c r="AC174" t="s">
        <v>904</v>
      </c>
      <c r="AF174" t="s">
        <v>923</v>
      </c>
      <c r="AI174">
        <v>4</v>
      </c>
      <c r="AJ174" t="s">
        <v>558</v>
      </c>
      <c r="AK174" t="s">
        <v>969</v>
      </c>
      <c r="AL174" t="s">
        <v>274</v>
      </c>
      <c r="AM174" t="s">
        <v>973</v>
      </c>
      <c r="AN174" t="s">
        <v>337</v>
      </c>
      <c r="AT174">
        <v>0</v>
      </c>
      <c r="AU174">
        <v>1</v>
      </c>
      <c r="AV174" t="s">
        <v>273</v>
      </c>
      <c r="AY174" t="s">
        <v>273</v>
      </c>
      <c r="BB174">
        <v>0</v>
      </c>
      <c r="BC174">
        <v>0</v>
      </c>
      <c r="BD174">
        <v>0</v>
      </c>
      <c r="BE174">
        <v>0</v>
      </c>
      <c r="BF174" t="s">
        <v>1063</v>
      </c>
      <c r="BG174" t="s">
        <v>3311</v>
      </c>
      <c r="BH174">
        <v>48</v>
      </c>
      <c r="BI174" t="s">
        <v>3443</v>
      </c>
      <c r="BK174">
        <v>1890781</v>
      </c>
    </row>
    <row r="175" spans="1:63">
      <c r="A175" s="1">
        <f>HYPERLINK("https://lsnyc.legalserver.org/matter/dynamic-profile/view/1890316","19-1890316")</f>
        <v>0</v>
      </c>
      <c r="B175" t="s">
        <v>2921</v>
      </c>
      <c r="C175" t="s">
        <v>2975</v>
      </c>
      <c r="D175" t="s">
        <v>253</v>
      </c>
      <c r="E175" t="s">
        <v>2977</v>
      </c>
      <c r="F175" t="s">
        <v>273</v>
      </c>
      <c r="G175" t="s">
        <v>275</v>
      </c>
      <c r="H175">
        <v>116.58</v>
      </c>
      <c r="I175" t="s">
        <v>274</v>
      </c>
      <c r="K175" t="s">
        <v>343</v>
      </c>
      <c r="P175" t="s">
        <v>492</v>
      </c>
      <c r="Q175" t="s">
        <v>501</v>
      </c>
      <c r="S175" t="s">
        <v>503</v>
      </c>
      <c r="T175" t="s">
        <v>508</v>
      </c>
      <c r="U175" t="s">
        <v>511</v>
      </c>
      <c r="V175">
        <v>11385</v>
      </c>
      <c r="W175" t="s">
        <v>525</v>
      </c>
      <c r="X175" t="s">
        <v>548</v>
      </c>
      <c r="Y175" t="s">
        <v>275</v>
      </c>
      <c r="Z175" t="s">
        <v>1977</v>
      </c>
      <c r="AA175" t="s">
        <v>3214</v>
      </c>
      <c r="AB175" t="s">
        <v>902</v>
      </c>
      <c r="AC175" t="s">
        <v>904</v>
      </c>
      <c r="AF175" t="s">
        <v>923</v>
      </c>
      <c r="AI175">
        <v>5.8</v>
      </c>
      <c r="AJ175" t="s">
        <v>558</v>
      </c>
      <c r="AK175" t="s">
        <v>949</v>
      </c>
      <c r="AL175" t="s">
        <v>274</v>
      </c>
      <c r="AM175" t="s">
        <v>973</v>
      </c>
      <c r="AN175" t="s">
        <v>1013</v>
      </c>
      <c r="AS175" t="s">
        <v>3284</v>
      </c>
      <c r="AT175">
        <v>1</v>
      </c>
      <c r="AU175">
        <v>4</v>
      </c>
      <c r="AV175" t="s">
        <v>273</v>
      </c>
      <c r="AY175" t="s">
        <v>273</v>
      </c>
      <c r="BB175">
        <v>0</v>
      </c>
      <c r="BC175">
        <v>0</v>
      </c>
      <c r="BD175">
        <v>0</v>
      </c>
      <c r="BE175">
        <v>0</v>
      </c>
      <c r="BF175" t="s">
        <v>1063</v>
      </c>
      <c r="BG175" t="s">
        <v>3388</v>
      </c>
      <c r="BH175">
        <v>48</v>
      </c>
      <c r="BI175" t="s">
        <v>3461</v>
      </c>
      <c r="BK175">
        <v>1890948</v>
      </c>
    </row>
    <row r="176" spans="1:63">
      <c r="A176" s="1">
        <f>HYPERLINK("https://lsnyc.legalserver.org/matter/dynamic-profile/view/1889975","19-1889975")</f>
        <v>0</v>
      </c>
      <c r="B176" t="s">
        <v>2922</v>
      </c>
      <c r="C176" t="s">
        <v>2975</v>
      </c>
      <c r="D176" t="s">
        <v>253</v>
      </c>
      <c r="E176" t="s">
        <v>2977</v>
      </c>
      <c r="F176" t="s">
        <v>273</v>
      </c>
      <c r="G176" t="s">
        <v>275</v>
      </c>
      <c r="H176">
        <v>0</v>
      </c>
      <c r="I176" t="s">
        <v>274</v>
      </c>
      <c r="K176" t="s">
        <v>344</v>
      </c>
      <c r="M176" t="s">
        <v>473</v>
      </c>
      <c r="N176" t="s">
        <v>1812</v>
      </c>
      <c r="O176" t="s">
        <v>275</v>
      </c>
      <c r="P176" t="s">
        <v>492</v>
      </c>
      <c r="Q176" t="s">
        <v>502</v>
      </c>
      <c r="S176" t="s">
        <v>503</v>
      </c>
      <c r="T176" t="s">
        <v>508</v>
      </c>
      <c r="U176" t="s">
        <v>511</v>
      </c>
      <c r="V176">
        <v>11377</v>
      </c>
      <c r="W176" t="s">
        <v>1831</v>
      </c>
      <c r="X176" t="s">
        <v>549</v>
      </c>
      <c r="Y176" t="s">
        <v>275</v>
      </c>
      <c r="Z176" t="s">
        <v>584</v>
      </c>
      <c r="AA176" t="s">
        <v>3215</v>
      </c>
      <c r="AB176" t="s">
        <v>902</v>
      </c>
      <c r="AC176" t="s">
        <v>904</v>
      </c>
      <c r="AF176" t="s">
        <v>923</v>
      </c>
      <c r="AI176">
        <v>11.05</v>
      </c>
      <c r="AJ176" t="s">
        <v>558</v>
      </c>
      <c r="AK176" t="s">
        <v>947</v>
      </c>
      <c r="AL176" t="s">
        <v>274</v>
      </c>
      <c r="AM176" t="s">
        <v>973</v>
      </c>
      <c r="AN176" t="s">
        <v>283</v>
      </c>
      <c r="AT176">
        <v>1</v>
      </c>
      <c r="AU176">
        <v>1</v>
      </c>
      <c r="AV176" t="s">
        <v>273</v>
      </c>
      <c r="AY176" t="s">
        <v>273</v>
      </c>
      <c r="BB176">
        <v>0</v>
      </c>
      <c r="BC176">
        <v>0</v>
      </c>
      <c r="BD176">
        <v>0</v>
      </c>
      <c r="BE176">
        <v>0</v>
      </c>
      <c r="BF176" t="s">
        <v>1063</v>
      </c>
      <c r="BG176" t="s">
        <v>3389</v>
      </c>
      <c r="BH176">
        <v>19</v>
      </c>
      <c r="BI176" t="s">
        <v>1247</v>
      </c>
      <c r="BK176">
        <v>770813</v>
      </c>
    </row>
    <row r="177" spans="1:64">
      <c r="A177" s="1">
        <f>HYPERLINK("https://lsnyc.legalserver.org/matter/dynamic-profile/view/1889523","19-1889523")</f>
        <v>0</v>
      </c>
      <c r="B177" t="s">
        <v>2923</v>
      </c>
      <c r="C177" t="s">
        <v>2975</v>
      </c>
      <c r="D177" t="s">
        <v>255</v>
      </c>
      <c r="E177" t="s">
        <v>2979</v>
      </c>
      <c r="F177" t="s">
        <v>275</v>
      </c>
      <c r="G177" t="s">
        <v>275</v>
      </c>
      <c r="H177">
        <v>32.62</v>
      </c>
      <c r="I177" t="s">
        <v>274</v>
      </c>
      <c r="K177" t="s">
        <v>1704</v>
      </c>
      <c r="L177" t="s">
        <v>484</v>
      </c>
      <c r="O177" t="s">
        <v>275</v>
      </c>
      <c r="P177" t="s">
        <v>493</v>
      </c>
      <c r="Q177" t="s">
        <v>501</v>
      </c>
      <c r="S177" t="s">
        <v>503</v>
      </c>
      <c r="T177" t="s">
        <v>508</v>
      </c>
      <c r="U177" t="s">
        <v>511</v>
      </c>
      <c r="V177">
        <v>10019</v>
      </c>
      <c r="W177" t="s">
        <v>523</v>
      </c>
      <c r="X177" t="s">
        <v>548</v>
      </c>
      <c r="Y177" t="s">
        <v>275</v>
      </c>
      <c r="Z177" t="s">
        <v>3110</v>
      </c>
      <c r="AA177" t="s">
        <v>3216</v>
      </c>
      <c r="AB177" t="s">
        <v>903</v>
      </c>
      <c r="AD177" t="s">
        <v>275</v>
      </c>
      <c r="AE177" t="s">
        <v>922</v>
      </c>
      <c r="AF177" t="s">
        <v>927</v>
      </c>
      <c r="AI177">
        <v>10.75</v>
      </c>
      <c r="AJ177" t="s">
        <v>558</v>
      </c>
      <c r="AK177" t="s">
        <v>947</v>
      </c>
      <c r="AL177" t="s">
        <v>274</v>
      </c>
      <c r="AM177" t="s">
        <v>974</v>
      </c>
      <c r="AN177" t="s">
        <v>1685</v>
      </c>
      <c r="AO177" t="s">
        <v>975</v>
      </c>
      <c r="AP177" t="s">
        <v>484</v>
      </c>
      <c r="AQ177" t="s">
        <v>3282</v>
      </c>
      <c r="AR177" t="s">
        <v>1053</v>
      </c>
      <c r="AT177">
        <v>3</v>
      </c>
      <c r="AU177">
        <v>1</v>
      </c>
      <c r="AV177" t="s">
        <v>273</v>
      </c>
      <c r="AY177" t="s">
        <v>273</v>
      </c>
      <c r="BB177">
        <v>0</v>
      </c>
      <c r="BC177">
        <v>0</v>
      </c>
      <c r="BD177">
        <v>0</v>
      </c>
      <c r="BE177">
        <v>0</v>
      </c>
      <c r="BF177" t="s">
        <v>493</v>
      </c>
      <c r="BG177" t="s">
        <v>3390</v>
      </c>
      <c r="BH177">
        <v>28</v>
      </c>
      <c r="BI177" t="s">
        <v>2800</v>
      </c>
      <c r="BK177">
        <v>1859700</v>
      </c>
    </row>
    <row r="178" spans="1:64">
      <c r="A178" s="1">
        <f>HYPERLINK("https://lsnyc.legalserver.org/matter/dynamic-profile/view/1889157","19-1889157")</f>
        <v>0</v>
      </c>
      <c r="B178" t="s">
        <v>2817</v>
      </c>
      <c r="C178" t="s">
        <v>2975</v>
      </c>
      <c r="D178" t="s">
        <v>255</v>
      </c>
      <c r="E178" t="s">
        <v>2977</v>
      </c>
      <c r="F178" t="s">
        <v>275</v>
      </c>
      <c r="G178" t="s">
        <v>275</v>
      </c>
      <c r="H178">
        <v>187.35</v>
      </c>
      <c r="I178" t="s">
        <v>274</v>
      </c>
      <c r="K178" t="s">
        <v>350</v>
      </c>
      <c r="L178" t="s">
        <v>459</v>
      </c>
      <c r="O178" t="s">
        <v>275</v>
      </c>
      <c r="P178" t="s">
        <v>495</v>
      </c>
      <c r="Q178" t="s">
        <v>501</v>
      </c>
      <c r="S178" t="s">
        <v>503</v>
      </c>
      <c r="T178" t="s">
        <v>508</v>
      </c>
      <c r="U178" t="s">
        <v>511</v>
      </c>
      <c r="V178">
        <v>10025</v>
      </c>
      <c r="W178" t="s">
        <v>523</v>
      </c>
      <c r="X178" t="s">
        <v>549</v>
      </c>
      <c r="Y178" t="s">
        <v>275</v>
      </c>
      <c r="Z178" t="s">
        <v>3029</v>
      </c>
      <c r="AA178" t="s">
        <v>3149</v>
      </c>
      <c r="AB178" t="s">
        <v>903</v>
      </c>
      <c r="AD178" t="s">
        <v>916</v>
      </c>
      <c r="AE178" t="s">
        <v>919</v>
      </c>
      <c r="AF178" t="s">
        <v>923</v>
      </c>
      <c r="AI178">
        <v>15</v>
      </c>
      <c r="AJ178" t="s">
        <v>558</v>
      </c>
      <c r="AK178" t="s">
        <v>960</v>
      </c>
      <c r="AL178" t="s">
        <v>274</v>
      </c>
      <c r="AM178" t="s">
        <v>973</v>
      </c>
      <c r="AN178" t="s">
        <v>3274</v>
      </c>
      <c r="AO178" t="s">
        <v>976</v>
      </c>
      <c r="AP178" t="s">
        <v>278</v>
      </c>
      <c r="AQ178" t="s">
        <v>1038</v>
      </c>
      <c r="AR178" t="s">
        <v>1051</v>
      </c>
      <c r="AT178">
        <v>0</v>
      </c>
      <c r="AU178">
        <v>1</v>
      </c>
      <c r="AV178" t="s">
        <v>273</v>
      </c>
      <c r="AY178" t="s">
        <v>273</v>
      </c>
      <c r="BB178">
        <v>0</v>
      </c>
      <c r="BC178">
        <v>0</v>
      </c>
      <c r="BD178">
        <v>0</v>
      </c>
      <c r="BE178">
        <v>0</v>
      </c>
      <c r="BF178" t="s">
        <v>493</v>
      </c>
      <c r="BG178" t="s">
        <v>3288</v>
      </c>
      <c r="BH178">
        <v>53</v>
      </c>
      <c r="BI178" t="s">
        <v>1248</v>
      </c>
      <c r="BK178">
        <v>1889789</v>
      </c>
      <c r="BL178" t="s">
        <v>275</v>
      </c>
    </row>
    <row r="179" spans="1:64">
      <c r="A179" s="1">
        <f>HYPERLINK("https://lsnyc.legalserver.org/matter/dynamic-profile/view/1889205","19-1889205")</f>
        <v>0</v>
      </c>
      <c r="B179" t="s">
        <v>2924</v>
      </c>
      <c r="C179" t="s">
        <v>2975</v>
      </c>
      <c r="D179" t="s">
        <v>255</v>
      </c>
      <c r="E179" t="s">
        <v>2978</v>
      </c>
      <c r="F179" t="s">
        <v>273</v>
      </c>
      <c r="G179" t="s">
        <v>275</v>
      </c>
      <c r="H179">
        <v>138.02</v>
      </c>
      <c r="I179" t="s">
        <v>274</v>
      </c>
      <c r="K179" t="s">
        <v>350</v>
      </c>
      <c r="P179" t="s">
        <v>492</v>
      </c>
      <c r="Q179" t="s">
        <v>501</v>
      </c>
      <c r="S179" t="s">
        <v>503</v>
      </c>
      <c r="T179" t="s">
        <v>508</v>
      </c>
      <c r="U179" t="s">
        <v>511</v>
      </c>
      <c r="V179">
        <v>10019</v>
      </c>
      <c r="W179" t="s">
        <v>517</v>
      </c>
      <c r="X179" t="s">
        <v>1838</v>
      </c>
      <c r="Y179" t="s">
        <v>275</v>
      </c>
      <c r="Z179" t="s">
        <v>584</v>
      </c>
      <c r="AA179" t="s">
        <v>3217</v>
      </c>
      <c r="AB179" t="s">
        <v>902</v>
      </c>
      <c r="AC179" t="s">
        <v>904</v>
      </c>
      <c r="AF179" t="s">
        <v>923</v>
      </c>
      <c r="AI179">
        <v>5.8</v>
      </c>
      <c r="AJ179" t="s">
        <v>558</v>
      </c>
      <c r="AK179" t="s">
        <v>2366</v>
      </c>
      <c r="AL179" t="s">
        <v>274</v>
      </c>
      <c r="AM179" t="s">
        <v>973</v>
      </c>
      <c r="AN179" t="s">
        <v>317</v>
      </c>
      <c r="AT179">
        <v>0</v>
      </c>
      <c r="AU179">
        <v>2</v>
      </c>
      <c r="AV179" t="s">
        <v>273</v>
      </c>
      <c r="AY179" t="s">
        <v>273</v>
      </c>
      <c r="BB179">
        <v>0</v>
      </c>
      <c r="BC179">
        <v>0</v>
      </c>
      <c r="BD179">
        <v>0</v>
      </c>
      <c r="BE179">
        <v>0</v>
      </c>
      <c r="BF179" t="s">
        <v>1063</v>
      </c>
      <c r="BG179" t="s">
        <v>3391</v>
      </c>
      <c r="BH179">
        <v>65</v>
      </c>
      <c r="BI179" t="s">
        <v>3462</v>
      </c>
      <c r="BK179">
        <v>1889837</v>
      </c>
    </row>
    <row r="180" spans="1:64">
      <c r="A180" s="1">
        <f>HYPERLINK("https://lsnyc.legalserver.org/matter/dynamic-profile/view/1888848","19-1888848")</f>
        <v>0</v>
      </c>
      <c r="B180" t="s">
        <v>2925</v>
      </c>
      <c r="C180" t="s">
        <v>2975</v>
      </c>
      <c r="D180" t="s">
        <v>253</v>
      </c>
      <c r="E180" t="s">
        <v>2978</v>
      </c>
      <c r="F180" t="s">
        <v>273</v>
      </c>
      <c r="G180" t="s">
        <v>275</v>
      </c>
      <c r="H180">
        <v>182.84</v>
      </c>
      <c r="I180" t="s">
        <v>274</v>
      </c>
      <c r="K180" t="s">
        <v>351</v>
      </c>
      <c r="M180" t="s">
        <v>471</v>
      </c>
      <c r="N180" t="s">
        <v>279</v>
      </c>
      <c r="P180" t="s">
        <v>492</v>
      </c>
      <c r="Q180" t="s">
        <v>501</v>
      </c>
      <c r="S180" t="s">
        <v>503</v>
      </c>
      <c r="T180" t="s">
        <v>508</v>
      </c>
      <c r="U180" t="s">
        <v>511</v>
      </c>
      <c r="V180">
        <v>11435</v>
      </c>
      <c r="W180" t="s">
        <v>519</v>
      </c>
      <c r="X180" t="s">
        <v>548</v>
      </c>
      <c r="Y180" t="s">
        <v>275</v>
      </c>
      <c r="Z180" t="s">
        <v>1920</v>
      </c>
      <c r="AA180" t="s">
        <v>3218</v>
      </c>
      <c r="AB180" t="s">
        <v>902</v>
      </c>
      <c r="AC180" t="s">
        <v>906</v>
      </c>
      <c r="AF180" t="s">
        <v>926</v>
      </c>
      <c r="AI180">
        <v>20.95</v>
      </c>
      <c r="AJ180" t="s">
        <v>558</v>
      </c>
      <c r="AK180" t="s">
        <v>941</v>
      </c>
      <c r="AL180" t="s">
        <v>274</v>
      </c>
      <c r="AM180" t="s">
        <v>973</v>
      </c>
      <c r="AN180" t="s">
        <v>1688</v>
      </c>
      <c r="AT180">
        <v>1</v>
      </c>
      <c r="AU180">
        <v>2</v>
      </c>
      <c r="AV180" t="s">
        <v>273</v>
      </c>
      <c r="AY180" t="s">
        <v>273</v>
      </c>
      <c r="BB180">
        <v>0</v>
      </c>
      <c r="BC180">
        <v>0</v>
      </c>
      <c r="BD180">
        <v>0</v>
      </c>
      <c r="BE180">
        <v>0</v>
      </c>
      <c r="BF180" t="s">
        <v>1063</v>
      </c>
      <c r="BG180" t="s">
        <v>3392</v>
      </c>
      <c r="BH180">
        <v>39</v>
      </c>
      <c r="BI180" t="s">
        <v>1273</v>
      </c>
      <c r="BK180">
        <v>1874000</v>
      </c>
    </row>
    <row r="181" spans="1:64">
      <c r="A181" s="1">
        <f>HYPERLINK("https://lsnyc.legalserver.org/matter/dynamic-profile/view/1888861","19-1888861")</f>
        <v>0</v>
      </c>
      <c r="B181" t="s">
        <v>2926</v>
      </c>
      <c r="C181" t="s">
        <v>2975</v>
      </c>
      <c r="D181" t="s">
        <v>253</v>
      </c>
      <c r="E181" t="s">
        <v>2978</v>
      </c>
      <c r="F181" t="s">
        <v>273</v>
      </c>
      <c r="G181" t="s">
        <v>275</v>
      </c>
      <c r="H181">
        <v>182.84</v>
      </c>
      <c r="I181" t="s">
        <v>274</v>
      </c>
      <c r="K181" t="s">
        <v>351</v>
      </c>
      <c r="M181" t="s">
        <v>471</v>
      </c>
      <c r="N181" t="s">
        <v>279</v>
      </c>
      <c r="P181" t="s">
        <v>492</v>
      </c>
      <c r="Q181" t="s">
        <v>502</v>
      </c>
      <c r="S181" t="s">
        <v>503</v>
      </c>
      <c r="T181" t="s">
        <v>508</v>
      </c>
      <c r="U181" t="s">
        <v>511</v>
      </c>
      <c r="V181">
        <v>11432</v>
      </c>
      <c r="W181" t="s">
        <v>519</v>
      </c>
      <c r="X181" t="s">
        <v>548</v>
      </c>
      <c r="Y181" t="s">
        <v>275</v>
      </c>
      <c r="Z181" t="s">
        <v>3111</v>
      </c>
      <c r="AA181" t="s">
        <v>3219</v>
      </c>
      <c r="AB181" t="s">
        <v>902</v>
      </c>
      <c r="AC181" t="s">
        <v>906</v>
      </c>
      <c r="AF181" t="s">
        <v>926</v>
      </c>
      <c r="AI181">
        <v>8.5</v>
      </c>
      <c r="AJ181" t="s">
        <v>558</v>
      </c>
      <c r="AK181" t="s">
        <v>941</v>
      </c>
      <c r="AL181" t="s">
        <v>274</v>
      </c>
      <c r="AM181" t="s">
        <v>973</v>
      </c>
      <c r="AN181" t="s">
        <v>1688</v>
      </c>
      <c r="AT181">
        <v>1</v>
      </c>
      <c r="AU181">
        <v>2</v>
      </c>
      <c r="AV181" t="s">
        <v>273</v>
      </c>
      <c r="AY181" t="s">
        <v>273</v>
      </c>
      <c r="BB181">
        <v>0</v>
      </c>
      <c r="BC181">
        <v>0</v>
      </c>
      <c r="BD181">
        <v>0</v>
      </c>
      <c r="BE181">
        <v>0</v>
      </c>
      <c r="BF181" t="s">
        <v>1063</v>
      </c>
      <c r="BG181" t="s">
        <v>3393</v>
      </c>
      <c r="BH181">
        <v>16</v>
      </c>
      <c r="BI181" t="s">
        <v>1273</v>
      </c>
      <c r="BK181">
        <v>1874010</v>
      </c>
    </row>
    <row r="182" spans="1:64">
      <c r="A182" s="1">
        <f>HYPERLINK("https://lsnyc.legalserver.org/matter/dynamic-profile/view/1888622","19-1888622")</f>
        <v>0</v>
      </c>
      <c r="B182" t="s">
        <v>2927</v>
      </c>
      <c r="C182" t="s">
        <v>2975</v>
      </c>
      <c r="D182" t="s">
        <v>255</v>
      </c>
      <c r="E182" t="s">
        <v>2978</v>
      </c>
      <c r="F182" t="s">
        <v>273</v>
      </c>
      <c r="G182" t="s">
        <v>275</v>
      </c>
      <c r="H182">
        <v>23.06</v>
      </c>
      <c r="I182" t="s">
        <v>274</v>
      </c>
      <c r="K182" t="s">
        <v>1707</v>
      </c>
      <c r="M182" t="s">
        <v>471</v>
      </c>
      <c r="N182" t="s">
        <v>1666</v>
      </c>
      <c r="P182" t="s">
        <v>492</v>
      </c>
      <c r="Q182" t="s">
        <v>502</v>
      </c>
      <c r="S182" t="s">
        <v>503</v>
      </c>
      <c r="T182" t="s">
        <v>507</v>
      </c>
      <c r="U182" t="s">
        <v>511</v>
      </c>
      <c r="V182">
        <v>10031</v>
      </c>
      <c r="W182" t="s">
        <v>519</v>
      </c>
      <c r="X182" t="s">
        <v>548</v>
      </c>
      <c r="Y182" t="s">
        <v>275</v>
      </c>
      <c r="Z182" t="s">
        <v>3112</v>
      </c>
      <c r="AA182" t="s">
        <v>2162</v>
      </c>
      <c r="AB182" t="s">
        <v>902</v>
      </c>
      <c r="AC182" t="s">
        <v>910</v>
      </c>
      <c r="AF182" t="s">
        <v>926</v>
      </c>
      <c r="AI182">
        <v>15.1</v>
      </c>
      <c r="AJ182" t="s">
        <v>558</v>
      </c>
      <c r="AK182" t="s">
        <v>936</v>
      </c>
      <c r="AL182" t="s">
        <v>274</v>
      </c>
      <c r="AM182" t="s">
        <v>973</v>
      </c>
      <c r="AN182" t="s">
        <v>1701</v>
      </c>
      <c r="AO182" t="s">
        <v>978</v>
      </c>
      <c r="AP182" t="s">
        <v>481</v>
      </c>
      <c r="AT182">
        <v>1</v>
      </c>
      <c r="AU182">
        <v>1</v>
      </c>
      <c r="AV182" t="s">
        <v>273</v>
      </c>
      <c r="AY182" t="s">
        <v>273</v>
      </c>
      <c r="BB182">
        <v>0</v>
      </c>
      <c r="BC182">
        <v>0</v>
      </c>
      <c r="BD182">
        <v>0</v>
      </c>
      <c r="BE182">
        <v>0</v>
      </c>
      <c r="BF182" t="s">
        <v>1063</v>
      </c>
      <c r="BG182" t="s">
        <v>3394</v>
      </c>
      <c r="BH182">
        <v>12</v>
      </c>
      <c r="BI182" t="s">
        <v>3445</v>
      </c>
      <c r="BK182">
        <v>1883496</v>
      </c>
    </row>
    <row r="183" spans="1:64">
      <c r="A183" s="1">
        <f>HYPERLINK("https://lsnyc.legalserver.org/matter/dynamic-profile/view/1888632","19-1888632")</f>
        <v>0</v>
      </c>
      <c r="B183" t="s">
        <v>2928</v>
      </c>
      <c r="C183" t="s">
        <v>2975</v>
      </c>
      <c r="D183" t="s">
        <v>257</v>
      </c>
      <c r="E183" t="s">
        <v>2978</v>
      </c>
      <c r="F183" t="s">
        <v>273</v>
      </c>
      <c r="G183" t="s">
        <v>275</v>
      </c>
      <c r="H183">
        <v>157.19</v>
      </c>
      <c r="I183" t="s">
        <v>274</v>
      </c>
      <c r="K183" t="s">
        <v>1707</v>
      </c>
      <c r="P183" t="s">
        <v>492</v>
      </c>
      <c r="Q183" t="s">
        <v>501</v>
      </c>
      <c r="S183" t="s">
        <v>503</v>
      </c>
      <c r="T183" t="s">
        <v>508</v>
      </c>
      <c r="U183" t="s">
        <v>511</v>
      </c>
      <c r="V183">
        <v>10468</v>
      </c>
      <c r="W183" t="s">
        <v>518</v>
      </c>
      <c r="X183" t="s">
        <v>548</v>
      </c>
      <c r="Y183" t="s">
        <v>275</v>
      </c>
      <c r="Z183" t="s">
        <v>3113</v>
      </c>
      <c r="AA183" t="s">
        <v>2256</v>
      </c>
      <c r="AB183" t="s">
        <v>902</v>
      </c>
      <c r="AC183" t="s">
        <v>904</v>
      </c>
      <c r="AF183" t="s">
        <v>926</v>
      </c>
      <c r="AI183">
        <v>78.09999999999999</v>
      </c>
      <c r="AJ183" t="s">
        <v>558</v>
      </c>
      <c r="AK183" t="s">
        <v>950</v>
      </c>
      <c r="AL183" t="s">
        <v>274</v>
      </c>
      <c r="AT183">
        <v>0</v>
      </c>
      <c r="AU183">
        <v>2</v>
      </c>
      <c r="AV183" t="s">
        <v>273</v>
      </c>
      <c r="AY183" t="s">
        <v>273</v>
      </c>
      <c r="BB183">
        <v>0</v>
      </c>
      <c r="BC183">
        <v>0</v>
      </c>
      <c r="BD183">
        <v>0</v>
      </c>
      <c r="BE183">
        <v>0</v>
      </c>
      <c r="BF183" t="s">
        <v>1063</v>
      </c>
      <c r="BG183" t="s">
        <v>3395</v>
      </c>
      <c r="BH183">
        <v>55</v>
      </c>
      <c r="BI183" t="s">
        <v>3463</v>
      </c>
      <c r="BK183">
        <v>765713</v>
      </c>
    </row>
    <row r="184" spans="1:64">
      <c r="A184" s="1">
        <f>HYPERLINK("https://lsnyc.legalserver.org/matter/dynamic-profile/view/1888387","19-1888387")</f>
        <v>0</v>
      </c>
      <c r="B184" t="s">
        <v>2825</v>
      </c>
      <c r="C184" t="s">
        <v>2975</v>
      </c>
      <c r="D184" t="s">
        <v>255</v>
      </c>
      <c r="E184" t="s">
        <v>2977</v>
      </c>
      <c r="F184" t="s">
        <v>275</v>
      </c>
      <c r="G184" t="s">
        <v>275</v>
      </c>
      <c r="H184">
        <v>73.98</v>
      </c>
      <c r="I184" t="s">
        <v>274</v>
      </c>
      <c r="K184" t="s">
        <v>353</v>
      </c>
      <c r="L184" t="s">
        <v>1662</v>
      </c>
      <c r="O184" t="s">
        <v>275</v>
      </c>
      <c r="P184" t="s">
        <v>495</v>
      </c>
      <c r="Q184" t="s">
        <v>501</v>
      </c>
      <c r="S184" t="s">
        <v>503</v>
      </c>
      <c r="T184" t="s">
        <v>507</v>
      </c>
      <c r="U184" t="s">
        <v>511</v>
      </c>
      <c r="V184">
        <v>10029</v>
      </c>
      <c r="W184" t="s">
        <v>523</v>
      </c>
      <c r="X184" t="s">
        <v>548</v>
      </c>
      <c r="Y184" t="s">
        <v>274</v>
      </c>
      <c r="Z184" t="s">
        <v>738</v>
      </c>
      <c r="AA184" t="s">
        <v>2162</v>
      </c>
      <c r="AB184" t="s">
        <v>903</v>
      </c>
      <c r="AD184" t="s">
        <v>916</v>
      </c>
      <c r="AE184" t="s">
        <v>919</v>
      </c>
      <c r="AF184" t="s">
        <v>923</v>
      </c>
      <c r="AI184">
        <v>8.6</v>
      </c>
      <c r="AJ184" t="s">
        <v>558</v>
      </c>
      <c r="AK184" t="s">
        <v>933</v>
      </c>
      <c r="AL184" t="s">
        <v>274</v>
      </c>
      <c r="AM184" t="s">
        <v>973</v>
      </c>
      <c r="AN184" t="s">
        <v>1007</v>
      </c>
      <c r="AO184" t="s">
        <v>976</v>
      </c>
      <c r="AP184" t="s">
        <v>279</v>
      </c>
      <c r="AQ184" t="s">
        <v>1038</v>
      </c>
      <c r="AR184" t="s">
        <v>1051</v>
      </c>
      <c r="AT184">
        <v>0</v>
      </c>
      <c r="AU184">
        <v>1</v>
      </c>
      <c r="AV184" t="s">
        <v>273</v>
      </c>
      <c r="AY184" t="s">
        <v>273</v>
      </c>
      <c r="BB184">
        <v>0</v>
      </c>
      <c r="BC184">
        <v>0</v>
      </c>
      <c r="BD184">
        <v>0</v>
      </c>
      <c r="BE184">
        <v>0</v>
      </c>
      <c r="BF184" t="s">
        <v>493</v>
      </c>
      <c r="BG184" t="s">
        <v>3296</v>
      </c>
      <c r="BH184">
        <v>55</v>
      </c>
      <c r="BI184" t="s">
        <v>3438</v>
      </c>
      <c r="BK184">
        <v>786452</v>
      </c>
      <c r="BL184" t="s">
        <v>275</v>
      </c>
    </row>
    <row r="185" spans="1:64">
      <c r="A185" s="1">
        <f>HYPERLINK("https://lsnyc.legalserver.org/matter/dynamic-profile/view/1888276","19-1888276")</f>
        <v>0</v>
      </c>
      <c r="B185" t="s">
        <v>2882</v>
      </c>
      <c r="C185" t="s">
        <v>2975</v>
      </c>
      <c r="D185" t="s">
        <v>255</v>
      </c>
      <c r="E185" t="s">
        <v>2978</v>
      </c>
      <c r="F185" t="s">
        <v>273</v>
      </c>
      <c r="G185" t="s">
        <v>275</v>
      </c>
      <c r="H185">
        <v>0</v>
      </c>
      <c r="I185" t="s">
        <v>274</v>
      </c>
      <c r="K185" t="s">
        <v>353</v>
      </c>
      <c r="M185" t="s">
        <v>471</v>
      </c>
      <c r="N185" t="s">
        <v>452</v>
      </c>
      <c r="P185" t="s">
        <v>492</v>
      </c>
      <c r="Q185" t="s">
        <v>501</v>
      </c>
      <c r="S185" t="s">
        <v>503</v>
      </c>
      <c r="T185" t="s">
        <v>507</v>
      </c>
      <c r="U185" t="s">
        <v>511</v>
      </c>
      <c r="V185">
        <v>10033</v>
      </c>
      <c r="W185" t="s">
        <v>519</v>
      </c>
      <c r="X185" t="s">
        <v>548</v>
      </c>
      <c r="Y185" t="s">
        <v>275</v>
      </c>
      <c r="Z185" t="s">
        <v>3082</v>
      </c>
      <c r="AA185" t="s">
        <v>3190</v>
      </c>
      <c r="AB185" t="s">
        <v>902</v>
      </c>
      <c r="AC185" t="s">
        <v>906</v>
      </c>
      <c r="AF185" t="s">
        <v>926</v>
      </c>
      <c r="AI185">
        <v>31.2</v>
      </c>
      <c r="AJ185" t="s">
        <v>558</v>
      </c>
      <c r="AK185" t="s">
        <v>934</v>
      </c>
      <c r="AL185" t="s">
        <v>274</v>
      </c>
      <c r="AT185">
        <v>2</v>
      </c>
      <c r="AU185">
        <v>1</v>
      </c>
      <c r="AV185" t="s">
        <v>273</v>
      </c>
      <c r="AY185" t="s">
        <v>273</v>
      </c>
      <c r="BB185">
        <v>0</v>
      </c>
      <c r="BC185">
        <v>0</v>
      </c>
      <c r="BD185">
        <v>0</v>
      </c>
      <c r="BE185">
        <v>0</v>
      </c>
      <c r="BF185" t="s">
        <v>1063</v>
      </c>
      <c r="BG185" t="s">
        <v>3351</v>
      </c>
      <c r="BH185">
        <v>27</v>
      </c>
      <c r="BI185" t="s">
        <v>1247</v>
      </c>
      <c r="BK185">
        <v>1888905</v>
      </c>
    </row>
    <row r="186" spans="1:64">
      <c r="A186" s="1">
        <f>HYPERLINK("https://lsnyc.legalserver.org/matter/dynamic-profile/view/1888283","19-1888283")</f>
        <v>0</v>
      </c>
      <c r="B186" t="s">
        <v>2901</v>
      </c>
      <c r="C186" t="s">
        <v>2975</v>
      </c>
      <c r="D186" t="s">
        <v>255</v>
      </c>
      <c r="E186" t="s">
        <v>2978</v>
      </c>
      <c r="F186" t="s">
        <v>273</v>
      </c>
      <c r="G186" t="s">
        <v>275</v>
      </c>
      <c r="H186">
        <v>0</v>
      </c>
      <c r="I186" t="s">
        <v>274</v>
      </c>
      <c r="K186" t="s">
        <v>353</v>
      </c>
      <c r="M186" t="s">
        <v>471</v>
      </c>
      <c r="N186" t="s">
        <v>452</v>
      </c>
      <c r="P186" t="s">
        <v>492</v>
      </c>
      <c r="Q186" t="s">
        <v>502</v>
      </c>
      <c r="S186" t="s">
        <v>503</v>
      </c>
      <c r="T186" t="s">
        <v>508</v>
      </c>
      <c r="U186" t="s">
        <v>511</v>
      </c>
      <c r="V186">
        <v>10033</v>
      </c>
      <c r="W186" t="s">
        <v>519</v>
      </c>
      <c r="X186" t="s">
        <v>548</v>
      </c>
      <c r="Y186" t="s">
        <v>275</v>
      </c>
      <c r="Z186" t="s">
        <v>3096</v>
      </c>
      <c r="AA186" t="s">
        <v>3190</v>
      </c>
      <c r="AB186" t="s">
        <v>902</v>
      </c>
      <c r="AC186" t="s">
        <v>907</v>
      </c>
      <c r="AF186" t="s">
        <v>926</v>
      </c>
      <c r="AI186">
        <v>4.1</v>
      </c>
      <c r="AJ186" t="s">
        <v>558</v>
      </c>
      <c r="AK186" t="s">
        <v>934</v>
      </c>
      <c r="AL186" t="s">
        <v>274</v>
      </c>
      <c r="AT186">
        <v>2</v>
      </c>
      <c r="AU186">
        <v>1</v>
      </c>
      <c r="AV186" t="s">
        <v>273</v>
      </c>
      <c r="AY186" t="s">
        <v>273</v>
      </c>
      <c r="BB186">
        <v>0</v>
      </c>
      <c r="BC186">
        <v>0</v>
      </c>
      <c r="BD186">
        <v>0</v>
      </c>
      <c r="BE186">
        <v>0</v>
      </c>
      <c r="BF186" t="s">
        <v>1063</v>
      </c>
      <c r="BG186" t="s">
        <v>3370</v>
      </c>
      <c r="BH186">
        <v>8</v>
      </c>
      <c r="BI186" t="s">
        <v>1247</v>
      </c>
      <c r="BK186">
        <v>1888912</v>
      </c>
      <c r="BL186" t="s">
        <v>274</v>
      </c>
    </row>
    <row r="187" spans="1:64">
      <c r="A187" s="1">
        <f>HYPERLINK("https://lsnyc.legalserver.org/matter/dynamic-profile/view/1888162","19-1888162")</f>
        <v>0</v>
      </c>
      <c r="B187" t="s">
        <v>2929</v>
      </c>
      <c r="C187" t="s">
        <v>2975</v>
      </c>
      <c r="D187" t="s">
        <v>255</v>
      </c>
      <c r="E187" t="s">
        <v>2978</v>
      </c>
      <c r="F187" t="s">
        <v>273</v>
      </c>
      <c r="G187" t="s">
        <v>275</v>
      </c>
      <c r="H187">
        <v>0</v>
      </c>
      <c r="I187" t="s">
        <v>274</v>
      </c>
      <c r="K187" t="s">
        <v>2390</v>
      </c>
      <c r="P187" t="s">
        <v>492</v>
      </c>
      <c r="Q187" t="s">
        <v>502</v>
      </c>
      <c r="S187" t="s">
        <v>503</v>
      </c>
      <c r="T187" t="s">
        <v>507</v>
      </c>
      <c r="U187" t="s">
        <v>511</v>
      </c>
      <c r="V187">
        <v>10039</v>
      </c>
      <c r="W187" t="s">
        <v>521</v>
      </c>
      <c r="X187" t="s">
        <v>557</v>
      </c>
      <c r="Y187" t="s">
        <v>275</v>
      </c>
      <c r="Z187" t="s">
        <v>3068</v>
      </c>
      <c r="AA187" t="s">
        <v>3179</v>
      </c>
      <c r="AB187" t="s">
        <v>902</v>
      </c>
      <c r="AC187" t="s">
        <v>905</v>
      </c>
      <c r="AF187" t="s">
        <v>923</v>
      </c>
      <c r="AI187">
        <v>0.3</v>
      </c>
      <c r="AJ187" t="s">
        <v>558</v>
      </c>
      <c r="AK187" t="s">
        <v>967</v>
      </c>
      <c r="AL187" t="s">
        <v>274</v>
      </c>
      <c r="AM187" t="s">
        <v>973</v>
      </c>
      <c r="AN187" t="s">
        <v>388</v>
      </c>
      <c r="AT187">
        <v>0</v>
      </c>
      <c r="AU187">
        <v>1</v>
      </c>
      <c r="AV187" t="s">
        <v>273</v>
      </c>
      <c r="AY187" t="s">
        <v>273</v>
      </c>
      <c r="BB187">
        <v>0</v>
      </c>
      <c r="BC187">
        <v>0</v>
      </c>
      <c r="BD187">
        <v>0</v>
      </c>
      <c r="BE187">
        <v>0</v>
      </c>
      <c r="BF187" t="s">
        <v>1063</v>
      </c>
      <c r="BG187" t="s">
        <v>3335</v>
      </c>
      <c r="BH187">
        <v>19</v>
      </c>
      <c r="BI187" t="s">
        <v>1247</v>
      </c>
      <c r="BK187">
        <v>1870840</v>
      </c>
    </row>
    <row r="188" spans="1:64">
      <c r="A188" s="1">
        <f>HYPERLINK("https://lsnyc.legalserver.org/matter/dynamic-profile/view/1888175","19-1888175")</f>
        <v>0</v>
      </c>
      <c r="B188" t="s">
        <v>2930</v>
      </c>
      <c r="C188" t="s">
        <v>2975</v>
      </c>
      <c r="D188" t="s">
        <v>255</v>
      </c>
      <c r="E188" t="s">
        <v>2978</v>
      </c>
      <c r="F188" t="s">
        <v>273</v>
      </c>
      <c r="G188" t="s">
        <v>275</v>
      </c>
      <c r="H188">
        <v>0</v>
      </c>
      <c r="I188" t="s">
        <v>274</v>
      </c>
      <c r="K188" t="s">
        <v>2390</v>
      </c>
      <c r="M188" t="s">
        <v>471</v>
      </c>
      <c r="N188" t="s">
        <v>448</v>
      </c>
      <c r="P188" t="s">
        <v>492</v>
      </c>
      <c r="Q188" t="s">
        <v>502</v>
      </c>
      <c r="S188" t="s">
        <v>503</v>
      </c>
      <c r="T188" t="s">
        <v>508</v>
      </c>
      <c r="U188" t="s">
        <v>511</v>
      </c>
      <c r="V188">
        <v>10031</v>
      </c>
      <c r="W188" t="s">
        <v>518</v>
      </c>
      <c r="X188" t="s">
        <v>548</v>
      </c>
      <c r="Y188" t="s">
        <v>275</v>
      </c>
      <c r="Z188" t="s">
        <v>3114</v>
      </c>
      <c r="AA188" t="s">
        <v>3220</v>
      </c>
      <c r="AB188" t="s">
        <v>902</v>
      </c>
      <c r="AC188" t="s">
        <v>911</v>
      </c>
      <c r="AF188" t="s">
        <v>926</v>
      </c>
      <c r="AI188">
        <v>22</v>
      </c>
      <c r="AJ188" t="s">
        <v>558</v>
      </c>
      <c r="AK188" t="s">
        <v>936</v>
      </c>
      <c r="AL188" t="s">
        <v>274</v>
      </c>
      <c r="AT188">
        <v>1</v>
      </c>
      <c r="AU188">
        <v>1</v>
      </c>
      <c r="AV188" t="s">
        <v>273</v>
      </c>
      <c r="AY188" t="s">
        <v>273</v>
      </c>
      <c r="BB188">
        <v>0</v>
      </c>
      <c r="BC188">
        <v>0</v>
      </c>
      <c r="BD188">
        <v>0</v>
      </c>
      <c r="BE188">
        <v>0</v>
      </c>
      <c r="BF188" t="s">
        <v>1063</v>
      </c>
      <c r="BG188" t="s">
        <v>3396</v>
      </c>
      <c r="BH188">
        <v>11</v>
      </c>
      <c r="BI188" t="s">
        <v>1247</v>
      </c>
      <c r="BK188">
        <v>1875239</v>
      </c>
    </row>
    <row r="189" spans="1:64">
      <c r="A189" s="1">
        <f>HYPERLINK("https://lsnyc.legalserver.org/matter/dynamic-profile/view/1888187","19-1888187")</f>
        <v>0</v>
      </c>
      <c r="B189" t="s">
        <v>2930</v>
      </c>
      <c r="C189" t="s">
        <v>2975</v>
      </c>
      <c r="D189" t="s">
        <v>255</v>
      </c>
      <c r="E189" t="s">
        <v>2978</v>
      </c>
      <c r="F189" t="s">
        <v>273</v>
      </c>
      <c r="G189" t="s">
        <v>275</v>
      </c>
      <c r="H189">
        <v>0</v>
      </c>
      <c r="I189" t="s">
        <v>274</v>
      </c>
      <c r="K189" t="s">
        <v>2390</v>
      </c>
      <c r="M189" t="s">
        <v>471</v>
      </c>
      <c r="N189" t="s">
        <v>448</v>
      </c>
      <c r="P189" t="s">
        <v>492</v>
      </c>
      <c r="Q189" t="s">
        <v>502</v>
      </c>
      <c r="S189" t="s">
        <v>506</v>
      </c>
      <c r="T189" t="s">
        <v>508</v>
      </c>
      <c r="U189" t="s">
        <v>1821</v>
      </c>
      <c r="V189">
        <v>10031</v>
      </c>
      <c r="W189" t="s">
        <v>3023</v>
      </c>
      <c r="X189" t="s">
        <v>548</v>
      </c>
      <c r="Y189" t="s">
        <v>275</v>
      </c>
      <c r="Z189" t="s">
        <v>3114</v>
      </c>
      <c r="AA189" t="s">
        <v>3220</v>
      </c>
      <c r="AB189" t="s">
        <v>902</v>
      </c>
      <c r="AC189" t="s">
        <v>911</v>
      </c>
      <c r="AF189" t="s">
        <v>924</v>
      </c>
      <c r="AI189">
        <v>54.75</v>
      </c>
      <c r="AJ189" t="s">
        <v>558</v>
      </c>
      <c r="AK189" t="s">
        <v>936</v>
      </c>
      <c r="AL189" t="s">
        <v>274</v>
      </c>
      <c r="AM189" t="s">
        <v>977</v>
      </c>
      <c r="AN189" t="s">
        <v>1760</v>
      </c>
      <c r="AO189" t="s">
        <v>978</v>
      </c>
      <c r="AP189" t="s">
        <v>309</v>
      </c>
      <c r="AT189">
        <v>1</v>
      </c>
      <c r="AU189">
        <v>1</v>
      </c>
      <c r="AV189" t="s">
        <v>273</v>
      </c>
      <c r="AY189" t="s">
        <v>273</v>
      </c>
      <c r="BB189">
        <v>0</v>
      </c>
      <c r="BC189">
        <v>0</v>
      </c>
      <c r="BD189">
        <v>0</v>
      </c>
      <c r="BE189">
        <v>0</v>
      </c>
      <c r="BF189" t="s">
        <v>1063</v>
      </c>
      <c r="BG189" t="s">
        <v>3396</v>
      </c>
      <c r="BH189">
        <v>11</v>
      </c>
      <c r="BI189" t="s">
        <v>1247</v>
      </c>
      <c r="BK189">
        <v>1875239</v>
      </c>
    </row>
    <row r="190" spans="1:64">
      <c r="A190" s="1">
        <f>HYPERLINK("https://lsnyc.legalserver.org/matter/dynamic-profile/view/1888226","19-1888226")</f>
        <v>0</v>
      </c>
      <c r="B190" t="s">
        <v>2931</v>
      </c>
      <c r="C190" t="s">
        <v>2975</v>
      </c>
      <c r="D190" t="s">
        <v>255</v>
      </c>
      <c r="E190" t="s">
        <v>2978</v>
      </c>
      <c r="F190" t="s">
        <v>273</v>
      </c>
      <c r="G190" t="s">
        <v>275</v>
      </c>
      <c r="H190">
        <v>23.69</v>
      </c>
      <c r="I190" t="s">
        <v>274</v>
      </c>
      <c r="K190" t="s">
        <v>2390</v>
      </c>
      <c r="M190" t="s">
        <v>471</v>
      </c>
      <c r="N190" t="s">
        <v>1666</v>
      </c>
      <c r="P190" t="s">
        <v>492</v>
      </c>
      <c r="Q190" t="s">
        <v>501</v>
      </c>
      <c r="S190" t="s">
        <v>503</v>
      </c>
      <c r="T190" t="s">
        <v>508</v>
      </c>
      <c r="U190" t="s">
        <v>511</v>
      </c>
      <c r="V190">
        <v>10031</v>
      </c>
      <c r="W190" t="s">
        <v>519</v>
      </c>
      <c r="X190" t="s">
        <v>548</v>
      </c>
      <c r="Y190" t="s">
        <v>275</v>
      </c>
      <c r="Z190" t="s">
        <v>3115</v>
      </c>
      <c r="AA190" t="s">
        <v>3221</v>
      </c>
      <c r="AB190" t="s">
        <v>902</v>
      </c>
      <c r="AC190" t="s">
        <v>910</v>
      </c>
      <c r="AF190" t="s">
        <v>926</v>
      </c>
      <c r="AI190">
        <v>16.7</v>
      </c>
      <c r="AJ190" t="s">
        <v>558</v>
      </c>
      <c r="AK190" t="s">
        <v>936</v>
      </c>
      <c r="AL190" t="s">
        <v>274</v>
      </c>
      <c r="AM190" t="s">
        <v>973</v>
      </c>
      <c r="AN190" t="s">
        <v>1701</v>
      </c>
      <c r="AO190" t="s">
        <v>978</v>
      </c>
      <c r="AP190" t="s">
        <v>481</v>
      </c>
      <c r="AT190">
        <v>1</v>
      </c>
      <c r="AU190">
        <v>1</v>
      </c>
      <c r="AV190" t="s">
        <v>273</v>
      </c>
      <c r="AY190" t="s">
        <v>273</v>
      </c>
      <c r="BB190">
        <v>0</v>
      </c>
      <c r="BC190">
        <v>0</v>
      </c>
      <c r="BD190">
        <v>0</v>
      </c>
      <c r="BE190">
        <v>0</v>
      </c>
      <c r="BF190" t="s">
        <v>1063</v>
      </c>
      <c r="BG190" t="s">
        <v>3397</v>
      </c>
      <c r="BH190">
        <v>29</v>
      </c>
      <c r="BI190" t="s">
        <v>3445</v>
      </c>
      <c r="BK190">
        <v>1883487</v>
      </c>
    </row>
    <row r="191" spans="1:64">
      <c r="A191" s="1">
        <f>HYPERLINK("https://lsnyc.legalserver.org/matter/dynamic-profile/view/1888257","19-1888257")</f>
        <v>0</v>
      </c>
      <c r="B191" t="s">
        <v>2932</v>
      </c>
      <c r="C191" t="s">
        <v>2975</v>
      </c>
      <c r="D191" t="s">
        <v>255</v>
      </c>
      <c r="E191" t="s">
        <v>2981</v>
      </c>
      <c r="F191" t="s">
        <v>273</v>
      </c>
      <c r="G191" t="s">
        <v>275</v>
      </c>
      <c r="H191">
        <v>148.27</v>
      </c>
      <c r="I191" t="s">
        <v>274</v>
      </c>
      <c r="K191" t="s">
        <v>2390</v>
      </c>
      <c r="O191" t="s">
        <v>275</v>
      </c>
      <c r="P191" t="s">
        <v>498</v>
      </c>
      <c r="Q191" t="s">
        <v>501</v>
      </c>
      <c r="S191" t="s">
        <v>503</v>
      </c>
      <c r="T191" t="s">
        <v>507</v>
      </c>
      <c r="U191" t="s">
        <v>511</v>
      </c>
      <c r="V191">
        <v>10030</v>
      </c>
      <c r="W191" t="s">
        <v>543</v>
      </c>
      <c r="X191" t="s">
        <v>549</v>
      </c>
      <c r="Y191" t="s">
        <v>275</v>
      </c>
      <c r="Z191" t="s">
        <v>3116</v>
      </c>
      <c r="AA191" t="s">
        <v>3222</v>
      </c>
      <c r="AB191" t="s">
        <v>903</v>
      </c>
      <c r="AF191" t="s">
        <v>928</v>
      </c>
      <c r="AI191">
        <v>15.6</v>
      </c>
      <c r="AJ191" t="s">
        <v>558</v>
      </c>
      <c r="AK191" t="s">
        <v>937</v>
      </c>
      <c r="AL191" t="s">
        <v>274</v>
      </c>
      <c r="AT191">
        <v>0</v>
      </c>
      <c r="AU191">
        <v>1</v>
      </c>
      <c r="AV191" t="s">
        <v>273</v>
      </c>
      <c r="AY191" t="s">
        <v>273</v>
      </c>
      <c r="BB191">
        <v>0</v>
      </c>
      <c r="BC191">
        <v>0</v>
      </c>
      <c r="BD191">
        <v>0</v>
      </c>
      <c r="BE191">
        <v>0</v>
      </c>
      <c r="BF191" t="s">
        <v>1063</v>
      </c>
      <c r="BG191" t="s">
        <v>3398</v>
      </c>
      <c r="BH191">
        <v>62</v>
      </c>
      <c r="BI191" t="s">
        <v>1289</v>
      </c>
      <c r="BK191">
        <v>759908</v>
      </c>
    </row>
    <row r="192" spans="1:64">
      <c r="A192" s="1">
        <f>HYPERLINK("https://lsnyc.legalserver.org/matter/dynamic-profile/view/1887996","19-1887996")</f>
        <v>0</v>
      </c>
      <c r="B192" t="s">
        <v>2933</v>
      </c>
      <c r="C192" t="s">
        <v>2975</v>
      </c>
      <c r="D192" t="s">
        <v>255</v>
      </c>
      <c r="E192" t="s">
        <v>2979</v>
      </c>
      <c r="F192" t="s">
        <v>273</v>
      </c>
      <c r="G192" t="s">
        <v>275</v>
      </c>
      <c r="H192">
        <v>21.15</v>
      </c>
      <c r="I192" t="s">
        <v>274</v>
      </c>
      <c r="K192" t="s">
        <v>354</v>
      </c>
      <c r="P192" t="s">
        <v>492</v>
      </c>
      <c r="Q192" t="s">
        <v>501</v>
      </c>
      <c r="S192" t="s">
        <v>503</v>
      </c>
      <c r="T192" t="s">
        <v>507</v>
      </c>
      <c r="U192" t="s">
        <v>511</v>
      </c>
      <c r="V192">
        <v>10035</v>
      </c>
      <c r="W192" t="s">
        <v>1832</v>
      </c>
      <c r="X192" t="s">
        <v>549</v>
      </c>
      <c r="Y192" t="s">
        <v>275</v>
      </c>
      <c r="Z192" t="s">
        <v>3117</v>
      </c>
      <c r="AA192" t="s">
        <v>3223</v>
      </c>
      <c r="AB192" t="s">
        <v>902</v>
      </c>
      <c r="AC192" t="s">
        <v>904</v>
      </c>
      <c r="AF192" t="s">
        <v>926</v>
      </c>
      <c r="AI192">
        <v>15.25</v>
      </c>
      <c r="AJ192" t="s">
        <v>558</v>
      </c>
      <c r="AK192" t="s">
        <v>939</v>
      </c>
      <c r="AL192" t="s">
        <v>274</v>
      </c>
      <c r="AT192">
        <v>0</v>
      </c>
      <c r="AU192">
        <v>1</v>
      </c>
      <c r="AV192" t="s">
        <v>273</v>
      </c>
      <c r="AY192" t="s">
        <v>273</v>
      </c>
      <c r="BB192">
        <v>0</v>
      </c>
      <c r="BC192">
        <v>0</v>
      </c>
      <c r="BD192">
        <v>0</v>
      </c>
      <c r="BE192">
        <v>0</v>
      </c>
      <c r="BF192" t="s">
        <v>1063</v>
      </c>
      <c r="BG192" t="s">
        <v>3399</v>
      </c>
      <c r="BH192">
        <v>56</v>
      </c>
      <c r="BI192" t="s">
        <v>3464</v>
      </c>
      <c r="BK192">
        <v>1864096</v>
      </c>
    </row>
    <row r="193" spans="1:63">
      <c r="A193" s="1">
        <f>HYPERLINK("https://lsnyc.legalserver.org/matter/dynamic-profile/view/1887619","19-1887619")</f>
        <v>0</v>
      </c>
      <c r="B193" t="s">
        <v>2934</v>
      </c>
      <c r="C193" t="s">
        <v>2975</v>
      </c>
      <c r="D193" t="s">
        <v>255</v>
      </c>
      <c r="E193" t="s">
        <v>2977</v>
      </c>
      <c r="F193" t="s">
        <v>273</v>
      </c>
      <c r="G193" t="s">
        <v>275</v>
      </c>
      <c r="H193">
        <v>0</v>
      </c>
      <c r="I193" t="s">
        <v>274</v>
      </c>
      <c r="K193" t="s">
        <v>1710</v>
      </c>
      <c r="M193" t="s">
        <v>473</v>
      </c>
      <c r="N193" t="s">
        <v>297</v>
      </c>
      <c r="O193" t="s">
        <v>275</v>
      </c>
      <c r="P193" t="s">
        <v>492</v>
      </c>
      <c r="Q193" t="s">
        <v>502</v>
      </c>
      <c r="S193" t="s">
        <v>503</v>
      </c>
      <c r="T193" t="s">
        <v>507</v>
      </c>
      <c r="U193" t="s">
        <v>511</v>
      </c>
      <c r="V193">
        <v>10002</v>
      </c>
      <c r="W193" t="s">
        <v>1831</v>
      </c>
      <c r="X193" t="s">
        <v>548</v>
      </c>
      <c r="Y193" t="s">
        <v>275</v>
      </c>
      <c r="Z193" t="s">
        <v>3118</v>
      </c>
      <c r="AA193" t="s">
        <v>3224</v>
      </c>
      <c r="AB193" t="s">
        <v>903</v>
      </c>
      <c r="AF193" t="s">
        <v>923</v>
      </c>
      <c r="AI193">
        <v>7.1</v>
      </c>
      <c r="AJ193" t="s">
        <v>558</v>
      </c>
      <c r="AK193" t="s">
        <v>950</v>
      </c>
      <c r="AL193" t="s">
        <v>274</v>
      </c>
      <c r="AS193" t="s">
        <v>3283</v>
      </c>
      <c r="AT193">
        <v>2</v>
      </c>
      <c r="AU193">
        <v>2</v>
      </c>
      <c r="AV193" t="s">
        <v>273</v>
      </c>
      <c r="AY193" t="s">
        <v>273</v>
      </c>
      <c r="BB193">
        <v>0</v>
      </c>
      <c r="BC193">
        <v>0</v>
      </c>
      <c r="BD193">
        <v>0</v>
      </c>
      <c r="BE193">
        <v>0</v>
      </c>
      <c r="BF193" t="s">
        <v>1063</v>
      </c>
      <c r="BG193" t="s">
        <v>3400</v>
      </c>
      <c r="BH193">
        <v>12</v>
      </c>
      <c r="BI193" t="s">
        <v>1247</v>
      </c>
      <c r="BK193">
        <v>196780</v>
      </c>
    </row>
    <row r="194" spans="1:63">
      <c r="A194" s="1">
        <f>HYPERLINK("https://lsnyc.legalserver.org/matter/dynamic-profile/view/1887633","19-1887633")</f>
        <v>0</v>
      </c>
      <c r="B194" t="s">
        <v>2935</v>
      </c>
      <c r="C194" t="s">
        <v>2975</v>
      </c>
      <c r="D194" t="s">
        <v>255</v>
      </c>
      <c r="E194" t="s">
        <v>2977</v>
      </c>
      <c r="F194" t="s">
        <v>273</v>
      </c>
      <c r="G194" t="s">
        <v>275</v>
      </c>
      <c r="H194">
        <v>0</v>
      </c>
      <c r="I194" t="s">
        <v>274</v>
      </c>
      <c r="K194" t="s">
        <v>1710</v>
      </c>
      <c r="M194" t="s">
        <v>473</v>
      </c>
      <c r="N194" t="s">
        <v>297</v>
      </c>
      <c r="O194" t="s">
        <v>275</v>
      </c>
      <c r="P194" t="s">
        <v>492</v>
      </c>
      <c r="Q194" t="s">
        <v>502</v>
      </c>
      <c r="S194" t="s">
        <v>503</v>
      </c>
      <c r="T194" t="s">
        <v>507</v>
      </c>
      <c r="U194" t="s">
        <v>511</v>
      </c>
      <c r="V194">
        <v>10002</v>
      </c>
      <c r="W194" t="s">
        <v>1831</v>
      </c>
      <c r="X194" t="s">
        <v>548</v>
      </c>
      <c r="Y194" t="s">
        <v>275</v>
      </c>
      <c r="Z194" t="s">
        <v>3119</v>
      </c>
      <c r="AA194" t="s">
        <v>3224</v>
      </c>
      <c r="AB194" t="s">
        <v>903</v>
      </c>
      <c r="AF194" t="s">
        <v>923</v>
      </c>
      <c r="AI194">
        <v>7.1</v>
      </c>
      <c r="AJ194" t="s">
        <v>558</v>
      </c>
      <c r="AK194" t="s">
        <v>950</v>
      </c>
      <c r="AL194" t="s">
        <v>274</v>
      </c>
      <c r="AS194" t="s">
        <v>3283</v>
      </c>
      <c r="AT194">
        <v>2</v>
      </c>
      <c r="AU194">
        <v>2</v>
      </c>
      <c r="AV194" t="s">
        <v>273</v>
      </c>
      <c r="AY194" t="s">
        <v>273</v>
      </c>
      <c r="BB194">
        <v>0</v>
      </c>
      <c r="BC194">
        <v>0</v>
      </c>
      <c r="BD194">
        <v>0</v>
      </c>
      <c r="BE194">
        <v>0</v>
      </c>
      <c r="BF194" t="s">
        <v>1063</v>
      </c>
      <c r="BG194" t="s">
        <v>3401</v>
      </c>
      <c r="BH194">
        <v>9</v>
      </c>
      <c r="BI194" t="s">
        <v>1247</v>
      </c>
      <c r="BK194">
        <v>196780</v>
      </c>
    </row>
    <row r="195" spans="1:63">
      <c r="A195" s="1">
        <f>HYPERLINK("https://lsnyc.legalserver.org/matter/dynamic-profile/view/1887036","19-1887036")</f>
        <v>0</v>
      </c>
      <c r="B195" t="s">
        <v>2936</v>
      </c>
      <c r="C195" t="s">
        <v>2975</v>
      </c>
      <c r="D195" t="s">
        <v>255</v>
      </c>
      <c r="E195" t="s">
        <v>2978</v>
      </c>
      <c r="F195" t="s">
        <v>273</v>
      </c>
      <c r="G195" t="s">
        <v>275</v>
      </c>
      <c r="H195">
        <v>0</v>
      </c>
      <c r="I195" t="s">
        <v>274</v>
      </c>
      <c r="K195" t="s">
        <v>2988</v>
      </c>
      <c r="P195" t="s">
        <v>492</v>
      </c>
      <c r="Q195" t="s">
        <v>501</v>
      </c>
      <c r="S195" t="s">
        <v>503</v>
      </c>
      <c r="T195" t="s">
        <v>507</v>
      </c>
      <c r="U195" t="s">
        <v>511</v>
      </c>
      <c r="V195">
        <v>10011</v>
      </c>
      <c r="W195" t="s">
        <v>518</v>
      </c>
      <c r="X195" t="s">
        <v>549</v>
      </c>
      <c r="Y195" t="s">
        <v>275</v>
      </c>
      <c r="Z195" t="s">
        <v>3120</v>
      </c>
      <c r="AA195" t="s">
        <v>3225</v>
      </c>
      <c r="AB195" t="s">
        <v>902</v>
      </c>
      <c r="AC195" t="s">
        <v>906</v>
      </c>
      <c r="AF195" t="s">
        <v>926</v>
      </c>
      <c r="AI195">
        <v>2.75</v>
      </c>
      <c r="AJ195" t="s">
        <v>558</v>
      </c>
      <c r="AK195" t="s">
        <v>948</v>
      </c>
      <c r="AL195" t="s">
        <v>274</v>
      </c>
      <c r="AT195">
        <v>0</v>
      </c>
      <c r="AU195">
        <v>1</v>
      </c>
      <c r="AV195" t="s">
        <v>273</v>
      </c>
      <c r="AY195" t="s">
        <v>273</v>
      </c>
      <c r="BB195">
        <v>0</v>
      </c>
      <c r="BC195">
        <v>0</v>
      </c>
      <c r="BD195">
        <v>0</v>
      </c>
      <c r="BE195">
        <v>0</v>
      </c>
      <c r="BF195" t="s">
        <v>1063</v>
      </c>
      <c r="BG195" t="s">
        <v>3402</v>
      </c>
      <c r="BH195">
        <v>32</v>
      </c>
      <c r="BI195" t="s">
        <v>1247</v>
      </c>
      <c r="BK195">
        <v>1854394</v>
      </c>
    </row>
    <row r="196" spans="1:63">
      <c r="A196" s="1">
        <f>HYPERLINK("https://lsnyc.legalserver.org/matter/dynamic-profile/view/1887076","19-1887076")</f>
        <v>0</v>
      </c>
      <c r="B196" t="s">
        <v>2889</v>
      </c>
      <c r="C196" t="s">
        <v>2975</v>
      </c>
      <c r="D196" t="s">
        <v>257</v>
      </c>
      <c r="E196" t="s">
        <v>2981</v>
      </c>
      <c r="F196" t="s">
        <v>273</v>
      </c>
      <c r="G196" t="s">
        <v>275</v>
      </c>
      <c r="H196">
        <v>0</v>
      </c>
      <c r="I196" t="s">
        <v>274</v>
      </c>
      <c r="K196" t="s">
        <v>2988</v>
      </c>
      <c r="O196" t="s">
        <v>275</v>
      </c>
      <c r="Q196" t="s">
        <v>501</v>
      </c>
      <c r="S196" t="s">
        <v>503</v>
      </c>
      <c r="T196" t="s">
        <v>508</v>
      </c>
      <c r="U196" t="s">
        <v>511</v>
      </c>
      <c r="V196">
        <v>10452</v>
      </c>
      <c r="W196" t="s">
        <v>518</v>
      </c>
      <c r="X196" t="s">
        <v>548</v>
      </c>
      <c r="Y196" t="s">
        <v>275</v>
      </c>
      <c r="Z196" t="s">
        <v>3076</v>
      </c>
      <c r="AA196" t="s">
        <v>3193</v>
      </c>
      <c r="AB196" t="s">
        <v>902</v>
      </c>
      <c r="AC196" t="s">
        <v>905</v>
      </c>
      <c r="AF196" t="s">
        <v>926</v>
      </c>
      <c r="AI196">
        <v>194.22</v>
      </c>
      <c r="AK196" t="s">
        <v>934</v>
      </c>
      <c r="AL196" t="s">
        <v>274</v>
      </c>
      <c r="AT196">
        <v>3</v>
      </c>
      <c r="AU196">
        <v>1</v>
      </c>
      <c r="AV196" t="s">
        <v>273</v>
      </c>
      <c r="AY196" t="s">
        <v>273</v>
      </c>
      <c r="BB196">
        <v>0</v>
      </c>
      <c r="BC196">
        <v>0</v>
      </c>
      <c r="BD196">
        <v>0</v>
      </c>
      <c r="BE196">
        <v>0</v>
      </c>
      <c r="BF196" t="s">
        <v>1063</v>
      </c>
      <c r="BG196" t="s">
        <v>3358</v>
      </c>
      <c r="BH196">
        <v>43</v>
      </c>
      <c r="BI196" t="s">
        <v>1247</v>
      </c>
      <c r="BK196">
        <v>1887704</v>
      </c>
    </row>
    <row r="197" spans="1:63">
      <c r="A197" s="1">
        <f>HYPERLINK("https://lsnyc.legalserver.org/matter/dynamic-profile/view/1886952","19-1886952")</f>
        <v>0</v>
      </c>
      <c r="B197" t="s">
        <v>2937</v>
      </c>
      <c r="C197" t="s">
        <v>2975</v>
      </c>
      <c r="D197" t="s">
        <v>255</v>
      </c>
      <c r="E197" t="s">
        <v>2978</v>
      </c>
      <c r="F197" t="s">
        <v>273</v>
      </c>
      <c r="G197" t="s">
        <v>275</v>
      </c>
      <c r="H197">
        <v>0</v>
      </c>
      <c r="I197" t="s">
        <v>274</v>
      </c>
      <c r="K197" t="s">
        <v>356</v>
      </c>
      <c r="P197" t="s">
        <v>492</v>
      </c>
      <c r="Q197" t="s">
        <v>501</v>
      </c>
      <c r="S197" t="s">
        <v>503</v>
      </c>
      <c r="T197" t="s">
        <v>507</v>
      </c>
      <c r="U197" t="s">
        <v>511</v>
      </c>
      <c r="V197">
        <v>10027</v>
      </c>
      <c r="W197" t="s">
        <v>519</v>
      </c>
      <c r="X197" t="s">
        <v>549</v>
      </c>
      <c r="Y197" t="s">
        <v>275</v>
      </c>
      <c r="Z197" t="s">
        <v>3121</v>
      </c>
      <c r="AA197" t="s">
        <v>3226</v>
      </c>
      <c r="AB197" t="s">
        <v>902</v>
      </c>
      <c r="AC197" t="s">
        <v>906</v>
      </c>
      <c r="AF197" t="s">
        <v>926</v>
      </c>
      <c r="AI197">
        <v>15.6</v>
      </c>
      <c r="AJ197" t="s">
        <v>558</v>
      </c>
      <c r="AK197" t="s">
        <v>3263</v>
      </c>
      <c r="AL197" t="s">
        <v>274</v>
      </c>
      <c r="AM197" t="s">
        <v>973</v>
      </c>
      <c r="AN197" t="s">
        <v>347</v>
      </c>
      <c r="AT197">
        <v>0</v>
      </c>
      <c r="AU197">
        <v>1</v>
      </c>
      <c r="AV197" t="s">
        <v>273</v>
      </c>
      <c r="AY197" t="s">
        <v>273</v>
      </c>
      <c r="BB197">
        <v>0</v>
      </c>
      <c r="BC197">
        <v>0</v>
      </c>
      <c r="BD197">
        <v>0</v>
      </c>
      <c r="BE197">
        <v>0</v>
      </c>
      <c r="BF197" t="s">
        <v>1063</v>
      </c>
      <c r="BG197" t="s">
        <v>3403</v>
      </c>
      <c r="BH197">
        <v>34</v>
      </c>
      <c r="BI197" t="s">
        <v>1247</v>
      </c>
      <c r="BK197">
        <v>1878477</v>
      </c>
    </row>
    <row r="198" spans="1:63">
      <c r="A198" s="1">
        <f>HYPERLINK("https://lsnyc.legalserver.org/matter/dynamic-profile/view/1886850","19-1886850")</f>
        <v>0</v>
      </c>
      <c r="B198" t="s">
        <v>2938</v>
      </c>
      <c r="C198" t="s">
        <v>2975</v>
      </c>
      <c r="D198" t="s">
        <v>255</v>
      </c>
      <c r="E198" t="s">
        <v>2978</v>
      </c>
      <c r="F198" t="s">
        <v>275</v>
      </c>
      <c r="G198" t="s">
        <v>275</v>
      </c>
      <c r="H198">
        <v>192.75</v>
      </c>
      <c r="I198" t="s">
        <v>274</v>
      </c>
      <c r="K198" t="s">
        <v>2389</v>
      </c>
      <c r="L198" t="s">
        <v>298</v>
      </c>
      <c r="P198" t="s">
        <v>493</v>
      </c>
      <c r="Q198" t="s">
        <v>501</v>
      </c>
      <c r="S198" t="s">
        <v>503</v>
      </c>
      <c r="T198" t="s">
        <v>507</v>
      </c>
      <c r="U198" t="s">
        <v>511</v>
      </c>
      <c r="V198">
        <v>10031</v>
      </c>
      <c r="W198" t="s">
        <v>520</v>
      </c>
      <c r="X198" t="s">
        <v>548</v>
      </c>
      <c r="Y198" t="s">
        <v>275</v>
      </c>
      <c r="Z198" t="s">
        <v>1953</v>
      </c>
      <c r="AA198" t="s">
        <v>3227</v>
      </c>
      <c r="AB198" t="s">
        <v>902</v>
      </c>
      <c r="AC198" t="s">
        <v>906</v>
      </c>
      <c r="AD198" t="s">
        <v>275</v>
      </c>
      <c r="AE198" t="s">
        <v>918</v>
      </c>
      <c r="AF198" t="s">
        <v>923</v>
      </c>
      <c r="AI198">
        <v>1.2</v>
      </c>
      <c r="AJ198" t="s">
        <v>558</v>
      </c>
      <c r="AK198" t="s">
        <v>936</v>
      </c>
      <c r="AL198" t="s">
        <v>274</v>
      </c>
      <c r="AQ198" t="s">
        <v>1037</v>
      </c>
      <c r="AR198" t="s">
        <v>1053</v>
      </c>
      <c r="AT198">
        <v>0</v>
      </c>
      <c r="AU198">
        <v>1</v>
      </c>
      <c r="AV198" t="s">
        <v>273</v>
      </c>
      <c r="AY198" t="s">
        <v>273</v>
      </c>
      <c r="BB198">
        <v>0</v>
      </c>
      <c r="BC198">
        <v>0</v>
      </c>
      <c r="BD198">
        <v>0</v>
      </c>
      <c r="BE198">
        <v>0</v>
      </c>
      <c r="BF198" t="s">
        <v>493</v>
      </c>
      <c r="BG198" t="s">
        <v>3404</v>
      </c>
      <c r="BH198">
        <v>49</v>
      </c>
      <c r="BI198" t="s">
        <v>1248</v>
      </c>
      <c r="BK198">
        <v>1887478</v>
      </c>
    </row>
    <row r="199" spans="1:63">
      <c r="A199" s="1">
        <f>HYPERLINK("https://lsnyc.legalserver.org/matter/dynamic-profile/view/1886860","19-1886860")</f>
        <v>0</v>
      </c>
      <c r="B199" t="s">
        <v>2938</v>
      </c>
      <c r="C199" t="s">
        <v>2975</v>
      </c>
      <c r="D199" t="s">
        <v>255</v>
      </c>
      <c r="E199" t="s">
        <v>2978</v>
      </c>
      <c r="F199" t="s">
        <v>275</v>
      </c>
      <c r="G199" t="s">
        <v>275</v>
      </c>
      <c r="H199">
        <v>192.75</v>
      </c>
      <c r="I199" t="s">
        <v>274</v>
      </c>
      <c r="K199" t="s">
        <v>2389</v>
      </c>
      <c r="L199" t="s">
        <v>298</v>
      </c>
      <c r="P199" t="s">
        <v>493</v>
      </c>
      <c r="Q199" t="s">
        <v>501</v>
      </c>
      <c r="S199" t="s">
        <v>503</v>
      </c>
      <c r="T199" t="s">
        <v>507</v>
      </c>
      <c r="U199" t="s">
        <v>511</v>
      </c>
      <c r="V199">
        <v>10019</v>
      </c>
      <c r="W199" t="s">
        <v>3018</v>
      </c>
      <c r="X199" t="s">
        <v>548</v>
      </c>
      <c r="Y199" t="s">
        <v>275</v>
      </c>
      <c r="Z199" t="s">
        <v>1953</v>
      </c>
      <c r="AA199" t="s">
        <v>3227</v>
      </c>
      <c r="AB199" t="s">
        <v>902</v>
      </c>
      <c r="AC199" t="s">
        <v>906</v>
      </c>
      <c r="AD199" t="s">
        <v>275</v>
      </c>
      <c r="AE199" t="s">
        <v>918</v>
      </c>
      <c r="AF199" t="s">
        <v>923</v>
      </c>
      <c r="AI199">
        <v>1.2</v>
      </c>
      <c r="AJ199" t="s">
        <v>558</v>
      </c>
      <c r="AK199" t="s">
        <v>936</v>
      </c>
      <c r="AL199" t="s">
        <v>274</v>
      </c>
      <c r="AQ199" t="s">
        <v>1037</v>
      </c>
      <c r="AR199" t="s">
        <v>1053</v>
      </c>
      <c r="AT199">
        <v>0</v>
      </c>
      <c r="AU199">
        <v>1</v>
      </c>
      <c r="AV199" t="s">
        <v>273</v>
      </c>
      <c r="AY199" t="s">
        <v>273</v>
      </c>
      <c r="BB199">
        <v>0</v>
      </c>
      <c r="BC199">
        <v>0</v>
      </c>
      <c r="BD199">
        <v>0</v>
      </c>
      <c r="BE199">
        <v>0</v>
      </c>
      <c r="BF199" t="s">
        <v>493</v>
      </c>
      <c r="BG199" t="s">
        <v>3404</v>
      </c>
      <c r="BH199">
        <v>49</v>
      </c>
      <c r="BI199" t="s">
        <v>1248</v>
      </c>
      <c r="BK199">
        <v>1887478</v>
      </c>
    </row>
    <row r="200" spans="1:63">
      <c r="A200" s="1">
        <f>HYPERLINK("https://lsnyc.legalserver.org/matter/dynamic-profile/view/1886838","19-1886838")</f>
        <v>0</v>
      </c>
      <c r="B200" t="s">
        <v>2939</v>
      </c>
      <c r="C200" t="s">
        <v>2975</v>
      </c>
      <c r="D200" t="s">
        <v>255</v>
      </c>
      <c r="E200" t="s">
        <v>2981</v>
      </c>
      <c r="F200" t="s">
        <v>273</v>
      </c>
      <c r="G200" t="s">
        <v>275</v>
      </c>
      <c r="H200">
        <v>153.99</v>
      </c>
      <c r="I200" t="s">
        <v>274</v>
      </c>
      <c r="K200" t="s">
        <v>2389</v>
      </c>
      <c r="O200" t="s">
        <v>275</v>
      </c>
      <c r="Q200" t="s">
        <v>501</v>
      </c>
      <c r="S200" t="s">
        <v>503</v>
      </c>
      <c r="T200" t="s">
        <v>507</v>
      </c>
      <c r="U200" t="s">
        <v>511</v>
      </c>
      <c r="V200">
        <v>10025</v>
      </c>
      <c r="W200" t="s">
        <v>523</v>
      </c>
      <c r="X200" t="s">
        <v>549</v>
      </c>
      <c r="Y200" t="s">
        <v>275</v>
      </c>
      <c r="Z200" t="s">
        <v>3122</v>
      </c>
      <c r="AA200" t="s">
        <v>3228</v>
      </c>
      <c r="AB200" t="s">
        <v>903</v>
      </c>
      <c r="AF200" t="s">
        <v>928</v>
      </c>
      <c r="AI200">
        <v>11.9</v>
      </c>
      <c r="AJ200" t="s">
        <v>558</v>
      </c>
      <c r="AK200" t="s">
        <v>3253</v>
      </c>
      <c r="AL200" t="s">
        <v>274</v>
      </c>
      <c r="AT200">
        <v>1</v>
      </c>
      <c r="AU200">
        <v>2</v>
      </c>
      <c r="AV200" t="s">
        <v>273</v>
      </c>
      <c r="AY200" t="s">
        <v>273</v>
      </c>
      <c r="BB200">
        <v>0</v>
      </c>
      <c r="BC200">
        <v>0</v>
      </c>
      <c r="BD200">
        <v>0</v>
      </c>
      <c r="BE200">
        <v>0</v>
      </c>
      <c r="BF200" t="s">
        <v>1063</v>
      </c>
      <c r="BG200" t="s">
        <v>3405</v>
      </c>
      <c r="BH200">
        <v>62</v>
      </c>
      <c r="BI200" t="s">
        <v>3465</v>
      </c>
      <c r="BK200">
        <v>1887466</v>
      </c>
    </row>
    <row r="201" spans="1:63">
      <c r="A201" s="1">
        <f>HYPERLINK("https://lsnyc.legalserver.org/matter/dynamic-profile/view/1886525","18-1886525")</f>
        <v>0</v>
      </c>
      <c r="B201" t="s">
        <v>2940</v>
      </c>
      <c r="C201" t="s">
        <v>2975</v>
      </c>
      <c r="D201" t="s">
        <v>255</v>
      </c>
      <c r="E201" t="s">
        <v>2977</v>
      </c>
      <c r="F201" t="s">
        <v>275</v>
      </c>
      <c r="G201" t="s">
        <v>275</v>
      </c>
      <c r="H201">
        <v>59.76</v>
      </c>
      <c r="I201" t="s">
        <v>274</v>
      </c>
      <c r="K201" t="s">
        <v>2391</v>
      </c>
      <c r="L201" t="s">
        <v>450</v>
      </c>
      <c r="O201" t="s">
        <v>275</v>
      </c>
      <c r="P201" t="s">
        <v>495</v>
      </c>
      <c r="Q201" t="s">
        <v>501</v>
      </c>
      <c r="S201" t="s">
        <v>503</v>
      </c>
      <c r="T201" t="s">
        <v>508</v>
      </c>
      <c r="U201" t="s">
        <v>511</v>
      </c>
      <c r="V201">
        <v>10002</v>
      </c>
      <c r="W201" t="s">
        <v>544</v>
      </c>
      <c r="X201" t="s">
        <v>3025</v>
      </c>
      <c r="Y201" t="s">
        <v>275</v>
      </c>
      <c r="Z201" t="s">
        <v>3123</v>
      </c>
      <c r="AA201" t="s">
        <v>3229</v>
      </c>
      <c r="AB201" t="s">
        <v>902</v>
      </c>
      <c r="AC201" t="s">
        <v>904</v>
      </c>
      <c r="AD201" t="s">
        <v>274</v>
      </c>
      <c r="AE201" t="s">
        <v>919</v>
      </c>
      <c r="AF201" t="s">
        <v>923</v>
      </c>
      <c r="AI201">
        <v>5</v>
      </c>
      <c r="AJ201" t="s">
        <v>558</v>
      </c>
      <c r="AK201" t="s">
        <v>951</v>
      </c>
      <c r="AL201" t="s">
        <v>274</v>
      </c>
      <c r="AM201" t="s">
        <v>973</v>
      </c>
      <c r="AN201" t="s">
        <v>2389</v>
      </c>
      <c r="AO201" t="s">
        <v>978</v>
      </c>
      <c r="AP201" t="s">
        <v>3281</v>
      </c>
      <c r="AQ201" t="s">
        <v>1038</v>
      </c>
      <c r="AR201" t="s">
        <v>1051</v>
      </c>
      <c r="AT201">
        <v>2</v>
      </c>
      <c r="AU201">
        <v>2</v>
      </c>
      <c r="AV201" t="s">
        <v>273</v>
      </c>
      <c r="AY201" t="s">
        <v>273</v>
      </c>
      <c r="BB201">
        <v>0</v>
      </c>
      <c r="BC201">
        <v>0</v>
      </c>
      <c r="BD201">
        <v>0</v>
      </c>
      <c r="BE201">
        <v>0</v>
      </c>
      <c r="BF201" t="s">
        <v>493</v>
      </c>
      <c r="BG201" t="s">
        <v>3406</v>
      </c>
      <c r="BH201">
        <v>41</v>
      </c>
      <c r="BI201" t="s">
        <v>2801</v>
      </c>
      <c r="BK201">
        <v>1855330</v>
      </c>
    </row>
    <row r="202" spans="1:63">
      <c r="A202" s="1">
        <f>HYPERLINK("https://lsnyc.legalserver.org/matter/dynamic-profile/view/1886429","18-1886429")</f>
        <v>0</v>
      </c>
      <c r="B202" t="s">
        <v>2897</v>
      </c>
      <c r="C202" t="s">
        <v>2975</v>
      </c>
      <c r="D202" t="s">
        <v>257</v>
      </c>
      <c r="E202" t="s">
        <v>2977</v>
      </c>
      <c r="F202" t="s">
        <v>273</v>
      </c>
      <c r="G202" t="s">
        <v>275</v>
      </c>
      <c r="H202">
        <v>0</v>
      </c>
      <c r="I202" t="s">
        <v>274</v>
      </c>
      <c r="K202" t="s">
        <v>2989</v>
      </c>
      <c r="M202" t="s">
        <v>474</v>
      </c>
      <c r="N202" t="s">
        <v>1669</v>
      </c>
      <c r="P202" t="s">
        <v>492</v>
      </c>
      <c r="Q202" t="s">
        <v>502</v>
      </c>
      <c r="S202" t="s">
        <v>503</v>
      </c>
      <c r="T202" t="s">
        <v>508</v>
      </c>
      <c r="U202" t="s">
        <v>511</v>
      </c>
      <c r="V202">
        <v>10457</v>
      </c>
      <c r="W202" t="s">
        <v>518</v>
      </c>
      <c r="X202" t="s">
        <v>548</v>
      </c>
      <c r="Y202" t="s">
        <v>275</v>
      </c>
      <c r="Z202" t="s">
        <v>3094</v>
      </c>
      <c r="AA202" t="s">
        <v>3197</v>
      </c>
      <c r="AB202" t="s">
        <v>902</v>
      </c>
      <c r="AC202" t="s">
        <v>908</v>
      </c>
      <c r="AF202" t="s">
        <v>926</v>
      </c>
      <c r="AI202">
        <v>9.9</v>
      </c>
      <c r="AJ202" t="s">
        <v>558</v>
      </c>
      <c r="AK202" t="s">
        <v>934</v>
      </c>
      <c r="AL202" t="s">
        <v>274</v>
      </c>
      <c r="AT202">
        <v>1</v>
      </c>
      <c r="AU202">
        <v>1</v>
      </c>
      <c r="AV202" t="s">
        <v>273</v>
      </c>
      <c r="AY202" t="s">
        <v>273</v>
      </c>
      <c r="BB202">
        <v>0</v>
      </c>
      <c r="BC202">
        <v>0</v>
      </c>
      <c r="BD202">
        <v>0</v>
      </c>
      <c r="BE202">
        <v>0</v>
      </c>
      <c r="BF202" t="s">
        <v>1063</v>
      </c>
      <c r="BG202" t="s">
        <v>3366</v>
      </c>
      <c r="BH202">
        <v>8</v>
      </c>
      <c r="BI202" t="s">
        <v>1247</v>
      </c>
      <c r="BK202">
        <v>1886055</v>
      </c>
    </row>
    <row r="203" spans="1:63">
      <c r="A203" s="1">
        <f>HYPERLINK("https://lsnyc.legalserver.org/matter/dynamic-profile/view/1885428","18-1885428")</f>
        <v>0</v>
      </c>
      <c r="B203" t="s">
        <v>2874</v>
      </c>
      <c r="C203" t="s">
        <v>2975</v>
      </c>
      <c r="D203" t="s">
        <v>257</v>
      </c>
      <c r="E203" t="s">
        <v>2977</v>
      </c>
      <c r="F203" t="s">
        <v>273</v>
      </c>
      <c r="G203" t="s">
        <v>275</v>
      </c>
      <c r="H203">
        <v>0</v>
      </c>
      <c r="I203" t="s">
        <v>274</v>
      </c>
      <c r="K203" t="s">
        <v>2990</v>
      </c>
      <c r="M203" t="s">
        <v>474</v>
      </c>
      <c r="N203" t="s">
        <v>465</v>
      </c>
      <c r="O203" t="s">
        <v>275</v>
      </c>
      <c r="P203" t="s">
        <v>492</v>
      </c>
      <c r="Q203" t="s">
        <v>501</v>
      </c>
      <c r="S203" t="s">
        <v>503</v>
      </c>
      <c r="T203" t="s">
        <v>508</v>
      </c>
      <c r="U203" t="s">
        <v>511</v>
      </c>
      <c r="V203">
        <v>10457</v>
      </c>
      <c r="W203" t="s">
        <v>518</v>
      </c>
      <c r="X203" t="s">
        <v>548</v>
      </c>
      <c r="Y203" t="s">
        <v>275</v>
      </c>
      <c r="Z203" t="s">
        <v>3076</v>
      </c>
      <c r="AA203" t="s">
        <v>3186</v>
      </c>
      <c r="AB203" t="s">
        <v>902</v>
      </c>
      <c r="AC203" t="s">
        <v>905</v>
      </c>
      <c r="AF203" t="s">
        <v>926</v>
      </c>
      <c r="AI203">
        <v>150</v>
      </c>
      <c r="AJ203" t="s">
        <v>558</v>
      </c>
      <c r="AK203" t="s">
        <v>934</v>
      </c>
      <c r="AL203" t="s">
        <v>274</v>
      </c>
      <c r="AT203">
        <v>1</v>
      </c>
      <c r="AU203">
        <v>1</v>
      </c>
      <c r="AV203" t="s">
        <v>273</v>
      </c>
      <c r="AY203" t="s">
        <v>273</v>
      </c>
      <c r="BB203">
        <v>0</v>
      </c>
      <c r="BC203">
        <v>0</v>
      </c>
      <c r="BD203">
        <v>0</v>
      </c>
      <c r="BE203">
        <v>0</v>
      </c>
      <c r="BF203" t="s">
        <v>1063</v>
      </c>
      <c r="BG203" t="s">
        <v>3344</v>
      </c>
      <c r="BH203">
        <v>29</v>
      </c>
      <c r="BI203" t="s">
        <v>1247</v>
      </c>
      <c r="BK203">
        <v>1886055</v>
      </c>
    </row>
    <row r="204" spans="1:63">
      <c r="A204" s="1">
        <f>HYPERLINK("https://lsnyc.legalserver.org/matter/dynamic-profile/view/1885105","18-1885105")</f>
        <v>0</v>
      </c>
      <c r="B204" t="s">
        <v>2839</v>
      </c>
      <c r="C204" t="s">
        <v>2975</v>
      </c>
      <c r="D204" t="s">
        <v>257</v>
      </c>
      <c r="E204" t="s">
        <v>2981</v>
      </c>
      <c r="F204" t="s">
        <v>273</v>
      </c>
      <c r="G204" t="s">
        <v>275</v>
      </c>
      <c r="H204">
        <v>134.45</v>
      </c>
      <c r="I204" t="s">
        <v>274</v>
      </c>
      <c r="K204" t="s">
        <v>1717</v>
      </c>
      <c r="P204" t="s">
        <v>492</v>
      </c>
      <c r="Q204" t="s">
        <v>501</v>
      </c>
      <c r="S204" t="s">
        <v>503</v>
      </c>
      <c r="T204" t="s">
        <v>508</v>
      </c>
      <c r="U204" t="s">
        <v>511</v>
      </c>
      <c r="V204">
        <v>10453</v>
      </c>
      <c r="W204" t="s">
        <v>518</v>
      </c>
      <c r="X204" t="s">
        <v>548</v>
      </c>
      <c r="Z204" t="s">
        <v>3046</v>
      </c>
      <c r="AA204" t="s">
        <v>3165</v>
      </c>
      <c r="AB204" t="s">
        <v>902</v>
      </c>
      <c r="AC204" t="s">
        <v>909</v>
      </c>
      <c r="AF204" t="s">
        <v>928</v>
      </c>
      <c r="AI204">
        <v>70.45</v>
      </c>
      <c r="AJ204" t="s">
        <v>931</v>
      </c>
      <c r="AK204" t="s">
        <v>3254</v>
      </c>
      <c r="AL204" t="s">
        <v>274</v>
      </c>
      <c r="AT204">
        <v>0</v>
      </c>
      <c r="AU204">
        <v>4</v>
      </c>
      <c r="AV204" t="s">
        <v>273</v>
      </c>
      <c r="AY204" t="s">
        <v>273</v>
      </c>
      <c r="BB204">
        <v>0</v>
      </c>
      <c r="BC204">
        <v>0</v>
      </c>
      <c r="BD204">
        <v>0</v>
      </c>
      <c r="BE204">
        <v>0</v>
      </c>
      <c r="BF204" t="s">
        <v>1063</v>
      </c>
      <c r="BG204" t="s">
        <v>3310</v>
      </c>
      <c r="BH204">
        <v>37</v>
      </c>
      <c r="BI204" t="s">
        <v>3466</v>
      </c>
      <c r="BK204">
        <v>1885732</v>
      </c>
    </row>
    <row r="205" spans="1:63">
      <c r="A205" s="1">
        <f>HYPERLINK("https://lsnyc.legalserver.org/matter/dynamic-profile/view/1884971","18-1884971")</f>
        <v>0</v>
      </c>
      <c r="B205" t="s">
        <v>2941</v>
      </c>
      <c r="C205" t="s">
        <v>2975</v>
      </c>
      <c r="D205" t="s">
        <v>255</v>
      </c>
      <c r="E205" t="s">
        <v>2981</v>
      </c>
      <c r="F205" t="s">
        <v>273</v>
      </c>
      <c r="G205" t="s">
        <v>275</v>
      </c>
      <c r="H205">
        <v>18.19</v>
      </c>
      <c r="I205" t="s">
        <v>274</v>
      </c>
      <c r="K205" t="s">
        <v>1718</v>
      </c>
      <c r="O205" t="s">
        <v>275</v>
      </c>
      <c r="P205" t="s">
        <v>498</v>
      </c>
      <c r="Q205" t="s">
        <v>501</v>
      </c>
      <c r="S205" t="s">
        <v>503</v>
      </c>
      <c r="T205" t="s">
        <v>507</v>
      </c>
      <c r="U205" t="s">
        <v>511</v>
      </c>
      <c r="V205">
        <v>10027</v>
      </c>
      <c r="W205" t="s">
        <v>525</v>
      </c>
      <c r="X205" t="s">
        <v>549</v>
      </c>
      <c r="Y205" t="s">
        <v>275</v>
      </c>
      <c r="Z205" t="s">
        <v>3124</v>
      </c>
      <c r="AA205" t="s">
        <v>3230</v>
      </c>
      <c r="AB205" t="s">
        <v>902</v>
      </c>
      <c r="AC205" t="s">
        <v>904</v>
      </c>
      <c r="AF205" t="s">
        <v>928</v>
      </c>
      <c r="AI205">
        <v>14.17</v>
      </c>
      <c r="AJ205" t="s">
        <v>558</v>
      </c>
      <c r="AK205" t="s">
        <v>944</v>
      </c>
      <c r="AL205" t="s">
        <v>274</v>
      </c>
      <c r="AT205">
        <v>0</v>
      </c>
      <c r="AU205">
        <v>1</v>
      </c>
      <c r="AV205" t="s">
        <v>273</v>
      </c>
      <c r="AY205" t="s">
        <v>273</v>
      </c>
      <c r="BB205">
        <v>0</v>
      </c>
      <c r="BC205">
        <v>0</v>
      </c>
      <c r="BD205">
        <v>0</v>
      </c>
      <c r="BE205">
        <v>0</v>
      </c>
      <c r="BF205" t="s">
        <v>1063</v>
      </c>
      <c r="BG205" t="s">
        <v>3407</v>
      </c>
      <c r="BH205">
        <v>64</v>
      </c>
      <c r="BI205" t="s">
        <v>3467</v>
      </c>
      <c r="BK205">
        <v>1885597</v>
      </c>
    </row>
    <row r="206" spans="1:63">
      <c r="A206" s="1">
        <f>HYPERLINK("https://lsnyc.legalserver.org/matter/dynamic-profile/view/1885035","18-1885035")</f>
        <v>0</v>
      </c>
      <c r="B206" t="s">
        <v>2838</v>
      </c>
      <c r="C206" t="s">
        <v>2975</v>
      </c>
      <c r="D206" t="s">
        <v>255</v>
      </c>
      <c r="E206" t="s">
        <v>2977</v>
      </c>
      <c r="F206" t="s">
        <v>273</v>
      </c>
      <c r="G206" t="s">
        <v>275</v>
      </c>
      <c r="H206">
        <v>189.46</v>
      </c>
      <c r="I206" t="s">
        <v>274</v>
      </c>
      <c r="K206" t="s">
        <v>1718</v>
      </c>
      <c r="M206" t="s">
        <v>474</v>
      </c>
      <c r="N206" t="s">
        <v>298</v>
      </c>
      <c r="P206" t="s">
        <v>492</v>
      </c>
      <c r="Q206" t="s">
        <v>501</v>
      </c>
      <c r="S206" t="s">
        <v>503</v>
      </c>
      <c r="T206" t="s">
        <v>508</v>
      </c>
      <c r="U206" t="s">
        <v>511</v>
      </c>
      <c r="V206">
        <v>10002</v>
      </c>
      <c r="W206" t="s">
        <v>518</v>
      </c>
      <c r="X206" t="s">
        <v>549</v>
      </c>
      <c r="Y206" t="s">
        <v>275</v>
      </c>
      <c r="Z206" t="s">
        <v>3045</v>
      </c>
      <c r="AA206" t="s">
        <v>3164</v>
      </c>
      <c r="AB206" t="s">
        <v>902</v>
      </c>
      <c r="AC206" t="s">
        <v>910</v>
      </c>
      <c r="AF206" t="s">
        <v>926</v>
      </c>
      <c r="AI206">
        <v>26.75</v>
      </c>
      <c r="AK206" t="s">
        <v>2381</v>
      </c>
      <c r="AL206" t="s">
        <v>274</v>
      </c>
      <c r="AT206">
        <v>0</v>
      </c>
      <c r="AU206">
        <v>1</v>
      </c>
      <c r="AV206" t="s">
        <v>273</v>
      </c>
      <c r="AY206" t="s">
        <v>273</v>
      </c>
      <c r="BB206">
        <v>0</v>
      </c>
      <c r="BC206">
        <v>0</v>
      </c>
      <c r="BD206">
        <v>0</v>
      </c>
      <c r="BE206">
        <v>0</v>
      </c>
      <c r="BF206" t="s">
        <v>1063</v>
      </c>
      <c r="BG206" t="s">
        <v>3309</v>
      </c>
      <c r="BH206">
        <v>29</v>
      </c>
      <c r="BI206" t="s">
        <v>1310</v>
      </c>
      <c r="BK206">
        <v>1883899</v>
      </c>
    </row>
    <row r="207" spans="1:63">
      <c r="A207" s="1">
        <f>HYPERLINK("https://lsnyc.legalserver.org/matter/dynamic-profile/view/1884390","18-1884390")</f>
        <v>0</v>
      </c>
      <c r="B207" t="s">
        <v>2942</v>
      </c>
      <c r="C207" t="s">
        <v>2975</v>
      </c>
      <c r="D207" t="s">
        <v>255</v>
      </c>
      <c r="E207" t="s">
        <v>2978</v>
      </c>
      <c r="F207" t="s">
        <v>273</v>
      </c>
      <c r="G207" t="s">
        <v>275</v>
      </c>
      <c r="H207">
        <v>157.96</v>
      </c>
      <c r="I207" t="s">
        <v>274</v>
      </c>
      <c r="K207" t="s">
        <v>1721</v>
      </c>
      <c r="M207" t="s">
        <v>472</v>
      </c>
      <c r="N207" t="s">
        <v>1669</v>
      </c>
      <c r="P207" t="s">
        <v>492</v>
      </c>
      <c r="Q207" t="s">
        <v>501</v>
      </c>
      <c r="S207" t="s">
        <v>503</v>
      </c>
      <c r="T207" t="s">
        <v>507</v>
      </c>
      <c r="U207" t="s">
        <v>511</v>
      </c>
      <c r="V207">
        <v>10032</v>
      </c>
      <c r="W207" t="s">
        <v>516</v>
      </c>
      <c r="X207" t="s">
        <v>548</v>
      </c>
      <c r="Y207" t="s">
        <v>275</v>
      </c>
      <c r="Z207" t="s">
        <v>3101</v>
      </c>
      <c r="AA207" t="s">
        <v>3231</v>
      </c>
      <c r="AB207" t="s">
        <v>902</v>
      </c>
      <c r="AC207" t="s">
        <v>904</v>
      </c>
      <c r="AD207" t="s">
        <v>274</v>
      </c>
      <c r="AF207" t="s">
        <v>923</v>
      </c>
      <c r="AI207">
        <v>68.95</v>
      </c>
      <c r="AJ207" t="s">
        <v>558</v>
      </c>
      <c r="AK207" t="s">
        <v>3264</v>
      </c>
      <c r="AL207" t="s">
        <v>274</v>
      </c>
      <c r="AM207" t="s">
        <v>973</v>
      </c>
      <c r="AN207" t="s">
        <v>1669</v>
      </c>
      <c r="AS207" t="s">
        <v>3285</v>
      </c>
      <c r="AT207">
        <v>1</v>
      </c>
      <c r="AU207">
        <v>1</v>
      </c>
      <c r="AV207" t="s">
        <v>273</v>
      </c>
      <c r="AY207" t="s">
        <v>273</v>
      </c>
      <c r="BB207">
        <v>0</v>
      </c>
      <c r="BC207">
        <v>0</v>
      </c>
      <c r="BD207">
        <v>0</v>
      </c>
      <c r="BE207">
        <v>0</v>
      </c>
      <c r="BF207" t="s">
        <v>1063</v>
      </c>
      <c r="BG207" t="s">
        <v>3408</v>
      </c>
      <c r="BH207">
        <v>44</v>
      </c>
      <c r="BI207" t="s">
        <v>1279</v>
      </c>
      <c r="BK207">
        <v>1885015</v>
      </c>
    </row>
    <row r="208" spans="1:63">
      <c r="A208" s="1">
        <f>HYPERLINK("https://lsnyc.legalserver.org/matter/dynamic-profile/view/1884315","18-1884315")</f>
        <v>0</v>
      </c>
      <c r="B208" t="s">
        <v>2943</v>
      </c>
      <c r="C208" t="s">
        <v>2975</v>
      </c>
      <c r="D208" t="s">
        <v>255</v>
      </c>
      <c r="E208" t="s">
        <v>2981</v>
      </c>
      <c r="F208" t="s">
        <v>273</v>
      </c>
      <c r="G208" t="s">
        <v>275</v>
      </c>
      <c r="H208">
        <v>13.34</v>
      </c>
      <c r="I208" t="s">
        <v>274</v>
      </c>
      <c r="K208" t="s">
        <v>1722</v>
      </c>
      <c r="P208" t="s">
        <v>492</v>
      </c>
      <c r="Q208" t="s">
        <v>501</v>
      </c>
      <c r="S208" t="s">
        <v>503</v>
      </c>
      <c r="T208" t="s">
        <v>507</v>
      </c>
      <c r="U208" t="s">
        <v>511</v>
      </c>
      <c r="V208">
        <v>10030</v>
      </c>
      <c r="W208" t="s">
        <v>518</v>
      </c>
      <c r="X208" t="s">
        <v>548</v>
      </c>
      <c r="Z208" t="s">
        <v>3125</v>
      </c>
      <c r="AA208" t="s">
        <v>3232</v>
      </c>
      <c r="AB208" t="s">
        <v>902</v>
      </c>
      <c r="AC208" t="s">
        <v>910</v>
      </c>
      <c r="AF208" t="s">
        <v>928</v>
      </c>
      <c r="AI208">
        <v>37.15</v>
      </c>
      <c r="AJ208" t="s">
        <v>558</v>
      </c>
      <c r="AK208" t="s">
        <v>933</v>
      </c>
      <c r="AL208" t="s">
        <v>274</v>
      </c>
      <c r="AT208">
        <v>1</v>
      </c>
      <c r="AU208">
        <v>1</v>
      </c>
      <c r="AV208" t="s">
        <v>273</v>
      </c>
      <c r="AY208" t="s">
        <v>273</v>
      </c>
      <c r="BB208">
        <v>0</v>
      </c>
      <c r="BC208">
        <v>0</v>
      </c>
      <c r="BD208">
        <v>0</v>
      </c>
      <c r="BE208">
        <v>0</v>
      </c>
      <c r="BF208" t="s">
        <v>1063</v>
      </c>
      <c r="BG208" t="s">
        <v>3409</v>
      </c>
      <c r="BH208">
        <v>36</v>
      </c>
      <c r="BI208" t="s">
        <v>2797</v>
      </c>
      <c r="BK208">
        <v>1884940</v>
      </c>
    </row>
    <row r="209" spans="1:63">
      <c r="A209" s="1">
        <f>HYPERLINK("https://lsnyc.legalserver.org/matter/dynamic-profile/view/1883801","18-1883801")</f>
        <v>0</v>
      </c>
      <c r="B209" t="s">
        <v>2944</v>
      </c>
      <c r="C209" t="s">
        <v>2975</v>
      </c>
      <c r="D209" t="s">
        <v>257</v>
      </c>
      <c r="E209" t="s">
        <v>2977</v>
      </c>
      <c r="F209" t="s">
        <v>275</v>
      </c>
      <c r="G209" t="s">
        <v>275</v>
      </c>
      <c r="H209">
        <v>96.34</v>
      </c>
      <c r="I209" t="s">
        <v>274</v>
      </c>
      <c r="K209" t="s">
        <v>1724</v>
      </c>
      <c r="L209" t="s">
        <v>1679</v>
      </c>
      <c r="O209" t="s">
        <v>275</v>
      </c>
      <c r="P209" t="s">
        <v>495</v>
      </c>
      <c r="Q209" t="s">
        <v>501</v>
      </c>
      <c r="S209" t="s">
        <v>503</v>
      </c>
      <c r="T209" t="s">
        <v>508</v>
      </c>
      <c r="U209" t="s">
        <v>511</v>
      </c>
      <c r="V209">
        <v>10466</v>
      </c>
      <c r="W209" t="s">
        <v>522</v>
      </c>
      <c r="X209" t="s">
        <v>549</v>
      </c>
      <c r="Y209" t="s">
        <v>275</v>
      </c>
      <c r="Z209" t="s">
        <v>3126</v>
      </c>
      <c r="AA209" t="s">
        <v>3233</v>
      </c>
      <c r="AB209" t="s">
        <v>902</v>
      </c>
      <c r="AC209" t="s">
        <v>905</v>
      </c>
      <c r="AD209" t="s">
        <v>916</v>
      </c>
      <c r="AE209" t="s">
        <v>918</v>
      </c>
      <c r="AF209" t="s">
        <v>923</v>
      </c>
      <c r="AI209">
        <v>12.5</v>
      </c>
      <c r="AJ209" t="s">
        <v>558</v>
      </c>
      <c r="AK209" t="s">
        <v>961</v>
      </c>
      <c r="AL209" t="s">
        <v>274</v>
      </c>
      <c r="AM209" t="s">
        <v>973</v>
      </c>
      <c r="AN209" t="s">
        <v>2389</v>
      </c>
      <c r="AO209" t="s">
        <v>978</v>
      </c>
      <c r="AP209" t="s">
        <v>321</v>
      </c>
      <c r="AQ209" t="s">
        <v>1038</v>
      </c>
      <c r="AR209" t="s">
        <v>1053</v>
      </c>
      <c r="AT209">
        <v>2</v>
      </c>
      <c r="AU209">
        <v>1</v>
      </c>
      <c r="AV209" t="s">
        <v>273</v>
      </c>
      <c r="AY209" t="s">
        <v>273</v>
      </c>
      <c r="BB209">
        <v>0</v>
      </c>
      <c r="BC209">
        <v>0</v>
      </c>
      <c r="BD209">
        <v>0</v>
      </c>
      <c r="BE209">
        <v>0</v>
      </c>
      <c r="BF209" t="s">
        <v>493</v>
      </c>
      <c r="BG209" t="s">
        <v>3410</v>
      </c>
      <c r="BH209">
        <v>36</v>
      </c>
      <c r="BI209" t="s">
        <v>3468</v>
      </c>
      <c r="BK209">
        <v>1884426</v>
      </c>
    </row>
    <row r="210" spans="1:63">
      <c r="A210" s="1">
        <f>HYPERLINK("https://lsnyc.legalserver.org/matter/dynamic-profile/view/1883274","18-1883274")</f>
        <v>0</v>
      </c>
      <c r="B210" t="s">
        <v>2838</v>
      </c>
      <c r="C210" t="s">
        <v>2975</v>
      </c>
      <c r="D210" t="s">
        <v>255</v>
      </c>
      <c r="E210" t="s">
        <v>2977</v>
      </c>
      <c r="F210" t="s">
        <v>273</v>
      </c>
      <c r="G210" t="s">
        <v>275</v>
      </c>
      <c r="H210">
        <v>189.46</v>
      </c>
      <c r="I210" t="s">
        <v>274</v>
      </c>
      <c r="K210" t="s">
        <v>363</v>
      </c>
      <c r="M210" t="s">
        <v>474</v>
      </c>
      <c r="N210" t="s">
        <v>298</v>
      </c>
      <c r="O210" t="s">
        <v>275</v>
      </c>
      <c r="P210" t="s">
        <v>492</v>
      </c>
      <c r="Q210" t="s">
        <v>501</v>
      </c>
      <c r="S210" t="s">
        <v>503</v>
      </c>
      <c r="T210" t="s">
        <v>507</v>
      </c>
      <c r="U210" t="s">
        <v>511</v>
      </c>
      <c r="V210">
        <v>10002</v>
      </c>
      <c r="W210" t="s">
        <v>519</v>
      </c>
      <c r="X210" t="s">
        <v>549</v>
      </c>
      <c r="Y210" t="s">
        <v>275</v>
      </c>
      <c r="Z210" t="s">
        <v>3045</v>
      </c>
      <c r="AA210" t="s">
        <v>3164</v>
      </c>
      <c r="AB210" t="s">
        <v>902</v>
      </c>
      <c r="AC210" t="s">
        <v>910</v>
      </c>
      <c r="AF210" t="s">
        <v>926</v>
      </c>
      <c r="AI210">
        <v>31.1</v>
      </c>
      <c r="AJ210" t="s">
        <v>558</v>
      </c>
      <c r="AK210" t="s">
        <v>2381</v>
      </c>
      <c r="AL210" t="s">
        <v>274</v>
      </c>
      <c r="AM210" t="s">
        <v>973</v>
      </c>
      <c r="AN210" t="s">
        <v>2391</v>
      </c>
      <c r="AT210">
        <v>0</v>
      </c>
      <c r="AU210">
        <v>1</v>
      </c>
      <c r="AV210" t="s">
        <v>273</v>
      </c>
      <c r="AY210" t="s">
        <v>273</v>
      </c>
      <c r="BB210">
        <v>0</v>
      </c>
      <c r="BC210">
        <v>0</v>
      </c>
      <c r="BD210">
        <v>0</v>
      </c>
      <c r="BE210">
        <v>0</v>
      </c>
      <c r="BF210" t="s">
        <v>1063</v>
      </c>
      <c r="BG210" t="s">
        <v>3309</v>
      </c>
      <c r="BH210">
        <v>29</v>
      </c>
      <c r="BI210" t="s">
        <v>1310</v>
      </c>
      <c r="BK210">
        <v>1883899</v>
      </c>
    </row>
    <row r="211" spans="1:63">
      <c r="A211" s="1">
        <f>HYPERLINK("https://lsnyc.legalserver.org/matter/dynamic-profile/view/1883292","18-1883292")</f>
        <v>0</v>
      </c>
      <c r="B211" t="s">
        <v>2906</v>
      </c>
      <c r="C211" t="s">
        <v>2975</v>
      </c>
      <c r="D211" t="s">
        <v>255</v>
      </c>
      <c r="E211" t="s">
        <v>2977</v>
      </c>
      <c r="F211" t="s">
        <v>273</v>
      </c>
      <c r="G211" t="s">
        <v>275</v>
      </c>
      <c r="H211">
        <v>128.5</v>
      </c>
      <c r="I211" t="s">
        <v>274</v>
      </c>
      <c r="K211" t="s">
        <v>363</v>
      </c>
      <c r="M211" t="s">
        <v>474</v>
      </c>
      <c r="N211" t="s">
        <v>293</v>
      </c>
      <c r="O211" t="s">
        <v>275</v>
      </c>
      <c r="P211" t="s">
        <v>492</v>
      </c>
      <c r="Q211" t="s">
        <v>501</v>
      </c>
      <c r="S211" t="s">
        <v>503</v>
      </c>
      <c r="T211" t="s">
        <v>507</v>
      </c>
      <c r="U211" t="s">
        <v>511</v>
      </c>
      <c r="V211">
        <v>10002</v>
      </c>
      <c r="W211" t="s">
        <v>532</v>
      </c>
      <c r="X211" t="s">
        <v>555</v>
      </c>
      <c r="Y211" t="s">
        <v>275</v>
      </c>
      <c r="Z211" t="s">
        <v>3100</v>
      </c>
      <c r="AA211" t="s">
        <v>3204</v>
      </c>
      <c r="AB211" t="s">
        <v>902</v>
      </c>
      <c r="AC211" t="s">
        <v>906</v>
      </c>
      <c r="AF211" t="s">
        <v>923</v>
      </c>
      <c r="AI211">
        <v>39.25</v>
      </c>
      <c r="AJ211" t="s">
        <v>558</v>
      </c>
      <c r="AK211" t="s">
        <v>951</v>
      </c>
      <c r="AL211" t="s">
        <v>274</v>
      </c>
      <c r="AT211">
        <v>0</v>
      </c>
      <c r="AU211">
        <v>1</v>
      </c>
      <c r="AV211" t="s">
        <v>273</v>
      </c>
      <c r="AY211" t="s">
        <v>273</v>
      </c>
      <c r="BB211">
        <v>0</v>
      </c>
      <c r="BC211">
        <v>0</v>
      </c>
      <c r="BD211">
        <v>0</v>
      </c>
      <c r="BE211">
        <v>0</v>
      </c>
      <c r="BF211" t="s">
        <v>1063</v>
      </c>
      <c r="BG211" t="s">
        <v>3374</v>
      </c>
      <c r="BH211">
        <v>51</v>
      </c>
      <c r="BI211" t="s">
        <v>1270</v>
      </c>
      <c r="BK211">
        <v>1883917</v>
      </c>
    </row>
    <row r="212" spans="1:63">
      <c r="A212" s="1">
        <f>HYPERLINK("https://lsnyc.legalserver.org/matter/dynamic-profile/view/1883005","18-1883005")</f>
        <v>0</v>
      </c>
      <c r="B212" t="s">
        <v>2945</v>
      </c>
      <c r="C212" t="s">
        <v>2975</v>
      </c>
      <c r="D212" t="s">
        <v>255</v>
      </c>
      <c r="E212" t="s">
        <v>2978</v>
      </c>
      <c r="F212" t="s">
        <v>273</v>
      </c>
      <c r="G212" t="s">
        <v>275</v>
      </c>
      <c r="H212">
        <v>0</v>
      </c>
      <c r="I212" t="s">
        <v>274</v>
      </c>
      <c r="K212" t="s">
        <v>999</v>
      </c>
      <c r="M212" t="s">
        <v>475</v>
      </c>
      <c r="N212" t="s">
        <v>464</v>
      </c>
      <c r="O212" t="s">
        <v>275</v>
      </c>
      <c r="P212" t="s">
        <v>492</v>
      </c>
      <c r="Q212" t="s">
        <v>502</v>
      </c>
      <c r="S212" t="s">
        <v>503</v>
      </c>
      <c r="T212" t="s">
        <v>507</v>
      </c>
      <c r="U212" t="s">
        <v>511</v>
      </c>
      <c r="V212">
        <v>10032</v>
      </c>
      <c r="W212" t="s">
        <v>528</v>
      </c>
      <c r="X212" t="s">
        <v>548</v>
      </c>
      <c r="Y212" t="s">
        <v>275</v>
      </c>
      <c r="Z212" t="s">
        <v>3127</v>
      </c>
      <c r="AA212" t="s">
        <v>2102</v>
      </c>
      <c r="AB212" t="s">
        <v>902</v>
      </c>
      <c r="AC212" t="s">
        <v>908</v>
      </c>
      <c r="AF212" t="s">
        <v>923</v>
      </c>
      <c r="AI212">
        <v>45.18</v>
      </c>
      <c r="AJ212" t="s">
        <v>558</v>
      </c>
      <c r="AK212" t="s">
        <v>936</v>
      </c>
      <c r="AL212" t="s">
        <v>274</v>
      </c>
      <c r="AM212" t="s">
        <v>973</v>
      </c>
      <c r="AN212" t="s">
        <v>1719</v>
      </c>
      <c r="AT212">
        <v>2</v>
      </c>
      <c r="AU212">
        <v>1</v>
      </c>
      <c r="AV212" t="s">
        <v>273</v>
      </c>
      <c r="AY212" t="s">
        <v>273</v>
      </c>
      <c r="BB212">
        <v>0</v>
      </c>
      <c r="BC212">
        <v>0</v>
      </c>
      <c r="BD212">
        <v>0</v>
      </c>
      <c r="BE212">
        <v>0</v>
      </c>
      <c r="BF212" t="s">
        <v>1063</v>
      </c>
      <c r="BG212" t="s">
        <v>3411</v>
      </c>
      <c r="BH212">
        <v>11</v>
      </c>
      <c r="BI212" t="s">
        <v>1247</v>
      </c>
      <c r="BK212">
        <v>1883630</v>
      </c>
    </row>
    <row r="213" spans="1:63">
      <c r="A213" s="1">
        <f>HYPERLINK("https://lsnyc.legalserver.org/matter/dynamic-profile/view/1883022","18-1883022")</f>
        <v>0</v>
      </c>
      <c r="B213" t="s">
        <v>2946</v>
      </c>
      <c r="C213" t="s">
        <v>2975</v>
      </c>
      <c r="D213" t="s">
        <v>255</v>
      </c>
      <c r="E213" t="s">
        <v>2978</v>
      </c>
      <c r="F213" t="s">
        <v>273</v>
      </c>
      <c r="G213" t="s">
        <v>275</v>
      </c>
      <c r="H213">
        <v>0</v>
      </c>
      <c r="I213" t="s">
        <v>274</v>
      </c>
      <c r="K213" t="s">
        <v>999</v>
      </c>
      <c r="M213" t="s">
        <v>475</v>
      </c>
      <c r="N213" t="s">
        <v>464</v>
      </c>
      <c r="P213" t="s">
        <v>492</v>
      </c>
      <c r="Q213" t="s">
        <v>502</v>
      </c>
      <c r="S213" t="s">
        <v>503</v>
      </c>
      <c r="T213" t="s">
        <v>507</v>
      </c>
      <c r="U213" t="s">
        <v>511</v>
      </c>
      <c r="V213">
        <v>10032</v>
      </c>
      <c r="W213" t="s">
        <v>528</v>
      </c>
      <c r="X213" t="s">
        <v>548</v>
      </c>
      <c r="Y213" t="s">
        <v>275</v>
      </c>
      <c r="Z213" t="s">
        <v>586</v>
      </c>
      <c r="AA213" t="s">
        <v>2102</v>
      </c>
      <c r="AB213" t="s">
        <v>902</v>
      </c>
      <c r="AC213" t="s">
        <v>908</v>
      </c>
      <c r="AF213" t="s">
        <v>923</v>
      </c>
      <c r="AI213">
        <v>40.2</v>
      </c>
      <c r="AJ213" t="s">
        <v>558</v>
      </c>
      <c r="AK213" t="s">
        <v>936</v>
      </c>
      <c r="AL213" t="s">
        <v>274</v>
      </c>
      <c r="AM213" t="s">
        <v>973</v>
      </c>
      <c r="AN213" t="s">
        <v>1719</v>
      </c>
      <c r="AT213">
        <v>2</v>
      </c>
      <c r="AU213">
        <v>1</v>
      </c>
      <c r="AV213" t="s">
        <v>273</v>
      </c>
      <c r="AY213" t="s">
        <v>273</v>
      </c>
      <c r="BB213">
        <v>0</v>
      </c>
      <c r="BC213">
        <v>0</v>
      </c>
      <c r="BD213">
        <v>0</v>
      </c>
      <c r="BE213">
        <v>0</v>
      </c>
      <c r="BF213" t="s">
        <v>1063</v>
      </c>
      <c r="BG213" t="s">
        <v>3412</v>
      </c>
      <c r="BH213">
        <v>15</v>
      </c>
      <c r="BI213" t="s">
        <v>1247</v>
      </c>
      <c r="BK213">
        <v>1883647</v>
      </c>
    </row>
    <row r="214" spans="1:63">
      <c r="A214" s="1">
        <f>HYPERLINK("https://lsnyc.legalserver.org/matter/dynamic-profile/view/1882862","18-1882862")</f>
        <v>0</v>
      </c>
      <c r="B214" t="s">
        <v>2931</v>
      </c>
      <c r="C214" t="s">
        <v>2975</v>
      </c>
      <c r="D214" t="s">
        <v>255</v>
      </c>
      <c r="E214" t="s">
        <v>2978</v>
      </c>
      <c r="F214" t="s">
        <v>273</v>
      </c>
      <c r="G214" t="s">
        <v>275</v>
      </c>
      <c r="H214">
        <v>23.69</v>
      </c>
      <c r="I214" t="s">
        <v>274</v>
      </c>
      <c r="K214" t="s">
        <v>2991</v>
      </c>
      <c r="M214" t="s">
        <v>471</v>
      </c>
      <c r="N214" t="s">
        <v>1666</v>
      </c>
      <c r="P214" t="s">
        <v>492</v>
      </c>
      <c r="Q214" t="s">
        <v>501</v>
      </c>
      <c r="S214" t="s">
        <v>503</v>
      </c>
      <c r="T214" t="s">
        <v>508</v>
      </c>
      <c r="U214" t="s">
        <v>511</v>
      </c>
      <c r="V214">
        <v>10031</v>
      </c>
      <c r="W214" t="s">
        <v>518</v>
      </c>
      <c r="X214" t="s">
        <v>548</v>
      </c>
      <c r="Y214" t="s">
        <v>275</v>
      </c>
      <c r="Z214" t="s">
        <v>3115</v>
      </c>
      <c r="AA214" t="s">
        <v>3221</v>
      </c>
      <c r="AB214" t="s">
        <v>902</v>
      </c>
      <c r="AC214" t="s">
        <v>910</v>
      </c>
      <c r="AF214" t="s">
        <v>926</v>
      </c>
      <c r="AI214">
        <v>218.85</v>
      </c>
      <c r="AJ214" t="s">
        <v>558</v>
      </c>
      <c r="AK214" t="s">
        <v>936</v>
      </c>
      <c r="AL214" t="s">
        <v>274</v>
      </c>
      <c r="AM214" t="s">
        <v>973</v>
      </c>
      <c r="AN214" t="s">
        <v>1701</v>
      </c>
      <c r="AO214" t="s">
        <v>978</v>
      </c>
      <c r="AP214" t="s">
        <v>481</v>
      </c>
      <c r="AT214">
        <v>1</v>
      </c>
      <c r="AU214">
        <v>1</v>
      </c>
      <c r="AV214" t="s">
        <v>273</v>
      </c>
      <c r="AY214" t="s">
        <v>273</v>
      </c>
      <c r="BB214">
        <v>0</v>
      </c>
      <c r="BC214">
        <v>0</v>
      </c>
      <c r="BD214">
        <v>0</v>
      </c>
      <c r="BE214">
        <v>0</v>
      </c>
      <c r="BF214" t="s">
        <v>1063</v>
      </c>
      <c r="BG214" t="s">
        <v>3397</v>
      </c>
      <c r="BH214">
        <v>29</v>
      </c>
      <c r="BI214" t="s">
        <v>3445</v>
      </c>
      <c r="BK214">
        <v>1883487</v>
      </c>
    </row>
    <row r="215" spans="1:63">
      <c r="A215" s="1">
        <f>HYPERLINK("https://lsnyc.legalserver.org/matter/dynamic-profile/view/1882871","18-1882871")</f>
        <v>0</v>
      </c>
      <c r="B215" t="s">
        <v>2927</v>
      </c>
      <c r="C215" t="s">
        <v>2975</v>
      </c>
      <c r="D215" t="s">
        <v>255</v>
      </c>
      <c r="E215" t="s">
        <v>2978</v>
      </c>
      <c r="F215" t="s">
        <v>273</v>
      </c>
      <c r="G215" t="s">
        <v>275</v>
      </c>
      <c r="H215">
        <v>23.69</v>
      </c>
      <c r="I215" t="s">
        <v>274</v>
      </c>
      <c r="K215" t="s">
        <v>2991</v>
      </c>
      <c r="M215" t="s">
        <v>471</v>
      </c>
      <c r="N215" t="s">
        <v>1666</v>
      </c>
      <c r="P215" t="s">
        <v>492</v>
      </c>
      <c r="Q215" t="s">
        <v>502</v>
      </c>
      <c r="S215" t="s">
        <v>503</v>
      </c>
      <c r="T215" t="s">
        <v>507</v>
      </c>
      <c r="U215" t="s">
        <v>511</v>
      </c>
      <c r="V215">
        <v>10031</v>
      </c>
      <c r="W215" t="s">
        <v>518</v>
      </c>
      <c r="X215" t="s">
        <v>548</v>
      </c>
      <c r="Y215" t="s">
        <v>275</v>
      </c>
      <c r="Z215" t="s">
        <v>3112</v>
      </c>
      <c r="AA215" t="s">
        <v>2162</v>
      </c>
      <c r="AB215" t="s">
        <v>902</v>
      </c>
      <c r="AC215" t="s">
        <v>910</v>
      </c>
      <c r="AF215" t="s">
        <v>926</v>
      </c>
      <c r="AI215">
        <v>59.7</v>
      </c>
      <c r="AJ215" t="s">
        <v>558</v>
      </c>
      <c r="AK215" t="s">
        <v>936</v>
      </c>
      <c r="AL215" t="s">
        <v>274</v>
      </c>
      <c r="AM215" t="s">
        <v>973</v>
      </c>
      <c r="AN215" t="s">
        <v>1701</v>
      </c>
      <c r="AO215" t="s">
        <v>978</v>
      </c>
      <c r="AP215" t="s">
        <v>481</v>
      </c>
      <c r="AT215">
        <v>1</v>
      </c>
      <c r="AU215">
        <v>1</v>
      </c>
      <c r="AV215" t="s">
        <v>273</v>
      </c>
      <c r="AY215" t="s">
        <v>273</v>
      </c>
      <c r="BB215">
        <v>0</v>
      </c>
      <c r="BC215">
        <v>0</v>
      </c>
      <c r="BD215">
        <v>0</v>
      </c>
      <c r="BE215">
        <v>0</v>
      </c>
      <c r="BF215" t="s">
        <v>1063</v>
      </c>
      <c r="BG215" t="s">
        <v>3394</v>
      </c>
      <c r="BH215">
        <v>11</v>
      </c>
      <c r="BI215" t="s">
        <v>3445</v>
      </c>
      <c r="BK215">
        <v>1883496</v>
      </c>
    </row>
    <row r="216" spans="1:63">
      <c r="A216" s="1">
        <f>HYPERLINK("https://lsnyc.legalserver.org/matter/dynamic-profile/view/1882612","18-1882612")</f>
        <v>0</v>
      </c>
      <c r="B216" t="s">
        <v>2818</v>
      </c>
      <c r="C216" t="s">
        <v>2975</v>
      </c>
      <c r="D216" t="s">
        <v>255</v>
      </c>
      <c r="E216" t="s">
        <v>2978</v>
      </c>
      <c r="F216" t="s">
        <v>275</v>
      </c>
      <c r="G216" t="s">
        <v>275</v>
      </c>
      <c r="H216">
        <v>171.33</v>
      </c>
      <c r="I216" t="s">
        <v>274</v>
      </c>
      <c r="K216" t="s">
        <v>1012</v>
      </c>
      <c r="L216" t="s">
        <v>1675</v>
      </c>
      <c r="P216" t="s">
        <v>493</v>
      </c>
      <c r="Q216" t="s">
        <v>501</v>
      </c>
      <c r="S216" t="s">
        <v>503</v>
      </c>
      <c r="T216" t="s">
        <v>507</v>
      </c>
      <c r="U216" t="s">
        <v>511</v>
      </c>
      <c r="V216">
        <v>10031</v>
      </c>
      <c r="W216" t="s">
        <v>3018</v>
      </c>
      <c r="X216" t="s">
        <v>548</v>
      </c>
      <c r="Y216" t="s">
        <v>275</v>
      </c>
      <c r="Z216" t="s">
        <v>564</v>
      </c>
      <c r="AA216" t="s">
        <v>3150</v>
      </c>
      <c r="AB216" t="s">
        <v>902</v>
      </c>
      <c r="AC216" t="s">
        <v>905</v>
      </c>
      <c r="AD216" t="s">
        <v>275</v>
      </c>
      <c r="AE216" t="s">
        <v>922</v>
      </c>
      <c r="AF216" t="s">
        <v>923</v>
      </c>
      <c r="AI216">
        <v>6.1</v>
      </c>
      <c r="AJ216" t="s">
        <v>558</v>
      </c>
      <c r="AK216" t="s">
        <v>934</v>
      </c>
      <c r="AL216" t="s">
        <v>274</v>
      </c>
      <c r="AM216" t="s">
        <v>975</v>
      </c>
      <c r="AN216" t="s">
        <v>444</v>
      </c>
      <c r="AQ216" t="s">
        <v>1037</v>
      </c>
      <c r="AR216" t="s">
        <v>1053</v>
      </c>
      <c r="AT216">
        <v>0</v>
      </c>
      <c r="AU216">
        <v>1</v>
      </c>
      <c r="AV216" t="s">
        <v>273</v>
      </c>
      <c r="AY216" t="s">
        <v>273</v>
      </c>
      <c r="BB216">
        <v>0</v>
      </c>
      <c r="BC216">
        <v>0</v>
      </c>
      <c r="BD216">
        <v>0</v>
      </c>
      <c r="BE216">
        <v>0</v>
      </c>
      <c r="BF216" t="s">
        <v>493</v>
      </c>
      <c r="BG216" t="s">
        <v>3289</v>
      </c>
      <c r="BH216">
        <v>58</v>
      </c>
      <c r="BI216" t="s">
        <v>1261</v>
      </c>
      <c r="BK216">
        <v>1883237</v>
      </c>
    </row>
    <row r="217" spans="1:63">
      <c r="A217" s="1">
        <f>HYPERLINK("https://lsnyc.legalserver.org/matter/dynamic-profile/view/1882691","18-1882691")</f>
        <v>0</v>
      </c>
      <c r="B217" t="s">
        <v>2818</v>
      </c>
      <c r="C217" t="s">
        <v>2975</v>
      </c>
      <c r="D217" t="s">
        <v>255</v>
      </c>
      <c r="E217" t="s">
        <v>2978</v>
      </c>
      <c r="F217" t="s">
        <v>275</v>
      </c>
      <c r="G217" t="s">
        <v>275</v>
      </c>
      <c r="H217">
        <v>171.33</v>
      </c>
      <c r="I217" t="s">
        <v>274</v>
      </c>
      <c r="K217" t="s">
        <v>1012</v>
      </c>
      <c r="L217" t="s">
        <v>1675</v>
      </c>
      <c r="P217" t="s">
        <v>493</v>
      </c>
      <c r="Q217" t="s">
        <v>501</v>
      </c>
      <c r="S217" t="s">
        <v>503</v>
      </c>
      <c r="T217" t="s">
        <v>507</v>
      </c>
      <c r="U217" t="s">
        <v>511</v>
      </c>
      <c r="V217">
        <v>10031</v>
      </c>
      <c r="W217" t="s">
        <v>520</v>
      </c>
      <c r="X217" t="s">
        <v>548</v>
      </c>
      <c r="Y217" t="s">
        <v>275</v>
      </c>
      <c r="Z217" t="s">
        <v>564</v>
      </c>
      <c r="AA217" t="s">
        <v>3150</v>
      </c>
      <c r="AB217" t="s">
        <v>902</v>
      </c>
      <c r="AC217" t="s">
        <v>905</v>
      </c>
      <c r="AD217" t="s">
        <v>275</v>
      </c>
      <c r="AE217" t="s">
        <v>922</v>
      </c>
      <c r="AF217" t="s">
        <v>923</v>
      </c>
      <c r="AI217">
        <v>1.85</v>
      </c>
      <c r="AJ217" t="s">
        <v>558</v>
      </c>
      <c r="AK217" t="s">
        <v>934</v>
      </c>
      <c r="AL217" t="s">
        <v>274</v>
      </c>
      <c r="AM217" t="s">
        <v>975</v>
      </c>
      <c r="AN217" t="s">
        <v>444</v>
      </c>
      <c r="AQ217" t="s">
        <v>1037</v>
      </c>
      <c r="AR217" t="s">
        <v>1053</v>
      </c>
      <c r="AT217">
        <v>0</v>
      </c>
      <c r="AU217">
        <v>1</v>
      </c>
      <c r="AV217" t="s">
        <v>273</v>
      </c>
      <c r="AY217" t="s">
        <v>273</v>
      </c>
      <c r="BB217">
        <v>0</v>
      </c>
      <c r="BC217">
        <v>0</v>
      </c>
      <c r="BD217">
        <v>0</v>
      </c>
      <c r="BE217">
        <v>0</v>
      </c>
      <c r="BF217" t="s">
        <v>493</v>
      </c>
      <c r="BG217" t="s">
        <v>3289</v>
      </c>
      <c r="BH217">
        <v>58</v>
      </c>
      <c r="BI217" t="s">
        <v>1261</v>
      </c>
      <c r="BK217">
        <v>1883237</v>
      </c>
    </row>
    <row r="218" spans="1:63">
      <c r="A218" s="1">
        <f>HYPERLINK("https://lsnyc.legalserver.org/matter/dynamic-profile/view/1882150","18-1882150")</f>
        <v>0</v>
      </c>
      <c r="B218" t="s">
        <v>2947</v>
      </c>
      <c r="C218" t="s">
        <v>2975</v>
      </c>
      <c r="D218" t="s">
        <v>257</v>
      </c>
      <c r="E218" t="s">
        <v>2979</v>
      </c>
      <c r="F218" t="s">
        <v>273</v>
      </c>
      <c r="G218" t="s">
        <v>275</v>
      </c>
      <c r="H218">
        <v>133.97</v>
      </c>
      <c r="I218" t="s">
        <v>274</v>
      </c>
      <c r="K218" t="s">
        <v>2992</v>
      </c>
      <c r="M218" t="s">
        <v>472</v>
      </c>
      <c r="N218" t="s">
        <v>466</v>
      </c>
      <c r="P218" t="s">
        <v>492</v>
      </c>
      <c r="Q218" t="s">
        <v>501</v>
      </c>
      <c r="S218" t="s">
        <v>503</v>
      </c>
      <c r="T218" t="s">
        <v>507</v>
      </c>
      <c r="U218" t="s">
        <v>511</v>
      </c>
      <c r="V218">
        <v>10456</v>
      </c>
      <c r="W218" t="s">
        <v>523</v>
      </c>
      <c r="X218" t="s">
        <v>557</v>
      </c>
      <c r="Z218" t="s">
        <v>3128</v>
      </c>
      <c r="AA218" t="s">
        <v>3234</v>
      </c>
      <c r="AB218" t="s">
        <v>903</v>
      </c>
      <c r="AF218" t="s">
        <v>923</v>
      </c>
      <c r="AI218">
        <v>20.5</v>
      </c>
      <c r="AJ218" t="s">
        <v>558</v>
      </c>
      <c r="AK218" t="s">
        <v>3265</v>
      </c>
      <c r="AL218" t="s">
        <v>274</v>
      </c>
      <c r="AM218" t="s">
        <v>973</v>
      </c>
      <c r="AN218" t="s">
        <v>999</v>
      </c>
      <c r="AT218">
        <v>1</v>
      </c>
      <c r="AU218">
        <v>1</v>
      </c>
      <c r="AV218" t="s">
        <v>273</v>
      </c>
      <c r="AY218" t="s">
        <v>273</v>
      </c>
      <c r="BB218">
        <v>0</v>
      </c>
      <c r="BC218">
        <v>0</v>
      </c>
      <c r="BD218">
        <v>0</v>
      </c>
      <c r="BE218">
        <v>0</v>
      </c>
      <c r="BF218" t="s">
        <v>1063</v>
      </c>
      <c r="BG218" t="s">
        <v>3413</v>
      </c>
      <c r="BH218">
        <v>50</v>
      </c>
      <c r="BI218" t="s">
        <v>3469</v>
      </c>
      <c r="BK218">
        <v>817117</v>
      </c>
    </row>
    <row r="219" spans="1:63">
      <c r="A219" s="1">
        <f>HYPERLINK("https://lsnyc.legalserver.org/matter/dynamic-profile/view/1882167","18-1882167")</f>
        <v>0</v>
      </c>
      <c r="B219" t="s">
        <v>2948</v>
      </c>
      <c r="C219" t="s">
        <v>2975</v>
      </c>
      <c r="D219" t="s">
        <v>257</v>
      </c>
      <c r="E219" t="s">
        <v>2979</v>
      </c>
      <c r="F219" t="s">
        <v>273</v>
      </c>
      <c r="G219" t="s">
        <v>275</v>
      </c>
      <c r="H219">
        <v>133.97</v>
      </c>
      <c r="I219" t="s">
        <v>274</v>
      </c>
      <c r="K219" t="s">
        <v>2992</v>
      </c>
      <c r="M219" t="s">
        <v>472</v>
      </c>
      <c r="N219" t="s">
        <v>1031</v>
      </c>
      <c r="P219" t="s">
        <v>492</v>
      </c>
      <c r="Q219" t="s">
        <v>501</v>
      </c>
      <c r="S219" t="s">
        <v>503</v>
      </c>
      <c r="T219" t="s">
        <v>507</v>
      </c>
      <c r="U219" t="s">
        <v>511</v>
      </c>
      <c r="V219">
        <v>10456</v>
      </c>
      <c r="W219" t="s">
        <v>523</v>
      </c>
      <c r="X219" t="s">
        <v>557</v>
      </c>
      <c r="Y219" t="s">
        <v>275</v>
      </c>
      <c r="Z219" t="s">
        <v>3128</v>
      </c>
      <c r="AA219" t="s">
        <v>3234</v>
      </c>
      <c r="AB219" t="s">
        <v>903</v>
      </c>
      <c r="AF219" t="s">
        <v>923</v>
      </c>
      <c r="AI219">
        <v>10.75</v>
      </c>
      <c r="AJ219" t="s">
        <v>558</v>
      </c>
      <c r="AK219" t="s">
        <v>3265</v>
      </c>
      <c r="AL219" t="s">
        <v>274</v>
      </c>
      <c r="AM219" t="s">
        <v>973</v>
      </c>
      <c r="AN219" t="s">
        <v>999</v>
      </c>
      <c r="AT219">
        <v>1</v>
      </c>
      <c r="AU219">
        <v>1</v>
      </c>
      <c r="AV219" t="s">
        <v>273</v>
      </c>
      <c r="AY219" t="s">
        <v>273</v>
      </c>
      <c r="BB219">
        <v>0</v>
      </c>
      <c r="BC219">
        <v>0</v>
      </c>
      <c r="BD219">
        <v>0</v>
      </c>
      <c r="BE219">
        <v>0</v>
      </c>
      <c r="BF219" t="s">
        <v>1063</v>
      </c>
      <c r="BG219" t="s">
        <v>3413</v>
      </c>
      <c r="BH219">
        <v>50</v>
      </c>
      <c r="BI219" t="s">
        <v>3469</v>
      </c>
      <c r="BK219">
        <v>817117</v>
      </c>
    </row>
    <row r="220" spans="1:63">
      <c r="A220" s="1">
        <f>HYPERLINK("https://lsnyc.legalserver.org/matter/dynamic-profile/view/1882168","18-1882168")</f>
        <v>0</v>
      </c>
      <c r="B220" t="s">
        <v>2949</v>
      </c>
      <c r="C220" t="s">
        <v>2975</v>
      </c>
      <c r="D220" t="s">
        <v>257</v>
      </c>
      <c r="E220" t="s">
        <v>2979</v>
      </c>
      <c r="F220" t="s">
        <v>273</v>
      </c>
      <c r="G220" t="s">
        <v>275</v>
      </c>
      <c r="H220">
        <v>133.97</v>
      </c>
      <c r="I220" t="s">
        <v>274</v>
      </c>
      <c r="K220" t="s">
        <v>2992</v>
      </c>
      <c r="P220" t="s">
        <v>492</v>
      </c>
      <c r="Q220" t="s">
        <v>501</v>
      </c>
      <c r="S220" t="s">
        <v>503</v>
      </c>
      <c r="T220" t="s">
        <v>507</v>
      </c>
      <c r="U220" t="s">
        <v>511</v>
      </c>
      <c r="V220">
        <v>10456</v>
      </c>
      <c r="W220" t="s">
        <v>523</v>
      </c>
      <c r="X220" t="s">
        <v>557</v>
      </c>
      <c r="Y220" t="s">
        <v>275</v>
      </c>
      <c r="Z220" t="s">
        <v>3128</v>
      </c>
      <c r="AA220" t="s">
        <v>3234</v>
      </c>
      <c r="AB220" t="s">
        <v>903</v>
      </c>
      <c r="AF220" t="s">
        <v>923</v>
      </c>
      <c r="AI220">
        <v>6</v>
      </c>
      <c r="AJ220" t="s">
        <v>558</v>
      </c>
      <c r="AK220" t="s">
        <v>3265</v>
      </c>
      <c r="AL220" t="s">
        <v>274</v>
      </c>
      <c r="AM220" t="s">
        <v>973</v>
      </c>
      <c r="AN220" t="s">
        <v>999</v>
      </c>
      <c r="AT220">
        <v>1</v>
      </c>
      <c r="AU220">
        <v>1</v>
      </c>
      <c r="AV220" t="s">
        <v>273</v>
      </c>
      <c r="AY220" t="s">
        <v>273</v>
      </c>
      <c r="BB220">
        <v>0</v>
      </c>
      <c r="BC220">
        <v>0</v>
      </c>
      <c r="BD220">
        <v>0</v>
      </c>
      <c r="BE220">
        <v>0</v>
      </c>
      <c r="BF220" t="s">
        <v>1063</v>
      </c>
      <c r="BG220" t="s">
        <v>3413</v>
      </c>
      <c r="BH220">
        <v>50</v>
      </c>
      <c r="BI220" t="s">
        <v>3469</v>
      </c>
      <c r="BK220">
        <v>817117</v>
      </c>
    </row>
    <row r="221" spans="1:63">
      <c r="A221" s="1">
        <f>HYPERLINK("https://lsnyc.legalserver.org/matter/dynamic-profile/view/1882046","18-1882046")</f>
        <v>0</v>
      </c>
      <c r="B221" t="s">
        <v>2950</v>
      </c>
      <c r="C221" t="s">
        <v>2975</v>
      </c>
      <c r="D221" t="s">
        <v>255</v>
      </c>
      <c r="E221" t="s">
        <v>2979</v>
      </c>
      <c r="F221" t="s">
        <v>273</v>
      </c>
      <c r="G221" t="s">
        <v>275</v>
      </c>
      <c r="H221">
        <v>160.17</v>
      </c>
      <c r="I221" t="s">
        <v>274</v>
      </c>
      <c r="K221" t="s">
        <v>364</v>
      </c>
      <c r="P221" t="s">
        <v>492</v>
      </c>
      <c r="Q221" t="s">
        <v>501</v>
      </c>
      <c r="S221" t="s">
        <v>503</v>
      </c>
      <c r="T221" t="s">
        <v>507</v>
      </c>
      <c r="U221" t="s">
        <v>511</v>
      </c>
      <c r="V221">
        <v>10029</v>
      </c>
      <c r="W221" t="s">
        <v>524</v>
      </c>
      <c r="X221" t="s">
        <v>549</v>
      </c>
      <c r="Y221" t="s">
        <v>275</v>
      </c>
      <c r="Z221" t="s">
        <v>3129</v>
      </c>
      <c r="AA221" t="s">
        <v>3235</v>
      </c>
      <c r="AB221" t="s">
        <v>903</v>
      </c>
      <c r="AF221" t="s">
        <v>923</v>
      </c>
      <c r="AI221">
        <v>10.35</v>
      </c>
      <c r="AJ221" t="s">
        <v>558</v>
      </c>
      <c r="AK221" t="s">
        <v>939</v>
      </c>
      <c r="AL221" t="s">
        <v>274</v>
      </c>
      <c r="AM221" t="s">
        <v>973</v>
      </c>
      <c r="AN221" t="s">
        <v>1701</v>
      </c>
      <c r="AT221">
        <v>0</v>
      </c>
      <c r="AU221">
        <v>2</v>
      </c>
      <c r="AV221" t="s">
        <v>273</v>
      </c>
      <c r="AY221" t="s">
        <v>273</v>
      </c>
      <c r="BB221">
        <v>0</v>
      </c>
      <c r="BC221">
        <v>0</v>
      </c>
      <c r="BD221">
        <v>0</v>
      </c>
      <c r="BE221">
        <v>0</v>
      </c>
      <c r="BF221" t="s">
        <v>1063</v>
      </c>
      <c r="BG221" t="s">
        <v>3414</v>
      </c>
      <c r="BH221">
        <v>90</v>
      </c>
      <c r="BI221" t="s">
        <v>3470</v>
      </c>
      <c r="BK221">
        <v>1881069</v>
      </c>
    </row>
    <row r="222" spans="1:63">
      <c r="A222" s="1">
        <f>HYPERLINK("https://lsnyc.legalserver.org/matter/dynamic-profile/view/1882049","18-1882049")</f>
        <v>0</v>
      </c>
      <c r="B222" t="s">
        <v>2950</v>
      </c>
      <c r="C222" t="s">
        <v>2975</v>
      </c>
      <c r="D222" t="s">
        <v>255</v>
      </c>
      <c r="E222" t="s">
        <v>2979</v>
      </c>
      <c r="F222" t="s">
        <v>273</v>
      </c>
      <c r="G222" t="s">
        <v>275</v>
      </c>
      <c r="H222">
        <v>160.17</v>
      </c>
      <c r="I222" t="s">
        <v>274</v>
      </c>
      <c r="K222" t="s">
        <v>364</v>
      </c>
      <c r="P222" t="s">
        <v>492</v>
      </c>
      <c r="Q222" t="s">
        <v>501</v>
      </c>
      <c r="S222" t="s">
        <v>503</v>
      </c>
      <c r="T222" t="s">
        <v>507</v>
      </c>
      <c r="U222" t="s">
        <v>511</v>
      </c>
      <c r="V222">
        <v>10029</v>
      </c>
      <c r="W222" t="s">
        <v>520</v>
      </c>
      <c r="X222" t="s">
        <v>549</v>
      </c>
      <c r="Y222" t="s">
        <v>275</v>
      </c>
      <c r="Z222" t="s">
        <v>3129</v>
      </c>
      <c r="AA222" t="s">
        <v>3235</v>
      </c>
      <c r="AB222" t="s">
        <v>903</v>
      </c>
      <c r="AF222" t="s">
        <v>923</v>
      </c>
      <c r="AI222">
        <v>3.6</v>
      </c>
      <c r="AJ222" t="s">
        <v>558</v>
      </c>
      <c r="AK222" t="s">
        <v>939</v>
      </c>
      <c r="AL222" t="s">
        <v>274</v>
      </c>
      <c r="AM222" t="s">
        <v>973</v>
      </c>
      <c r="AN222" t="s">
        <v>1701</v>
      </c>
      <c r="AT222">
        <v>0</v>
      </c>
      <c r="AU222">
        <v>2</v>
      </c>
      <c r="AV222" t="s">
        <v>273</v>
      </c>
      <c r="AY222" t="s">
        <v>273</v>
      </c>
      <c r="BB222">
        <v>0</v>
      </c>
      <c r="BC222">
        <v>0</v>
      </c>
      <c r="BD222">
        <v>0</v>
      </c>
      <c r="BE222">
        <v>0</v>
      </c>
      <c r="BF222" t="s">
        <v>1063</v>
      </c>
      <c r="BG222" t="s">
        <v>3414</v>
      </c>
      <c r="BH222">
        <v>90</v>
      </c>
      <c r="BI222" t="s">
        <v>3470</v>
      </c>
      <c r="BK222">
        <v>1881069</v>
      </c>
    </row>
    <row r="223" spans="1:63">
      <c r="A223" s="1">
        <f>HYPERLINK("https://lsnyc.legalserver.org/matter/dynamic-profile/view/1882050","18-1882050")</f>
        <v>0</v>
      </c>
      <c r="B223" t="s">
        <v>2950</v>
      </c>
      <c r="C223" t="s">
        <v>2975</v>
      </c>
      <c r="D223" t="s">
        <v>255</v>
      </c>
      <c r="E223" t="s">
        <v>2979</v>
      </c>
      <c r="F223" t="s">
        <v>273</v>
      </c>
      <c r="G223" t="s">
        <v>275</v>
      </c>
      <c r="H223">
        <v>160.17</v>
      </c>
      <c r="I223" t="s">
        <v>274</v>
      </c>
      <c r="K223" t="s">
        <v>364</v>
      </c>
      <c r="P223" t="s">
        <v>492</v>
      </c>
      <c r="Q223" t="s">
        <v>501</v>
      </c>
      <c r="S223" t="s">
        <v>503</v>
      </c>
      <c r="T223" t="s">
        <v>507</v>
      </c>
      <c r="U223" t="s">
        <v>511</v>
      </c>
      <c r="V223">
        <v>10029</v>
      </c>
      <c r="W223" t="s">
        <v>543</v>
      </c>
      <c r="X223" t="s">
        <v>549</v>
      </c>
      <c r="Y223" t="s">
        <v>275</v>
      </c>
      <c r="Z223" t="s">
        <v>3129</v>
      </c>
      <c r="AA223" t="s">
        <v>3235</v>
      </c>
      <c r="AB223" t="s">
        <v>903</v>
      </c>
      <c r="AF223" t="s">
        <v>923</v>
      </c>
      <c r="AI223">
        <v>4.6</v>
      </c>
      <c r="AJ223" t="s">
        <v>558</v>
      </c>
      <c r="AK223" t="s">
        <v>939</v>
      </c>
      <c r="AL223" t="s">
        <v>274</v>
      </c>
      <c r="AM223" t="s">
        <v>973</v>
      </c>
      <c r="AN223" t="s">
        <v>1701</v>
      </c>
      <c r="AT223">
        <v>0</v>
      </c>
      <c r="AU223">
        <v>2</v>
      </c>
      <c r="AV223" t="s">
        <v>273</v>
      </c>
      <c r="AY223" t="s">
        <v>273</v>
      </c>
      <c r="BB223">
        <v>0</v>
      </c>
      <c r="BC223">
        <v>0</v>
      </c>
      <c r="BD223">
        <v>0</v>
      </c>
      <c r="BE223">
        <v>0</v>
      </c>
      <c r="BF223" t="s">
        <v>1063</v>
      </c>
      <c r="BG223" t="s">
        <v>3414</v>
      </c>
      <c r="BH223">
        <v>90</v>
      </c>
      <c r="BI223" t="s">
        <v>3470</v>
      </c>
      <c r="BK223">
        <v>1881069</v>
      </c>
    </row>
    <row r="224" spans="1:63">
      <c r="A224" s="1">
        <f>HYPERLINK("https://lsnyc.legalserver.org/matter/dynamic-profile/view/1881110","18-1881110")</f>
        <v>0</v>
      </c>
      <c r="B224" t="s">
        <v>2835</v>
      </c>
      <c r="C224" t="s">
        <v>2975</v>
      </c>
      <c r="D224" t="s">
        <v>257</v>
      </c>
      <c r="E224" t="s">
        <v>2977</v>
      </c>
      <c r="F224" t="s">
        <v>273</v>
      </c>
      <c r="G224" t="s">
        <v>275</v>
      </c>
      <c r="H224">
        <v>0</v>
      </c>
      <c r="I224" t="s">
        <v>274</v>
      </c>
      <c r="K224" t="s">
        <v>366</v>
      </c>
      <c r="M224" t="s">
        <v>473</v>
      </c>
      <c r="N224" t="s">
        <v>1676</v>
      </c>
      <c r="O224" t="s">
        <v>275</v>
      </c>
      <c r="P224" t="s">
        <v>492</v>
      </c>
      <c r="Q224" t="s">
        <v>502</v>
      </c>
      <c r="S224" t="s">
        <v>503</v>
      </c>
      <c r="T224" t="s">
        <v>507</v>
      </c>
      <c r="U224" t="s">
        <v>511</v>
      </c>
      <c r="V224">
        <v>10457</v>
      </c>
      <c r="W224" t="s">
        <v>519</v>
      </c>
      <c r="X224" t="s">
        <v>548</v>
      </c>
      <c r="Y224" t="s">
        <v>275</v>
      </c>
      <c r="Z224" t="s">
        <v>3043</v>
      </c>
      <c r="AA224" t="s">
        <v>3162</v>
      </c>
      <c r="AB224" t="s">
        <v>902</v>
      </c>
      <c r="AC224" t="s">
        <v>905</v>
      </c>
      <c r="AF224" t="s">
        <v>926</v>
      </c>
      <c r="AI224">
        <v>57.15</v>
      </c>
      <c r="AJ224" t="s">
        <v>558</v>
      </c>
      <c r="AK224" t="s">
        <v>934</v>
      </c>
      <c r="AL224" t="s">
        <v>274</v>
      </c>
      <c r="AM224" t="s">
        <v>973</v>
      </c>
      <c r="AN224" t="s">
        <v>1688</v>
      </c>
      <c r="AT224">
        <v>1</v>
      </c>
      <c r="AU224">
        <v>1</v>
      </c>
      <c r="AV224" t="s">
        <v>273</v>
      </c>
      <c r="AY224" t="s">
        <v>273</v>
      </c>
      <c r="BB224">
        <v>0</v>
      </c>
      <c r="BC224">
        <v>0</v>
      </c>
      <c r="BD224">
        <v>0</v>
      </c>
      <c r="BE224">
        <v>0</v>
      </c>
      <c r="BF224" t="s">
        <v>1063</v>
      </c>
      <c r="BG224" t="s">
        <v>3306</v>
      </c>
      <c r="BH224">
        <v>10</v>
      </c>
      <c r="BI224" t="s">
        <v>1247</v>
      </c>
      <c r="BK224">
        <v>1873406</v>
      </c>
    </row>
    <row r="225" spans="1:63">
      <c r="A225" s="1">
        <f>HYPERLINK("https://lsnyc.legalserver.org/matter/dynamic-profile/view/1880452","18-1880452")</f>
        <v>0</v>
      </c>
      <c r="B225" t="s">
        <v>2950</v>
      </c>
      <c r="C225" t="s">
        <v>2975</v>
      </c>
      <c r="D225" t="s">
        <v>255</v>
      </c>
      <c r="E225" t="s">
        <v>2979</v>
      </c>
      <c r="F225" t="s">
        <v>273</v>
      </c>
      <c r="G225" t="s">
        <v>275</v>
      </c>
      <c r="H225">
        <v>160.17</v>
      </c>
      <c r="I225" t="s">
        <v>274</v>
      </c>
      <c r="K225" t="s">
        <v>368</v>
      </c>
      <c r="O225" t="s">
        <v>275</v>
      </c>
      <c r="P225" t="s">
        <v>492</v>
      </c>
      <c r="Q225" t="s">
        <v>501</v>
      </c>
      <c r="S225" t="s">
        <v>503</v>
      </c>
      <c r="T225" t="s">
        <v>507</v>
      </c>
      <c r="U225" t="s">
        <v>511</v>
      </c>
      <c r="V225">
        <v>10029</v>
      </c>
      <c r="W225" t="s">
        <v>523</v>
      </c>
      <c r="X225" t="s">
        <v>549</v>
      </c>
      <c r="Y225" t="s">
        <v>275</v>
      </c>
      <c r="Z225" t="s">
        <v>3129</v>
      </c>
      <c r="AA225" t="s">
        <v>3235</v>
      </c>
      <c r="AB225" t="s">
        <v>903</v>
      </c>
      <c r="AF225" t="s">
        <v>923</v>
      </c>
      <c r="AI225">
        <v>24</v>
      </c>
      <c r="AJ225" t="s">
        <v>558</v>
      </c>
      <c r="AK225" t="s">
        <v>939</v>
      </c>
      <c r="AL225" t="s">
        <v>274</v>
      </c>
      <c r="AM225" t="s">
        <v>973</v>
      </c>
      <c r="AN225" t="s">
        <v>1701</v>
      </c>
      <c r="AT225">
        <v>0</v>
      </c>
      <c r="AU225">
        <v>2</v>
      </c>
      <c r="AV225" t="s">
        <v>273</v>
      </c>
      <c r="AY225" t="s">
        <v>273</v>
      </c>
      <c r="BB225">
        <v>0</v>
      </c>
      <c r="BC225">
        <v>0</v>
      </c>
      <c r="BD225">
        <v>0</v>
      </c>
      <c r="BE225">
        <v>0</v>
      </c>
      <c r="BF225" t="s">
        <v>1063</v>
      </c>
      <c r="BG225" t="s">
        <v>3414</v>
      </c>
      <c r="BH225">
        <v>89</v>
      </c>
      <c r="BI225" t="s">
        <v>3470</v>
      </c>
      <c r="BK225">
        <v>1881069</v>
      </c>
    </row>
    <row r="226" spans="1:63">
      <c r="A226" s="1">
        <f>HYPERLINK("https://lsnyc.legalserver.org/matter/dynamic-profile/view/1880371","18-1880371")</f>
        <v>0</v>
      </c>
      <c r="B226" t="s">
        <v>2895</v>
      </c>
      <c r="C226" t="s">
        <v>2975</v>
      </c>
      <c r="D226" t="s">
        <v>255</v>
      </c>
      <c r="E226" t="s">
        <v>2977</v>
      </c>
      <c r="F226" t="s">
        <v>273</v>
      </c>
      <c r="G226" t="s">
        <v>275</v>
      </c>
      <c r="H226">
        <v>0</v>
      </c>
      <c r="I226" t="s">
        <v>274</v>
      </c>
      <c r="K226" t="s">
        <v>369</v>
      </c>
      <c r="M226" t="s">
        <v>473</v>
      </c>
      <c r="N226" t="s">
        <v>451</v>
      </c>
      <c r="P226" t="s">
        <v>492</v>
      </c>
      <c r="Q226" t="s">
        <v>502</v>
      </c>
      <c r="S226" t="s">
        <v>503</v>
      </c>
      <c r="T226" t="s">
        <v>507</v>
      </c>
      <c r="U226" t="s">
        <v>511</v>
      </c>
      <c r="V226">
        <v>10029</v>
      </c>
      <c r="W226" t="s">
        <v>529</v>
      </c>
      <c r="X226" t="s">
        <v>558</v>
      </c>
      <c r="Y226" t="s">
        <v>275</v>
      </c>
      <c r="Z226" t="s">
        <v>1952</v>
      </c>
      <c r="AA226" t="s">
        <v>3196</v>
      </c>
      <c r="AB226" t="s">
        <v>902</v>
      </c>
      <c r="AC226" t="s">
        <v>910</v>
      </c>
      <c r="AF226" t="s">
        <v>923</v>
      </c>
      <c r="AI226">
        <v>2.15</v>
      </c>
      <c r="AJ226" t="s">
        <v>558</v>
      </c>
      <c r="AK226" t="s">
        <v>934</v>
      </c>
      <c r="AL226" t="s">
        <v>274</v>
      </c>
      <c r="AT226">
        <v>2</v>
      </c>
      <c r="AU226">
        <v>1</v>
      </c>
      <c r="AV226" t="s">
        <v>273</v>
      </c>
      <c r="AY226" t="s">
        <v>273</v>
      </c>
      <c r="BB226">
        <v>0</v>
      </c>
      <c r="BC226">
        <v>0</v>
      </c>
      <c r="BD226">
        <v>0</v>
      </c>
      <c r="BE226">
        <v>0</v>
      </c>
      <c r="BF226" t="s">
        <v>1063</v>
      </c>
      <c r="BG226" t="s">
        <v>3364</v>
      </c>
      <c r="BH226">
        <v>14</v>
      </c>
      <c r="BI226" t="s">
        <v>1247</v>
      </c>
      <c r="BK226">
        <v>1880987</v>
      </c>
    </row>
    <row r="227" spans="1:63">
      <c r="A227" s="1">
        <f>HYPERLINK("https://lsnyc.legalserver.org/matter/dynamic-profile/view/1880376","18-1880376")</f>
        <v>0</v>
      </c>
      <c r="B227" t="s">
        <v>2894</v>
      </c>
      <c r="C227" t="s">
        <v>2975</v>
      </c>
      <c r="D227" t="s">
        <v>255</v>
      </c>
      <c r="E227" t="s">
        <v>2977</v>
      </c>
      <c r="F227" t="s">
        <v>273</v>
      </c>
      <c r="G227" t="s">
        <v>275</v>
      </c>
      <c r="H227">
        <v>0</v>
      </c>
      <c r="I227" t="s">
        <v>274</v>
      </c>
      <c r="K227" t="s">
        <v>369</v>
      </c>
      <c r="M227" t="s">
        <v>473</v>
      </c>
      <c r="N227" t="s">
        <v>451</v>
      </c>
      <c r="P227" t="s">
        <v>492</v>
      </c>
      <c r="Q227" t="s">
        <v>502</v>
      </c>
      <c r="S227" t="s">
        <v>503</v>
      </c>
      <c r="T227" t="s">
        <v>508</v>
      </c>
      <c r="U227" t="s">
        <v>511</v>
      </c>
      <c r="V227">
        <v>10029</v>
      </c>
      <c r="W227" t="s">
        <v>529</v>
      </c>
      <c r="X227" t="s">
        <v>548</v>
      </c>
      <c r="Y227" t="s">
        <v>275</v>
      </c>
      <c r="Z227" t="s">
        <v>3092</v>
      </c>
      <c r="AA227" t="s">
        <v>3195</v>
      </c>
      <c r="AB227" t="s">
        <v>902</v>
      </c>
      <c r="AC227" t="s">
        <v>910</v>
      </c>
      <c r="AF227" t="s">
        <v>923</v>
      </c>
      <c r="AI227">
        <v>2.7</v>
      </c>
      <c r="AJ227" t="s">
        <v>558</v>
      </c>
      <c r="AK227" t="s">
        <v>934</v>
      </c>
      <c r="AL227" t="s">
        <v>274</v>
      </c>
      <c r="AT227">
        <v>2</v>
      </c>
      <c r="AU227">
        <v>1</v>
      </c>
      <c r="AV227" t="s">
        <v>273</v>
      </c>
      <c r="AY227" t="s">
        <v>273</v>
      </c>
      <c r="BB227">
        <v>0</v>
      </c>
      <c r="BC227">
        <v>0</v>
      </c>
      <c r="BD227">
        <v>0</v>
      </c>
      <c r="BE227">
        <v>0</v>
      </c>
      <c r="BF227" t="s">
        <v>1063</v>
      </c>
      <c r="BG227" t="s">
        <v>3363</v>
      </c>
      <c r="BH227">
        <v>6</v>
      </c>
      <c r="BI227" t="s">
        <v>1247</v>
      </c>
      <c r="BK227">
        <v>1880992</v>
      </c>
    </row>
    <row r="228" spans="1:63">
      <c r="A228" s="1">
        <f>HYPERLINK("https://lsnyc.legalserver.org/matter/dynamic-profile/view/1880063","18-1880063")</f>
        <v>0</v>
      </c>
      <c r="B228" t="s">
        <v>2819</v>
      </c>
      <c r="C228" t="s">
        <v>2975</v>
      </c>
      <c r="D228" t="s">
        <v>255</v>
      </c>
      <c r="E228" t="s">
        <v>2979</v>
      </c>
      <c r="F228" t="s">
        <v>275</v>
      </c>
      <c r="G228" t="s">
        <v>275</v>
      </c>
      <c r="H228">
        <v>0</v>
      </c>
      <c r="I228" t="s">
        <v>274</v>
      </c>
      <c r="K228" t="s">
        <v>1729</v>
      </c>
      <c r="L228" t="s">
        <v>1810</v>
      </c>
      <c r="O228" t="s">
        <v>275</v>
      </c>
      <c r="P228" t="s">
        <v>493</v>
      </c>
      <c r="Q228" t="s">
        <v>501</v>
      </c>
      <c r="S228" t="s">
        <v>503</v>
      </c>
      <c r="T228" t="s">
        <v>507</v>
      </c>
      <c r="U228" t="s">
        <v>511</v>
      </c>
      <c r="V228">
        <v>10035</v>
      </c>
      <c r="W228" t="s">
        <v>522</v>
      </c>
      <c r="X228" t="s">
        <v>549</v>
      </c>
      <c r="Z228" t="s">
        <v>1942</v>
      </c>
      <c r="AA228" t="s">
        <v>2320</v>
      </c>
      <c r="AB228" t="s">
        <v>902</v>
      </c>
      <c r="AC228" t="s">
        <v>904</v>
      </c>
      <c r="AD228" t="s">
        <v>916</v>
      </c>
      <c r="AE228" t="s">
        <v>918</v>
      </c>
      <c r="AF228" t="s">
        <v>927</v>
      </c>
      <c r="AI228">
        <v>14.83</v>
      </c>
      <c r="AJ228" t="s">
        <v>558</v>
      </c>
      <c r="AK228" t="s">
        <v>933</v>
      </c>
      <c r="AL228" t="s">
        <v>274</v>
      </c>
      <c r="AM228" t="s">
        <v>973</v>
      </c>
      <c r="AN228" t="s">
        <v>364</v>
      </c>
      <c r="AQ228" t="s">
        <v>1037</v>
      </c>
      <c r="AR228" t="s">
        <v>1051</v>
      </c>
      <c r="AT228">
        <v>0</v>
      </c>
      <c r="AU228">
        <v>1</v>
      </c>
      <c r="AV228" t="s">
        <v>273</v>
      </c>
      <c r="AY228" t="s">
        <v>273</v>
      </c>
      <c r="BB228">
        <v>0</v>
      </c>
      <c r="BC228">
        <v>0</v>
      </c>
      <c r="BD228">
        <v>0</v>
      </c>
      <c r="BE228">
        <v>0</v>
      </c>
      <c r="BF228" t="s">
        <v>493</v>
      </c>
      <c r="BG228" t="s">
        <v>3290</v>
      </c>
      <c r="BH228">
        <v>74</v>
      </c>
      <c r="BI228" t="s">
        <v>1247</v>
      </c>
      <c r="BK228">
        <v>1880678</v>
      </c>
    </row>
    <row r="229" spans="1:63">
      <c r="A229" s="1">
        <f>HYPERLINK("https://lsnyc.legalserver.org/matter/dynamic-profile/view/1879981","18-1879981")</f>
        <v>0</v>
      </c>
      <c r="B229" t="s">
        <v>2833</v>
      </c>
      <c r="C229" t="s">
        <v>2975</v>
      </c>
      <c r="D229" t="s">
        <v>255</v>
      </c>
      <c r="E229" t="s">
        <v>2977</v>
      </c>
      <c r="F229" t="s">
        <v>273</v>
      </c>
      <c r="G229" t="s">
        <v>275</v>
      </c>
      <c r="H229">
        <v>149.92</v>
      </c>
      <c r="I229" t="s">
        <v>274</v>
      </c>
      <c r="K229" t="s">
        <v>1730</v>
      </c>
      <c r="O229" t="s">
        <v>275</v>
      </c>
      <c r="P229" t="s">
        <v>492</v>
      </c>
      <c r="Q229" t="s">
        <v>501</v>
      </c>
      <c r="S229" t="s">
        <v>503</v>
      </c>
      <c r="T229" t="s">
        <v>507</v>
      </c>
      <c r="U229" t="s">
        <v>511</v>
      </c>
      <c r="V229">
        <v>10301</v>
      </c>
      <c r="W229" t="s">
        <v>524</v>
      </c>
      <c r="X229" t="s">
        <v>549</v>
      </c>
      <c r="Y229" t="s">
        <v>274</v>
      </c>
      <c r="Z229" t="s">
        <v>3041</v>
      </c>
      <c r="AA229" t="s">
        <v>2230</v>
      </c>
      <c r="AB229" t="s">
        <v>902</v>
      </c>
      <c r="AC229" t="s">
        <v>910</v>
      </c>
      <c r="AF229" t="s">
        <v>923</v>
      </c>
      <c r="AI229">
        <v>19.2</v>
      </c>
      <c r="AJ229" t="s">
        <v>558</v>
      </c>
      <c r="AK229" t="s">
        <v>952</v>
      </c>
      <c r="AL229" t="s">
        <v>274</v>
      </c>
      <c r="AM229" t="s">
        <v>973</v>
      </c>
      <c r="AN229" t="s">
        <v>3275</v>
      </c>
      <c r="AT229">
        <v>0</v>
      </c>
      <c r="AU229">
        <v>1</v>
      </c>
      <c r="AV229" t="s">
        <v>273</v>
      </c>
      <c r="AY229" t="s">
        <v>273</v>
      </c>
      <c r="BB229">
        <v>0</v>
      </c>
      <c r="BC229">
        <v>0</v>
      </c>
      <c r="BD229">
        <v>0</v>
      </c>
      <c r="BE229">
        <v>0</v>
      </c>
      <c r="BF229" t="s">
        <v>1063</v>
      </c>
      <c r="BG229" t="s">
        <v>3304</v>
      </c>
      <c r="BH229">
        <v>29</v>
      </c>
      <c r="BI229" t="s">
        <v>1260</v>
      </c>
      <c r="BK229">
        <v>1880596</v>
      </c>
    </row>
    <row r="230" spans="1:63">
      <c r="A230" s="1">
        <f>HYPERLINK("https://lsnyc.legalserver.org/matter/dynamic-profile/view/1879656","18-1879656")</f>
        <v>0</v>
      </c>
      <c r="B230" t="s">
        <v>2951</v>
      </c>
      <c r="C230" t="s">
        <v>2975</v>
      </c>
      <c r="D230" t="s">
        <v>257</v>
      </c>
      <c r="E230" t="s">
        <v>2977</v>
      </c>
      <c r="F230" t="s">
        <v>273</v>
      </c>
      <c r="G230" t="s">
        <v>275</v>
      </c>
      <c r="H230">
        <v>32.13</v>
      </c>
      <c r="I230" t="s">
        <v>274</v>
      </c>
      <c r="K230" t="s">
        <v>370</v>
      </c>
      <c r="O230" t="s">
        <v>275</v>
      </c>
      <c r="P230" t="s">
        <v>492</v>
      </c>
      <c r="Q230" t="s">
        <v>501</v>
      </c>
      <c r="S230" t="s">
        <v>503</v>
      </c>
      <c r="T230" t="s">
        <v>507</v>
      </c>
      <c r="U230" t="s">
        <v>511</v>
      </c>
      <c r="V230">
        <v>10468</v>
      </c>
      <c r="W230" t="s">
        <v>523</v>
      </c>
      <c r="X230" t="s">
        <v>548</v>
      </c>
      <c r="Y230" t="s">
        <v>275</v>
      </c>
      <c r="Z230" t="s">
        <v>664</v>
      </c>
      <c r="AA230" t="s">
        <v>3236</v>
      </c>
      <c r="AB230" t="s">
        <v>902</v>
      </c>
      <c r="AC230" t="s">
        <v>904</v>
      </c>
      <c r="AF230" t="s">
        <v>923</v>
      </c>
      <c r="AI230">
        <v>9.699999999999999</v>
      </c>
      <c r="AJ230" t="s">
        <v>558</v>
      </c>
      <c r="AK230" t="s">
        <v>950</v>
      </c>
      <c r="AL230" t="s">
        <v>274</v>
      </c>
      <c r="AM230" t="s">
        <v>973</v>
      </c>
      <c r="AN230" t="s">
        <v>322</v>
      </c>
      <c r="AT230">
        <v>0</v>
      </c>
      <c r="AU230">
        <v>1</v>
      </c>
      <c r="AV230" t="s">
        <v>273</v>
      </c>
      <c r="AY230" t="s">
        <v>273</v>
      </c>
      <c r="BB230">
        <v>0</v>
      </c>
      <c r="BC230">
        <v>0</v>
      </c>
      <c r="BD230">
        <v>0</v>
      </c>
      <c r="BE230">
        <v>0</v>
      </c>
      <c r="BF230" t="s">
        <v>1063</v>
      </c>
      <c r="BG230" t="s">
        <v>3415</v>
      </c>
      <c r="BH230">
        <v>54</v>
      </c>
      <c r="BI230" t="s">
        <v>3445</v>
      </c>
      <c r="BK230">
        <v>1880271</v>
      </c>
    </row>
    <row r="231" spans="1:63">
      <c r="A231" s="1">
        <f>HYPERLINK("https://lsnyc.legalserver.org/matter/dynamic-profile/view/1877863","18-1877863")</f>
        <v>0</v>
      </c>
      <c r="B231" t="s">
        <v>2937</v>
      </c>
      <c r="C231" t="s">
        <v>2975</v>
      </c>
      <c r="D231" t="s">
        <v>255</v>
      </c>
      <c r="E231" t="s">
        <v>2978</v>
      </c>
      <c r="F231" t="s">
        <v>273</v>
      </c>
      <c r="G231" t="s">
        <v>275</v>
      </c>
      <c r="H231">
        <v>0</v>
      </c>
      <c r="I231" t="s">
        <v>274</v>
      </c>
      <c r="K231" t="s">
        <v>1735</v>
      </c>
      <c r="O231" t="s">
        <v>275</v>
      </c>
      <c r="Q231" t="s">
        <v>501</v>
      </c>
      <c r="S231" t="s">
        <v>503</v>
      </c>
      <c r="T231" t="s">
        <v>507</v>
      </c>
      <c r="U231" t="s">
        <v>511</v>
      </c>
      <c r="V231">
        <v>10027</v>
      </c>
      <c r="W231" t="s">
        <v>518</v>
      </c>
      <c r="X231" t="s">
        <v>549</v>
      </c>
      <c r="Y231" t="s">
        <v>275</v>
      </c>
      <c r="Z231" t="s">
        <v>3121</v>
      </c>
      <c r="AA231" t="s">
        <v>3226</v>
      </c>
      <c r="AB231" t="s">
        <v>902</v>
      </c>
      <c r="AC231" t="s">
        <v>905</v>
      </c>
      <c r="AF231" t="s">
        <v>926</v>
      </c>
      <c r="AI231">
        <v>198.55</v>
      </c>
      <c r="AJ231" t="s">
        <v>558</v>
      </c>
      <c r="AK231" t="s">
        <v>3263</v>
      </c>
      <c r="AL231" t="s">
        <v>274</v>
      </c>
      <c r="AT231">
        <v>0</v>
      </c>
      <c r="AU231">
        <v>1</v>
      </c>
      <c r="AV231" t="s">
        <v>273</v>
      </c>
      <c r="AY231" t="s">
        <v>273</v>
      </c>
      <c r="BB231">
        <v>0</v>
      </c>
      <c r="BC231">
        <v>0</v>
      </c>
      <c r="BD231">
        <v>0</v>
      </c>
      <c r="BE231">
        <v>0</v>
      </c>
      <c r="BF231" t="s">
        <v>1063</v>
      </c>
      <c r="BG231" t="s">
        <v>3403</v>
      </c>
      <c r="BH231">
        <v>34</v>
      </c>
      <c r="BI231" t="s">
        <v>1247</v>
      </c>
      <c r="BK231">
        <v>1878477</v>
      </c>
    </row>
    <row r="232" spans="1:63">
      <c r="A232" s="1">
        <f>HYPERLINK("https://lsnyc.legalserver.org/matter/dynamic-profile/view/1877893","18-1877893")</f>
        <v>0</v>
      </c>
      <c r="B232" t="s">
        <v>2952</v>
      </c>
      <c r="C232" t="s">
        <v>2975</v>
      </c>
      <c r="D232" t="s">
        <v>257</v>
      </c>
      <c r="E232" t="s">
        <v>2981</v>
      </c>
      <c r="F232" t="s">
        <v>273</v>
      </c>
      <c r="G232" t="s">
        <v>275</v>
      </c>
      <c r="H232">
        <v>31.13</v>
      </c>
      <c r="I232" t="s">
        <v>274</v>
      </c>
      <c r="K232" t="s">
        <v>1735</v>
      </c>
      <c r="P232" t="s">
        <v>492</v>
      </c>
      <c r="Q232" t="s">
        <v>501</v>
      </c>
      <c r="S232" t="s">
        <v>503</v>
      </c>
      <c r="T232" t="s">
        <v>508</v>
      </c>
      <c r="U232" t="s">
        <v>511</v>
      </c>
      <c r="V232">
        <v>10453</v>
      </c>
      <c r="W232" t="s">
        <v>524</v>
      </c>
      <c r="X232" t="s">
        <v>548</v>
      </c>
      <c r="Y232" t="s">
        <v>275</v>
      </c>
      <c r="Z232" t="s">
        <v>1979</v>
      </c>
      <c r="AA232" t="s">
        <v>3237</v>
      </c>
      <c r="AB232" t="s">
        <v>902</v>
      </c>
      <c r="AC232" t="s">
        <v>905</v>
      </c>
      <c r="AF232" t="s">
        <v>923</v>
      </c>
      <c r="AI232">
        <v>47.25</v>
      </c>
      <c r="AJ232" t="s">
        <v>558</v>
      </c>
      <c r="AK232" t="s">
        <v>933</v>
      </c>
      <c r="AL232" t="s">
        <v>274</v>
      </c>
      <c r="AT232">
        <v>2</v>
      </c>
      <c r="AU232">
        <v>1</v>
      </c>
      <c r="AV232" t="s">
        <v>273</v>
      </c>
      <c r="AY232" t="s">
        <v>273</v>
      </c>
      <c r="BB232">
        <v>0</v>
      </c>
      <c r="BC232">
        <v>0</v>
      </c>
      <c r="BD232">
        <v>0</v>
      </c>
      <c r="BE232">
        <v>0</v>
      </c>
      <c r="BF232" t="s">
        <v>1063</v>
      </c>
      <c r="BG232" t="s">
        <v>3416</v>
      </c>
      <c r="BH232">
        <v>45</v>
      </c>
      <c r="BI232" t="s">
        <v>3471</v>
      </c>
      <c r="BK232">
        <v>726990</v>
      </c>
    </row>
    <row r="233" spans="1:63">
      <c r="A233" s="1">
        <f>HYPERLINK("https://lsnyc.legalserver.org/matter/dynamic-profile/view/1877898","18-1877898")</f>
        <v>0</v>
      </c>
      <c r="B233" t="s">
        <v>2952</v>
      </c>
      <c r="C233" t="s">
        <v>2975</v>
      </c>
      <c r="D233" t="s">
        <v>257</v>
      </c>
      <c r="E233" t="s">
        <v>2981</v>
      </c>
      <c r="F233" t="s">
        <v>273</v>
      </c>
      <c r="G233" t="s">
        <v>275</v>
      </c>
      <c r="H233">
        <v>31.13</v>
      </c>
      <c r="K233" t="s">
        <v>1735</v>
      </c>
      <c r="P233" t="s">
        <v>492</v>
      </c>
      <c r="Q233" t="s">
        <v>501</v>
      </c>
      <c r="S233" t="s">
        <v>503</v>
      </c>
      <c r="T233" t="s">
        <v>508</v>
      </c>
      <c r="U233" t="s">
        <v>511</v>
      </c>
      <c r="V233">
        <v>10453</v>
      </c>
      <c r="W233" t="s">
        <v>520</v>
      </c>
      <c r="X233" t="s">
        <v>548</v>
      </c>
      <c r="Z233" t="s">
        <v>1979</v>
      </c>
      <c r="AA233" t="s">
        <v>3237</v>
      </c>
      <c r="AB233" t="s">
        <v>902</v>
      </c>
      <c r="AC233" t="s">
        <v>905</v>
      </c>
      <c r="AF233" t="s">
        <v>923</v>
      </c>
      <c r="AI233">
        <v>0</v>
      </c>
      <c r="AJ233" t="s">
        <v>558</v>
      </c>
      <c r="AK233" t="s">
        <v>933</v>
      </c>
      <c r="AL233" t="s">
        <v>274</v>
      </c>
      <c r="AT233">
        <v>2</v>
      </c>
      <c r="AU233">
        <v>1</v>
      </c>
      <c r="AV233" t="s">
        <v>273</v>
      </c>
      <c r="AY233" t="s">
        <v>273</v>
      </c>
      <c r="BB233">
        <v>0</v>
      </c>
      <c r="BC233">
        <v>0</v>
      </c>
      <c r="BD233">
        <v>0</v>
      </c>
      <c r="BE233">
        <v>0</v>
      </c>
      <c r="BF233" t="s">
        <v>1063</v>
      </c>
      <c r="BG233" t="s">
        <v>3416</v>
      </c>
      <c r="BH233">
        <v>45</v>
      </c>
      <c r="BI233" t="s">
        <v>3471</v>
      </c>
      <c r="BK233">
        <v>726990</v>
      </c>
    </row>
    <row r="234" spans="1:63">
      <c r="A234" s="1">
        <f>HYPERLINK("https://lsnyc.legalserver.org/matter/dynamic-profile/view/1877903","18-1877903")</f>
        <v>0</v>
      </c>
      <c r="B234" t="s">
        <v>2952</v>
      </c>
      <c r="C234" t="s">
        <v>2975</v>
      </c>
      <c r="D234" t="s">
        <v>257</v>
      </c>
      <c r="E234" t="s">
        <v>2981</v>
      </c>
      <c r="F234" t="s">
        <v>273</v>
      </c>
      <c r="G234" t="s">
        <v>275</v>
      </c>
      <c r="H234">
        <v>31.13</v>
      </c>
      <c r="K234" t="s">
        <v>1735</v>
      </c>
      <c r="P234" t="s">
        <v>492</v>
      </c>
      <c r="Q234" t="s">
        <v>501</v>
      </c>
      <c r="S234" t="s">
        <v>503</v>
      </c>
      <c r="T234" t="s">
        <v>508</v>
      </c>
      <c r="U234" t="s">
        <v>511</v>
      </c>
      <c r="V234">
        <v>10453</v>
      </c>
      <c r="W234" t="s">
        <v>544</v>
      </c>
      <c r="X234" t="s">
        <v>548</v>
      </c>
      <c r="Z234" t="s">
        <v>1979</v>
      </c>
      <c r="AA234" t="s">
        <v>3237</v>
      </c>
      <c r="AB234" t="s">
        <v>902</v>
      </c>
      <c r="AC234" t="s">
        <v>905</v>
      </c>
      <c r="AF234" t="s">
        <v>923</v>
      </c>
      <c r="AI234">
        <v>0</v>
      </c>
      <c r="AJ234" t="s">
        <v>558</v>
      </c>
      <c r="AK234" t="s">
        <v>933</v>
      </c>
      <c r="AL234" t="s">
        <v>274</v>
      </c>
      <c r="AT234">
        <v>2</v>
      </c>
      <c r="AU234">
        <v>1</v>
      </c>
      <c r="AV234" t="s">
        <v>273</v>
      </c>
      <c r="AY234" t="s">
        <v>273</v>
      </c>
      <c r="BB234">
        <v>0</v>
      </c>
      <c r="BC234">
        <v>0</v>
      </c>
      <c r="BD234">
        <v>0</v>
      </c>
      <c r="BE234">
        <v>0</v>
      </c>
      <c r="BF234" t="s">
        <v>1063</v>
      </c>
      <c r="BG234" t="s">
        <v>3416</v>
      </c>
      <c r="BH234">
        <v>45</v>
      </c>
      <c r="BI234" t="s">
        <v>3471</v>
      </c>
      <c r="BK234">
        <v>726990</v>
      </c>
    </row>
    <row r="235" spans="1:63">
      <c r="A235" s="1">
        <f>HYPERLINK("https://lsnyc.legalserver.org/matter/dynamic-profile/view/1877048","18-1877048")</f>
        <v>0</v>
      </c>
      <c r="B235" t="s">
        <v>2869</v>
      </c>
      <c r="C235" t="s">
        <v>2975</v>
      </c>
      <c r="D235" t="s">
        <v>257</v>
      </c>
      <c r="E235" t="s">
        <v>2981</v>
      </c>
      <c r="F235" t="s">
        <v>273</v>
      </c>
      <c r="G235" t="s">
        <v>275</v>
      </c>
      <c r="H235">
        <v>5.2</v>
      </c>
      <c r="I235" t="s">
        <v>274</v>
      </c>
      <c r="K235" t="s">
        <v>2993</v>
      </c>
      <c r="P235" t="s">
        <v>492</v>
      </c>
      <c r="Q235" t="s">
        <v>501</v>
      </c>
      <c r="S235" t="s">
        <v>503</v>
      </c>
      <c r="T235" t="s">
        <v>508</v>
      </c>
      <c r="U235" t="s">
        <v>511</v>
      </c>
      <c r="V235">
        <v>10457</v>
      </c>
      <c r="W235" t="s">
        <v>518</v>
      </c>
      <c r="X235" t="s">
        <v>548</v>
      </c>
      <c r="Y235" t="s">
        <v>275</v>
      </c>
      <c r="Z235" t="s">
        <v>3072</v>
      </c>
      <c r="AA235" t="s">
        <v>832</v>
      </c>
      <c r="AB235" t="s">
        <v>902</v>
      </c>
      <c r="AC235" t="s">
        <v>911</v>
      </c>
      <c r="AF235" t="s">
        <v>927</v>
      </c>
      <c r="AI235">
        <v>59.2</v>
      </c>
      <c r="AJ235" t="s">
        <v>558</v>
      </c>
      <c r="AK235" t="s">
        <v>936</v>
      </c>
      <c r="AL235" t="s">
        <v>274</v>
      </c>
      <c r="AT235">
        <v>2</v>
      </c>
      <c r="AU235">
        <v>1</v>
      </c>
      <c r="AV235" t="s">
        <v>273</v>
      </c>
      <c r="AY235" t="s">
        <v>273</v>
      </c>
      <c r="BB235">
        <v>0</v>
      </c>
      <c r="BC235">
        <v>0</v>
      </c>
      <c r="BD235">
        <v>0</v>
      </c>
      <c r="BE235">
        <v>0</v>
      </c>
      <c r="BF235" t="s">
        <v>1063</v>
      </c>
      <c r="BG235" t="s">
        <v>3339</v>
      </c>
      <c r="BH235">
        <v>28</v>
      </c>
      <c r="BI235" t="s">
        <v>3452</v>
      </c>
      <c r="BK235">
        <v>1877658</v>
      </c>
    </row>
    <row r="236" spans="1:63">
      <c r="A236" s="1">
        <f>HYPERLINK("https://lsnyc.legalserver.org/matter/dynamic-profile/view/1876660","18-1876660")</f>
        <v>0</v>
      </c>
      <c r="B236" t="s">
        <v>2843</v>
      </c>
      <c r="C236" t="s">
        <v>2975</v>
      </c>
      <c r="D236" t="s">
        <v>252</v>
      </c>
      <c r="E236" t="s">
        <v>2979</v>
      </c>
      <c r="F236" t="s">
        <v>273</v>
      </c>
      <c r="G236" t="s">
        <v>275</v>
      </c>
      <c r="H236">
        <v>42.94</v>
      </c>
      <c r="I236" t="s">
        <v>274</v>
      </c>
      <c r="K236" t="s">
        <v>2994</v>
      </c>
      <c r="O236" t="s">
        <v>274</v>
      </c>
      <c r="P236" t="s">
        <v>492</v>
      </c>
      <c r="Q236" t="s">
        <v>501</v>
      </c>
      <c r="S236" t="s">
        <v>503</v>
      </c>
      <c r="T236" t="s">
        <v>508</v>
      </c>
      <c r="U236" t="s">
        <v>511</v>
      </c>
      <c r="V236">
        <v>11223</v>
      </c>
      <c r="W236" t="s">
        <v>517</v>
      </c>
      <c r="X236" t="s">
        <v>549</v>
      </c>
      <c r="Y236" t="s">
        <v>275</v>
      </c>
      <c r="Z236" t="s">
        <v>3049</v>
      </c>
      <c r="AA236" t="s">
        <v>3167</v>
      </c>
      <c r="AB236" t="s">
        <v>902</v>
      </c>
      <c r="AC236" t="s">
        <v>904</v>
      </c>
      <c r="AF236" t="s">
        <v>923</v>
      </c>
      <c r="AI236">
        <v>11.5</v>
      </c>
      <c r="AJ236" t="s">
        <v>558</v>
      </c>
      <c r="AK236" t="s">
        <v>968</v>
      </c>
      <c r="AL236" t="s">
        <v>274</v>
      </c>
      <c r="AM236" t="s">
        <v>973</v>
      </c>
      <c r="AN236" t="s">
        <v>357</v>
      </c>
      <c r="AT236">
        <v>1</v>
      </c>
      <c r="AU236">
        <v>1</v>
      </c>
      <c r="AV236" t="s">
        <v>273</v>
      </c>
      <c r="AY236" t="s">
        <v>273</v>
      </c>
      <c r="BB236">
        <v>0</v>
      </c>
      <c r="BC236">
        <v>0</v>
      </c>
      <c r="BD236">
        <v>0</v>
      </c>
      <c r="BE236">
        <v>0</v>
      </c>
      <c r="BF236" t="s">
        <v>1063</v>
      </c>
      <c r="BG236" t="s">
        <v>3314</v>
      </c>
      <c r="BH236">
        <v>31</v>
      </c>
      <c r="BI236" t="s">
        <v>3472</v>
      </c>
      <c r="BK236">
        <v>1837812</v>
      </c>
    </row>
    <row r="237" spans="1:63">
      <c r="A237" s="1">
        <f>HYPERLINK("https://lsnyc.legalserver.org/matter/dynamic-profile/view/1876425","18-1876425")</f>
        <v>0</v>
      </c>
      <c r="B237" t="s">
        <v>2953</v>
      </c>
      <c r="C237" t="s">
        <v>2975</v>
      </c>
      <c r="D237" t="s">
        <v>255</v>
      </c>
      <c r="E237" t="s">
        <v>2977</v>
      </c>
      <c r="F237" t="s">
        <v>275</v>
      </c>
      <c r="G237" t="s">
        <v>275</v>
      </c>
      <c r="H237">
        <v>76.11</v>
      </c>
      <c r="I237" t="s">
        <v>274</v>
      </c>
      <c r="K237" t="s">
        <v>2995</v>
      </c>
      <c r="L237" t="s">
        <v>1008</v>
      </c>
      <c r="O237" t="s">
        <v>275</v>
      </c>
      <c r="P237" t="s">
        <v>495</v>
      </c>
      <c r="Q237" t="s">
        <v>501</v>
      </c>
      <c r="S237" t="s">
        <v>503</v>
      </c>
      <c r="T237" t="s">
        <v>507</v>
      </c>
      <c r="U237" t="s">
        <v>511</v>
      </c>
      <c r="V237">
        <v>10009</v>
      </c>
      <c r="W237" t="s">
        <v>525</v>
      </c>
      <c r="X237" t="s">
        <v>548</v>
      </c>
      <c r="Y237" t="s">
        <v>275</v>
      </c>
      <c r="Z237" t="s">
        <v>3130</v>
      </c>
      <c r="AA237" t="s">
        <v>3238</v>
      </c>
      <c r="AB237" t="s">
        <v>902</v>
      </c>
      <c r="AC237" t="s">
        <v>904</v>
      </c>
      <c r="AD237" t="s">
        <v>916</v>
      </c>
      <c r="AE237" t="s">
        <v>919</v>
      </c>
      <c r="AF237" t="s">
        <v>923</v>
      </c>
      <c r="AI237">
        <v>9.449999999999999</v>
      </c>
      <c r="AJ237" t="s">
        <v>558</v>
      </c>
      <c r="AK237" t="s">
        <v>950</v>
      </c>
      <c r="AL237" t="s">
        <v>274</v>
      </c>
      <c r="AM237" t="s">
        <v>973</v>
      </c>
      <c r="AN237" t="s">
        <v>372</v>
      </c>
      <c r="AO237" t="s">
        <v>978</v>
      </c>
      <c r="AP237" t="s">
        <v>292</v>
      </c>
      <c r="AQ237" t="s">
        <v>1038</v>
      </c>
      <c r="AR237" t="s">
        <v>1051</v>
      </c>
      <c r="AS237" t="s">
        <v>3283</v>
      </c>
      <c r="AT237">
        <v>0</v>
      </c>
      <c r="AU237">
        <v>1</v>
      </c>
      <c r="AV237" t="s">
        <v>273</v>
      </c>
      <c r="AY237" t="s">
        <v>273</v>
      </c>
      <c r="BB237">
        <v>0</v>
      </c>
      <c r="BC237">
        <v>0</v>
      </c>
      <c r="BD237">
        <v>0</v>
      </c>
      <c r="BE237">
        <v>0</v>
      </c>
      <c r="BF237" t="s">
        <v>493</v>
      </c>
      <c r="BG237" t="s">
        <v>3417</v>
      </c>
      <c r="BH237">
        <v>77</v>
      </c>
      <c r="BI237" t="s">
        <v>3438</v>
      </c>
      <c r="BK237">
        <v>1875944</v>
      </c>
    </row>
    <row r="238" spans="1:63">
      <c r="A238" s="1">
        <f>HYPERLINK("https://lsnyc.legalserver.org/matter/dynamic-profile/view/1874908","18-1874908")</f>
        <v>0</v>
      </c>
      <c r="B238" t="s">
        <v>2954</v>
      </c>
      <c r="C238" t="s">
        <v>2975</v>
      </c>
      <c r="D238" t="s">
        <v>255</v>
      </c>
      <c r="E238" t="s">
        <v>2978</v>
      </c>
      <c r="F238" t="s">
        <v>273</v>
      </c>
      <c r="G238" t="s">
        <v>275</v>
      </c>
      <c r="H238">
        <v>126.37</v>
      </c>
      <c r="I238" t="s">
        <v>274</v>
      </c>
      <c r="K238" t="s">
        <v>383</v>
      </c>
      <c r="P238" t="s">
        <v>492</v>
      </c>
      <c r="Q238" t="s">
        <v>501</v>
      </c>
      <c r="S238" t="s">
        <v>503</v>
      </c>
      <c r="T238" t="s">
        <v>508</v>
      </c>
      <c r="U238" t="s">
        <v>511</v>
      </c>
      <c r="V238">
        <v>10033</v>
      </c>
      <c r="W238" t="s">
        <v>540</v>
      </c>
      <c r="X238" t="s">
        <v>549</v>
      </c>
      <c r="Y238" t="s">
        <v>275</v>
      </c>
      <c r="Z238" t="s">
        <v>3131</v>
      </c>
      <c r="AA238" t="s">
        <v>3239</v>
      </c>
      <c r="AB238" t="s">
        <v>903</v>
      </c>
      <c r="AF238" t="s">
        <v>926</v>
      </c>
      <c r="AI238">
        <v>17.2</v>
      </c>
      <c r="AJ238" t="s">
        <v>558</v>
      </c>
      <c r="AK238" t="s">
        <v>960</v>
      </c>
      <c r="AL238" t="s">
        <v>274</v>
      </c>
      <c r="AT238">
        <v>0</v>
      </c>
      <c r="AU238">
        <v>2</v>
      </c>
      <c r="AV238" t="s">
        <v>273</v>
      </c>
      <c r="AY238" t="s">
        <v>273</v>
      </c>
      <c r="BB238">
        <v>0</v>
      </c>
      <c r="BC238">
        <v>0</v>
      </c>
      <c r="BD238">
        <v>0</v>
      </c>
      <c r="BE238">
        <v>0</v>
      </c>
      <c r="BF238" t="s">
        <v>1063</v>
      </c>
      <c r="BG238" t="s">
        <v>3418</v>
      </c>
      <c r="BH238">
        <v>25</v>
      </c>
      <c r="BI238" t="s">
        <v>1261</v>
      </c>
      <c r="BK238">
        <v>1875514</v>
      </c>
    </row>
    <row r="239" spans="1:63">
      <c r="A239" s="1">
        <f>HYPERLINK("https://lsnyc.legalserver.org/matter/dynamic-profile/view/1874808","18-1874808")</f>
        <v>0</v>
      </c>
      <c r="B239" t="s">
        <v>2820</v>
      </c>
      <c r="C239" t="s">
        <v>2975</v>
      </c>
      <c r="D239" t="s">
        <v>253</v>
      </c>
      <c r="E239" t="s">
        <v>2978</v>
      </c>
      <c r="F239" t="s">
        <v>275</v>
      </c>
      <c r="G239" t="s">
        <v>275</v>
      </c>
      <c r="H239">
        <v>0</v>
      </c>
      <c r="I239" t="s">
        <v>274</v>
      </c>
      <c r="K239" t="s">
        <v>2996</v>
      </c>
      <c r="L239" t="s">
        <v>1661</v>
      </c>
      <c r="P239" t="s">
        <v>493</v>
      </c>
      <c r="Q239" t="s">
        <v>501</v>
      </c>
      <c r="S239" t="s">
        <v>503</v>
      </c>
      <c r="T239" t="s">
        <v>507</v>
      </c>
      <c r="U239" t="s">
        <v>511</v>
      </c>
      <c r="V239">
        <v>11355</v>
      </c>
      <c r="W239" t="s">
        <v>521</v>
      </c>
      <c r="X239" t="s">
        <v>3025</v>
      </c>
      <c r="Y239" t="s">
        <v>275</v>
      </c>
      <c r="Z239" t="s">
        <v>3030</v>
      </c>
      <c r="AA239" t="s">
        <v>3151</v>
      </c>
      <c r="AB239" t="s">
        <v>902</v>
      </c>
      <c r="AC239" t="s">
        <v>906</v>
      </c>
      <c r="AD239" t="s">
        <v>275</v>
      </c>
      <c r="AE239" t="s">
        <v>919</v>
      </c>
      <c r="AF239" t="s">
        <v>923</v>
      </c>
      <c r="AI239">
        <v>62.35</v>
      </c>
      <c r="AJ239" t="s">
        <v>2361</v>
      </c>
      <c r="AK239" t="s">
        <v>951</v>
      </c>
      <c r="AL239" t="s">
        <v>274</v>
      </c>
      <c r="AM239" t="s">
        <v>973</v>
      </c>
      <c r="AN239" t="s">
        <v>375</v>
      </c>
      <c r="AO239" t="s">
        <v>2403</v>
      </c>
      <c r="AP239" t="s">
        <v>1008</v>
      </c>
      <c r="AQ239" t="s">
        <v>1048</v>
      </c>
      <c r="AR239" t="s">
        <v>1054</v>
      </c>
      <c r="AT239">
        <v>0</v>
      </c>
      <c r="AU239">
        <v>1</v>
      </c>
      <c r="AV239" t="s">
        <v>273</v>
      </c>
      <c r="AY239" t="s">
        <v>273</v>
      </c>
      <c r="BB239">
        <v>0</v>
      </c>
      <c r="BC239">
        <v>0</v>
      </c>
      <c r="BD239">
        <v>0</v>
      </c>
      <c r="BE239">
        <v>0</v>
      </c>
      <c r="BF239" t="s">
        <v>493</v>
      </c>
      <c r="BG239" t="s">
        <v>3291</v>
      </c>
      <c r="BH239">
        <v>38</v>
      </c>
      <c r="BI239" t="s">
        <v>1247</v>
      </c>
      <c r="BK239">
        <v>1875413</v>
      </c>
    </row>
    <row r="240" spans="1:63">
      <c r="A240" s="1">
        <f>HYPERLINK("https://lsnyc.legalserver.org/matter/dynamic-profile/view/1874559","18-1874559")</f>
        <v>0</v>
      </c>
      <c r="B240" t="s">
        <v>2830</v>
      </c>
      <c r="C240" t="s">
        <v>2975</v>
      </c>
      <c r="D240" t="s">
        <v>255</v>
      </c>
      <c r="E240" t="s">
        <v>2977</v>
      </c>
      <c r="F240" t="s">
        <v>275</v>
      </c>
      <c r="G240" t="s">
        <v>275</v>
      </c>
      <c r="H240">
        <v>145.02</v>
      </c>
      <c r="I240" t="s">
        <v>274</v>
      </c>
      <c r="K240" t="s">
        <v>385</v>
      </c>
      <c r="L240" t="s">
        <v>992</v>
      </c>
      <c r="O240" t="s">
        <v>275</v>
      </c>
      <c r="P240" t="s">
        <v>495</v>
      </c>
      <c r="Q240" t="s">
        <v>501</v>
      </c>
      <c r="S240" t="s">
        <v>503</v>
      </c>
      <c r="T240" t="s">
        <v>508</v>
      </c>
      <c r="U240" t="s">
        <v>511</v>
      </c>
      <c r="V240">
        <v>10027</v>
      </c>
      <c r="W240" t="s">
        <v>1833</v>
      </c>
      <c r="X240" t="s">
        <v>1839</v>
      </c>
      <c r="Y240" t="s">
        <v>275</v>
      </c>
      <c r="Z240" t="s">
        <v>3038</v>
      </c>
      <c r="AA240" t="s">
        <v>3158</v>
      </c>
      <c r="AB240" t="s">
        <v>903</v>
      </c>
      <c r="AD240" t="s">
        <v>916</v>
      </c>
      <c r="AE240" t="s">
        <v>918</v>
      </c>
      <c r="AF240" t="s">
        <v>927</v>
      </c>
      <c r="AI240">
        <v>13.75</v>
      </c>
      <c r="AJ240" t="s">
        <v>558</v>
      </c>
      <c r="AK240" t="s">
        <v>3253</v>
      </c>
      <c r="AL240" t="s">
        <v>274</v>
      </c>
      <c r="AM240" t="s">
        <v>975</v>
      </c>
      <c r="AN240" t="s">
        <v>3276</v>
      </c>
      <c r="AQ240" t="s">
        <v>1033</v>
      </c>
      <c r="AR240" t="s">
        <v>1053</v>
      </c>
      <c r="AT240">
        <v>2</v>
      </c>
      <c r="AU240">
        <v>2</v>
      </c>
      <c r="AV240" t="s">
        <v>273</v>
      </c>
      <c r="AY240" t="s">
        <v>273</v>
      </c>
      <c r="BB240">
        <v>0</v>
      </c>
      <c r="BC240">
        <v>0</v>
      </c>
      <c r="BD240">
        <v>0</v>
      </c>
      <c r="BE240">
        <v>0</v>
      </c>
      <c r="BF240" t="s">
        <v>493</v>
      </c>
      <c r="BG240" t="s">
        <v>3301</v>
      </c>
      <c r="BH240">
        <v>30</v>
      </c>
      <c r="BI240" t="s">
        <v>1317</v>
      </c>
      <c r="BK240">
        <v>795037</v>
      </c>
    </row>
    <row r="241" spans="1:63">
      <c r="A241" s="1">
        <f>HYPERLINK("https://lsnyc.legalserver.org/matter/dynamic-profile/view/1874634","18-1874634")</f>
        <v>0</v>
      </c>
      <c r="B241" t="s">
        <v>2930</v>
      </c>
      <c r="C241" t="s">
        <v>2975</v>
      </c>
      <c r="D241" t="s">
        <v>255</v>
      </c>
      <c r="E241" t="s">
        <v>2978</v>
      </c>
      <c r="F241" t="s">
        <v>273</v>
      </c>
      <c r="G241" t="s">
        <v>275</v>
      </c>
      <c r="H241">
        <v>0</v>
      </c>
      <c r="I241" t="s">
        <v>274</v>
      </c>
      <c r="K241" t="s">
        <v>385</v>
      </c>
      <c r="M241" t="s">
        <v>471</v>
      </c>
      <c r="N241" t="s">
        <v>448</v>
      </c>
      <c r="O241" t="s">
        <v>274</v>
      </c>
      <c r="P241" t="s">
        <v>492</v>
      </c>
      <c r="Q241" t="s">
        <v>502</v>
      </c>
      <c r="S241" t="s">
        <v>503</v>
      </c>
      <c r="T241" t="s">
        <v>508</v>
      </c>
      <c r="U241" t="s">
        <v>511</v>
      </c>
      <c r="V241">
        <v>10031</v>
      </c>
      <c r="W241" t="s">
        <v>519</v>
      </c>
      <c r="X241" t="s">
        <v>548</v>
      </c>
      <c r="Y241" t="s">
        <v>275</v>
      </c>
      <c r="Z241" t="s">
        <v>3114</v>
      </c>
      <c r="AA241" t="s">
        <v>3220</v>
      </c>
      <c r="AB241" t="s">
        <v>902</v>
      </c>
      <c r="AC241" t="s">
        <v>911</v>
      </c>
      <c r="AF241" t="s">
        <v>926</v>
      </c>
      <c r="AI241">
        <v>103.75</v>
      </c>
      <c r="AJ241" t="s">
        <v>558</v>
      </c>
      <c r="AK241" t="s">
        <v>936</v>
      </c>
      <c r="AL241" t="s">
        <v>274</v>
      </c>
      <c r="AT241">
        <v>1</v>
      </c>
      <c r="AU241">
        <v>1</v>
      </c>
      <c r="AV241" t="s">
        <v>273</v>
      </c>
      <c r="AY241" t="s">
        <v>273</v>
      </c>
      <c r="BB241">
        <v>0</v>
      </c>
      <c r="BC241">
        <v>0</v>
      </c>
      <c r="BD241">
        <v>0</v>
      </c>
      <c r="BE241">
        <v>0</v>
      </c>
      <c r="BF241" t="s">
        <v>1063</v>
      </c>
      <c r="BG241" t="s">
        <v>3396</v>
      </c>
      <c r="BH241">
        <v>11</v>
      </c>
      <c r="BI241" t="s">
        <v>1247</v>
      </c>
      <c r="BK241">
        <v>1875239</v>
      </c>
    </row>
    <row r="242" spans="1:63">
      <c r="A242" s="1">
        <f>HYPERLINK("https://lsnyc.legalserver.org/matter/dynamic-profile/view/1873397","18-1873397")</f>
        <v>0</v>
      </c>
      <c r="B242" t="s">
        <v>2925</v>
      </c>
      <c r="C242" t="s">
        <v>2975</v>
      </c>
      <c r="D242" t="s">
        <v>253</v>
      </c>
      <c r="E242" t="s">
        <v>2978</v>
      </c>
      <c r="F242" t="s">
        <v>273</v>
      </c>
      <c r="G242" t="s">
        <v>275</v>
      </c>
      <c r="H242">
        <v>187.68</v>
      </c>
      <c r="I242" t="s">
        <v>274</v>
      </c>
      <c r="K242" t="s">
        <v>2997</v>
      </c>
      <c r="M242" t="s">
        <v>471</v>
      </c>
      <c r="N242" t="s">
        <v>279</v>
      </c>
      <c r="P242" t="s">
        <v>492</v>
      </c>
      <c r="Q242" t="s">
        <v>501</v>
      </c>
      <c r="S242" t="s">
        <v>503</v>
      </c>
      <c r="T242" t="s">
        <v>508</v>
      </c>
      <c r="U242" t="s">
        <v>511</v>
      </c>
      <c r="V242">
        <v>11432</v>
      </c>
      <c r="W242" t="s">
        <v>518</v>
      </c>
      <c r="X242" t="s">
        <v>548</v>
      </c>
      <c r="Y242" t="s">
        <v>275</v>
      </c>
      <c r="Z242" t="s">
        <v>1920</v>
      </c>
      <c r="AA242" t="s">
        <v>3218</v>
      </c>
      <c r="AB242" t="s">
        <v>902</v>
      </c>
      <c r="AC242" t="s">
        <v>906</v>
      </c>
      <c r="AF242" t="s">
        <v>926</v>
      </c>
      <c r="AI242">
        <v>18.2</v>
      </c>
      <c r="AJ242" t="s">
        <v>2361</v>
      </c>
      <c r="AK242" t="s">
        <v>941</v>
      </c>
      <c r="AL242" t="s">
        <v>274</v>
      </c>
      <c r="AT242">
        <v>1</v>
      </c>
      <c r="AU242">
        <v>2</v>
      </c>
      <c r="AV242" t="s">
        <v>273</v>
      </c>
      <c r="AY242" t="s">
        <v>273</v>
      </c>
      <c r="BB242">
        <v>0</v>
      </c>
      <c r="BC242">
        <v>0</v>
      </c>
      <c r="BD242">
        <v>0</v>
      </c>
      <c r="BE242">
        <v>0</v>
      </c>
      <c r="BF242" t="s">
        <v>1063</v>
      </c>
      <c r="BG242" t="s">
        <v>3392</v>
      </c>
      <c r="BH242">
        <v>39</v>
      </c>
      <c r="BI242" t="s">
        <v>1273</v>
      </c>
      <c r="BK242">
        <v>1874000</v>
      </c>
    </row>
    <row r="243" spans="1:63">
      <c r="A243" s="1">
        <f>HYPERLINK("https://lsnyc.legalserver.org/matter/dynamic-profile/view/1873407","18-1873407")</f>
        <v>0</v>
      </c>
      <c r="B243" t="s">
        <v>2926</v>
      </c>
      <c r="C243" t="s">
        <v>2975</v>
      </c>
      <c r="D243" t="s">
        <v>253</v>
      </c>
      <c r="E243" t="s">
        <v>2978</v>
      </c>
      <c r="F243" t="s">
        <v>273</v>
      </c>
      <c r="G243" t="s">
        <v>275</v>
      </c>
      <c r="H243">
        <v>187.68</v>
      </c>
      <c r="I243" t="s">
        <v>274</v>
      </c>
      <c r="K243" t="s">
        <v>2997</v>
      </c>
      <c r="M243" t="s">
        <v>471</v>
      </c>
      <c r="N243" t="s">
        <v>279</v>
      </c>
      <c r="P243" t="s">
        <v>492</v>
      </c>
      <c r="Q243" t="s">
        <v>502</v>
      </c>
      <c r="S243" t="s">
        <v>503</v>
      </c>
      <c r="T243" t="s">
        <v>508</v>
      </c>
      <c r="U243" t="s">
        <v>511</v>
      </c>
      <c r="V243">
        <v>11432</v>
      </c>
      <c r="W243" t="s">
        <v>518</v>
      </c>
      <c r="X243" t="s">
        <v>548</v>
      </c>
      <c r="Y243" t="s">
        <v>275</v>
      </c>
      <c r="Z243" t="s">
        <v>3111</v>
      </c>
      <c r="AA243" t="s">
        <v>3219</v>
      </c>
      <c r="AB243" t="s">
        <v>902</v>
      </c>
      <c r="AC243" t="s">
        <v>906</v>
      </c>
      <c r="AF243" t="s">
        <v>926</v>
      </c>
      <c r="AI243">
        <v>14.8</v>
      </c>
      <c r="AJ243" t="s">
        <v>2361</v>
      </c>
      <c r="AK243" t="s">
        <v>941</v>
      </c>
      <c r="AL243" t="s">
        <v>274</v>
      </c>
      <c r="AT243">
        <v>1</v>
      </c>
      <c r="AU243">
        <v>2</v>
      </c>
      <c r="AV243" t="s">
        <v>273</v>
      </c>
      <c r="AY243" t="s">
        <v>273</v>
      </c>
      <c r="BB243">
        <v>0</v>
      </c>
      <c r="BC243">
        <v>0</v>
      </c>
      <c r="BD243">
        <v>0</v>
      </c>
      <c r="BE243">
        <v>0</v>
      </c>
      <c r="BF243" t="s">
        <v>1063</v>
      </c>
      <c r="BG243" t="s">
        <v>3393</v>
      </c>
      <c r="BH243">
        <v>15</v>
      </c>
      <c r="BI243" t="s">
        <v>1273</v>
      </c>
      <c r="BK243">
        <v>1874010</v>
      </c>
    </row>
    <row r="244" spans="1:63">
      <c r="A244" s="1">
        <f>HYPERLINK("https://lsnyc.legalserver.org/matter/dynamic-profile/view/1873144","18-1873144")</f>
        <v>0</v>
      </c>
      <c r="B244" t="s">
        <v>2940</v>
      </c>
      <c r="C244" t="s">
        <v>2975</v>
      </c>
      <c r="D244" t="s">
        <v>255</v>
      </c>
      <c r="E244" t="s">
        <v>2977</v>
      </c>
      <c r="F244" t="s">
        <v>273</v>
      </c>
      <c r="G244" t="s">
        <v>275</v>
      </c>
      <c r="H244">
        <v>119.52</v>
      </c>
      <c r="I244" t="s">
        <v>274</v>
      </c>
      <c r="K244" t="s">
        <v>1737</v>
      </c>
      <c r="O244" t="s">
        <v>275</v>
      </c>
      <c r="P244" t="s">
        <v>492</v>
      </c>
      <c r="Q244" t="s">
        <v>501</v>
      </c>
      <c r="S244" t="s">
        <v>503</v>
      </c>
      <c r="T244" t="s">
        <v>508</v>
      </c>
      <c r="U244" t="s">
        <v>511</v>
      </c>
      <c r="V244">
        <v>10002</v>
      </c>
      <c r="W244" t="s">
        <v>516</v>
      </c>
      <c r="X244" t="s">
        <v>549</v>
      </c>
      <c r="Y244" t="s">
        <v>275</v>
      </c>
      <c r="Z244" t="s">
        <v>3123</v>
      </c>
      <c r="AA244" t="s">
        <v>3229</v>
      </c>
      <c r="AB244" t="s">
        <v>902</v>
      </c>
      <c r="AC244" t="s">
        <v>904</v>
      </c>
      <c r="AD244" t="s">
        <v>274</v>
      </c>
      <c r="AF244" t="s">
        <v>923</v>
      </c>
      <c r="AI244">
        <v>139.98</v>
      </c>
      <c r="AJ244" t="s">
        <v>558</v>
      </c>
      <c r="AK244" t="s">
        <v>951</v>
      </c>
      <c r="AL244" t="s">
        <v>274</v>
      </c>
      <c r="AM244" t="s">
        <v>973</v>
      </c>
      <c r="AN244" t="s">
        <v>3277</v>
      </c>
      <c r="AO244" t="s">
        <v>978</v>
      </c>
      <c r="AP244" t="s">
        <v>2389</v>
      </c>
      <c r="AT244">
        <v>2</v>
      </c>
      <c r="AU244">
        <v>2</v>
      </c>
      <c r="AV244" t="s">
        <v>273</v>
      </c>
      <c r="AY244" t="s">
        <v>273</v>
      </c>
      <c r="BB244">
        <v>0</v>
      </c>
      <c r="BC244">
        <v>0</v>
      </c>
      <c r="BD244">
        <v>0</v>
      </c>
      <c r="BE244">
        <v>0</v>
      </c>
      <c r="BF244" t="s">
        <v>1063</v>
      </c>
      <c r="BG244" t="s">
        <v>3406</v>
      </c>
      <c r="BH244">
        <v>40</v>
      </c>
      <c r="BI244" t="s">
        <v>1272</v>
      </c>
      <c r="BK244">
        <v>1855330</v>
      </c>
    </row>
    <row r="245" spans="1:63">
      <c r="A245" s="1">
        <f>HYPERLINK("https://lsnyc.legalserver.org/matter/dynamic-profile/view/1872875","18-1872875")</f>
        <v>0</v>
      </c>
      <c r="B245" t="s">
        <v>2854</v>
      </c>
      <c r="C245" t="s">
        <v>2975</v>
      </c>
      <c r="D245" t="s">
        <v>255</v>
      </c>
      <c r="E245" t="s">
        <v>2977</v>
      </c>
      <c r="F245" t="s">
        <v>275</v>
      </c>
      <c r="G245" t="s">
        <v>275</v>
      </c>
      <c r="H245">
        <v>0</v>
      </c>
      <c r="I245" t="s">
        <v>274</v>
      </c>
      <c r="K245" t="s">
        <v>390</v>
      </c>
      <c r="L245" t="s">
        <v>468</v>
      </c>
      <c r="O245" t="s">
        <v>275</v>
      </c>
      <c r="P245" t="s">
        <v>495</v>
      </c>
      <c r="Q245" t="s">
        <v>501</v>
      </c>
      <c r="S245" t="s">
        <v>503</v>
      </c>
      <c r="T245" t="s">
        <v>508</v>
      </c>
      <c r="U245" t="s">
        <v>511</v>
      </c>
      <c r="V245">
        <v>10027</v>
      </c>
      <c r="W245" t="s">
        <v>525</v>
      </c>
      <c r="X245" t="s">
        <v>548</v>
      </c>
      <c r="Y245" t="s">
        <v>275</v>
      </c>
      <c r="Z245" t="s">
        <v>3058</v>
      </c>
      <c r="AA245" t="s">
        <v>2111</v>
      </c>
      <c r="AB245" t="s">
        <v>902</v>
      </c>
      <c r="AC245" t="s">
        <v>904</v>
      </c>
      <c r="AD245" t="s">
        <v>916</v>
      </c>
      <c r="AE245" t="s">
        <v>919</v>
      </c>
      <c r="AF245" t="s">
        <v>923</v>
      </c>
      <c r="AI245">
        <v>9.050000000000001</v>
      </c>
      <c r="AJ245" t="s">
        <v>558</v>
      </c>
      <c r="AK245" t="s">
        <v>950</v>
      </c>
      <c r="AL245" t="s">
        <v>274</v>
      </c>
      <c r="AM245" t="s">
        <v>973</v>
      </c>
      <c r="AN245" t="s">
        <v>387</v>
      </c>
      <c r="AO245" t="s">
        <v>978</v>
      </c>
      <c r="AP245" t="s">
        <v>485</v>
      </c>
      <c r="AQ245" t="s">
        <v>1038</v>
      </c>
      <c r="AR245" t="s">
        <v>1051</v>
      </c>
      <c r="AT245">
        <v>0</v>
      </c>
      <c r="AU245">
        <v>1</v>
      </c>
      <c r="AV245" t="s">
        <v>273</v>
      </c>
      <c r="AY245" t="s">
        <v>273</v>
      </c>
      <c r="BB245">
        <v>0</v>
      </c>
      <c r="BC245">
        <v>0</v>
      </c>
      <c r="BD245">
        <v>0</v>
      </c>
      <c r="BE245">
        <v>0</v>
      </c>
      <c r="BF245" t="s">
        <v>493</v>
      </c>
      <c r="BG245" t="s">
        <v>3324</v>
      </c>
      <c r="BH245">
        <v>66</v>
      </c>
      <c r="BI245" t="s">
        <v>1247</v>
      </c>
      <c r="BK245">
        <v>1873477</v>
      </c>
    </row>
    <row r="246" spans="1:63">
      <c r="A246" s="1">
        <f>HYPERLINK("https://lsnyc.legalserver.org/matter/dynamic-profile/view/1872804","18-1872804")</f>
        <v>0</v>
      </c>
      <c r="B246" t="s">
        <v>2834</v>
      </c>
      <c r="C246" t="s">
        <v>2975</v>
      </c>
      <c r="D246" t="s">
        <v>257</v>
      </c>
      <c r="E246" t="s">
        <v>2977</v>
      </c>
      <c r="F246" t="s">
        <v>273</v>
      </c>
      <c r="G246" t="s">
        <v>275</v>
      </c>
      <c r="H246">
        <v>63.18</v>
      </c>
      <c r="I246" t="s">
        <v>274</v>
      </c>
      <c r="K246" t="s">
        <v>2998</v>
      </c>
      <c r="M246" t="s">
        <v>473</v>
      </c>
      <c r="N246" t="s">
        <v>447</v>
      </c>
      <c r="O246" t="s">
        <v>275</v>
      </c>
      <c r="P246" t="s">
        <v>492</v>
      </c>
      <c r="Q246" t="s">
        <v>501</v>
      </c>
      <c r="S246" t="s">
        <v>503</v>
      </c>
      <c r="T246" t="s">
        <v>507</v>
      </c>
      <c r="U246" t="s">
        <v>511</v>
      </c>
      <c r="V246">
        <v>10457</v>
      </c>
      <c r="W246" t="s">
        <v>519</v>
      </c>
      <c r="X246" t="s">
        <v>548</v>
      </c>
      <c r="Y246" t="s">
        <v>275</v>
      </c>
      <c r="Z246" t="s">
        <v>3042</v>
      </c>
      <c r="AA246" t="s">
        <v>3161</v>
      </c>
      <c r="AB246" t="s">
        <v>902</v>
      </c>
      <c r="AC246" t="s">
        <v>905</v>
      </c>
      <c r="AF246" t="s">
        <v>926</v>
      </c>
      <c r="AI246">
        <v>62.35</v>
      </c>
      <c r="AJ246" t="s">
        <v>558</v>
      </c>
      <c r="AK246" t="s">
        <v>934</v>
      </c>
      <c r="AL246" t="s">
        <v>274</v>
      </c>
      <c r="AM246" t="s">
        <v>973</v>
      </c>
      <c r="AN246" t="s">
        <v>1688</v>
      </c>
      <c r="AT246">
        <v>1</v>
      </c>
      <c r="AU246">
        <v>1</v>
      </c>
      <c r="AV246" t="s">
        <v>273</v>
      </c>
      <c r="AY246" t="s">
        <v>273</v>
      </c>
      <c r="BB246">
        <v>0</v>
      </c>
      <c r="BC246">
        <v>0</v>
      </c>
      <c r="BD246">
        <v>0</v>
      </c>
      <c r="BE246">
        <v>0</v>
      </c>
      <c r="BF246" t="s">
        <v>1063</v>
      </c>
      <c r="BG246" t="s">
        <v>3305</v>
      </c>
      <c r="BH246">
        <v>41</v>
      </c>
      <c r="BI246" t="s">
        <v>1301</v>
      </c>
      <c r="BK246">
        <v>1873406</v>
      </c>
    </row>
    <row r="247" spans="1:63">
      <c r="A247" s="1">
        <f>HYPERLINK("https://lsnyc.legalserver.org/matter/dynamic-profile/view/1872614","18-1872614")</f>
        <v>0</v>
      </c>
      <c r="B247" t="s">
        <v>2955</v>
      </c>
      <c r="C247" t="s">
        <v>2975</v>
      </c>
      <c r="D247" t="s">
        <v>255</v>
      </c>
      <c r="E247" t="s">
        <v>2977</v>
      </c>
      <c r="F247" t="s">
        <v>273</v>
      </c>
      <c r="G247" t="s">
        <v>275</v>
      </c>
      <c r="H247">
        <v>79.08</v>
      </c>
      <c r="I247" t="s">
        <v>274</v>
      </c>
      <c r="K247" t="s">
        <v>391</v>
      </c>
      <c r="O247" t="s">
        <v>275</v>
      </c>
      <c r="P247" t="s">
        <v>492</v>
      </c>
      <c r="Q247" t="s">
        <v>501</v>
      </c>
      <c r="S247" t="s">
        <v>503</v>
      </c>
      <c r="T247" t="s">
        <v>508</v>
      </c>
      <c r="U247" t="s">
        <v>511</v>
      </c>
      <c r="V247">
        <v>10282</v>
      </c>
      <c r="W247" t="s">
        <v>532</v>
      </c>
      <c r="X247" t="s">
        <v>549</v>
      </c>
      <c r="Y247" t="s">
        <v>275</v>
      </c>
      <c r="Z247" t="s">
        <v>3132</v>
      </c>
      <c r="AA247" t="s">
        <v>3240</v>
      </c>
      <c r="AB247" t="s">
        <v>902</v>
      </c>
      <c r="AC247" t="s">
        <v>905</v>
      </c>
      <c r="AF247" t="s">
        <v>923</v>
      </c>
      <c r="AI247">
        <v>30.7</v>
      </c>
      <c r="AJ247" t="s">
        <v>558</v>
      </c>
      <c r="AK247" t="s">
        <v>3266</v>
      </c>
      <c r="AL247" t="s">
        <v>274</v>
      </c>
      <c r="AM247" t="s">
        <v>973</v>
      </c>
      <c r="AN247" t="s">
        <v>333</v>
      </c>
      <c r="AT247">
        <v>0</v>
      </c>
      <c r="AU247">
        <v>1</v>
      </c>
      <c r="AV247" t="s">
        <v>273</v>
      </c>
      <c r="AY247" t="s">
        <v>273</v>
      </c>
      <c r="BB247">
        <v>0</v>
      </c>
      <c r="BC247">
        <v>0</v>
      </c>
      <c r="BD247">
        <v>0</v>
      </c>
      <c r="BE247">
        <v>0</v>
      </c>
      <c r="BF247" t="s">
        <v>1063</v>
      </c>
      <c r="BG247" t="s">
        <v>3419</v>
      </c>
      <c r="BH247">
        <v>25</v>
      </c>
      <c r="BI247" t="s">
        <v>1280</v>
      </c>
      <c r="BK247">
        <v>1873216</v>
      </c>
    </row>
    <row r="248" spans="1:63">
      <c r="A248" s="1">
        <f>HYPERLINK("https://lsnyc.legalserver.org/matter/dynamic-profile/view/1870990","18-1870990")</f>
        <v>0</v>
      </c>
      <c r="B248" t="s">
        <v>2956</v>
      </c>
      <c r="C248" t="s">
        <v>2975</v>
      </c>
      <c r="D248" t="s">
        <v>255</v>
      </c>
      <c r="E248" t="s">
        <v>2977</v>
      </c>
      <c r="F248" t="s">
        <v>275</v>
      </c>
      <c r="G248" t="s">
        <v>275</v>
      </c>
      <c r="H248">
        <v>64.25</v>
      </c>
      <c r="I248" t="s">
        <v>274</v>
      </c>
      <c r="K248" t="s">
        <v>2999</v>
      </c>
      <c r="L248" t="s">
        <v>292</v>
      </c>
      <c r="O248" t="s">
        <v>275</v>
      </c>
      <c r="P248" t="s">
        <v>495</v>
      </c>
      <c r="Q248" t="s">
        <v>501</v>
      </c>
      <c r="S248" t="s">
        <v>503</v>
      </c>
      <c r="T248" t="s">
        <v>507</v>
      </c>
      <c r="U248" t="s">
        <v>511</v>
      </c>
      <c r="V248">
        <v>10128</v>
      </c>
      <c r="W248" t="s">
        <v>536</v>
      </c>
      <c r="X248" t="s">
        <v>549</v>
      </c>
      <c r="Y248" t="s">
        <v>274</v>
      </c>
      <c r="Z248" t="s">
        <v>3133</v>
      </c>
      <c r="AA248" t="s">
        <v>3241</v>
      </c>
      <c r="AB248" t="s">
        <v>902</v>
      </c>
      <c r="AC248" t="s">
        <v>905</v>
      </c>
      <c r="AD248" t="s">
        <v>274</v>
      </c>
      <c r="AE248" t="s">
        <v>918</v>
      </c>
      <c r="AF248" t="s">
        <v>927</v>
      </c>
      <c r="AI248">
        <v>29.45</v>
      </c>
      <c r="AJ248" t="s">
        <v>558</v>
      </c>
      <c r="AK248" t="s">
        <v>3267</v>
      </c>
      <c r="AL248" t="s">
        <v>274</v>
      </c>
      <c r="AM248" t="s">
        <v>975</v>
      </c>
      <c r="AN248" t="s">
        <v>1717</v>
      </c>
      <c r="AO248" t="s">
        <v>975</v>
      </c>
      <c r="AP248" t="s">
        <v>294</v>
      </c>
      <c r="AQ248" t="s">
        <v>1033</v>
      </c>
      <c r="AR248" t="s">
        <v>1053</v>
      </c>
      <c r="AT248">
        <v>0</v>
      </c>
      <c r="AU248">
        <v>1</v>
      </c>
      <c r="AV248" t="s">
        <v>273</v>
      </c>
      <c r="AY248" t="s">
        <v>273</v>
      </c>
      <c r="BB248">
        <v>0</v>
      </c>
      <c r="BC248">
        <v>0</v>
      </c>
      <c r="BD248">
        <v>0</v>
      </c>
      <c r="BE248">
        <v>0</v>
      </c>
      <c r="BF248" t="s">
        <v>493</v>
      </c>
      <c r="BG248" t="s">
        <v>3420</v>
      </c>
      <c r="BH248">
        <v>45</v>
      </c>
      <c r="BI248" t="s">
        <v>2771</v>
      </c>
      <c r="BK248">
        <v>1840098</v>
      </c>
    </row>
    <row r="249" spans="1:63">
      <c r="A249" s="1">
        <f>HYPERLINK("https://lsnyc.legalserver.org/matter/dynamic-profile/view/1870512","18-1870512")</f>
        <v>0</v>
      </c>
      <c r="B249" t="s">
        <v>2957</v>
      </c>
      <c r="C249" t="s">
        <v>2975</v>
      </c>
      <c r="D249" t="s">
        <v>253</v>
      </c>
      <c r="E249" t="s">
        <v>2979</v>
      </c>
      <c r="F249" t="s">
        <v>275</v>
      </c>
      <c r="G249" t="s">
        <v>275</v>
      </c>
      <c r="H249">
        <v>100.1</v>
      </c>
      <c r="I249" t="s">
        <v>274</v>
      </c>
      <c r="K249" t="s">
        <v>3000</v>
      </c>
      <c r="L249" t="s">
        <v>461</v>
      </c>
      <c r="M249" t="s">
        <v>471</v>
      </c>
      <c r="N249" t="s">
        <v>302</v>
      </c>
      <c r="P249" t="s">
        <v>493</v>
      </c>
      <c r="Q249" t="s">
        <v>501</v>
      </c>
      <c r="S249" t="s">
        <v>503</v>
      </c>
      <c r="T249" t="s">
        <v>507</v>
      </c>
      <c r="U249" t="s">
        <v>511</v>
      </c>
      <c r="V249">
        <v>11103</v>
      </c>
      <c r="W249" t="s">
        <v>517</v>
      </c>
      <c r="X249" t="s">
        <v>548</v>
      </c>
      <c r="Y249" t="s">
        <v>275</v>
      </c>
      <c r="Z249" t="s">
        <v>617</v>
      </c>
      <c r="AA249" t="s">
        <v>3242</v>
      </c>
      <c r="AB249" t="s">
        <v>902</v>
      </c>
      <c r="AC249" t="s">
        <v>904</v>
      </c>
      <c r="AD249" t="s">
        <v>275</v>
      </c>
      <c r="AE249" t="s">
        <v>919</v>
      </c>
      <c r="AF249" t="s">
        <v>923</v>
      </c>
      <c r="AI249">
        <v>13.25</v>
      </c>
      <c r="AJ249" t="s">
        <v>558</v>
      </c>
      <c r="AK249" t="s">
        <v>2373</v>
      </c>
      <c r="AL249" t="s">
        <v>274</v>
      </c>
      <c r="AM249" t="s">
        <v>973</v>
      </c>
      <c r="AN249" t="s">
        <v>3278</v>
      </c>
      <c r="AO249" t="s">
        <v>978</v>
      </c>
      <c r="AP249" t="s">
        <v>465</v>
      </c>
      <c r="AQ249" t="s">
        <v>1042</v>
      </c>
      <c r="AR249" t="s">
        <v>1051</v>
      </c>
      <c r="AT249">
        <v>0</v>
      </c>
      <c r="AU249">
        <v>3</v>
      </c>
      <c r="AV249" t="s">
        <v>273</v>
      </c>
      <c r="AY249" t="s">
        <v>273</v>
      </c>
      <c r="BB249">
        <v>0</v>
      </c>
      <c r="BC249">
        <v>0</v>
      </c>
      <c r="BD249">
        <v>0</v>
      </c>
      <c r="BE249">
        <v>0</v>
      </c>
      <c r="BF249" t="s">
        <v>493</v>
      </c>
      <c r="BG249" t="s">
        <v>3421</v>
      </c>
      <c r="BH249">
        <v>21</v>
      </c>
      <c r="BI249" t="s">
        <v>1261</v>
      </c>
      <c r="BK249">
        <v>1871112</v>
      </c>
    </row>
    <row r="250" spans="1:63">
      <c r="A250" s="1">
        <f>HYPERLINK("https://lsnyc.legalserver.org/matter/dynamic-profile/view/1870240","18-1870240")</f>
        <v>0</v>
      </c>
      <c r="B250" t="s">
        <v>2929</v>
      </c>
      <c r="C250" t="s">
        <v>2975</v>
      </c>
      <c r="D250" t="s">
        <v>255</v>
      </c>
      <c r="E250" t="s">
        <v>2978</v>
      </c>
      <c r="F250" t="s">
        <v>273</v>
      </c>
      <c r="G250" t="s">
        <v>275</v>
      </c>
      <c r="H250">
        <v>0</v>
      </c>
      <c r="I250" t="s">
        <v>274</v>
      </c>
      <c r="K250" t="s">
        <v>3001</v>
      </c>
      <c r="O250" t="s">
        <v>275</v>
      </c>
      <c r="P250" t="s">
        <v>498</v>
      </c>
      <c r="Q250" t="s">
        <v>502</v>
      </c>
      <c r="S250" t="s">
        <v>503</v>
      </c>
      <c r="T250" t="s">
        <v>507</v>
      </c>
      <c r="U250" t="s">
        <v>511</v>
      </c>
      <c r="V250">
        <v>10039</v>
      </c>
      <c r="W250" t="s">
        <v>518</v>
      </c>
      <c r="X250" t="s">
        <v>557</v>
      </c>
      <c r="Y250" t="s">
        <v>275</v>
      </c>
      <c r="Z250" t="s">
        <v>3068</v>
      </c>
      <c r="AA250" t="s">
        <v>3179</v>
      </c>
      <c r="AB250" t="s">
        <v>902</v>
      </c>
      <c r="AC250" t="s">
        <v>905</v>
      </c>
      <c r="AF250" t="s">
        <v>926</v>
      </c>
      <c r="AI250">
        <v>82.09999999999999</v>
      </c>
      <c r="AJ250" t="s">
        <v>558</v>
      </c>
      <c r="AK250" t="s">
        <v>967</v>
      </c>
      <c r="AL250" t="s">
        <v>274</v>
      </c>
      <c r="AT250">
        <v>0</v>
      </c>
      <c r="AU250">
        <v>1</v>
      </c>
      <c r="AV250" t="s">
        <v>273</v>
      </c>
      <c r="AY250" t="s">
        <v>273</v>
      </c>
      <c r="BB250">
        <v>0</v>
      </c>
      <c r="BC250">
        <v>0</v>
      </c>
      <c r="BD250">
        <v>0</v>
      </c>
      <c r="BE250">
        <v>0</v>
      </c>
      <c r="BF250" t="s">
        <v>1063</v>
      </c>
      <c r="BG250" t="s">
        <v>3335</v>
      </c>
      <c r="BH250">
        <v>18</v>
      </c>
      <c r="BI250" t="s">
        <v>1247</v>
      </c>
      <c r="BK250">
        <v>1870840</v>
      </c>
    </row>
    <row r="251" spans="1:63">
      <c r="A251" s="1">
        <f>HYPERLINK("https://lsnyc.legalserver.org/matter/dynamic-profile/view/1869622","18-1869622")</f>
        <v>0</v>
      </c>
      <c r="B251" t="s">
        <v>2958</v>
      </c>
      <c r="C251" t="s">
        <v>2975</v>
      </c>
      <c r="D251" t="s">
        <v>257</v>
      </c>
      <c r="E251" t="s">
        <v>2978</v>
      </c>
      <c r="F251" t="s">
        <v>275</v>
      </c>
      <c r="G251" t="s">
        <v>275</v>
      </c>
      <c r="H251">
        <v>172.91</v>
      </c>
      <c r="I251" t="s">
        <v>274</v>
      </c>
      <c r="K251" t="s">
        <v>3002</v>
      </c>
      <c r="L251" t="s">
        <v>279</v>
      </c>
      <c r="M251" t="s">
        <v>471</v>
      </c>
      <c r="N251" t="s">
        <v>449</v>
      </c>
      <c r="P251" t="s">
        <v>493</v>
      </c>
      <c r="Q251" t="s">
        <v>501</v>
      </c>
      <c r="S251" t="s">
        <v>503</v>
      </c>
      <c r="T251" t="s">
        <v>508</v>
      </c>
      <c r="U251" t="s">
        <v>511</v>
      </c>
      <c r="V251">
        <v>10452</v>
      </c>
      <c r="W251" t="s">
        <v>517</v>
      </c>
      <c r="X251" t="s">
        <v>557</v>
      </c>
      <c r="Y251" t="s">
        <v>275</v>
      </c>
      <c r="Z251" t="s">
        <v>3134</v>
      </c>
      <c r="AA251" t="s">
        <v>3243</v>
      </c>
      <c r="AB251" t="s">
        <v>902</v>
      </c>
      <c r="AC251" t="s">
        <v>904</v>
      </c>
      <c r="AD251" t="s">
        <v>275</v>
      </c>
      <c r="AE251" t="s">
        <v>919</v>
      </c>
      <c r="AF251" t="s">
        <v>923</v>
      </c>
      <c r="AI251">
        <v>18.2</v>
      </c>
      <c r="AJ251" t="s">
        <v>558</v>
      </c>
      <c r="AK251" t="s">
        <v>970</v>
      </c>
      <c r="AL251" t="s">
        <v>274</v>
      </c>
      <c r="AM251" t="s">
        <v>973</v>
      </c>
      <c r="AN251" t="s">
        <v>364</v>
      </c>
      <c r="AO251" t="s">
        <v>976</v>
      </c>
      <c r="AP251" t="s">
        <v>449</v>
      </c>
      <c r="AQ251" t="s">
        <v>1042</v>
      </c>
      <c r="AR251" t="s">
        <v>1051</v>
      </c>
      <c r="AT251">
        <v>2</v>
      </c>
      <c r="AU251">
        <v>2</v>
      </c>
      <c r="AV251" t="s">
        <v>273</v>
      </c>
      <c r="AY251" t="s">
        <v>273</v>
      </c>
      <c r="BB251">
        <v>0</v>
      </c>
      <c r="BC251">
        <v>0</v>
      </c>
      <c r="BD251">
        <v>0</v>
      </c>
      <c r="BE251">
        <v>0</v>
      </c>
      <c r="BF251" t="s">
        <v>493</v>
      </c>
      <c r="BG251" t="s">
        <v>3422</v>
      </c>
      <c r="BH251">
        <v>41</v>
      </c>
      <c r="BI251" t="s">
        <v>3473</v>
      </c>
      <c r="BK251">
        <v>806702</v>
      </c>
    </row>
    <row r="252" spans="1:63">
      <c r="A252" s="1">
        <f>HYPERLINK("https://lsnyc.legalserver.org/matter/dynamic-profile/view/1878918","18-1878918")</f>
        <v>0</v>
      </c>
      <c r="B252" t="s">
        <v>2959</v>
      </c>
      <c r="C252" t="s">
        <v>2975</v>
      </c>
      <c r="D252" t="s">
        <v>255</v>
      </c>
      <c r="E252" t="s">
        <v>2979</v>
      </c>
      <c r="F252" t="s">
        <v>273</v>
      </c>
      <c r="G252" t="s">
        <v>275</v>
      </c>
      <c r="H252">
        <v>0</v>
      </c>
      <c r="I252" t="s">
        <v>274</v>
      </c>
      <c r="K252" t="s">
        <v>2400</v>
      </c>
      <c r="M252" t="s">
        <v>471</v>
      </c>
      <c r="N252" t="s">
        <v>485</v>
      </c>
      <c r="P252" t="s">
        <v>492</v>
      </c>
      <c r="Q252" t="s">
        <v>501</v>
      </c>
      <c r="S252" t="s">
        <v>503</v>
      </c>
      <c r="T252" t="s">
        <v>508</v>
      </c>
      <c r="U252" t="s">
        <v>511</v>
      </c>
      <c r="V252">
        <v>10031</v>
      </c>
      <c r="W252" t="s">
        <v>519</v>
      </c>
      <c r="X252" t="s">
        <v>549</v>
      </c>
      <c r="Y252" t="s">
        <v>275</v>
      </c>
      <c r="Z252" t="s">
        <v>3050</v>
      </c>
      <c r="AA252" t="s">
        <v>815</v>
      </c>
      <c r="AB252" t="s">
        <v>902</v>
      </c>
      <c r="AC252" t="s">
        <v>905</v>
      </c>
      <c r="AF252" t="s">
        <v>926</v>
      </c>
      <c r="AI252">
        <v>26.5</v>
      </c>
      <c r="AJ252" t="s">
        <v>558</v>
      </c>
      <c r="AK252" t="s">
        <v>936</v>
      </c>
      <c r="AL252" t="s">
        <v>274</v>
      </c>
      <c r="AM252" t="s">
        <v>973</v>
      </c>
      <c r="AN252" t="s">
        <v>485</v>
      </c>
      <c r="AT252">
        <v>1</v>
      </c>
      <c r="AU252">
        <v>1</v>
      </c>
      <c r="AV252" t="s">
        <v>273</v>
      </c>
      <c r="AY252" t="s">
        <v>273</v>
      </c>
      <c r="BB252">
        <v>0</v>
      </c>
      <c r="BC252">
        <v>0</v>
      </c>
      <c r="BD252">
        <v>0</v>
      </c>
      <c r="BE252">
        <v>0</v>
      </c>
      <c r="BF252" t="s">
        <v>1063</v>
      </c>
      <c r="BG252" t="s">
        <v>3315</v>
      </c>
      <c r="BH252">
        <v>32</v>
      </c>
      <c r="BI252" t="s">
        <v>1247</v>
      </c>
      <c r="BK252">
        <v>1861976</v>
      </c>
    </row>
    <row r="253" spans="1:63">
      <c r="A253" s="1">
        <f>HYPERLINK("https://lsnyc.legalserver.org/matter/dynamic-profile/view/1878967","18-1878967")</f>
        <v>0</v>
      </c>
      <c r="B253" t="s">
        <v>2842</v>
      </c>
      <c r="C253" t="s">
        <v>2975</v>
      </c>
      <c r="D253" t="s">
        <v>255</v>
      </c>
      <c r="E253" t="s">
        <v>2979</v>
      </c>
      <c r="F253" t="s">
        <v>273</v>
      </c>
      <c r="G253" t="s">
        <v>275</v>
      </c>
      <c r="H253">
        <v>0</v>
      </c>
      <c r="I253" t="s">
        <v>274</v>
      </c>
      <c r="K253" t="s">
        <v>2400</v>
      </c>
      <c r="M253" t="s">
        <v>471</v>
      </c>
      <c r="N253" t="s">
        <v>485</v>
      </c>
      <c r="P253" t="s">
        <v>492</v>
      </c>
      <c r="Q253" t="s">
        <v>501</v>
      </c>
      <c r="S253" t="s">
        <v>503</v>
      </c>
      <c r="T253" t="s">
        <v>508</v>
      </c>
      <c r="U253" t="s">
        <v>511</v>
      </c>
      <c r="V253">
        <v>10031</v>
      </c>
      <c r="W253" t="s">
        <v>521</v>
      </c>
      <c r="X253" t="s">
        <v>548</v>
      </c>
      <c r="Z253" t="s">
        <v>717</v>
      </c>
      <c r="AA253" t="s">
        <v>815</v>
      </c>
      <c r="AB253" t="s">
        <v>902</v>
      </c>
      <c r="AC253" t="s">
        <v>905</v>
      </c>
      <c r="AF253" t="s">
        <v>926</v>
      </c>
      <c r="AI253">
        <v>17.02</v>
      </c>
      <c r="AJ253" t="s">
        <v>558</v>
      </c>
      <c r="AK253" t="s">
        <v>936</v>
      </c>
      <c r="AL253" t="s">
        <v>274</v>
      </c>
      <c r="AT253">
        <v>1</v>
      </c>
      <c r="AU253">
        <v>1</v>
      </c>
      <c r="AV253" t="s">
        <v>273</v>
      </c>
      <c r="AY253" t="s">
        <v>273</v>
      </c>
      <c r="BB253">
        <v>0</v>
      </c>
      <c r="BC253">
        <v>0</v>
      </c>
      <c r="BD253">
        <v>0</v>
      </c>
      <c r="BE253">
        <v>0</v>
      </c>
      <c r="BF253" t="s">
        <v>1063</v>
      </c>
      <c r="BG253" t="s">
        <v>3313</v>
      </c>
      <c r="BH253">
        <v>5</v>
      </c>
      <c r="BI253" t="s">
        <v>1247</v>
      </c>
      <c r="BK253">
        <v>1861984</v>
      </c>
    </row>
    <row r="254" spans="1:63">
      <c r="A254" s="1">
        <f>HYPERLINK("https://lsnyc.legalserver.org/matter/dynamic-profile/view/1867716","18-1867716")</f>
        <v>0</v>
      </c>
      <c r="B254" t="s">
        <v>2960</v>
      </c>
      <c r="C254" t="s">
        <v>2975</v>
      </c>
      <c r="D254" t="s">
        <v>255</v>
      </c>
      <c r="E254" t="s">
        <v>2978</v>
      </c>
      <c r="F254" t="s">
        <v>273</v>
      </c>
      <c r="G254" t="s">
        <v>275</v>
      </c>
      <c r="H254">
        <v>182.26</v>
      </c>
      <c r="I254" t="s">
        <v>274</v>
      </c>
      <c r="K254" t="s">
        <v>3003</v>
      </c>
      <c r="P254" t="s">
        <v>492</v>
      </c>
      <c r="Q254" t="s">
        <v>501</v>
      </c>
      <c r="S254" t="s">
        <v>503</v>
      </c>
      <c r="T254" t="s">
        <v>508</v>
      </c>
      <c r="U254" t="s">
        <v>511</v>
      </c>
      <c r="V254">
        <v>10033</v>
      </c>
      <c r="W254" t="s">
        <v>523</v>
      </c>
      <c r="X254" t="s">
        <v>548</v>
      </c>
      <c r="Z254" t="s">
        <v>3135</v>
      </c>
      <c r="AA254" t="s">
        <v>2350</v>
      </c>
      <c r="AB254" t="s">
        <v>902</v>
      </c>
      <c r="AC254" t="s">
        <v>906</v>
      </c>
      <c r="AF254" t="s">
        <v>923</v>
      </c>
      <c r="AI254">
        <v>3.8</v>
      </c>
      <c r="AJ254" t="s">
        <v>558</v>
      </c>
      <c r="AK254" t="s">
        <v>933</v>
      </c>
      <c r="AL254" t="s">
        <v>274</v>
      </c>
      <c r="AM254" t="s">
        <v>973</v>
      </c>
      <c r="AN254" t="s">
        <v>3002</v>
      </c>
      <c r="AT254">
        <v>0</v>
      </c>
      <c r="AU254">
        <v>2</v>
      </c>
      <c r="AV254" t="s">
        <v>273</v>
      </c>
      <c r="AY254" t="s">
        <v>273</v>
      </c>
      <c r="BB254">
        <v>0</v>
      </c>
      <c r="BC254">
        <v>0</v>
      </c>
      <c r="BD254">
        <v>0</v>
      </c>
      <c r="BE254">
        <v>0</v>
      </c>
      <c r="BF254" t="s">
        <v>1063</v>
      </c>
      <c r="BG254" t="s">
        <v>3423</v>
      </c>
      <c r="BH254">
        <v>26</v>
      </c>
      <c r="BI254" t="s">
        <v>1272</v>
      </c>
      <c r="BK254">
        <v>755008</v>
      </c>
    </row>
    <row r="255" spans="1:63">
      <c r="A255" s="1">
        <f>HYPERLINK("https://lsnyc.legalserver.org/matter/dynamic-profile/view/1865904","18-1865904")</f>
        <v>0</v>
      </c>
      <c r="B255" t="s">
        <v>2846</v>
      </c>
      <c r="C255" t="s">
        <v>2975</v>
      </c>
      <c r="D255" t="s">
        <v>255</v>
      </c>
      <c r="E255" t="s">
        <v>2979</v>
      </c>
      <c r="F255" t="s">
        <v>275</v>
      </c>
      <c r="G255" t="s">
        <v>275</v>
      </c>
      <c r="H255">
        <v>0</v>
      </c>
      <c r="I255" t="s">
        <v>274</v>
      </c>
      <c r="K255" t="s">
        <v>400</v>
      </c>
      <c r="L255" t="s">
        <v>1676</v>
      </c>
      <c r="P255" t="s">
        <v>493</v>
      </c>
      <c r="Q255" t="s">
        <v>501</v>
      </c>
      <c r="S255" t="s">
        <v>503</v>
      </c>
      <c r="T255" t="s">
        <v>507</v>
      </c>
      <c r="U255" t="s">
        <v>511</v>
      </c>
      <c r="V255">
        <v>10039</v>
      </c>
      <c r="W255" t="s">
        <v>517</v>
      </c>
      <c r="X255" t="s">
        <v>549</v>
      </c>
      <c r="Y255" t="s">
        <v>275</v>
      </c>
      <c r="Z255" t="s">
        <v>3051</v>
      </c>
      <c r="AA255" t="s">
        <v>3169</v>
      </c>
      <c r="AB255" t="s">
        <v>902</v>
      </c>
      <c r="AC255" t="s">
        <v>904</v>
      </c>
      <c r="AD255" t="s">
        <v>275</v>
      </c>
      <c r="AE255" t="s">
        <v>919</v>
      </c>
      <c r="AF255" t="s">
        <v>923</v>
      </c>
      <c r="AI255">
        <v>17</v>
      </c>
      <c r="AJ255" t="s">
        <v>558</v>
      </c>
      <c r="AK255" t="s">
        <v>939</v>
      </c>
      <c r="AL255" t="s">
        <v>274</v>
      </c>
      <c r="AM255" t="s">
        <v>973</v>
      </c>
      <c r="AN255" t="s">
        <v>3000</v>
      </c>
      <c r="AO255" t="s">
        <v>978</v>
      </c>
      <c r="AP255" t="s">
        <v>1678</v>
      </c>
      <c r="AQ255" t="s">
        <v>1042</v>
      </c>
      <c r="AR255" t="s">
        <v>1051</v>
      </c>
      <c r="AT255">
        <v>2</v>
      </c>
      <c r="AU255">
        <v>1</v>
      </c>
      <c r="AV255" t="s">
        <v>273</v>
      </c>
      <c r="AY255" t="s">
        <v>273</v>
      </c>
      <c r="BB255">
        <v>0</v>
      </c>
      <c r="BC255">
        <v>0</v>
      </c>
      <c r="BD255">
        <v>725</v>
      </c>
      <c r="BE255">
        <v>0</v>
      </c>
      <c r="BF255" t="s">
        <v>493</v>
      </c>
      <c r="BG255" t="s">
        <v>3317</v>
      </c>
      <c r="BH255">
        <v>37</v>
      </c>
      <c r="BI255" t="s">
        <v>1247</v>
      </c>
      <c r="BK255">
        <v>767009</v>
      </c>
    </row>
    <row r="256" spans="1:63">
      <c r="A256" s="1">
        <f>HYPERLINK("https://lsnyc.legalserver.org/matter/dynamic-profile/view/1863683","18-1863683")</f>
        <v>0</v>
      </c>
      <c r="B256" t="s">
        <v>2961</v>
      </c>
      <c r="C256" t="s">
        <v>2975</v>
      </c>
      <c r="D256" t="s">
        <v>257</v>
      </c>
      <c r="E256" t="s">
        <v>2978</v>
      </c>
      <c r="F256" t="s">
        <v>273</v>
      </c>
      <c r="G256" t="s">
        <v>275</v>
      </c>
      <c r="H256">
        <v>74.78</v>
      </c>
      <c r="I256" t="s">
        <v>274</v>
      </c>
      <c r="K256" t="s">
        <v>403</v>
      </c>
      <c r="P256" t="s">
        <v>492</v>
      </c>
      <c r="Q256" t="s">
        <v>501</v>
      </c>
      <c r="S256" t="s">
        <v>503</v>
      </c>
      <c r="T256" t="s">
        <v>508</v>
      </c>
      <c r="U256" t="s">
        <v>511</v>
      </c>
      <c r="V256">
        <v>10454</v>
      </c>
      <c r="W256" t="s">
        <v>524</v>
      </c>
      <c r="X256" t="s">
        <v>3027</v>
      </c>
      <c r="Y256" t="s">
        <v>275</v>
      </c>
      <c r="Z256" t="s">
        <v>3136</v>
      </c>
      <c r="AA256" t="s">
        <v>3244</v>
      </c>
      <c r="AB256" t="s">
        <v>902</v>
      </c>
      <c r="AC256" t="s">
        <v>910</v>
      </c>
      <c r="AF256" t="s">
        <v>923</v>
      </c>
      <c r="AI256">
        <v>11.2</v>
      </c>
      <c r="AJ256" t="s">
        <v>558</v>
      </c>
      <c r="AK256" t="s">
        <v>3262</v>
      </c>
      <c r="AL256" t="s">
        <v>274</v>
      </c>
      <c r="AM256" t="s">
        <v>973</v>
      </c>
      <c r="AN256" t="s">
        <v>3279</v>
      </c>
      <c r="AT256">
        <v>3</v>
      </c>
      <c r="AU256">
        <v>2</v>
      </c>
      <c r="AV256" t="s">
        <v>273</v>
      </c>
      <c r="AY256" t="s">
        <v>273</v>
      </c>
      <c r="BB256">
        <v>0</v>
      </c>
      <c r="BC256">
        <v>0</v>
      </c>
      <c r="BD256">
        <v>0</v>
      </c>
      <c r="BE256">
        <v>0</v>
      </c>
      <c r="BF256" t="s">
        <v>1063</v>
      </c>
      <c r="BG256" t="s">
        <v>3424</v>
      </c>
      <c r="BH256">
        <v>12</v>
      </c>
      <c r="BI256" t="s">
        <v>2738</v>
      </c>
      <c r="BK256">
        <v>1864265</v>
      </c>
    </row>
    <row r="257" spans="1:63">
      <c r="A257" s="1">
        <f>HYPERLINK("https://lsnyc.legalserver.org/matter/dynamic-profile/view/1863688","18-1863688")</f>
        <v>0</v>
      </c>
      <c r="B257" t="s">
        <v>2962</v>
      </c>
      <c r="C257" t="s">
        <v>2975</v>
      </c>
      <c r="D257" t="s">
        <v>257</v>
      </c>
      <c r="E257" t="s">
        <v>2978</v>
      </c>
      <c r="F257" t="s">
        <v>273</v>
      </c>
      <c r="G257" t="s">
        <v>275</v>
      </c>
      <c r="H257">
        <v>78.18000000000001</v>
      </c>
      <c r="I257" t="s">
        <v>274</v>
      </c>
      <c r="K257" t="s">
        <v>403</v>
      </c>
      <c r="P257" t="s">
        <v>492</v>
      </c>
      <c r="Q257" t="s">
        <v>501</v>
      </c>
      <c r="S257" t="s">
        <v>503</v>
      </c>
      <c r="T257" t="s">
        <v>508</v>
      </c>
      <c r="U257" t="s">
        <v>511</v>
      </c>
      <c r="V257">
        <v>10454</v>
      </c>
      <c r="W257" t="s">
        <v>524</v>
      </c>
      <c r="X257" t="s">
        <v>557</v>
      </c>
      <c r="Z257" t="s">
        <v>3137</v>
      </c>
      <c r="AA257" t="s">
        <v>3244</v>
      </c>
      <c r="AB257" t="s">
        <v>902</v>
      </c>
      <c r="AC257" t="s">
        <v>910</v>
      </c>
      <c r="AF257" t="s">
        <v>923</v>
      </c>
      <c r="AI257">
        <v>10.3</v>
      </c>
      <c r="AJ257" t="s">
        <v>558</v>
      </c>
      <c r="AK257" t="s">
        <v>3262</v>
      </c>
      <c r="AL257" t="s">
        <v>274</v>
      </c>
      <c r="AM257" t="s">
        <v>973</v>
      </c>
      <c r="AN257" t="s">
        <v>3279</v>
      </c>
      <c r="AT257">
        <v>3</v>
      </c>
      <c r="AU257">
        <v>2</v>
      </c>
      <c r="AV257" t="s">
        <v>273</v>
      </c>
      <c r="AY257" t="s">
        <v>273</v>
      </c>
      <c r="BB257">
        <v>0</v>
      </c>
      <c r="BC257">
        <v>0</v>
      </c>
      <c r="BD257">
        <v>0</v>
      </c>
      <c r="BE257">
        <v>0</v>
      </c>
      <c r="BF257" t="s">
        <v>1063</v>
      </c>
      <c r="BG257" t="s">
        <v>3425</v>
      </c>
      <c r="BH257">
        <v>8</v>
      </c>
      <c r="BI257" t="s">
        <v>1310</v>
      </c>
      <c r="BK257">
        <v>1864270</v>
      </c>
    </row>
    <row r="258" spans="1:63">
      <c r="A258" s="1">
        <f>HYPERLINK("https://lsnyc.legalserver.org/matter/dynamic-profile/view/1863514","18-1863514")</f>
        <v>0</v>
      </c>
      <c r="B258" t="s">
        <v>2933</v>
      </c>
      <c r="C258" t="s">
        <v>2975</v>
      </c>
      <c r="D258" t="s">
        <v>255</v>
      </c>
      <c r="E258" t="s">
        <v>2979</v>
      </c>
      <c r="F258" t="s">
        <v>273</v>
      </c>
      <c r="G258" t="s">
        <v>275</v>
      </c>
      <c r="H258">
        <v>2.17</v>
      </c>
      <c r="I258" t="s">
        <v>274</v>
      </c>
      <c r="K258" t="s">
        <v>2395</v>
      </c>
      <c r="O258" t="s">
        <v>275</v>
      </c>
      <c r="P258" t="s">
        <v>492</v>
      </c>
      <c r="Q258" t="s">
        <v>501</v>
      </c>
      <c r="S258" t="s">
        <v>503</v>
      </c>
      <c r="T258" t="s">
        <v>507</v>
      </c>
      <c r="U258" t="s">
        <v>511</v>
      </c>
      <c r="V258">
        <v>10035</v>
      </c>
      <c r="W258" t="s">
        <v>518</v>
      </c>
      <c r="X258" t="s">
        <v>549</v>
      </c>
      <c r="Z258" t="s">
        <v>3117</v>
      </c>
      <c r="AA258" t="s">
        <v>3223</v>
      </c>
      <c r="AB258" t="s">
        <v>902</v>
      </c>
      <c r="AC258" t="s">
        <v>904</v>
      </c>
      <c r="AF258" t="s">
        <v>926</v>
      </c>
      <c r="AI258">
        <v>132.59</v>
      </c>
      <c r="AJ258" t="s">
        <v>558</v>
      </c>
      <c r="AK258" t="s">
        <v>939</v>
      </c>
      <c r="AL258" t="s">
        <v>274</v>
      </c>
      <c r="AT258">
        <v>0</v>
      </c>
      <c r="AU258">
        <v>1</v>
      </c>
      <c r="AV258" t="s">
        <v>273</v>
      </c>
      <c r="AY258" t="s">
        <v>273</v>
      </c>
      <c r="BB258">
        <v>0</v>
      </c>
      <c r="BC258">
        <v>0</v>
      </c>
      <c r="BD258">
        <v>0</v>
      </c>
      <c r="BE258">
        <v>0</v>
      </c>
      <c r="BF258" t="s">
        <v>1063</v>
      </c>
      <c r="BG258" t="s">
        <v>3399</v>
      </c>
      <c r="BH258">
        <v>55</v>
      </c>
      <c r="BI258" t="s">
        <v>3474</v>
      </c>
      <c r="BK258">
        <v>1864096</v>
      </c>
    </row>
    <row r="259" spans="1:63">
      <c r="A259" s="1">
        <f>HYPERLINK("https://lsnyc.legalserver.org/matter/dynamic-profile/view/1862674","18-1862674")</f>
        <v>0</v>
      </c>
      <c r="B259" t="s">
        <v>2911</v>
      </c>
      <c r="C259" t="s">
        <v>2975</v>
      </c>
      <c r="D259" t="s">
        <v>2976</v>
      </c>
      <c r="E259" t="s">
        <v>2979</v>
      </c>
      <c r="F259" t="s">
        <v>273</v>
      </c>
      <c r="G259" t="s">
        <v>275</v>
      </c>
      <c r="H259">
        <v>0</v>
      </c>
      <c r="I259" t="s">
        <v>274</v>
      </c>
      <c r="K259" t="s">
        <v>3004</v>
      </c>
      <c r="O259" t="s">
        <v>274</v>
      </c>
      <c r="P259" t="s">
        <v>492</v>
      </c>
      <c r="Q259" t="s">
        <v>501</v>
      </c>
      <c r="S259" t="s">
        <v>503</v>
      </c>
      <c r="T259" t="s">
        <v>507</v>
      </c>
      <c r="U259" t="s">
        <v>511</v>
      </c>
      <c r="V259">
        <v>10031</v>
      </c>
      <c r="W259" t="s">
        <v>518</v>
      </c>
      <c r="X259" t="s">
        <v>548</v>
      </c>
      <c r="Y259" t="s">
        <v>275</v>
      </c>
      <c r="Z259" t="s">
        <v>3103</v>
      </c>
      <c r="AA259" t="s">
        <v>3207</v>
      </c>
      <c r="AB259" t="s">
        <v>902</v>
      </c>
      <c r="AC259" t="s">
        <v>909</v>
      </c>
      <c r="AF259" t="s">
        <v>926</v>
      </c>
      <c r="AI259">
        <v>27.25</v>
      </c>
      <c r="AJ259" t="s">
        <v>558</v>
      </c>
      <c r="AK259" t="s">
        <v>938</v>
      </c>
      <c r="AL259" t="s">
        <v>274</v>
      </c>
      <c r="AM259" t="s">
        <v>973</v>
      </c>
      <c r="AN259" t="s">
        <v>1696</v>
      </c>
      <c r="AT259">
        <v>0</v>
      </c>
      <c r="AU259">
        <v>2</v>
      </c>
      <c r="AV259" t="s">
        <v>273</v>
      </c>
      <c r="AY259" t="s">
        <v>273</v>
      </c>
      <c r="BB259">
        <v>0</v>
      </c>
      <c r="BC259">
        <v>0</v>
      </c>
      <c r="BD259">
        <v>0</v>
      </c>
      <c r="BE259">
        <v>0</v>
      </c>
      <c r="BF259" t="s">
        <v>1063</v>
      </c>
      <c r="BG259" t="s">
        <v>3379</v>
      </c>
      <c r="BH259">
        <v>43</v>
      </c>
      <c r="BI259" t="s">
        <v>1247</v>
      </c>
      <c r="BK259">
        <v>1835723</v>
      </c>
    </row>
    <row r="260" spans="1:63">
      <c r="A260" s="1">
        <f>HYPERLINK("https://lsnyc.legalserver.org/matter/dynamic-profile/view/1862464","18-1862464")</f>
        <v>0</v>
      </c>
      <c r="B260" t="s">
        <v>2963</v>
      </c>
      <c r="C260" t="s">
        <v>2975</v>
      </c>
      <c r="D260" t="s">
        <v>255</v>
      </c>
      <c r="E260" t="s">
        <v>2978</v>
      </c>
      <c r="F260" t="s">
        <v>273</v>
      </c>
      <c r="G260" t="s">
        <v>275</v>
      </c>
      <c r="H260">
        <v>19.57</v>
      </c>
      <c r="I260" t="s">
        <v>274</v>
      </c>
      <c r="K260" t="s">
        <v>3005</v>
      </c>
      <c r="O260" t="s">
        <v>275</v>
      </c>
      <c r="Q260" t="s">
        <v>501</v>
      </c>
      <c r="S260" t="s">
        <v>503</v>
      </c>
      <c r="T260" t="s">
        <v>508</v>
      </c>
      <c r="U260" t="s">
        <v>511</v>
      </c>
      <c r="V260">
        <v>10031</v>
      </c>
      <c r="W260" t="s">
        <v>1831</v>
      </c>
      <c r="X260" t="s">
        <v>549</v>
      </c>
      <c r="Z260" t="s">
        <v>3138</v>
      </c>
      <c r="AA260" t="s">
        <v>3245</v>
      </c>
      <c r="AB260" t="s">
        <v>902</v>
      </c>
      <c r="AC260" t="s">
        <v>904</v>
      </c>
      <c r="AF260" t="s">
        <v>923</v>
      </c>
      <c r="AI260">
        <v>5.1</v>
      </c>
      <c r="AK260" t="s">
        <v>937</v>
      </c>
      <c r="AT260">
        <v>0</v>
      </c>
      <c r="AU260">
        <v>1</v>
      </c>
      <c r="AV260" t="s">
        <v>273</v>
      </c>
      <c r="AY260" t="s">
        <v>273</v>
      </c>
      <c r="BB260">
        <v>0</v>
      </c>
      <c r="BC260">
        <v>0</v>
      </c>
      <c r="BD260">
        <v>0</v>
      </c>
      <c r="BE260">
        <v>0</v>
      </c>
      <c r="BF260" t="s">
        <v>1063</v>
      </c>
      <c r="BG260" t="s">
        <v>3426</v>
      </c>
      <c r="BH260">
        <v>34</v>
      </c>
      <c r="BI260" t="s">
        <v>3475</v>
      </c>
      <c r="BK260">
        <v>1863043</v>
      </c>
    </row>
    <row r="261" spans="1:63">
      <c r="A261" s="1">
        <f>HYPERLINK("https://lsnyc.legalserver.org/matter/dynamic-profile/view/1861399","18-1861399")</f>
        <v>0</v>
      </c>
      <c r="B261" t="s">
        <v>2959</v>
      </c>
      <c r="C261" t="s">
        <v>2975</v>
      </c>
      <c r="D261" t="s">
        <v>255</v>
      </c>
      <c r="E261" t="s">
        <v>2979</v>
      </c>
      <c r="F261" t="s">
        <v>273</v>
      </c>
      <c r="G261" t="s">
        <v>275</v>
      </c>
      <c r="H261">
        <v>0</v>
      </c>
      <c r="I261" t="s">
        <v>274</v>
      </c>
      <c r="K261" t="s">
        <v>407</v>
      </c>
      <c r="M261" t="s">
        <v>471</v>
      </c>
      <c r="N261" t="s">
        <v>485</v>
      </c>
      <c r="O261" t="s">
        <v>275</v>
      </c>
      <c r="P261" t="s">
        <v>492</v>
      </c>
      <c r="Q261" t="s">
        <v>501</v>
      </c>
      <c r="S261" t="s">
        <v>503</v>
      </c>
      <c r="T261" t="s">
        <v>508</v>
      </c>
      <c r="U261" t="s">
        <v>511</v>
      </c>
      <c r="V261">
        <v>10031</v>
      </c>
      <c r="W261" t="s">
        <v>518</v>
      </c>
      <c r="X261" t="s">
        <v>549</v>
      </c>
      <c r="Z261" t="s">
        <v>3050</v>
      </c>
      <c r="AA261" t="s">
        <v>815</v>
      </c>
      <c r="AB261" t="s">
        <v>902</v>
      </c>
      <c r="AC261" t="s">
        <v>905</v>
      </c>
      <c r="AF261" t="s">
        <v>926</v>
      </c>
      <c r="AI261">
        <v>61.38</v>
      </c>
      <c r="AK261" t="s">
        <v>936</v>
      </c>
      <c r="AL261" t="s">
        <v>274</v>
      </c>
      <c r="AT261">
        <v>1</v>
      </c>
      <c r="AU261">
        <v>1</v>
      </c>
      <c r="AV261" t="s">
        <v>273</v>
      </c>
      <c r="AY261" t="s">
        <v>273</v>
      </c>
      <c r="BB261">
        <v>0</v>
      </c>
      <c r="BC261">
        <v>0</v>
      </c>
      <c r="BD261">
        <v>0</v>
      </c>
      <c r="BE261">
        <v>0</v>
      </c>
      <c r="BF261" t="s">
        <v>1063</v>
      </c>
      <c r="BG261" t="s">
        <v>3315</v>
      </c>
      <c r="BH261">
        <v>31</v>
      </c>
      <c r="BI261" t="s">
        <v>1247</v>
      </c>
      <c r="BK261">
        <v>1861976</v>
      </c>
    </row>
    <row r="262" spans="1:63">
      <c r="A262" s="1">
        <f>HYPERLINK("https://lsnyc.legalserver.org/matter/dynamic-profile/view/1861407","18-1861407")</f>
        <v>0</v>
      </c>
      <c r="B262" t="s">
        <v>2842</v>
      </c>
      <c r="C262" t="s">
        <v>2975</v>
      </c>
      <c r="D262" t="s">
        <v>255</v>
      </c>
      <c r="E262" t="s">
        <v>2979</v>
      </c>
      <c r="F262" t="s">
        <v>273</v>
      </c>
      <c r="G262" t="s">
        <v>275</v>
      </c>
      <c r="H262">
        <v>0</v>
      </c>
      <c r="I262" t="s">
        <v>274</v>
      </c>
      <c r="K262" t="s">
        <v>407</v>
      </c>
      <c r="M262" t="s">
        <v>471</v>
      </c>
      <c r="N262" t="s">
        <v>485</v>
      </c>
      <c r="O262" t="s">
        <v>275</v>
      </c>
      <c r="P262" t="s">
        <v>492</v>
      </c>
      <c r="Q262" t="s">
        <v>502</v>
      </c>
      <c r="S262" t="s">
        <v>503</v>
      </c>
      <c r="T262" t="s">
        <v>508</v>
      </c>
      <c r="U262" t="s">
        <v>511</v>
      </c>
      <c r="V262">
        <v>10031</v>
      </c>
      <c r="W262" t="s">
        <v>518</v>
      </c>
      <c r="X262" t="s">
        <v>548</v>
      </c>
      <c r="Y262" t="s">
        <v>275</v>
      </c>
      <c r="Z262" t="s">
        <v>717</v>
      </c>
      <c r="AA262" t="s">
        <v>815</v>
      </c>
      <c r="AB262" t="s">
        <v>902</v>
      </c>
      <c r="AC262" t="s">
        <v>905</v>
      </c>
      <c r="AF262" t="s">
        <v>926</v>
      </c>
      <c r="AI262">
        <v>24.34</v>
      </c>
      <c r="AJ262" t="s">
        <v>558</v>
      </c>
      <c r="AK262" t="s">
        <v>936</v>
      </c>
      <c r="AL262" t="s">
        <v>274</v>
      </c>
      <c r="AT262">
        <v>1</v>
      </c>
      <c r="AU262">
        <v>1</v>
      </c>
      <c r="AV262" t="s">
        <v>273</v>
      </c>
      <c r="AY262" t="s">
        <v>273</v>
      </c>
      <c r="BB262">
        <v>0</v>
      </c>
      <c r="BC262">
        <v>0</v>
      </c>
      <c r="BD262">
        <v>0</v>
      </c>
      <c r="BE262">
        <v>0</v>
      </c>
      <c r="BF262" t="s">
        <v>1063</v>
      </c>
      <c r="BG262" t="s">
        <v>3313</v>
      </c>
      <c r="BH262">
        <v>4</v>
      </c>
      <c r="BI262" t="s">
        <v>1247</v>
      </c>
      <c r="BK262">
        <v>1861984</v>
      </c>
    </row>
    <row r="263" spans="1:63">
      <c r="A263" s="1">
        <f>HYPERLINK("https://lsnyc.legalserver.org/matter/dynamic-profile/view/1860481","18-1860481")</f>
        <v>0</v>
      </c>
      <c r="B263" t="s">
        <v>2964</v>
      </c>
      <c r="C263" t="s">
        <v>2975</v>
      </c>
      <c r="D263" t="s">
        <v>255</v>
      </c>
      <c r="E263" t="s">
        <v>2979</v>
      </c>
      <c r="F263" t="s">
        <v>273</v>
      </c>
      <c r="G263" t="s">
        <v>275</v>
      </c>
      <c r="H263">
        <v>0</v>
      </c>
      <c r="I263" t="s">
        <v>274</v>
      </c>
      <c r="K263" t="s">
        <v>3006</v>
      </c>
      <c r="O263" t="s">
        <v>275</v>
      </c>
      <c r="P263" t="s">
        <v>492</v>
      </c>
      <c r="Q263" t="s">
        <v>501</v>
      </c>
      <c r="S263" t="s">
        <v>503</v>
      </c>
      <c r="T263" t="s">
        <v>507</v>
      </c>
      <c r="U263" t="s">
        <v>511</v>
      </c>
      <c r="V263">
        <v>10016</v>
      </c>
      <c r="W263" t="s">
        <v>521</v>
      </c>
      <c r="X263" t="s">
        <v>548</v>
      </c>
      <c r="Y263" t="s">
        <v>275</v>
      </c>
      <c r="Z263" t="s">
        <v>3139</v>
      </c>
      <c r="AA263" t="s">
        <v>3246</v>
      </c>
      <c r="AB263" t="s">
        <v>902</v>
      </c>
      <c r="AC263" t="s">
        <v>905</v>
      </c>
      <c r="AF263" t="s">
        <v>923</v>
      </c>
      <c r="AI263">
        <v>28</v>
      </c>
      <c r="AK263" t="s">
        <v>947</v>
      </c>
      <c r="AL263" t="s">
        <v>274</v>
      </c>
      <c r="AT263">
        <v>0</v>
      </c>
      <c r="AU263">
        <v>1</v>
      </c>
      <c r="AV263" t="s">
        <v>273</v>
      </c>
      <c r="AY263" t="s">
        <v>273</v>
      </c>
      <c r="BB263">
        <v>0</v>
      </c>
      <c r="BC263">
        <v>0</v>
      </c>
      <c r="BD263">
        <v>0</v>
      </c>
      <c r="BE263">
        <v>0</v>
      </c>
      <c r="BF263" t="s">
        <v>1063</v>
      </c>
      <c r="BG263" t="s">
        <v>3427</v>
      </c>
      <c r="BH263">
        <v>24</v>
      </c>
      <c r="BI263" t="s">
        <v>1247</v>
      </c>
      <c r="BK263">
        <v>1861058</v>
      </c>
    </row>
    <row r="264" spans="1:63">
      <c r="A264" s="1">
        <f>HYPERLINK("https://lsnyc.legalserver.org/matter/dynamic-profile/view/1860364","18-1860364")</f>
        <v>0</v>
      </c>
      <c r="B264" t="s">
        <v>2914</v>
      </c>
      <c r="C264" t="s">
        <v>2975</v>
      </c>
      <c r="D264" t="s">
        <v>255</v>
      </c>
      <c r="E264" t="s">
        <v>2979</v>
      </c>
      <c r="F264" t="s">
        <v>275</v>
      </c>
      <c r="G264" t="s">
        <v>275</v>
      </c>
      <c r="H264">
        <v>0</v>
      </c>
      <c r="I264" t="s">
        <v>274</v>
      </c>
      <c r="K264" t="s">
        <v>3007</v>
      </c>
      <c r="L264" t="s">
        <v>285</v>
      </c>
      <c r="M264" t="s">
        <v>471</v>
      </c>
      <c r="N264" t="s">
        <v>458</v>
      </c>
      <c r="O264" t="s">
        <v>274</v>
      </c>
      <c r="P264" t="s">
        <v>493</v>
      </c>
      <c r="Q264" t="s">
        <v>501</v>
      </c>
      <c r="S264" t="s">
        <v>503</v>
      </c>
      <c r="T264" t="s">
        <v>508</v>
      </c>
      <c r="U264" t="s">
        <v>511</v>
      </c>
      <c r="V264">
        <v>10030</v>
      </c>
      <c r="W264" t="s">
        <v>524</v>
      </c>
      <c r="X264" t="s">
        <v>549</v>
      </c>
      <c r="Y264" t="s">
        <v>275</v>
      </c>
      <c r="Z264" t="s">
        <v>3104</v>
      </c>
      <c r="AA264" t="s">
        <v>3208</v>
      </c>
      <c r="AB264" t="s">
        <v>902</v>
      </c>
      <c r="AC264" t="s">
        <v>909</v>
      </c>
      <c r="AD264" t="s">
        <v>275</v>
      </c>
      <c r="AE264" t="s">
        <v>919</v>
      </c>
      <c r="AF264" t="s">
        <v>923</v>
      </c>
      <c r="AI264">
        <v>11.75</v>
      </c>
      <c r="AJ264" t="s">
        <v>558</v>
      </c>
      <c r="AK264" t="s">
        <v>3262</v>
      </c>
      <c r="AL264" t="s">
        <v>274</v>
      </c>
      <c r="AM264" t="s">
        <v>978</v>
      </c>
      <c r="AN264" t="s">
        <v>458</v>
      </c>
      <c r="AQ264" t="s">
        <v>1044</v>
      </c>
      <c r="AR264" t="s">
        <v>1051</v>
      </c>
      <c r="AT264">
        <v>2</v>
      </c>
      <c r="AU264">
        <v>2</v>
      </c>
      <c r="AV264" t="s">
        <v>273</v>
      </c>
      <c r="AY264" t="s">
        <v>273</v>
      </c>
      <c r="BB264">
        <v>0</v>
      </c>
      <c r="BC264">
        <v>0</v>
      </c>
      <c r="BD264">
        <v>0</v>
      </c>
      <c r="BE264">
        <v>0</v>
      </c>
      <c r="BF264" t="s">
        <v>493</v>
      </c>
      <c r="BG264" t="s">
        <v>3382</v>
      </c>
      <c r="BH264">
        <v>34</v>
      </c>
      <c r="BI264" t="s">
        <v>1247</v>
      </c>
      <c r="BK264">
        <v>826441</v>
      </c>
    </row>
    <row r="265" spans="1:63">
      <c r="A265" s="1">
        <f>HYPERLINK("https://lsnyc.legalserver.org/matter/dynamic-profile/view/1854047","17-1854047")</f>
        <v>0</v>
      </c>
      <c r="B265" t="s">
        <v>2965</v>
      </c>
      <c r="C265" t="s">
        <v>2975</v>
      </c>
      <c r="D265" t="s">
        <v>255</v>
      </c>
      <c r="E265" t="s">
        <v>2983</v>
      </c>
      <c r="F265" t="s">
        <v>273</v>
      </c>
      <c r="G265" t="s">
        <v>275</v>
      </c>
      <c r="H265">
        <v>172.47</v>
      </c>
      <c r="I265" t="s">
        <v>274</v>
      </c>
      <c r="K265" t="s">
        <v>417</v>
      </c>
      <c r="P265" t="s">
        <v>492</v>
      </c>
      <c r="Q265" t="s">
        <v>501</v>
      </c>
      <c r="S265" t="s">
        <v>503</v>
      </c>
      <c r="T265" t="s">
        <v>507</v>
      </c>
      <c r="U265" t="s">
        <v>511</v>
      </c>
      <c r="V265">
        <v>10009</v>
      </c>
      <c r="W265" t="s">
        <v>517</v>
      </c>
      <c r="X265" t="s">
        <v>548</v>
      </c>
      <c r="Y265" t="s">
        <v>274</v>
      </c>
      <c r="Z265" t="s">
        <v>615</v>
      </c>
      <c r="AA265" t="s">
        <v>2162</v>
      </c>
      <c r="AB265" t="s">
        <v>902</v>
      </c>
      <c r="AC265" t="s">
        <v>904</v>
      </c>
      <c r="AF265" t="s">
        <v>928</v>
      </c>
      <c r="AI265">
        <v>5.25</v>
      </c>
      <c r="AJ265" t="s">
        <v>558</v>
      </c>
      <c r="AK265" t="s">
        <v>950</v>
      </c>
      <c r="AM265" t="s">
        <v>975</v>
      </c>
      <c r="AS265" t="s">
        <v>3283</v>
      </c>
      <c r="AT265">
        <v>0</v>
      </c>
      <c r="AU265">
        <v>1</v>
      </c>
      <c r="AV265" t="s">
        <v>273</v>
      </c>
      <c r="AY265" t="s">
        <v>273</v>
      </c>
      <c r="BB265">
        <v>0</v>
      </c>
      <c r="BC265">
        <v>0</v>
      </c>
      <c r="BD265">
        <v>0</v>
      </c>
      <c r="BE265">
        <v>0</v>
      </c>
      <c r="BF265" t="s">
        <v>1063</v>
      </c>
      <c r="BG265" t="s">
        <v>3428</v>
      </c>
      <c r="BH265">
        <v>41</v>
      </c>
      <c r="BI265" t="s">
        <v>1261</v>
      </c>
      <c r="BK265">
        <v>1854596</v>
      </c>
    </row>
    <row r="266" spans="1:63">
      <c r="A266" s="1">
        <f>HYPERLINK("https://lsnyc.legalserver.org/matter/dynamic-profile/view/1853845","17-1853845")</f>
        <v>0</v>
      </c>
      <c r="B266" t="s">
        <v>2936</v>
      </c>
      <c r="C266" t="s">
        <v>2975</v>
      </c>
      <c r="D266" t="s">
        <v>255</v>
      </c>
      <c r="E266" t="s">
        <v>2978</v>
      </c>
      <c r="F266" t="s">
        <v>273</v>
      </c>
      <c r="G266" t="s">
        <v>275</v>
      </c>
      <c r="H266">
        <v>0</v>
      </c>
      <c r="I266" t="s">
        <v>274</v>
      </c>
      <c r="K266" t="s">
        <v>3008</v>
      </c>
      <c r="O266" t="s">
        <v>275</v>
      </c>
      <c r="Q266" t="s">
        <v>501</v>
      </c>
      <c r="S266" t="s">
        <v>503</v>
      </c>
      <c r="T266" t="s">
        <v>507</v>
      </c>
      <c r="U266" t="s">
        <v>511</v>
      </c>
      <c r="V266">
        <v>10011</v>
      </c>
      <c r="W266" t="s">
        <v>519</v>
      </c>
      <c r="X266" t="s">
        <v>549</v>
      </c>
      <c r="Y266" t="s">
        <v>275</v>
      </c>
      <c r="Z266" t="s">
        <v>3120</v>
      </c>
      <c r="AA266" t="s">
        <v>3225</v>
      </c>
      <c r="AB266" t="s">
        <v>902</v>
      </c>
      <c r="AC266" t="s">
        <v>906</v>
      </c>
      <c r="AF266" t="s">
        <v>926</v>
      </c>
      <c r="AI266">
        <v>22.25</v>
      </c>
      <c r="AJ266" t="s">
        <v>558</v>
      </c>
      <c r="AK266" t="s">
        <v>948</v>
      </c>
      <c r="AT266">
        <v>0</v>
      </c>
      <c r="AU266">
        <v>1</v>
      </c>
      <c r="AV266" t="s">
        <v>273</v>
      </c>
      <c r="AY266" t="s">
        <v>273</v>
      </c>
      <c r="BB266">
        <v>0</v>
      </c>
      <c r="BC266">
        <v>0</v>
      </c>
      <c r="BD266">
        <v>0</v>
      </c>
      <c r="BE266">
        <v>0</v>
      </c>
      <c r="BF266" t="s">
        <v>1063</v>
      </c>
      <c r="BG266" t="s">
        <v>3402</v>
      </c>
      <c r="BH266">
        <v>31</v>
      </c>
      <c r="BI266" t="s">
        <v>1247</v>
      </c>
      <c r="BK266">
        <v>1854394</v>
      </c>
    </row>
    <row r="267" spans="1:63">
      <c r="A267" s="1">
        <f>HYPERLINK("https://lsnyc.legalserver.org/matter/dynamic-profile/view/1854036","17-1854036")</f>
        <v>0</v>
      </c>
      <c r="B267" t="s">
        <v>2966</v>
      </c>
      <c r="C267" t="s">
        <v>2975</v>
      </c>
      <c r="D267" t="s">
        <v>255</v>
      </c>
      <c r="E267" t="s">
        <v>2983</v>
      </c>
      <c r="F267" t="s">
        <v>273</v>
      </c>
      <c r="G267" t="s">
        <v>275</v>
      </c>
      <c r="H267">
        <v>40.02</v>
      </c>
      <c r="I267" t="s">
        <v>274</v>
      </c>
      <c r="K267" t="s">
        <v>3009</v>
      </c>
      <c r="P267" t="s">
        <v>492</v>
      </c>
      <c r="Q267" t="s">
        <v>501</v>
      </c>
      <c r="S267" t="s">
        <v>503</v>
      </c>
      <c r="T267" t="s">
        <v>508</v>
      </c>
      <c r="U267" t="s">
        <v>511</v>
      </c>
      <c r="V267">
        <v>10002</v>
      </c>
      <c r="W267" t="s">
        <v>517</v>
      </c>
      <c r="X267" t="s">
        <v>548</v>
      </c>
      <c r="Y267" t="s">
        <v>275</v>
      </c>
      <c r="Z267" t="s">
        <v>3140</v>
      </c>
      <c r="AA267" t="s">
        <v>764</v>
      </c>
      <c r="AB267" t="s">
        <v>902</v>
      </c>
      <c r="AC267" t="s">
        <v>904</v>
      </c>
      <c r="AF267" t="s">
        <v>923</v>
      </c>
      <c r="AI267">
        <v>23.5</v>
      </c>
      <c r="AJ267" t="s">
        <v>558</v>
      </c>
      <c r="AK267" t="s">
        <v>950</v>
      </c>
      <c r="AS267" t="s">
        <v>3283</v>
      </c>
      <c r="AT267">
        <v>1</v>
      </c>
      <c r="AU267">
        <v>1</v>
      </c>
      <c r="AV267" t="s">
        <v>273</v>
      </c>
      <c r="AY267" t="s">
        <v>273</v>
      </c>
      <c r="BB267">
        <v>0</v>
      </c>
      <c r="BC267">
        <v>0</v>
      </c>
      <c r="BD267">
        <v>0</v>
      </c>
      <c r="BE267">
        <v>0</v>
      </c>
      <c r="BF267" t="s">
        <v>1063</v>
      </c>
      <c r="BG267" t="s">
        <v>3429</v>
      </c>
      <c r="BH267">
        <v>38</v>
      </c>
      <c r="BI267" t="s">
        <v>3476</v>
      </c>
      <c r="BK267">
        <v>1854585</v>
      </c>
    </row>
    <row r="268" spans="1:63">
      <c r="A268" s="1">
        <f>HYPERLINK("https://lsnyc.legalserver.org/matter/dynamic-profile/view/1853587","17-1853587")</f>
        <v>0</v>
      </c>
      <c r="B268" t="s">
        <v>2967</v>
      </c>
      <c r="C268" t="s">
        <v>2975</v>
      </c>
      <c r="D268" t="s">
        <v>255</v>
      </c>
      <c r="E268" t="s">
        <v>2983</v>
      </c>
      <c r="F268" t="s">
        <v>273</v>
      </c>
      <c r="G268" t="s">
        <v>275</v>
      </c>
      <c r="H268">
        <v>134.73</v>
      </c>
      <c r="I268" t="s">
        <v>274</v>
      </c>
      <c r="K268" t="s">
        <v>1768</v>
      </c>
      <c r="M268" t="s">
        <v>471</v>
      </c>
      <c r="N268" t="s">
        <v>455</v>
      </c>
      <c r="P268" t="s">
        <v>492</v>
      </c>
      <c r="Q268" t="s">
        <v>501</v>
      </c>
      <c r="S268" t="s">
        <v>503</v>
      </c>
      <c r="T268" t="s">
        <v>508</v>
      </c>
      <c r="U268" t="s">
        <v>511</v>
      </c>
      <c r="V268">
        <v>10009</v>
      </c>
      <c r="W268" t="s">
        <v>517</v>
      </c>
      <c r="X268" t="s">
        <v>549</v>
      </c>
      <c r="Y268" t="s">
        <v>274</v>
      </c>
      <c r="Z268" t="s">
        <v>3141</v>
      </c>
      <c r="AA268" t="s">
        <v>3247</v>
      </c>
      <c r="AB268" t="s">
        <v>902</v>
      </c>
      <c r="AC268" t="s">
        <v>904</v>
      </c>
      <c r="AF268" t="s">
        <v>923</v>
      </c>
      <c r="AI268">
        <v>11.5</v>
      </c>
      <c r="AJ268" t="s">
        <v>558</v>
      </c>
      <c r="AK268" t="s">
        <v>945</v>
      </c>
      <c r="AM268" t="s">
        <v>973</v>
      </c>
      <c r="AN268" t="s">
        <v>3280</v>
      </c>
      <c r="AS268" t="s">
        <v>3283</v>
      </c>
      <c r="AT268">
        <v>0</v>
      </c>
      <c r="AU268">
        <v>2</v>
      </c>
      <c r="AV268" t="s">
        <v>273</v>
      </c>
      <c r="AY268" t="s">
        <v>273</v>
      </c>
      <c r="BB268">
        <v>0</v>
      </c>
      <c r="BC268">
        <v>0</v>
      </c>
      <c r="BD268">
        <v>0</v>
      </c>
      <c r="BE268">
        <v>0</v>
      </c>
      <c r="BF268" t="s">
        <v>1063</v>
      </c>
      <c r="BG268" t="s">
        <v>3430</v>
      </c>
      <c r="BH268">
        <v>21</v>
      </c>
      <c r="BI268" t="s">
        <v>3477</v>
      </c>
      <c r="BK268">
        <v>1854135</v>
      </c>
    </row>
    <row r="269" spans="1:63">
      <c r="A269" s="1">
        <f>HYPERLINK("https://lsnyc.legalserver.org/matter/dynamic-profile/view/1852585","17-1852585")</f>
        <v>0</v>
      </c>
      <c r="B269" t="s">
        <v>2968</v>
      </c>
      <c r="C269" t="s">
        <v>2975</v>
      </c>
      <c r="D269" t="s">
        <v>255</v>
      </c>
      <c r="E269" t="s">
        <v>2983</v>
      </c>
      <c r="F269" t="s">
        <v>273</v>
      </c>
      <c r="G269" t="s">
        <v>275</v>
      </c>
      <c r="H269">
        <v>164.23</v>
      </c>
      <c r="I269" t="s">
        <v>274</v>
      </c>
      <c r="K269" t="s">
        <v>3010</v>
      </c>
      <c r="P269" t="s">
        <v>492</v>
      </c>
      <c r="Q269" t="s">
        <v>501</v>
      </c>
      <c r="S269" t="s">
        <v>503</v>
      </c>
      <c r="T269" t="s">
        <v>507</v>
      </c>
      <c r="U269" t="s">
        <v>511</v>
      </c>
      <c r="V269">
        <v>10009</v>
      </c>
      <c r="W269" t="s">
        <v>517</v>
      </c>
      <c r="X269" t="s">
        <v>548</v>
      </c>
      <c r="Z269" t="s">
        <v>3142</v>
      </c>
      <c r="AA269" t="s">
        <v>2162</v>
      </c>
      <c r="AB269" t="s">
        <v>902</v>
      </c>
      <c r="AC269" t="s">
        <v>904</v>
      </c>
      <c r="AF269" t="s">
        <v>928</v>
      </c>
      <c r="AI269">
        <v>16.05</v>
      </c>
      <c r="AJ269" t="s">
        <v>558</v>
      </c>
      <c r="AK269" t="s">
        <v>950</v>
      </c>
      <c r="AM269" t="s">
        <v>975</v>
      </c>
      <c r="AS269" t="s">
        <v>3283</v>
      </c>
      <c r="AT269">
        <v>1</v>
      </c>
      <c r="AU269">
        <v>3</v>
      </c>
      <c r="AV269" t="s">
        <v>273</v>
      </c>
      <c r="AY269" t="s">
        <v>273</v>
      </c>
      <c r="BB269">
        <v>0</v>
      </c>
      <c r="BC269">
        <v>0</v>
      </c>
      <c r="BD269">
        <v>0</v>
      </c>
      <c r="BE269">
        <v>0</v>
      </c>
      <c r="BF269" t="s">
        <v>1063</v>
      </c>
      <c r="BG269" t="s">
        <v>3431</v>
      </c>
      <c r="BH269">
        <v>64</v>
      </c>
      <c r="BI269" t="s">
        <v>3478</v>
      </c>
      <c r="BK269">
        <v>792529</v>
      </c>
    </row>
    <row r="270" spans="1:63">
      <c r="A270" s="1">
        <f>HYPERLINK("https://lsnyc.legalserver.org/matter/dynamic-profile/view/1853608","17-1853608")</f>
        <v>0</v>
      </c>
      <c r="B270" t="s">
        <v>2969</v>
      </c>
      <c r="C270" t="s">
        <v>2975</v>
      </c>
      <c r="D270" t="s">
        <v>257</v>
      </c>
      <c r="E270" t="s">
        <v>2978</v>
      </c>
      <c r="F270" t="s">
        <v>273</v>
      </c>
      <c r="G270" t="s">
        <v>275</v>
      </c>
      <c r="H270">
        <v>42.43</v>
      </c>
      <c r="I270" t="s">
        <v>274</v>
      </c>
      <c r="K270" t="s">
        <v>3010</v>
      </c>
      <c r="P270" t="s">
        <v>492</v>
      </c>
      <c r="Q270" t="s">
        <v>501</v>
      </c>
      <c r="S270" t="s">
        <v>503</v>
      </c>
      <c r="T270" t="s">
        <v>508</v>
      </c>
      <c r="U270" t="s">
        <v>511</v>
      </c>
      <c r="V270">
        <v>10459</v>
      </c>
      <c r="W270" t="s">
        <v>523</v>
      </c>
      <c r="X270" t="s">
        <v>548</v>
      </c>
      <c r="Y270" t="s">
        <v>275</v>
      </c>
      <c r="Z270" t="s">
        <v>3143</v>
      </c>
      <c r="AA270" t="s">
        <v>3248</v>
      </c>
      <c r="AB270" t="s">
        <v>902</v>
      </c>
      <c r="AC270" t="s">
        <v>904</v>
      </c>
      <c r="AF270" t="s">
        <v>923</v>
      </c>
      <c r="AI270">
        <v>10.35</v>
      </c>
      <c r="AJ270" t="s">
        <v>558</v>
      </c>
      <c r="AK270" t="s">
        <v>950</v>
      </c>
      <c r="AL270" t="s">
        <v>274</v>
      </c>
      <c r="AS270" t="s">
        <v>3283</v>
      </c>
      <c r="AT270">
        <v>2</v>
      </c>
      <c r="AU270">
        <v>1</v>
      </c>
      <c r="AV270" t="s">
        <v>273</v>
      </c>
      <c r="AY270" t="s">
        <v>273</v>
      </c>
      <c r="BB270">
        <v>0</v>
      </c>
      <c r="BC270">
        <v>0</v>
      </c>
      <c r="BD270">
        <v>0</v>
      </c>
      <c r="BE270">
        <v>0</v>
      </c>
      <c r="BF270" t="s">
        <v>1063</v>
      </c>
      <c r="BG270" t="s">
        <v>3432</v>
      </c>
      <c r="BH270">
        <v>40</v>
      </c>
      <c r="BI270" t="s">
        <v>3479</v>
      </c>
      <c r="BK270">
        <v>79558</v>
      </c>
    </row>
    <row r="271" spans="1:63">
      <c r="A271" s="1">
        <f>HYPERLINK("https://lsnyc.legalserver.org/matter/dynamic-profile/view/1844741","17-1844741")</f>
        <v>0</v>
      </c>
      <c r="B271" t="s">
        <v>2908</v>
      </c>
      <c r="C271" t="s">
        <v>2975</v>
      </c>
      <c r="D271" t="s">
        <v>255</v>
      </c>
      <c r="E271" t="s">
        <v>2979</v>
      </c>
      <c r="F271" t="s">
        <v>274</v>
      </c>
      <c r="G271" t="s">
        <v>275</v>
      </c>
      <c r="H271">
        <v>0</v>
      </c>
      <c r="I271" t="s">
        <v>274</v>
      </c>
      <c r="K271" t="s">
        <v>3011</v>
      </c>
      <c r="O271" t="s">
        <v>274</v>
      </c>
      <c r="P271" t="s">
        <v>492</v>
      </c>
      <c r="Q271" t="s">
        <v>501</v>
      </c>
      <c r="S271" t="s">
        <v>503</v>
      </c>
      <c r="T271" t="s">
        <v>507</v>
      </c>
      <c r="U271" t="s">
        <v>511</v>
      </c>
      <c r="V271">
        <v>10031</v>
      </c>
      <c r="W271" t="s">
        <v>517</v>
      </c>
      <c r="X271" t="s">
        <v>549</v>
      </c>
      <c r="Y271" t="s">
        <v>275</v>
      </c>
      <c r="Z271" t="s">
        <v>3101</v>
      </c>
      <c r="AA271" t="s">
        <v>3205</v>
      </c>
      <c r="AB271" t="s">
        <v>902</v>
      </c>
      <c r="AC271" t="s">
        <v>904</v>
      </c>
      <c r="AF271" t="s">
        <v>923</v>
      </c>
      <c r="AI271">
        <v>19.85</v>
      </c>
      <c r="AJ271" t="s">
        <v>558</v>
      </c>
      <c r="AK271" t="s">
        <v>950</v>
      </c>
      <c r="AL271" t="s">
        <v>274</v>
      </c>
      <c r="AM271" t="s">
        <v>973</v>
      </c>
      <c r="AN271" t="s">
        <v>1677</v>
      </c>
      <c r="AT271">
        <v>0</v>
      </c>
      <c r="AU271">
        <v>1</v>
      </c>
      <c r="AV271" t="s">
        <v>273</v>
      </c>
      <c r="AY271" t="s">
        <v>273</v>
      </c>
      <c r="BB271">
        <v>0</v>
      </c>
      <c r="BC271">
        <v>0</v>
      </c>
      <c r="BD271">
        <v>0</v>
      </c>
      <c r="BE271">
        <v>0</v>
      </c>
      <c r="BF271" t="s">
        <v>1063</v>
      </c>
      <c r="BG271" t="s">
        <v>3376</v>
      </c>
      <c r="BH271">
        <v>34</v>
      </c>
      <c r="BI271" t="s">
        <v>1247</v>
      </c>
      <c r="BK271">
        <v>1845253</v>
      </c>
    </row>
    <row r="272" spans="1:63">
      <c r="A272" s="1">
        <f>HYPERLINK("https://lsnyc.legalserver.org/matter/dynamic-profile/view/1844741","17-1844741")</f>
        <v>0</v>
      </c>
      <c r="B272" t="s">
        <v>2908</v>
      </c>
      <c r="C272" t="s">
        <v>2975</v>
      </c>
      <c r="D272" t="s">
        <v>255</v>
      </c>
      <c r="E272" t="s">
        <v>2979</v>
      </c>
      <c r="F272" t="s">
        <v>274</v>
      </c>
      <c r="G272" t="s">
        <v>275</v>
      </c>
      <c r="H272">
        <v>0</v>
      </c>
      <c r="I272" t="s">
        <v>274</v>
      </c>
      <c r="K272" t="s">
        <v>3011</v>
      </c>
      <c r="O272" t="s">
        <v>274</v>
      </c>
      <c r="P272" t="s">
        <v>492</v>
      </c>
      <c r="Q272" t="s">
        <v>501</v>
      </c>
      <c r="S272" t="s">
        <v>503</v>
      </c>
      <c r="T272" t="s">
        <v>507</v>
      </c>
      <c r="U272" t="s">
        <v>511</v>
      </c>
      <c r="V272">
        <v>10031</v>
      </c>
      <c r="W272" t="s">
        <v>517</v>
      </c>
      <c r="X272" t="s">
        <v>549</v>
      </c>
      <c r="Y272" t="s">
        <v>275</v>
      </c>
      <c r="Z272" t="s">
        <v>3101</v>
      </c>
      <c r="AA272" t="s">
        <v>3205</v>
      </c>
      <c r="AB272" t="s">
        <v>902</v>
      </c>
      <c r="AC272" t="s">
        <v>904</v>
      </c>
      <c r="AF272" t="s">
        <v>923</v>
      </c>
      <c r="AI272">
        <v>19.85</v>
      </c>
      <c r="AJ272" t="s">
        <v>558</v>
      </c>
      <c r="AK272" t="s">
        <v>950</v>
      </c>
      <c r="AL272" t="s">
        <v>274</v>
      </c>
      <c r="AM272" t="s">
        <v>973</v>
      </c>
      <c r="AN272" t="s">
        <v>1677</v>
      </c>
      <c r="AT272">
        <v>0</v>
      </c>
      <c r="AU272">
        <v>1</v>
      </c>
      <c r="AV272" t="s">
        <v>273</v>
      </c>
      <c r="AY272" t="s">
        <v>273</v>
      </c>
      <c r="BB272">
        <v>0</v>
      </c>
      <c r="BC272">
        <v>0</v>
      </c>
      <c r="BD272">
        <v>0</v>
      </c>
      <c r="BE272">
        <v>0</v>
      </c>
      <c r="BF272" t="s">
        <v>1063</v>
      </c>
      <c r="BG272" t="s">
        <v>3376</v>
      </c>
      <c r="BH272">
        <v>34</v>
      </c>
      <c r="BI272" t="s">
        <v>1247</v>
      </c>
      <c r="BK272">
        <v>1845253</v>
      </c>
    </row>
    <row r="273" spans="1:64">
      <c r="A273" s="1">
        <f>HYPERLINK("https://lsnyc.legalserver.org/matter/dynamic-profile/view/1846830","17-1846830")</f>
        <v>0</v>
      </c>
      <c r="B273" t="s">
        <v>2970</v>
      </c>
      <c r="C273" t="s">
        <v>2975</v>
      </c>
      <c r="D273" t="s">
        <v>255</v>
      </c>
      <c r="E273" t="s">
        <v>2979</v>
      </c>
      <c r="F273" t="s">
        <v>274</v>
      </c>
      <c r="G273" t="s">
        <v>274</v>
      </c>
      <c r="H273">
        <v>64.68000000000001</v>
      </c>
      <c r="K273" t="s">
        <v>1786</v>
      </c>
      <c r="O273" t="s">
        <v>274</v>
      </c>
      <c r="Q273" t="s">
        <v>501</v>
      </c>
      <c r="S273" t="s">
        <v>503</v>
      </c>
      <c r="T273" t="s">
        <v>507</v>
      </c>
      <c r="U273" t="s">
        <v>511</v>
      </c>
      <c r="V273">
        <v>10031</v>
      </c>
      <c r="W273" t="s">
        <v>517</v>
      </c>
      <c r="X273" t="s">
        <v>549</v>
      </c>
      <c r="Z273" t="s">
        <v>586</v>
      </c>
      <c r="AA273" t="s">
        <v>3249</v>
      </c>
      <c r="AB273" t="s">
        <v>902</v>
      </c>
      <c r="AC273" t="s">
        <v>904</v>
      </c>
      <c r="AF273" t="s">
        <v>923</v>
      </c>
      <c r="AI273">
        <v>9</v>
      </c>
      <c r="AK273" t="s">
        <v>3268</v>
      </c>
      <c r="AT273">
        <v>0</v>
      </c>
      <c r="AU273">
        <v>1</v>
      </c>
      <c r="AV273" t="s">
        <v>273</v>
      </c>
      <c r="AY273" t="s">
        <v>273</v>
      </c>
      <c r="BB273">
        <v>0</v>
      </c>
      <c r="BC273">
        <v>0</v>
      </c>
      <c r="BD273">
        <v>0</v>
      </c>
      <c r="BE273">
        <v>0</v>
      </c>
      <c r="BF273" t="s">
        <v>1063</v>
      </c>
      <c r="BG273" t="s">
        <v>3433</v>
      </c>
      <c r="BH273">
        <v>28</v>
      </c>
      <c r="BI273" t="s">
        <v>2771</v>
      </c>
      <c r="BK273">
        <v>1847353</v>
      </c>
    </row>
    <row r="274" spans="1:64">
      <c r="A274" s="1">
        <f>HYPERLINK("https://lsnyc.legalserver.org/matter/dynamic-profile/view/0785039","15-0785039")</f>
        <v>0</v>
      </c>
      <c r="B274" t="s">
        <v>2971</v>
      </c>
      <c r="C274" t="s">
        <v>2975</v>
      </c>
      <c r="D274" t="s">
        <v>253</v>
      </c>
      <c r="E274" t="s">
        <v>2978</v>
      </c>
      <c r="F274" t="s">
        <v>273</v>
      </c>
      <c r="G274" t="s">
        <v>275</v>
      </c>
      <c r="H274">
        <v>55.65</v>
      </c>
      <c r="I274" t="s">
        <v>274</v>
      </c>
      <c r="K274" t="s">
        <v>3012</v>
      </c>
      <c r="P274" t="s">
        <v>500</v>
      </c>
      <c r="Q274" t="s">
        <v>501</v>
      </c>
      <c r="S274" t="s">
        <v>503</v>
      </c>
      <c r="T274" t="s">
        <v>508</v>
      </c>
      <c r="U274" t="s">
        <v>511</v>
      </c>
      <c r="V274">
        <v>11433</v>
      </c>
      <c r="W274" t="s">
        <v>532</v>
      </c>
      <c r="X274" t="s">
        <v>549</v>
      </c>
      <c r="Y274" t="s">
        <v>275</v>
      </c>
      <c r="Z274" t="s">
        <v>3144</v>
      </c>
      <c r="AA274" t="s">
        <v>3250</v>
      </c>
      <c r="AB274" t="s">
        <v>902</v>
      </c>
      <c r="AC274" t="s">
        <v>905</v>
      </c>
      <c r="AF274" t="s">
        <v>923</v>
      </c>
      <c r="AI274">
        <v>76.09999999999999</v>
      </c>
      <c r="AK274" t="s">
        <v>2369</v>
      </c>
      <c r="AT274">
        <v>0</v>
      </c>
      <c r="AU274">
        <v>3</v>
      </c>
      <c r="AV274" t="s">
        <v>273</v>
      </c>
      <c r="AY274" t="s">
        <v>273</v>
      </c>
      <c r="BB274">
        <v>0</v>
      </c>
      <c r="BC274">
        <v>0</v>
      </c>
      <c r="BD274">
        <v>0</v>
      </c>
      <c r="BE274">
        <v>0</v>
      </c>
      <c r="BF274" t="s">
        <v>1063</v>
      </c>
      <c r="BG274" t="s">
        <v>3434</v>
      </c>
      <c r="BH274">
        <v>48</v>
      </c>
      <c r="BI274" t="s">
        <v>3480</v>
      </c>
      <c r="BK274">
        <v>785411</v>
      </c>
    </row>
    <row r="275" spans="1:64">
      <c r="A275" s="1">
        <f>HYPERLINK("https://lsnyc.legalserver.org/matter/dynamic-profile/view/0787488","15-0787488")</f>
        <v>0</v>
      </c>
      <c r="B275" t="s">
        <v>2972</v>
      </c>
      <c r="C275" t="s">
        <v>2975</v>
      </c>
      <c r="D275" t="s">
        <v>255</v>
      </c>
      <c r="E275" t="s">
        <v>2978</v>
      </c>
      <c r="F275" t="s">
        <v>273</v>
      </c>
      <c r="G275" t="s">
        <v>275</v>
      </c>
      <c r="H275">
        <v>132.54</v>
      </c>
      <c r="K275" t="s">
        <v>3012</v>
      </c>
      <c r="P275" t="s">
        <v>500</v>
      </c>
      <c r="Q275" t="s">
        <v>501</v>
      </c>
      <c r="S275" t="s">
        <v>503</v>
      </c>
      <c r="T275" t="s">
        <v>507</v>
      </c>
      <c r="U275" t="s">
        <v>511</v>
      </c>
      <c r="V275">
        <v>10040</v>
      </c>
      <c r="W275" t="s">
        <v>532</v>
      </c>
      <c r="X275" t="s">
        <v>548</v>
      </c>
      <c r="Z275" t="s">
        <v>3145</v>
      </c>
      <c r="AA275" t="s">
        <v>3251</v>
      </c>
      <c r="AB275" t="s">
        <v>902</v>
      </c>
      <c r="AC275" t="s">
        <v>905</v>
      </c>
      <c r="AF275" t="s">
        <v>926</v>
      </c>
      <c r="AI275">
        <v>39.95</v>
      </c>
      <c r="AK275" t="s">
        <v>933</v>
      </c>
      <c r="AT275">
        <v>0</v>
      </c>
      <c r="AU275">
        <v>1</v>
      </c>
      <c r="AV275" t="s">
        <v>273</v>
      </c>
      <c r="AY275" t="s">
        <v>273</v>
      </c>
      <c r="BB275">
        <v>0</v>
      </c>
      <c r="BC275">
        <v>0</v>
      </c>
      <c r="BD275">
        <v>0</v>
      </c>
      <c r="BE275">
        <v>0</v>
      </c>
      <c r="BF275" t="s">
        <v>1063</v>
      </c>
      <c r="BG275" t="s">
        <v>3435</v>
      </c>
      <c r="BH275">
        <v>25</v>
      </c>
      <c r="BI275" t="s">
        <v>1270</v>
      </c>
      <c r="BK275">
        <v>787865</v>
      </c>
    </row>
    <row r="276" spans="1:64">
      <c r="A276" s="1">
        <f>HYPERLINK("https://lsnyc.legalserver.org/matter/dynamic-profile/view/0781442","15-0781442")</f>
        <v>0</v>
      </c>
      <c r="B276" t="s">
        <v>2973</v>
      </c>
      <c r="C276" t="s">
        <v>2975</v>
      </c>
      <c r="D276" t="s">
        <v>255</v>
      </c>
      <c r="E276" t="s">
        <v>2978</v>
      </c>
      <c r="F276" t="s">
        <v>273</v>
      </c>
      <c r="G276" t="s">
        <v>275</v>
      </c>
      <c r="H276">
        <v>0</v>
      </c>
      <c r="I276" t="s">
        <v>274</v>
      </c>
      <c r="K276" t="s">
        <v>3013</v>
      </c>
      <c r="M276" t="s">
        <v>472</v>
      </c>
      <c r="N276" t="s">
        <v>479</v>
      </c>
      <c r="P276" t="s">
        <v>500</v>
      </c>
      <c r="Q276" t="s">
        <v>501</v>
      </c>
      <c r="S276" t="s">
        <v>503</v>
      </c>
      <c r="T276" t="s">
        <v>508</v>
      </c>
      <c r="U276" t="s">
        <v>511</v>
      </c>
      <c r="V276">
        <v>10044</v>
      </c>
      <c r="W276" t="s">
        <v>524</v>
      </c>
      <c r="X276" t="s">
        <v>549</v>
      </c>
      <c r="Y276" t="s">
        <v>275</v>
      </c>
      <c r="Z276" t="s">
        <v>3146</v>
      </c>
      <c r="AA276" t="s">
        <v>3252</v>
      </c>
      <c r="AB276" t="s">
        <v>902</v>
      </c>
      <c r="AC276" t="s">
        <v>905</v>
      </c>
      <c r="AD276" t="s">
        <v>274</v>
      </c>
      <c r="AF276" t="s">
        <v>923</v>
      </c>
      <c r="AI276">
        <v>128.3</v>
      </c>
      <c r="AK276" t="s">
        <v>3269</v>
      </c>
      <c r="AS276" t="s">
        <v>3286</v>
      </c>
      <c r="AT276">
        <v>0</v>
      </c>
      <c r="AU276">
        <v>1</v>
      </c>
      <c r="AV276" t="s">
        <v>273</v>
      </c>
      <c r="AY276" t="s">
        <v>273</v>
      </c>
      <c r="BB276">
        <v>0</v>
      </c>
      <c r="BC276">
        <v>0</v>
      </c>
      <c r="BD276">
        <v>0</v>
      </c>
      <c r="BE276">
        <v>0</v>
      </c>
      <c r="BF276" t="s">
        <v>1063</v>
      </c>
      <c r="BG276" t="s">
        <v>3436</v>
      </c>
      <c r="BH276">
        <v>34</v>
      </c>
      <c r="BI276" t="s">
        <v>1247</v>
      </c>
      <c r="BK276">
        <v>781802</v>
      </c>
      <c r="BL276" t="s">
        <v>275</v>
      </c>
    </row>
    <row r="277" spans="1:64">
      <c r="A277" s="1">
        <f>HYPERLINK("https://lsnyc.legalserver.org/matter/dynamic-profile/view/0765383","14-0765383")</f>
        <v>0</v>
      </c>
      <c r="B277" t="s">
        <v>2928</v>
      </c>
      <c r="C277" t="s">
        <v>2975</v>
      </c>
      <c r="D277" t="s">
        <v>257</v>
      </c>
      <c r="E277" t="s">
        <v>2978</v>
      </c>
      <c r="F277" t="s">
        <v>273</v>
      </c>
      <c r="G277" t="s">
        <v>275</v>
      </c>
      <c r="H277">
        <v>121.12</v>
      </c>
      <c r="I277" t="s">
        <v>274</v>
      </c>
      <c r="K277" t="s">
        <v>3014</v>
      </c>
      <c r="Q277" t="s">
        <v>501</v>
      </c>
      <c r="S277" t="s">
        <v>503</v>
      </c>
      <c r="T277" t="s">
        <v>508</v>
      </c>
      <c r="U277" t="s">
        <v>511</v>
      </c>
      <c r="V277">
        <v>10468</v>
      </c>
      <c r="W277" t="s">
        <v>3024</v>
      </c>
      <c r="X277" t="s">
        <v>548</v>
      </c>
      <c r="Z277" t="s">
        <v>3113</v>
      </c>
      <c r="AA277" t="s">
        <v>2256</v>
      </c>
      <c r="AB277" t="s">
        <v>902</v>
      </c>
      <c r="AC277" t="s">
        <v>904</v>
      </c>
      <c r="AF277" t="s">
        <v>926</v>
      </c>
      <c r="AI277">
        <v>142.98</v>
      </c>
      <c r="AK277" t="s">
        <v>950</v>
      </c>
      <c r="AT277">
        <v>0</v>
      </c>
      <c r="AU277">
        <v>2</v>
      </c>
      <c r="AV277" t="s">
        <v>273</v>
      </c>
      <c r="AY277" t="s">
        <v>273</v>
      </c>
      <c r="BB277">
        <v>0</v>
      </c>
      <c r="BC277">
        <v>0</v>
      </c>
      <c r="BD277">
        <v>0</v>
      </c>
      <c r="BE277">
        <v>0</v>
      </c>
      <c r="BF277" t="s">
        <v>1063</v>
      </c>
      <c r="BG277" t="s">
        <v>3395</v>
      </c>
      <c r="BH277">
        <v>51</v>
      </c>
      <c r="BI277" t="s">
        <v>3481</v>
      </c>
      <c r="BK277">
        <v>765713</v>
      </c>
    </row>
    <row r="278" spans="1:64">
      <c r="A278" s="1">
        <f>HYPERLINK("https://lsnyc.legalserver.org/matter/dynamic-profile/view/0768119","14-0768119")</f>
        <v>0</v>
      </c>
      <c r="B278" t="s">
        <v>2974</v>
      </c>
      <c r="C278" t="s">
        <v>2975</v>
      </c>
      <c r="D278" t="s">
        <v>257</v>
      </c>
      <c r="E278" t="s">
        <v>2978</v>
      </c>
      <c r="F278" t="s">
        <v>273</v>
      </c>
      <c r="G278" t="s">
        <v>275</v>
      </c>
      <c r="H278">
        <v>0</v>
      </c>
      <c r="I278" t="s">
        <v>274</v>
      </c>
      <c r="K278" t="s">
        <v>3015</v>
      </c>
      <c r="M278" t="s">
        <v>471</v>
      </c>
      <c r="N278" t="s">
        <v>992</v>
      </c>
      <c r="P278" t="s">
        <v>500</v>
      </c>
      <c r="Q278" t="s">
        <v>501</v>
      </c>
      <c r="S278" t="s">
        <v>503</v>
      </c>
      <c r="T278" t="s">
        <v>508</v>
      </c>
      <c r="U278" t="s">
        <v>511</v>
      </c>
      <c r="V278">
        <v>10451</v>
      </c>
      <c r="W278" t="s">
        <v>518</v>
      </c>
      <c r="X278" t="s">
        <v>548</v>
      </c>
      <c r="Y278" t="s">
        <v>275</v>
      </c>
      <c r="Z278" t="s">
        <v>3147</v>
      </c>
      <c r="AA278" t="s">
        <v>2350</v>
      </c>
      <c r="AB278" t="s">
        <v>902</v>
      </c>
      <c r="AC278" t="s">
        <v>909</v>
      </c>
      <c r="AD278" t="s">
        <v>275</v>
      </c>
      <c r="AF278" t="s">
        <v>926</v>
      </c>
      <c r="AI278">
        <v>123.55</v>
      </c>
      <c r="AJ278" t="s">
        <v>558</v>
      </c>
      <c r="AK278" t="s">
        <v>934</v>
      </c>
      <c r="AL278" t="s">
        <v>274</v>
      </c>
      <c r="AT278">
        <v>1</v>
      </c>
      <c r="AU278">
        <v>2</v>
      </c>
      <c r="AV278" t="s">
        <v>273</v>
      </c>
      <c r="AY278" t="s">
        <v>273</v>
      </c>
      <c r="BB278">
        <v>0</v>
      </c>
      <c r="BC278">
        <v>0</v>
      </c>
      <c r="BD278">
        <v>0</v>
      </c>
      <c r="BE278">
        <v>0</v>
      </c>
      <c r="BF278" t="s">
        <v>1063</v>
      </c>
      <c r="BG278" t="s">
        <v>3437</v>
      </c>
      <c r="BH278">
        <v>28</v>
      </c>
      <c r="BI278" t="s">
        <v>1247</v>
      </c>
      <c r="BK278">
        <v>768452</v>
      </c>
    </row>
    <row r="279" spans="1:64">
      <c r="A279" s="1">
        <f>HYPERLINK("https://lsnyc.legalserver.org/matter/dynamic-profile/view/0768129","14-0768129")</f>
        <v>0</v>
      </c>
      <c r="B279" t="s">
        <v>2884</v>
      </c>
      <c r="C279" t="s">
        <v>2975</v>
      </c>
      <c r="D279" t="s">
        <v>257</v>
      </c>
      <c r="E279" t="s">
        <v>2978</v>
      </c>
      <c r="F279" t="s">
        <v>273</v>
      </c>
      <c r="G279" t="s">
        <v>275</v>
      </c>
      <c r="H279">
        <v>0</v>
      </c>
      <c r="I279" t="s">
        <v>274</v>
      </c>
      <c r="K279" t="s">
        <v>3015</v>
      </c>
      <c r="M279" t="s">
        <v>471</v>
      </c>
      <c r="N279" t="s">
        <v>992</v>
      </c>
      <c r="P279" t="s">
        <v>500</v>
      </c>
      <c r="Q279" t="s">
        <v>502</v>
      </c>
      <c r="S279" t="s">
        <v>503</v>
      </c>
      <c r="T279" t="s">
        <v>507</v>
      </c>
      <c r="U279" t="s">
        <v>511</v>
      </c>
      <c r="V279">
        <v>10451</v>
      </c>
      <c r="W279" t="s">
        <v>518</v>
      </c>
      <c r="X279" t="s">
        <v>548</v>
      </c>
      <c r="Y279" t="s">
        <v>275</v>
      </c>
      <c r="Z279" t="s">
        <v>657</v>
      </c>
      <c r="AA279" t="s">
        <v>2261</v>
      </c>
      <c r="AB279" t="s">
        <v>902</v>
      </c>
      <c r="AC279" t="s">
        <v>2359</v>
      </c>
      <c r="AF279" t="s">
        <v>926</v>
      </c>
      <c r="AI279">
        <v>49.75</v>
      </c>
      <c r="AK279" t="s">
        <v>934</v>
      </c>
      <c r="AL279" t="s">
        <v>274</v>
      </c>
      <c r="AT279">
        <v>1</v>
      </c>
      <c r="AU279">
        <v>2</v>
      </c>
      <c r="AV279" t="s">
        <v>273</v>
      </c>
      <c r="AY279" t="s">
        <v>273</v>
      </c>
      <c r="BB279">
        <v>0</v>
      </c>
      <c r="BC279">
        <v>0</v>
      </c>
      <c r="BD279">
        <v>0</v>
      </c>
      <c r="BE279">
        <v>0</v>
      </c>
      <c r="BF279" t="s">
        <v>1063</v>
      </c>
      <c r="BG279" t="s">
        <v>3353</v>
      </c>
      <c r="BH279">
        <v>6</v>
      </c>
      <c r="BI279" t="s">
        <v>1247</v>
      </c>
      <c r="BK279">
        <v>768462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303"/>
  <sheetViews>
    <sheetView workbookViewId="0"/>
  </sheetViews>
  <sheetFormatPr defaultRowHeight="15"/>
  <cols>
    <col min="1" max="1" width="20.7109375" style="1" customWidth="1"/>
    <col min="2" max="702" width="25.7109375" customWidth="1"/>
  </cols>
  <sheetData>
    <row r="1" spans="1: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</row>
    <row r="2" spans="1:64">
      <c r="A2" s="1">
        <f>HYPERLINK("https://lsnyc.legalserver.org/matter/dynamic-profile/view/1915447","19-1915447")</f>
        <v>0</v>
      </c>
      <c r="B2" t="s">
        <v>3482</v>
      </c>
      <c r="C2" t="s">
        <v>3679</v>
      </c>
      <c r="D2" t="s">
        <v>257</v>
      </c>
      <c r="E2" t="s">
        <v>3683</v>
      </c>
      <c r="F2" t="s">
        <v>273</v>
      </c>
      <c r="G2" t="s">
        <v>275</v>
      </c>
      <c r="H2">
        <v>60.58</v>
      </c>
      <c r="K2" t="s">
        <v>1656</v>
      </c>
      <c r="P2" t="s">
        <v>494</v>
      </c>
      <c r="Q2" t="s">
        <v>501</v>
      </c>
      <c r="S2" t="s">
        <v>503</v>
      </c>
      <c r="T2" t="s">
        <v>508</v>
      </c>
      <c r="U2" t="s">
        <v>511</v>
      </c>
      <c r="V2">
        <v>10452</v>
      </c>
      <c r="W2" t="s">
        <v>536</v>
      </c>
      <c r="X2" t="s">
        <v>548</v>
      </c>
      <c r="Z2" t="s">
        <v>606</v>
      </c>
      <c r="AA2" t="s">
        <v>3902</v>
      </c>
      <c r="AB2" t="s">
        <v>902</v>
      </c>
      <c r="AC2" t="s">
        <v>906</v>
      </c>
      <c r="AF2" t="s">
        <v>925</v>
      </c>
      <c r="AI2">
        <v>1.6</v>
      </c>
      <c r="AJ2" t="s">
        <v>558</v>
      </c>
      <c r="AK2" t="s">
        <v>949</v>
      </c>
      <c r="AT2">
        <v>1</v>
      </c>
      <c r="AU2">
        <v>3</v>
      </c>
      <c r="AV2" t="s">
        <v>273</v>
      </c>
      <c r="AY2" t="s">
        <v>273</v>
      </c>
      <c r="BB2">
        <v>0</v>
      </c>
      <c r="BC2">
        <v>0</v>
      </c>
      <c r="BD2">
        <v>0</v>
      </c>
      <c r="BE2">
        <v>0</v>
      </c>
      <c r="BF2" t="s">
        <v>1063</v>
      </c>
      <c r="BG2" t="s">
        <v>4076</v>
      </c>
      <c r="BH2">
        <v>56</v>
      </c>
      <c r="BI2" t="s">
        <v>1270</v>
      </c>
      <c r="BK2">
        <v>1913269</v>
      </c>
    </row>
    <row r="3" spans="1:64">
      <c r="A3" s="1">
        <f>HYPERLINK("https://lsnyc.legalserver.org/matter/dynamic-profile/view/1915459","19-1915459")</f>
        <v>0</v>
      </c>
      <c r="B3" t="s">
        <v>3483</v>
      </c>
      <c r="C3" t="s">
        <v>3679</v>
      </c>
      <c r="D3" t="s">
        <v>257</v>
      </c>
      <c r="E3" t="s">
        <v>3684</v>
      </c>
      <c r="F3" t="s">
        <v>273</v>
      </c>
      <c r="G3" t="s">
        <v>275</v>
      </c>
      <c r="H3">
        <v>146.07</v>
      </c>
      <c r="K3" t="s">
        <v>1656</v>
      </c>
      <c r="P3" t="s">
        <v>492</v>
      </c>
      <c r="Q3" t="s">
        <v>501</v>
      </c>
      <c r="S3" t="s">
        <v>503</v>
      </c>
      <c r="T3" t="s">
        <v>507</v>
      </c>
      <c r="U3" t="s">
        <v>511</v>
      </c>
      <c r="V3">
        <v>10454</v>
      </c>
      <c r="W3" t="s">
        <v>522</v>
      </c>
      <c r="X3" t="s">
        <v>548</v>
      </c>
      <c r="Z3" t="s">
        <v>3759</v>
      </c>
      <c r="AA3" t="s">
        <v>770</v>
      </c>
      <c r="AB3" t="s">
        <v>902</v>
      </c>
      <c r="AC3" t="s">
        <v>906</v>
      </c>
      <c r="AI3">
        <v>3.5</v>
      </c>
      <c r="AT3">
        <v>0</v>
      </c>
      <c r="AU3">
        <v>2</v>
      </c>
      <c r="AV3" t="s">
        <v>273</v>
      </c>
      <c r="AY3" t="s">
        <v>273</v>
      </c>
      <c r="BB3">
        <v>0</v>
      </c>
      <c r="BC3">
        <v>0</v>
      </c>
      <c r="BD3">
        <v>0</v>
      </c>
      <c r="BE3">
        <v>0</v>
      </c>
      <c r="BF3" t="s">
        <v>1063</v>
      </c>
      <c r="BG3" t="s">
        <v>4077</v>
      </c>
      <c r="BH3">
        <v>34</v>
      </c>
      <c r="BI3" t="s">
        <v>1276</v>
      </c>
      <c r="BK3">
        <v>1910735</v>
      </c>
    </row>
    <row r="4" spans="1:64">
      <c r="A4" s="1">
        <f>HYPERLINK("https://lsnyc.legalserver.org/matter/dynamic-profile/view/1915260","19-1915260")</f>
        <v>0</v>
      </c>
      <c r="B4" t="s">
        <v>3484</v>
      </c>
      <c r="C4" t="s">
        <v>3679</v>
      </c>
      <c r="D4" t="s">
        <v>257</v>
      </c>
      <c r="E4" t="s">
        <v>3685</v>
      </c>
      <c r="F4" t="s">
        <v>273</v>
      </c>
      <c r="G4" t="s">
        <v>275</v>
      </c>
      <c r="H4">
        <v>107.63</v>
      </c>
      <c r="K4" t="s">
        <v>1657</v>
      </c>
      <c r="P4" t="s">
        <v>492</v>
      </c>
      <c r="Q4" t="s">
        <v>502</v>
      </c>
      <c r="S4" t="s">
        <v>503</v>
      </c>
      <c r="T4" t="s">
        <v>508</v>
      </c>
      <c r="U4" t="s">
        <v>511</v>
      </c>
      <c r="V4">
        <v>10460</v>
      </c>
      <c r="W4" t="s">
        <v>521</v>
      </c>
      <c r="X4" t="s">
        <v>548</v>
      </c>
      <c r="Z4" t="s">
        <v>3760</v>
      </c>
      <c r="AA4" t="s">
        <v>3903</v>
      </c>
      <c r="AB4" t="s">
        <v>902</v>
      </c>
      <c r="AC4" t="s">
        <v>905</v>
      </c>
      <c r="AI4">
        <v>1.75</v>
      </c>
      <c r="AK4" t="s">
        <v>934</v>
      </c>
      <c r="AT4">
        <v>1</v>
      </c>
      <c r="AU4">
        <v>1</v>
      </c>
      <c r="AV4" t="s">
        <v>273</v>
      </c>
      <c r="AY4" t="s">
        <v>273</v>
      </c>
      <c r="BB4">
        <v>0</v>
      </c>
      <c r="BC4">
        <v>0</v>
      </c>
      <c r="BD4">
        <v>0</v>
      </c>
      <c r="BE4">
        <v>0</v>
      </c>
      <c r="BF4" t="s">
        <v>1063</v>
      </c>
      <c r="BG4" t="s">
        <v>4078</v>
      </c>
      <c r="BH4">
        <v>2</v>
      </c>
      <c r="BI4" t="s">
        <v>1260</v>
      </c>
      <c r="BK4">
        <v>1884376</v>
      </c>
    </row>
    <row r="5" spans="1:64">
      <c r="A5" s="1">
        <f>HYPERLINK("https://lsnyc.legalserver.org/matter/dynamic-profile/view/1915282","19-1915282")</f>
        <v>0</v>
      </c>
      <c r="B5" t="s">
        <v>3485</v>
      </c>
      <c r="C5" t="s">
        <v>3679</v>
      </c>
      <c r="D5" t="s">
        <v>257</v>
      </c>
      <c r="E5" t="s">
        <v>3685</v>
      </c>
      <c r="F5" t="s">
        <v>273</v>
      </c>
      <c r="G5" t="s">
        <v>275</v>
      </c>
      <c r="H5">
        <v>0</v>
      </c>
      <c r="K5" t="s">
        <v>1657</v>
      </c>
      <c r="P5" t="s">
        <v>492</v>
      </c>
      <c r="Q5" t="s">
        <v>501</v>
      </c>
      <c r="S5" t="s">
        <v>503</v>
      </c>
      <c r="T5" t="s">
        <v>508</v>
      </c>
      <c r="U5" t="s">
        <v>511</v>
      </c>
      <c r="V5">
        <v>10453</v>
      </c>
      <c r="W5" t="s">
        <v>520</v>
      </c>
      <c r="X5" t="s">
        <v>548</v>
      </c>
      <c r="Z5" t="s">
        <v>3761</v>
      </c>
      <c r="AA5" t="s">
        <v>2191</v>
      </c>
      <c r="AB5" t="s">
        <v>902</v>
      </c>
      <c r="AC5" t="s">
        <v>905</v>
      </c>
      <c r="AI5">
        <v>0.75</v>
      </c>
      <c r="AK5" t="s">
        <v>950</v>
      </c>
      <c r="AT5">
        <v>0</v>
      </c>
      <c r="AU5">
        <v>2</v>
      </c>
      <c r="AV5" t="s">
        <v>273</v>
      </c>
      <c r="AY5" t="s">
        <v>273</v>
      </c>
      <c r="BB5">
        <v>0</v>
      </c>
      <c r="BC5">
        <v>0</v>
      </c>
      <c r="BD5">
        <v>0</v>
      </c>
      <c r="BE5">
        <v>0</v>
      </c>
      <c r="BF5" t="s">
        <v>1063</v>
      </c>
      <c r="BG5" t="s">
        <v>4079</v>
      </c>
      <c r="BH5">
        <v>60</v>
      </c>
      <c r="BI5" t="s">
        <v>1247</v>
      </c>
      <c r="BK5">
        <v>1892061</v>
      </c>
    </row>
    <row r="6" spans="1:64">
      <c r="A6" s="1">
        <f>HYPERLINK("https://lsnyc.legalserver.org/matter/dynamic-profile/view/1915287","19-1915287")</f>
        <v>0</v>
      </c>
      <c r="B6" t="s">
        <v>3486</v>
      </c>
      <c r="C6" t="s">
        <v>3679</v>
      </c>
      <c r="D6" t="s">
        <v>257</v>
      </c>
      <c r="E6" t="s">
        <v>3685</v>
      </c>
      <c r="F6" t="s">
        <v>273</v>
      </c>
      <c r="G6" t="s">
        <v>275</v>
      </c>
      <c r="H6">
        <v>0</v>
      </c>
      <c r="K6" t="s">
        <v>1657</v>
      </c>
      <c r="P6" t="s">
        <v>492</v>
      </c>
      <c r="Q6" t="s">
        <v>501</v>
      </c>
      <c r="S6" t="s">
        <v>503</v>
      </c>
      <c r="T6" t="s">
        <v>507</v>
      </c>
      <c r="U6" t="s">
        <v>511</v>
      </c>
      <c r="V6">
        <v>10453</v>
      </c>
      <c r="W6" t="s">
        <v>520</v>
      </c>
      <c r="X6" t="s">
        <v>3757</v>
      </c>
      <c r="Z6" t="s">
        <v>3762</v>
      </c>
      <c r="AA6" t="s">
        <v>3904</v>
      </c>
      <c r="AB6" t="s">
        <v>902</v>
      </c>
      <c r="AC6" t="s">
        <v>905</v>
      </c>
      <c r="AI6">
        <v>0.5</v>
      </c>
      <c r="AK6" t="s">
        <v>4057</v>
      </c>
      <c r="AT6">
        <v>0</v>
      </c>
      <c r="AU6">
        <v>2</v>
      </c>
      <c r="AV6" t="s">
        <v>273</v>
      </c>
      <c r="AY6" t="s">
        <v>273</v>
      </c>
      <c r="BB6">
        <v>0</v>
      </c>
      <c r="BC6">
        <v>0</v>
      </c>
      <c r="BD6">
        <v>0</v>
      </c>
      <c r="BE6">
        <v>0</v>
      </c>
      <c r="BF6" t="s">
        <v>1063</v>
      </c>
      <c r="BG6" t="s">
        <v>4080</v>
      </c>
      <c r="BH6">
        <v>21</v>
      </c>
      <c r="BI6" t="s">
        <v>1247</v>
      </c>
      <c r="BK6">
        <v>1892061</v>
      </c>
    </row>
    <row r="7" spans="1:64">
      <c r="A7" s="1">
        <f>HYPERLINK("https://lsnyc.legalserver.org/matter/dynamic-profile/view/1915326","19-1915326")</f>
        <v>0</v>
      </c>
      <c r="B7" t="s">
        <v>3487</v>
      </c>
      <c r="C7" t="s">
        <v>3679</v>
      </c>
      <c r="D7" t="s">
        <v>257</v>
      </c>
      <c r="E7" t="s">
        <v>3684</v>
      </c>
      <c r="F7" t="s">
        <v>273</v>
      </c>
      <c r="G7" t="s">
        <v>275</v>
      </c>
      <c r="H7">
        <v>120.65</v>
      </c>
      <c r="K7" t="s">
        <v>1657</v>
      </c>
      <c r="Q7" t="s">
        <v>501</v>
      </c>
      <c r="S7" t="s">
        <v>503</v>
      </c>
      <c r="T7" t="s">
        <v>508</v>
      </c>
      <c r="U7" t="s">
        <v>511</v>
      </c>
      <c r="V7">
        <v>10463</v>
      </c>
      <c r="W7" t="s">
        <v>520</v>
      </c>
      <c r="X7" t="s">
        <v>548</v>
      </c>
      <c r="Z7" t="s">
        <v>3763</v>
      </c>
      <c r="AA7" t="s">
        <v>3905</v>
      </c>
      <c r="AB7" t="s">
        <v>902</v>
      </c>
      <c r="AC7" t="s">
        <v>905</v>
      </c>
      <c r="AI7">
        <v>1.5</v>
      </c>
      <c r="AT7">
        <v>2</v>
      </c>
      <c r="AU7">
        <v>3</v>
      </c>
      <c r="AV7" t="s">
        <v>273</v>
      </c>
      <c r="AY7" t="s">
        <v>273</v>
      </c>
      <c r="BB7">
        <v>0</v>
      </c>
      <c r="BC7">
        <v>0</v>
      </c>
      <c r="BD7">
        <v>0</v>
      </c>
      <c r="BE7">
        <v>0</v>
      </c>
      <c r="BF7" t="s">
        <v>1063</v>
      </c>
      <c r="BG7" t="s">
        <v>4081</v>
      </c>
      <c r="BH7">
        <v>57</v>
      </c>
      <c r="BI7" t="s">
        <v>1317</v>
      </c>
      <c r="BK7">
        <v>1895664</v>
      </c>
    </row>
    <row r="8" spans="1:64">
      <c r="A8" s="1">
        <f>HYPERLINK("https://lsnyc.legalserver.org/matter/dynamic-profile/view/1914392","19-1914392")</f>
        <v>0</v>
      </c>
      <c r="B8" t="s">
        <v>3488</v>
      </c>
      <c r="C8" t="s">
        <v>3679</v>
      </c>
      <c r="D8" t="s">
        <v>257</v>
      </c>
      <c r="E8" t="s">
        <v>3686</v>
      </c>
      <c r="F8" t="s">
        <v>273</v>
      </c>
      <c r="G8" t="s">
        <v>275</v>
      </c>
      <c r="H8">
        <v>73.14</v>
      </c>
      <c r="I8" t="s">
        <v>274</v>
      </c>
      <c r="K8" t="s">
        <v>443</v>
      </c>
      <c r="O8" t="s">
        <v>275</v>
      </c>
      <c r="P8" t="s">
        <v>492</v>
      </c>
      <c r="Q8" t="s">
        <v>501</v>
      </c>
      <c r="S8" t="s">
        <v>503</v>
      </c>
      <c r="T8" t="s">
        <v>508</v>
      </c>
      <c r="U8" t="s">
        <v>511</v>
      </c>
      <c r="V8">
        <v>10460</v>
      </c>
      <c r="W8" t="s">
        <v>520</v>
      </c>
      <c r="X8" t="s">
        <v>548</v>
      </c>
      <c r="Y8" t="s">
        <v>275</v>
      </c>
      <c r="Z8" t="s">
        <v>3764</v>
      </c>
      <c r="AA8" t="s">
        <v>3906</v>
      </c>
      <c r="AB8" t="s">
        <v>902</v>
      </c>
      <c r="AC8" t="s">
        <v>905</v>
      </c>
      <c r="AF8" t="s">
        <v>923</v>
      </c>
      <c r="AI8">
        <v>29</v>
      </c>
      <c r="AJ8" t="s">
        <v>558</v>
      </c>
      <c r="AK8" t="s">
        <v>934</v>
      </c>
      <c r="AL8" t="s">
        <v>274</v>
      </c>
      <c r="AM8" t="s">
        <v>973</v>
      </c>
      <c r="AT8">
        <v>2</v>
      </c>
      <c r="AU8">
        <v>1</v>
      </c>
      <c r="AV8" t="s">
        <v>273</v>
      </c>
      <c r="AY8" t="s">
        <v>273</v>
      </c>
      <c r="BB8">
        <v>0</v>
      </c>
      <c r="BC8">
        <v>0</v>
      </c>
      <c r="BD8">
        <v>0</v>
      </c>
      <c r="BE8">
        <v>0</v>
      </c>
      <c r="BF8" t="s">
        <v>1063</v>
      </c>
      <c r="BG8" t="s">
        <v>4082</v>
      </c>
      <c r="BH8">
        <v>33</v>
      </c>
      <c r="BI8" t="s">
        <v>1270</v>
      </c>
      <c r="BK8">
        <v>770434</v>
      </c>
      <c r="BL8" t="s">
        <v>274</v>
      </c>
    </row>
    <row r="9" spans="1:64">
      <c r="A9" s="1">
        <f>HYPERLINK("https://lsnyc.legalserver.org/matter/dynamic-profile/view/1914307","19-1914307")</f>
        <v>0</v>
      </c>
      <c r="B9" t="s">
        <v>3489</v>
      </c>
      <c r="C9" t="s">
        <v>3679</v>
      </c>
      <c r="D9" t="s">
        <v>257</v>
      </c>
      <c r="E9" t="s">
        <v>3683</v>
      </c>
      <c r="F9" t="s">
        <v>273</v>
      </c>
      <c r="G9" t="s">
        <v>275</v>
      </c>
      <c r="H9">
        <v>0</v>
      </c>
      <c r="I9" t="s">
        <v>274</v>
      </c>
      <c r="K9" t="s">
        <v>1810</v>
      </c>
      <c r="O9" t="s">
        <v>275</v>
      </c>
      <c r="P9" t="s">
        <v>492</v>
      </c>
      <c r="Q9" t="s">
        <v>502</v>
      </c>
      <c r="S9" t="s">
        <v>503</v>
      </c>
      <c r="T9" t="s">
        <v>508</v>
      </c>
      <c r="U9" t="s">
        <v>511</v>
      </c>
      <c r="V9">
        <v>10463</v>
      </c>
      <c r="W9" t="s">
        <v>518</v>
      </c>
      <c r="X9" t="s">
        <v>548</v>
      </c>
      <c r="Y9" t="s">
        <v>275</v>
      </c>
      <c r="Z9" t="s">
        <v>3765</v>
      </c>
      <c r="AA9" t="s">
        <v>3189</v>
      </c>
      <c r="AB9" t="s">
        <v>902</v>
      </c>
      <c r="AC9" t="s">
        <v>906</v>
      </c>
      <c r="AF9" t="s">
        <v>926</v>
      </c>
      <c r="AI9">
        <v>3.6</v>
      </c>
      <c r="AJ9" t="s">
        <v>558</v>
      </c>
      <c r="AK9" t="s">
        <v>934</v>
      </c>
      <c r="AL9" t="s">
        <v>274</v>
      </c>
      <c r="AT9">
        <v>3</v>
      </c>
      <c r="AU9">
        <v>1</v>
      </c>
      <c r="AV9" t="s">
        <v>273</v>
      </c>
      <c r="AY9" t="s">
        <v>273</v>
      </c>
      <c r="BB9">
        <v>0</v>
      </c>
      <c r="BC9">
        <v>0</v>
      </c>
      <c r="BD9">
        <v>0</v>
      </c>
      <c r="BE9">
        <v>0</v>
      </c>
      <c r="BF9" t="s">
        <v>1063</v>
      </c>
      <c r="BG9" t="s">
        <v>4083</v>
      </c>
      <c r="BH9">
        <v>12</v>
      </c>
      <c r="BI9" t="s">
        <v>1247</v>
      </c>
      <c r="BK9">
        <v>1914971</v>
      </c>
      <c r="BL9" t="s">
        <v>274</v>
      </c>
    </row>
    <row r="10" spans="1:64">
      <c r="A10" s="1">
        <f>HYPERLINK("https://lsnyc.legalserver.org/matter/dynamic-profile/view/1913788","19-1913788")</f>
        <v>0</v>
      </c>
      <c r="B10" t="s">
        <v>3490</v>
      </c>
      <c r="C10" t="s">
        <v>3679</v>
      </c>
      <c r="D10" t="s">
        <v>252</v>
      </c>
      <c r="E10" t="s">
        <v>3684</v>
      </c>
      <c r="F10" t="s">
        <v>273</v>
      </c>
      <c r="G10" t="s">
        <v>275</v>
      </c>
      <c r="H10">
        <v>39.14</v>
      </c>
      <c r="K10" t="s">
        <v>1661</v>
      </c>
      <c r="P10" t="s">
        <v>492</v>
      </c>
      <c r="Q10" t="s">
        <v>501</v>
      </c>
      <c r="S10" t="s">
        <v>503</v>
      </c>
      <c r="T10" t="s">
        <v>507</v>
      </c>
      <c r="U10" t="s">
        <v>511</v>
      </c>
      <c r="V10">
        <v>11210</v>
      </c>
      <c r="W10" t="s">
        <v>524</v>
      </c>
      <c r="X10" t="s">
        <v>549</v>
      </c>
      <c r="Z10" t="s">
        <v>3766</v>
      </c>
      <c r="AA10" t="s">
        <v>3907</v>
      </c>
      <c r="AB10" t="s">
        <v>902</v>
      </c>
      <c r="AC10" t="s">
        <v>910</v>
      </c>
      <c r="AI10">
        <v>5</v>
      </c>
      <c r="AT10">
        <v>0</v>
      </c>
      <c r="AU10">
        <v>1</v>
      </c>
      <c r="AV10" t="s">
        <v>273</v>
      </c>
      <c r="AY10" t="s">
        <v>273</v>
      </c>
      <c r="BB10">
        <v>0</v>
      </c>
      <c r="BC10">
        <v>0</v>
      </c>
      <c r="BD10">
        <v>0</v>
      </c>
      <c r="BE10">
        <v>0</v>
      </c>
      <c r="BF10" t="s">
        <v>1063</v>
      </c>
      <c r="BG10" t="s">
        <v>4084</v>
      </c>
      <c r="BH10">
        <v>29</v>
      </c>
      <c r="BI10" t="s">
        <v>1292</v>
      </c>
      <c r="BK10">
        <v>1860948</v>
      </c>
    </row>
    <row r="11" spans="1:64">
      <c r="A11" s="1">
        <f>HYPERLINK("https://lsnyc.legalserver.org/matter/dynamic-profile/view/1913741","19-1913741")</f>
        <v>0</v>
      </c>
      <c r="B11" t="s">
        <v>3491</v>
      </c>
      <c r="C11" t="s">
        <v>3679</v>
      </c>
      <c r="D11" t="s">
        <v>257</v>
      </c>
      <c r="E11" t="s">
        <v>3685</v>
      </c>
      <c r="F11" t="s">
        <v>273</v>
      </c>
      <c r="G11" t="s">
        <v>275</v>
      </c>
      <c r="H11">
        <v>0</v>
      </c>
      <c r="I11" t="s">
        <v>274</v>
      </c>
      <c r="K11" t="s">
        <v>1662</v>
      </c>
      <c r="O11" t="s">
        <v>275</v>
      </c>
      <c r="P11" t="s">
        <v>492</v>
      </c>
      <c r="Q11" t="s">
        <v>502</v>
      </c>
      <c r="S11" t="s">
        <v>503</v>
      </c>
      <c r="T11" t="s">
        <v>508</v>
      </c>
      <c r="U11" t="s">
        <v>511</v>
      </c>
      <c r="V11">
        <v>10455</v>
      </c>
      <c r="W11" t="s">
        <v>520</v>
      </c>
      <c r="X11" t="s">
        <v>548</v>
      </c>
      <c r="Z11" t="s">
        <v>3141</v>
      </c>
      <c r="AA11" t="s">
        <v>3908</v>
      </c>
      <c r="AB11" t="s">
        <v>902</v>
      </c>
      <c r="AC11" t="s">
        <v>905</v>
      </c>
      <c r="AI11">
        <v>2.75</v>
      </c>
      <c r="AK11" t="s">
        <v>934</v>
      </c>
      <c r="AL11" t="s">
        <v>274</v>
      </c>
      <c r="AT11">
        <v>3</v>
      </c>
      <c r="AU11">
        <v>1</v>
      </c>
      <c r="AV11" t="s">
        <v>273</v>
      </c>
      <c r="AY11" t="s">
        <v>273</v>
      </c>
      <c r="BB11">
        <v>0</v>
      </c>
      <c r="BC11">
        <v>0</v>
      </c>
      <c r="BD11">
        <v>0</v>
      </c>
      <c r="BE11">
        <v>0</v>
      </c>
      <c r="BF11" t="s">
        <v>1063</v>
      </c>
      <c r="BG11" t="s">
        <v>4085</v>
      </c>
      <c r="BH11">
        <v>10</v>
      </c>
      <c r="BI11" t="s">
        <v>1247</v>
      </c>
      <c r="BK11">
        <v>1888445</v>
      </c>
    </row>
    <row r="12" spans="1:64">
      <c r="A12" s="1">
        <f>HYPERLINK("https://lsnyc.legalserver.org/matter/dynamic-profile/view/1913748","19-1913748")</f>
        <v>0</v>
      </c>
      <c r="B12" t="s">
        <v>3492</v>
      </c>
      <c r="C12" t="s">
        <v>3679</v>
      </c>
      <c r="D12" t="s">
        <v>257</v>
      </c>
      <c r="E12" t="s">
        <v>3685</v>
      </c>
      <c r="F12" t="s">
        <v>273</v>
      </c>
      <c r="G12" t="s">
        <v>275</v>
      </c>
      <c r="H12">
        <v>0</v>
      </c>
      <c r="I12" t="s">
        <v>274</v>
      </c>
      <c r="K12" t="s">
        <v>1662</v>
      </c>
      <c r="O12" t="s">
        <v>275</v>
      </c>
      <c r="P12" t="s">
        <v>492</v>
      </c>
      <c r="Q12" t="s">
        <v>502</v>
      </c>
      <c r="S12" t="s">
        <v>503</v>
      </c>
      <c r="T12" t="s">
        <v>507</v>
      </c>
      <c r="U12" t="s">
        <v>511</v>
      </c>
      <c r="V12">
        <v>10455</v>
      </c>
      <c r="W12" t="s">
        <v>520</v>
      </c>
      <c r="X12" t="s">
        <v>548</v>
      </c>
      <c r="Z12" t="s">
        <v>946</v>
      </c>
      <c r="AA12" t="s">
        <v>3908</v>
      </c>
      <c r="AB12" t="s">
        <v>902</v>
      </c>
      <c r="AC12" t="s">
        <v>905</v>
      </c>
      <c r="AI12">
        <v>2.75</v>
      </c>
      <c r="AK12" t="s">
        <v>934</v>
      </c>
      <c r="AL12" t="s">
        <v>274</v>
      </c>
      <c r="AT12">
        <v>3</v>
      </c>
      <c r="AU12">
        <v>1</v>
      </c>
      <c r="AV12" t="s">
        <v>273</v>
      </c>
      <c r="AY12" t="s">
        <v>273</v>
      </c>
      <c r="BB12">
        <v>0</v>
      </c>
      <c r="BC12">
        <v>0</v>
      </c>
      <c r="BD12">
        <v>0</v>
      </c>
      <c r="BE12">
        <v>0</v>
      </c>
      <c r="BF12" t="s">
        <v>1063</v>
      </c>
      <c r="BG12" t="s">
        <v>2477</v>
      </c>
      <c r="BH12">
        <v>5</v>
      </c>
      <c r="BI12" t="s">
        <v>1247</v>
      </c>
      <c r="BK12">
        <v>1888445</v>
      </c>
    </row>
    <row r="13" spans="1:64">
      <c r="A13" s="1">
        <f>HYPERLINK("https://lsnyc.legalserver.org/matter/dynamic-profile/view/1913751","19-1913751")</f>
        <v>0</v>
      </c>
      <c r="B13" t="s">
        <v>3493</v>
      </c>
      <c r="C13" t="s">
        <v>3679</v>
      </c>
      <c r="D13" t="s">
        <v>257</v>
      </c>
      <c r="E13" t="s">
        <v>3685</v>
      </c>
      <c r="F13" t="s">
        <v>273</v>
      </c>
      <c r="G13" t="s">
        <v>275</v>
      </c>
      <c r="H13">
        <v>0</v>
      </c>
      <c r="I13" t="s">
        <v>274</v>
      </c>
      <c r="K13" t="s">
        <v>1662</v>
      </c>
      <c r="O13" t="s">
        <v>275</v>
      </c>
      <c r="P13" t="s">
        <v>492</v>
      </c>
      <c r="Q13" t="s">
        <v>502</v>
      </c>
      <c r="S13" t="s">
        <v>503</v>
      </c>
      <c r="T13" t="s">
        <v>508</v>
      </c>
      <c r="U13" t="s">
        <v>511</v>
      </c>
      <c r="V13">
        <v>10460</v>
      </c>
      <c r="W13" t="s">
        <v>518</v>
      </c>
      <c r="X13" t="s">
        <v>549</v>
      </c>
      <c r="Z13" t="s">
        <v>3767</v>
      </c>
      <c r="AA13" t="s">
        <v>2337</v>
      </c>
      <c r="AB13" t="s">
        <v>902</v>
      </c>
      <c r="AC13" t="s">
        <v>905</v>
      </c>
      <c r="AI13">
        <v>1</v>
      </c>
      <c r="AK13" t="s">
        <v>969</v>
      </c>
      <c r="AL13" t="s">
        <v>274</v>
      </c>
      <c r="AT13">
        <v>0</v>
      </c>
      <c r="AU13">
        <v>1</v>
      </c>
      <c r="AV13" t="s">
        <v>273</v>
      </c>
      <c r="AY13" t="s">
        <v>273</v>
      </c>
      <c r="BB13">
        <v>0</v>
      </c>
      <c r="BC13">
        <v>0</v>
      </c>
      <c r="BD13">
        <v>0</v>
      </c>
      <c r="BE13">
        <v>0</v>
      </c>
      <c r="BF13" t="s">
        <v>1063</v>
      </c>
      <c r="BG13" t="s">
        <v>4086</v>
      </c>
      <c r="BH13">
        <v>20</v>
      </c>
      <c r="BI13" t="s">
        <v>1247</v>
      </c>
      <c r="BK13">
        <v>1893666</v>
      </c>
    </row>
    <row r="14" spans="1:64">
      <c r="A14" s="1">
        <f>HYPERLINK("https://lsnyc.legalserver.org/matter/dynamic-profile/view/1913461","19-1913461")</f>
        <v>0</v>
      </c>
      <c r="B14" t="s">
        <v>1434</v>
      </c>
      <c r="C14" t="s">
        <v>3679</v>
      </c>
      <c r="D14" t="s">
        <v>257</v>
      </c>
      <c r="E14" t="s">
        <v>3683</v>
      </c>
      <c r="F14" t="s">
        <v>273</v>
      </c>
      <c r="G14" t="s">
        <v>275</v>
      </c>
      <c r="H14">
        <v>0</v>
      </c>
      <c r="K14" t="s">
        <v>1663</v>
      </c>
      <c r="P14" t="s">
        <v>492</v>
      </c>
      <c r="Q14" t="s">
        <v>501</v>
      </c>
      <c r="S14" t="s">
        <v>503</v>
      </c>
      <c r="T14" t="s">
        <v>508</v>
      </c>
      <c r="U14" t="s">
        <v>511</v>
      </c>
      <c r="V14">
        <v>10467</v>
      </c>
      <c r="W14" t="s">
        <v>3752</v>
      </c>
      <c r="X14" t="s">
        <v>548</v>
      </c>
      <c r="Z14" t="s">
        <v>1937</v>
      </c>
      <c r="AA14" t="s">
        <v>2191</v>
      </c>
      <c r="AB14" t="s">
        <v>902</v>
      </c>
      <c r="AC14" t="s">
        <v>905</v>
      </c>
      <c r="AI14">
        <v>2.25</v>
      </c>
      <c r="AJ14" t="s">
        <v>558</v>
      </c>
      <c r="AT14">
        <v>2</v>
      </c>
      <c r="AU14">
        <v>3</v>
      </c>
      <c r="AV14" t="s">
        <v>273</v>
      </c>
      <c r="AY14" t="s">
        <v>273</v>
      </c>
      <c r="BB14">
        <v>0</v>
      </c>
      <c r="BC14">
        <v>0</v>
      </c>
      <c r="BD14">
        <v>0</v>
      </c>
      <c r="BE14">
        <v>0</v>
      </c>
      <c r="BF14" t="s">
        <v>1063</v>
      </c>
      <c r="BG14" t="s">
        <v>4087</v>
      </c>
      <c r="BH14">
        <v>38</v>
      </c>
      <c r="BI14" t="s">
        <v>1247</v>
      </c>
      <c r="BK14">
        <v>99984</v>
      </c>
    </row>
    <row r="15" spans="1:64">
      <c r="A15" s="1">
        <f>HYPERLINK("https://lsnyc.legalserver.org/matter/dynamic-profile/view/1913010","19-1913010")</f>
        <v>0</v>
      </c>
      <c r="B15" t="s">
        <v>3494</v>
      </c>
      <c r="C15" t="s">
        <v>3679</v>
      </c>
      <c r="D15" t="s">
        <v>257</v>
      </c>
      <c r="E15" t="s">
        <v>3684</v>
      </c>
      <c r="F15" t="s">
        <v>273</v>
      </c>
      <c r="G15" t="s">
        <v>275</v>
      </c>
      <c r="H15">
        <v>104.08</v>
      </c>
      <c r="K15" t="s">
        <v>487</v>
      </c>
      <c r="P15" t="s">
        <v>495</v>
      </c>
      <c r="Q15" t="s">
        <v>501</v>
      </c>
      <c r="S15" t="s">
        <v>503</v>
      </c>
      <c r="T15" t="s">
        <v>508</v>
      </c>
      <c r="U15" t="s">
        <v>511</v>
      </c>
      <c r="V15">
        <v>11003</v>
      </c>
      <c r="W15" t="s">
        <v>521</v>
      </c>
      <c r="X15" t="s">
        <v>549</v>
      </c>
      <c r="Z15" t="s">
        <v>3768</v>
      </c>
      <c r="AA15" t="s">
        <v>3909</v>
      </c>
      <c r="AB15" t="s">
        <v>902</v>
      </c>
      <c r="AC15" t="s">
        <v>905</v>
      </c>
      <c r="AI15">
        <v>1.8</v>
      </c>
      <c r="AT15">
        <v>0</v>
      </c>
      <c r="AU15">
        <v>1</v>
      </c>
      <c r="AV15" t="s">
        <v>273</v>
      </c>
      <c r="AY15" t="s">
        <v>273</v>
      </c>
      <c r="BB15">
        <v>0</v>
      </c>
      <c r="BC15">
        <v>0</v>
      </c>
      <c r="BD15">
        <v>0</v>
      </c>
      <c r="BE15">
        <v>0</v>
      </c>
      <c r="BF15" t="s">
        <v>1063</v>
      </c>
      <c r="BG15" t="s">
        <v>4088</v>
      </c>
      <c r="BH15">
        <v>40</v>
      </c>
      <c r="BI15" t="s">
        <v>1264</v>
      </c>
      <c r="BK15">
        <v>1913673</v>
      </c>
    </row>
    <row r="16" spans="1:64">
      <c r="A16" s="1">
        <f>HYPERLINK("https://lsnyc.legalserver.org/matter/dynamic-profile/view/1912805","19-1912805")</f>
        <v>0</v>
      </c>
      <c r="B16" t="s">
        <v>3495</v>
      </c>
      <c r="C16" t="s">
        <v>3679</v>
      </c>
      <c r="D16" t="s">
        <v>257</v>
      </c>
      <c r="E16" t="s">
        <v>3685</v>
      </c>
      <c r="F16" t="s">
        <v>273</v>
      </c>
      <c r="G16" t="s">
        <v>275</v>
      </c>
      <c r="H16">
        <v>0</v>
      </c>
      <c r="K16" t="s">
        <v>1811</v>
      </c>
      <c r="O16" t="s">
        <v>275</v>
      </c>
      <c r="P16" t="s">
        <v>492</v>
      </c>
      <c r="Q16" t="s">
        <v>502</v>
      </c>
      <c r="S16" t="s">
        <v>503</v>
      </c>
      <c r="T16" t="s">
        <v>508</v>
      </c>
      <c r="U16" t="s">
        <v>511</v>
      </c>
      <c r="V16">
        <v>10460</v>
      </c>
      <c r="W16" t="s">
        <v>520</v>
      </c>
      <c r="X16" t="s">
        <v>548</v>
      </c>
      <c r="Z16" t="s">
        <v>3769</v>
      </c>
      <c r="AA16" t="s">
        <v>3910</v>
      </c>
      <c r="AB16" t="s">
        <v>902</v>
      </c>
      <c r="AC16" t="s">
        <v>905</v>
      </c>
      <c r="AI16">
        <v>4.75</v>
      </c>
      <c r="AK16" t="s">
        <v>934</v>
      </c>
      <c r="AT16">
        <v>1</v>
      </c>
      <c r="AU16">
        <v>1</v>
      </c>
      <c r="AV16" t="s">
        <v>273</v>
      </c>
      <c r="AY16" t="s">
        <v>273</v>
      </c>
      <c r="BB16">
        <v>0</v>
      </c>
      <c r="BC16">
        <v>0</v>
      </c>
      <c r="BD16">
        <v>0</v>
      </c>
      <c r="BE16">
        <v>0</v>
      </c>
      <c r="BF16" t="s">
        <v>1063</v>
      </c>
      <c r="BG16" t="s">
        <v>4089</v>
      </c>
      <c r="BH16">
        <v>12</v>
      </c>
      <c r="BI16" t="s">
        <v>1247</v>
      </c>
      <c r="BK16">
        <v>1880681</v>
      </c>
    </row>
    <row r="17" spans="1:64">
      <c r="A17" s="1">
        <f>HYPERLINK("https://lsnyc.legalserver.org/matter/dynamic-profile/view/1912752","19-1912752")</f>
        <v>0</v>
      </c>
      <c r="B17" t="s">
        <v>3496</v>
      </c>
      <c r="C17" t="s">
        <v>3679</v>
      </c>
      <c r="D17" t="s">
        <v>257</v>
      </c>
      <c r="E17" t="s">
        <v>3683</v>
      </c>
      <c r="F17" t="s">
        <v>273</v>
      </c>
      <c r="G17" t="s">
        <v>275</v>
      </c>
      <c r="H17">
        <v>0</v>
      </c>
      <c r="K17" t="s">
        <v>446</v>
      </c>
      <c r="M17" t="s">
        <v>473</v>
      </c>
      <c r="N17" t="s">
        <v>488</v>
      </c>
      <c r="O17" t="s">
        <v>275</v>
      </c>
      <c r="P17" t="s">
        <v>492</v>
      </c>
      <c r="Q17" t="s">
        <v>501</v>
      </c>
      <c r="S17" t="s">
        <v>503</v>
      </c>
      <c r="T17" t="s">
        <v>507</v>
      </c>
      <c r="U17" t="s">
        <v>511</v>
      </c>
      <c r="V17">
        <v>10454</v>
      </c>
      <c r="W17" t="s">
        <v>520</v>
      </c>
      <c r="X17" t="s">
        <v>548</v>
      </c>
      <c r="Y17" t="s">
        <v>275</v>
      </c>
      <c r="Z17" t="s">
        <v>3770</v>
      </c>
      <c r="AA17" t="s">
        <v>3911</v>
      </c>
      <c r="AB17" t="s">
        <v>902</v>
      </c>
      <c r="AC17" t="s">
        <v>2360</v>
      </c>
      <c r="AF17" t="s">
        <v>923</v>
      </c>
      <c r="AI17">
        <v>2.05</v>
      </c>
      <c r="AJ17" t="s">
        <v>558</v>
      </c>
      <c r="AK17" t="s">
        <v>934</v>
      </c>
      <c r="AT17">
        <v>3</v>
      </c>
      <c r="AU17">
        <v>2</v>
      </c>
      <c r="AV17" t="s">
        <v>273</v>
      </c>
      <c r="AY17" t="s">
        <v>273</v>
      </c>
      <c r="BB17">
        <v>0</v>
      </c>
      <c r="BC17">
        <v>0</v>
      </c>
      <c r="BD17">
        <v>0</v>
      </c>
      <c r="BE17">
        <v>0</v>
      </c>
      <c r="BF17" t="s">
        <v>1063</v>
      </c>
      <c r="BG17" t="s">
        <v>4090</v>
      </c>
      <c r="BH17">
        <v>13</v>
      </c>
      <c r="BI17" t="s">
        <v>1247</v>
      </c>
      <c r="BK17">
        <v>1913415</v>
      </c>
      <c r="BL17" t="s">
        <v>274</v>
      </c>
    </row>
    <row r="18" spans="1:64">
      <c r="A18" s="1">
        <f>HYPERLINK("https://lsnyc.legalserver.org/matter/dynamic-profile/view/1912408","19-1912408")</f>
        <v>0</v>
      </c>
      <c r="B18" t="s">
        <v>3497</v>
      </c>
      <c r="C18" t="s">
        <v>3679</v>
      </c>
      <c r="D18" t="s">
        <v>257</v>
      </c>
      <c r="E18" t="s">
        <v>3687</v>
      </c>
      <c r="F18" t="s">
        <v>273</v>
      </c>
      <c r="G18" t="s">
        <v>275</v>
      </c>
      <c r="H18">
        <v>90.2</v>
      </c>
      <c r="K18" t="s">
        <v>480</v>
      </c>
      <c r="O18" t="s">
        <v>275</v>
      </c>
      <c r="P18" t="s">
        <v>492</v>
      </c>
      <c r="Q18" t="s">
        <v>501</v>
      </c>
      <c r="S18" t="s">
        <v>503</v>
      </c>
      <c r="T18" t="s">
        <v>507</v>
      </c>
      <c r="U18" t="s">
        <v>511</v>
      </c>
      <c r="V18">
        <v>10456</v>
      </c>
      <c r="W18" t="s">
        <v>523</v>
      </c>
      <c r="X18" t="s">
        <v>549</v>
      </c>
      <c r="Z18" t="s">
        <v>2080</v>
      </c>
      <c r="AA18" t="s">
        <v>3912</v>
      </c>
      <c r="AB18" t="s">
        <v>902</v>
      </c>
      <c r="AC18" t="s">
        <v>904</v>
      </c>
      <c r="AI18">
        <v>4.25</v>
      </c>
      <c r="AJ18" t="s">
        <v>931</v>
      </c>
      <c r="AK18" t="s">
        <v>934</v>
      </c>
      <c r="AT18">
        <v>4</v>
      </c>
      <c r="AU18">
        <v>2</v>
      </c>
      <c r="AV18" t="s">
        <v>273</v>
      </c>
      <c r="AY18" t="s">
        <v>273</v>
      </c>
      <c r="BB18">
        <v>0</v>
      </c>
      <c r="BC18">
        <v>0</v>
      </c>
      <c r="BD18">
        <v>0</v>
      </c>
      <c r="BE18">
        <v>0</v>
      </c>
      <c r="BF18" t="s">
        <v>1063</v>
      </c>
      <c r="BG18" t="s">
        <v>4091</v>
      </c>
      <c r="BH18">
        <v>32</v>
      </c>
      <c r="BI18" t="s">
        <v>1254</v>
      </c>
      <c r="BK18">
        <v>1913071</v>
      </c>
    </row>
    <row r="19" spans="1:64">
      <c r="A19" s="1">
        <f>HYPERLINK("https://lsnyc.legalserver.org/matter/dynamic-profile/view/1912447","19-1912447")</f>
        <v>0</v>
      </c>
      <c r="B19" t="s">
        <v>3498</v>
      </c>
      <c r="C19" t="s">
        <v>3679</v>
      </c>
      <c r="D19" t="s">
        <v>257</v>
      </c>
      <c r="E19" t="s">
        <v>3688</v>
      </c>
      <c r="F19" t="s">
        <v>273</v>
      </c>
      <c r="G19" t="s">
        <v>275</v>
      </c>
      <c r="H19">
        <v>282.29</v>
      </c>
      <c r="K19" t="s">
        <v>480</v>
      </c>
      <c r="O19" t="s">
        <v>275</v>
      </c>
      <c r="P19" t="s">
        <v>492</v>
      </c>
      <c r="Q19" t="s">
        <v>501</v>
      </c>
      <c r="S19" t="s">
        <v>503</v>
      </c>
      <c r="T19" t="s">
        <v>508</v>
      </c>
      <c r="U19" t="s">
        <v>511</v>
      </c>
      <c r="V19">
        <v>10451</v>
      </c>
      <c r="W19" t="s">
        <v>523</v>
      </c>
      <c r="X19" t="s">
        <v>549</v>
      </c>
      <c r="Z19" t="s">
        <v>3771</v>
      </c>
      <c r="AA19" t="s">
        <v>3913</v>
      </c>
      <c r="AB19" t="s">
        <v>903</v>
      </c>
      <c r="AI19">
        <v>1</v>
      </c>
      <c r="AJ19" t="s">
        <v>931</v>
      </c>
      <c r="AK19" t="s">
        <v>937</v>
      </c>
      <c r="AT19">
        <v>0</v>
      </c>
      <c r="AU19">
        <v>2</v>
      </c>
      <c r="AV19" t="s">
        <v>273</v>
      </c>
      <c r="AY19" t="s">
        <v>273</v>
      </c>
      <c r="BB19">
        <v>0</v>
      </c>
      <c r="BC19">
        <v>0</v>
      </c>
      <c r="BD19">
        <v>0</v>
      </c>
      <c r="BE19">
        <v>0</v>
      </c>
      <c r="BF19" t="s">
        <v>1063</v>
      </c>
      <c r="BG19" t="s">
        <v>4092</v>
      </c>
      <c r="BH19">
        <v>33</v>
      </c>
      <c r="BI19" t="s">
        <v>4257</v>
      </c>
      <c r="BK19">
        <v>1913110</v>
      </c>
    </row>
    <row r="20" spans="1:64">
      <c r="A20" s="1">
        <f>HYPERLINK("https://lsnyc.legalserver.org/matter/dynamic-profile/view/1912087","19-1912087")</f>
        <v>0</v>
      </c>
      <c r="B20" t="s">
        <v>3499</v>
      </c>
      <c r="C20" t="s">
        <v>3679</v>
      </c>
      <c r="D20" t="s">
        <v>257</v>
      </c>
      <c r="E20" t="s">
        <v>3684</v>
      </c>
      <c r="F20" t="s">
        <v>273</v>
      </c>
      <c r="G20" t="s">
        <v>275</v>
      </c>
      <c r="H20">
        <v>37.28</v>
      </c>
      <c r="K20" t="s">
        <v>280</v>
      </c>
      <c r="P20" t="s">
        <v>492</v>
      </c>
      <c r="Q20" t="s">
        <v>502</v>
      </c>
      <c r="S20" t="s">
        <v>503</v>
      </c>
      <c r="T20" t="s">
        <v>507</v>
      </c>
      <c r="U20" t="s">
        <v>511</v>
      </c>
      <c r="V20">
        <v>10460</v>
      </c>
      <c r="W20" t="s">
        <v>520</v>
      </c>
      <c r="X20" t="s">
        <v>548</v>
      </c>
      <c r="Z20" t="s">
        <v>3772</v>
      </c>
      <c r="AA20" t="s">
        <v>3914</v>
      </c>
      <c r="AB20" t="s">
        <v>902</v>
      </c>
      <c r="AC20" t="s">
        <v>908</v>
      </c>
      <c r="AI20">
        <v>2.5</v>
      </c>
      <c r="AT20">
        <v>2</v>
      </c>
      <c r="AU20">
        <v>2</v>
      </c>
      <c r="AV20" t="s">
        <v>273</v>
      </c>
      <c r="AY20" t="s">
        <v>273</v>
      </c>
      <c r="BB20">
        <v>0</v>
      </c>
      <c r="BC20">
        <v>0</v>
      </c>
      <c r="BD20">
        <v>0</v>
      </c>
      <c r="BE20">
        <v>0</v>
      </c>
      <c r="BF20" t="s">
        <v>1063</v>
      </c>
      <c r="BG20" t="s">
        <v>4093</v>
      </c>
      <c r="BH20">
        <v>18</v>
      </c>
      <c r="BI20" t="s">
        <v>1280</v>
      </c>
      <c r="BK20">
        <v>744807</v>
      </c>
    </row>
    <row r="21" spans="1:64">
      <c r="A21" s="1">
        <f>HYPERLINK("https://lsnyc.legalserver.org/matter/dynamic-profile/view/1911816","19-1911816")</f>
        <v>0</v>
      </c>
      <c r="B21" t="s">
        <v>3500</v>
      </c>
      <c r="C21" t="s">
        <v>3679</v>
      </c>
      <c r="D21" t="s">
        <v>257</v>
      </c>
      <c r="E21" t="s">
        <v>3685</v>
      </c>
      <c r="F21" t="s">
        <v>273</v>
      </c>
      <c r="G21" t="s">
        <v>275</v>
      </c>
      <c r="H21">
        <v>0</v>
      </c>
      <c r="I21" t="s">
        <v>274</v>
      </c>
      <c r="K21" t="s">
        <v>484</v>
      </c>
      <c r="O21" t="s">
        <v>275</v>
      </c>
      <c r="P21" t="s">
        <v>492</v>
      </c>
      <c r="Q21" t="s">
        <v>502</v>
      </c>
      <c r="S21" t="s">
        <v>503</v>
      </c>
      <c r="T21" t="s">
        <v>507</v>
      </c>
      <c r="U21" t="s">
        <v>511</v>
      </c>
      <c r="V21">
        <v>10453</v>
      </c>
      <c r="W21" t="s">
        <v>518</v>
      </c>
      <c r="X21" t="s">
        <v>548</v>
      </c>
      <c r="Z21" t="s">
        <v>3773</v>
      </c>
      <c r="AA21" t="s">
        <v>3915</v>
      </c>
      <c r="AB21" t="s">
        <v>902</v>
      </c>
      <c r="AC21" t="s">
        <v>905</v>
      </c>
      <c r="AI21">
        <v>1</v>
      </c>
      <c r="AK21" t="s">
        <v>934</v>
      </c>
      <c r="AL21" t="s">
        <v>274</v>
      </c>
      <c r="AT21">
        <v>2</v>
      </c>
      <c r="AU21">
        <v>1</v>
      </c>
      <c r="AV21" t="s">
        <v>273</v>
      </c>
      <c r="AY21" t="s">
        <v>273</v>
      </c>
      <c r="BB21">
        <v>0</v>
      </c>
      <c r="BC21">
        <v>0</v>
      </c>
      <c r="BD21">
        <v>0</v>
      </c>
      <c r="BE21">
        <v>0</v>
      </c>
      <c r="BF21" t="s">
        <v>1063</v>
      </c>
      <c r="BG21" t="s">
        <v>4094</v>
      </c>
      <c r="BH21">
        <v>11</v>
      </c>
      <c r="BI21" t="s">
        <v>1247</v>
      </c>
      <c r="BK21">
        <v>1861791</v>
      </c>
    </row>
    <row r="22" spans="1:64">
      <c r="A22" s="1">
        <f>HYPERLINK("https://lsnyc.legalserver.org/matter/dynamic-profile/view/1911836","19-1911836")</f>
        <v>0</v>
      </c>
      <c r="B22" t="s">
        <v>3501</v>
      </c>
      <c r="C22" t="s">
        <v>3679</v>
      </c>
      <c r="D22" t="s">
        <v>257</v>
      </c>
      <c r="E22" t="s">
        <v>3685</v>
      </c>
      <c r="F22" t="s">
        <v>273</v>
      </c>
      <c r="G22" t="s">
        <v>275</v>
      </c>
      <c r="H22">
        <v>0</v>
      </c>
      <c r="I22" t="s">
        <v>274</v>
      </c>
      <c r="K22" t="s">
        <v>484</v>
      </c>
      <c r="O22" t="s">
        <v>275</v>
      </c>
      <c r="P22" t="s">
        <v>492</v>
      </c>
      <c r="Q22" t="s">
        <v>502</v>
      </c>
      <c r="S22" t="s">
        <v>503</v>
      </c>
      <c r="T22" t="s">
        <v>508</v>
      </c>
      <c r="U22" t="s">
        <v>511</v>
      </c>
      <c r="V22">
        <v>10459</v>
      </c>
      <c r="W22" t="s">
        <v>518</v>
      </c>
      <c r="X22" t="s">
        <v>548</v>
      </c>
      <c r="Z22" t="s">
        <v>3774</v>
      </c>
      <c r="AA22" t="s">
        <v>3916</v>
      </c>
      <c r="AB22" t="s">
        <v>902</v>
      </c>
      <c r="AC22" t="s">
        <v>905</v>
      </c>
      <c r="AI22">
        <v>1</v>
      </c>
      <c r="AK22" t="s">
        <v>934</v>
      </c>
      <c r="AL22" t="s">
        <v>274</v>
      </c>
      <c r="AT22">
        <v>0</v>
      </c>
      <c r="AU22">
        <v>3</v>
      </c>
      <c r="AV22" t="s">
        <v>273</v>
      </c>
      <c r="AY22" t="s">
        <v>273</v>
      </c>
      <c r="BB22">
        <v>0</v>
      </c>
      <c r="BC22">
        <v>0</v>
      </c>
      <c r="BD22">
        <v>0</v>
      </c>
      <c r="BE22">
        <v>0</v>
      </c>
      <c r="BF22" t="s">
        <v>1063</v>
      </c>
      <c r="BG22" t="s">
        <v>4095</v>
      </c>
      <c r="BH22">
        <v>20</v>
      </c>
      <c r="BI22" t="s">
        <v>1247</v>
      </c>
      <c r="BK22">
        <v>1887184</v>
      </c>
    </row>
    <row r="23" spans="1:64">
      <c r="A23" s="1">
        <f>HYPERLINK("https://lsnyc.legalserver.org/matter/dynamic-profile/view/1911669","19-1911669")</f>
        <v>0</v>
      </c>
      <c r="B23" t="s">
        <v>3502</v>
      </c>
      <c r="C23" t="s">
        <v>3679</v>
      </c>
      <c r="D23" t="s">
        <v>252</v>
      </c>
      <c r="E23" t="s">
        <v>3685</v>
      </c>
      <c r="F23" t="s">
        <v>273</v>
      </c>
      <c r="G23" t="s">
        <v>275</v>
      </c>
      <c r="H23">
        <v>0</v>
      </c>
      <c r="I23" t="s">
        <v>274</v>
      </c>
      <c r="K23" t="s">
        <v>282</v>
      </c>
      <c r="O23" t="s">
        <v>275</v>
      </c>
      <c r="P23" t="s">
        <v>492</v>
      </c>
      <c r="Q23" t="s">
        <v>501</v>
      </c>
      <c r="S23" t="s">
        <v>503</v>
      </c>
      <c r="T23" t="s">
        <v>508</v>
      </c>
      <c r="U23" t="s">
        <v>511</v>
      </c>
      <c r="V23">
        <v>11206</v>
      </c>
      <c r="W23" t="s">
        <v>518</v>
      </c>
      <c r="X23" t="s">
        <v>548</v>
      </c>
      <c r="Y23" t="s">
        <v>275</v>
      </c>
      <c r="Z23" t="s">
        <v>584</v>
      </c>
      <c r="AA23" t="s">
        <v>3917</v>
      </c>
      <c r="AB23" t="s">
        <v>902</v>
      </c>
      <c r="AC23" t="s">
        <v>905</v>
      </c>
      <c r="AI23">
        <v>5</v>
      </c>
      <c r="AK23" t="s">
        <v>934</v>
      </c>
      <c r="AL23" t="s">
        <v>274</v>
      </c>
      <c r="AT23">
        <v>1</v>
      </c>
      <c r="AU23">
        <v>1</v>
      </c>
      <c r="AV23" t="s">
        <v>273</v>
      </c>
      <c r="AY23" t="s">
        <v>273</v>
      </c>
      <c r="BB23">
        <v>0</v>
      </c>
      <c r="BC23">
        <v>0</v>
      </c>
      <c r="BD23">
        <v>0</v>
      </c>
      <c r="BE23">
        <v>0</v>
      </c>
      <c r="BF23" t="s">
        <v>1063</v>
      </c>
      <c r="BG23" t="s">
        <v>4096</v>
      </c>
      <c r="BH23">
        <v>50</v>
      </c>
      <c r="BI23" t="s">
        <v>1247</v>
      </c>
      <c r="BK23">
        <v>1912332</v>
      </c>
      <c r="BL23" t="s">
        <v>274</v>
      </c>
    </row>
    <row r="24" spans="1:64">
      <c r="A24" s="1">
        <f>HYPERLINK("https://lsnyc.legalserver.org/matter/dynamic-profile/view/1911618","19-1911618")</f>
        <v>0</v>
      </c>
      <c r="B24" t="s">
        <v>3503</v>
      </c>
      <c r="C24" t="s">
        <v>3679</v>
      </c>
      <c r="D24" t="s">
        <v>257</v>
      </c>
      <c r="E24" t="s">
        <v>3684</v>
      </c>
      <c r="F24" t="s">
        <v>273</v>
      </c>
      <c r="G24" t="s">
        <v>275</v>
      </c>
      <c r="H24">
        <v>184.51</v>
      </c>
      <c r="K24" t="s">
        <v>452</v>
      </c>
      <c r="Q24" t="s">
        <v>501</v>
      </c>
      <c r="S24" t="s">
        <v>503</v>
      </c>
      <c r="T24" t="s">
        <v>508</v>
      </c>
      <c r="U24" t="s">
        <v>511</v>
      </c>
      <c r="V24">
        <v>10460</v>
      </c>
      <c r="W24" t="s">
        <v>520</v>
      </c>
      <c r="X24" t="s">
        <v>548</v>
      </c>
      <c r="Z24" t="s">
        <v>3775</v>
      </c>
      <c r="AA24" t="s">
        <v>2191</v>
      </c>
      <c r="AB24" t="s">
        <v>902</v>
      </c>
      <c r="AC24" t="s">
        <v>905</v>
      </c>
      <c r="AI24">
        <v>1.5</v>
      </c>
      <c r="AT24">
        <v>0</v>
      </c>
      <c r="AU24">
        <v>2</v>
      </c>
      <c r="AV24" t="s">
        <v>273</v>
      </c>
      <c r="AY24" t="s">
        <v>273</v>
      </c>
      <c r="BB24">
        <v>0</v>
      </c>
      <c r="BC24">
        <v>0</v>
      </c>
      <c r="BD24">
        <v>0</v>
      </c>
      <c r="BE24">
        <v>0</v>
      </c>
      <c r="BF24" t="s">
        <v>1063</v>
      </c>
      <c r="BG24" t="s">
        <v>4097</v>
      </c>
      <c r="BH24">
        <v>39</v>
      </c>
      <c r="BI24" t="s">
        <v>1254</v>
      </c>
      <c r="BK24">
        <v>804416</v>
      </c>
    </row>
    <row r="25" spans="1:64">
      <c r="A25" s="1">
        <f>HYPERLINK("https://lsnyc.legalserver.org/matter/dynamic-profile/view/1911622","19-1911622")</f>
        <v>0</v>
      </c>
      <c r="B25" t="s">
        <v>3504</v>
      </c>
      <c r="C25" t="s">
        <v>3679</v>
      </c>
      <c r="D25" t="s">
        <v>257</v>
      </c>
      <c r="E25" t="s">
        <v>3684</v>
      </c>
      <c r="F25" t="s">
        <v>273</v>
      </c>
      <c r="G25" t="s">
        <v>275</v>
      </c>
      <c r="H25">
        <v>276.76</v>
      </c>
      <c r="K25" t="s">
        <v>452</v>
      </c>
      <c r="P25" t="s">
        <v>492</v>
      </c>
      <c r="Q25" t="s">
        <v>501</v>
      </c>
      <c r="S25" t="s">
        <v>503</v>
      </c>
      <c r="T25" t="s">
        <v>508</v>
      </c>
      <c r="U25" t="s">
        <v>511</v>
      </c>
      <c r="V25">
        <v>10460</v>
      </c>
      <c r="W25" t="s">
        <v>520</v>
      </c>
      <c r="X25" t="s">
        <v>548</v>
      </c>
      <c r="Z25" t="s">
        <v>3776</v>
      </c>
      <c r="AA25" t="s">
        <v>3918</v>
      </c>
      <c r="AB25" t="s">
        <v>902</v>
      </c>
      <c r="AC25" t="s">
        <v>905</v>
      </c>
      <c r="AI25">
        <v>1.5</v>
      </c>
      <c r="AT25">
        <v>0</v>
      </c>
      <c r="AU25">
        <v>2</v>
      </c>
      <c r="AV25" t="s">
        <v>273</v>
      </c>
      <c r="AY25" t="s">
        <v>273</v>
      </c>
      <c r="BB25">
        <v>0</v>
      </c>
      <c r="BC25">
        <v>0</v>
      </c>
      <c r="BD25">
        <v>0</v>
      </c>
      <c r="BE25">
        <v>0</v>
      </c>
      <c r="BF25" t="s">
        <v>1063</v>
      </c>
      <c r="BG25" t="s">
        <v>4098</v>
      </c>
      <c r="BH25">
        <v>20</v>
      </c>
      <c r="BI25" t="s">
        <v>4258</v>
      </c>
      <c r="BK25">
        <v>804416</v>
      </c>
    </row>
    <row r="26" spans="1:64">
      <c r="A26" s="1">
        <f>HYPERLINK("https://lsnyc.legalserver.org/matter/dynamic-profile/view/1911294","19-1911294")</f>
        <v>0</v>
      </c>
      <c r="B26" t="s">
        <v>3505</v>
      </c>
      <c r="C26" t="s">
        <v>3679</v>
      </c>
      <c r="D26" t="s">
        <v>257</v>
      </c>
      <c r="E26" t="s">
        <v>3685</v>
      </c>
      <c r="F26" t="s">
        <v>273</v>
      </c>
      <c r="G26" t="s">
        <v>275</v>
      </c>
      <c r="H26">
        <v>0</v>
      </c>
      <c r="I26" t="s">
        <v>274</v>
      </c>
      <c r="K26" t="s">
        <v>283</v>
      </c>
      <c r="O26" t="s">
        <v>275</v>
      </c>
      <c r="P26" t="s">
        <v>492</v>
      </c>
      <c r="Q26" t="s">
        <v>502</v>
      </c>
      <c r="S26" t="s">
        <v>503</v>
      </c>
      <c r="T26" t="s">
        <v>508</v>
      </c>
      <c r="U26" t="s">
        <v>511</v>
      </c>
      <c r="V26">
        <v>10456</v>
      </c>
      <c r="W26" t="s">
        <v>520</v>
      </c>
      <c r="X26" t="s">
        <v>548</v>
      </c>
      <c r="Z26" t="s">
        <v>3777</v>
      </c>
      <c r="AA26" t="s">
        <v>3919</v>
      </c>
      <c r="AB26" t="s">
        <v>902</v>
      </c>
      <c r="AC26" t="s">
        <v>908</v>
      </c>
      <c r="AI26">
        <v>5.75</v>
      </c>
      <c r="AK26" t="s">
        <v>934</v>
      </c>
      <c r="AL26" t="s">
        <v>274</v>
      </c>
      <c r="AT26">
        <v>2</v>
      </c>
      <c r="AU26">
        <v>1</v>
      </c>
      <c r="AV26" t="s">
        <v>273</v>
      </c>
      <c r="AY26" t="s">
        <v>273</v>
      </c>
      <c r="BB26">
        <v>0</v>
      </c>
      <c r="BC26">
        <v>0</v>
      </c>
      <c r="BD26">
        <v>0</v>
      </c>
      <c r="BE26">
        <v>0</v>
      </c>
      <c r="BF26" t="s">
        <v>1063</v>
      </c>
      <c r="BG26" t="s">
        <v>4099</v>
      </c>
      <c r="BH26">
        <v>11</v>
      </c>
      <c r="BI26" t="s">
        <v>1247</v>
      </c>
      <c r="BK26">
        <v>1886141</v>
      </c>
    </row>
    <row r="27" spans="1:64">
      <c r="A27" s="1">
        <f>HYPERLINK("https://lsnyc.legalserver.org/matter/dynamic-profile/view/1911301","19-1911301")</f>
        <v>0</v>
      </c>
      <c r="B27" t="s">
        <v>3506</v>
      </c>
      <c r="C27" t="s">
        <v>3679</v>
      </c>
      <c r="D27" t="s">
        <v>257</v>
      </c>
      <c r="E27" t="s">
        <v>3685</v>
      </c>
      <c r="F27" t="s">
        <v>273</v>
      </c>
      <c r="G27" t="s">
        <v>275</v>
      </c>
      <c r="H27">
        <v>0</v>
      </c>
      <c r="I27" t="s">
        <v>274</v>
      </c>
      <c r="K27" t="s">
        <v>283</v>
      </c>
      <c r="O27" t="s">
        <v>275</v>
      </c>
      <c r="P27" t="s">
        <v>492</v>
      </c>
      <c r="Q27" t="s">
        <v>502</v>
      </c>
      <c r="S27" t="s">
        <v>503</v>
      </c>
      <c r="T27" t="s">
        <v>507</v>
      </c>
      <c r="U27" t="s">
        <v>511</v>
      </c>
      <c r="V27">
        <v>10456</v>
      </c>
      <c r="W27" t="s">
        <v>520</v>
      </c>
      <c r="X27" t="s">
        <v>548</v>
      </c>
      <c r="Z27" t="s">
        <v>3778</v>
      </c>
      <c r="AA27" t="s">
        <v>3919</v>
      </c>
      <c r="AB27" t="s">
        <v>902</v>
      </c>
      <c r="AC27" t="s">
        <v>908</v>
      </c>
      <c r="AI27">
        <v>5.75</v>
      </c>
      <c r="AK27" t="s">
        <v>934</v>
      </c>
      <c r="AL27" t="s">
        <v>274</v>
      </c>
      <c r="AT27">
        <v>2</v>
      </c>
      <c r="AU27">
        <v>1</v>
      </c>
      <c r="AV27" t="s">
        <v>273</v>
      </c>
      <c r="AY27" t="s">
        <v>273</v>
      </c>
      <c r="BB27">
        <v>0</v>
      </c>
      <c r="BC27">
        <v>0</v>
      </c>
      <c r="BD27">
        <v>0</v>
      </c>
      <c r="BE27">
        <v>0</v>
      </c>
      <c r="BF27" t="s">
        <v>1063</v>
      </c>
      <c r="BG27" t="s">
        <v>4100</v>
      </c>
      <c r="BH27">
        <v>16</v>
      </c>
      <c r="BI27" t="s">
        <v>1247</v>
      </c>
      <c r="BK27">
        <v>1886141</v>
      </c>
    </row>
    <row r="28" spans="1:64">
      <c r="A28" s="1">
        <f>HYPERLINK("https://lsnyc.legalserver.org/matter/dynamic-profile/view/1911210","19-1911210")</f>
        <v>0</v>
      </c>
      <c r="B28" t="s">
        <v>3507</v>
      </c>
      <c r="C28" t="s">
        <v>3679</v>
      </c>
      <c r="D28" t="s">
        <v>257</v>
      </c>
      <c r="E28" t="s">
        <v>3683</v>
      </c>
      <c r="F28" t="s">
        <v>275</v>
      </c>
      <c r="G28" t="s">
        <v>275</v>
      </c>
      <c r="H28">
        <v>0</v>
      </c>
      <c r="I28" t="s">
        <v>274</v>
      </c>
      <c r="K28" t="s">
        <v>1812</v>
      </c>
      <c r="L28" t="s">
        <v>1656</v>
      </c>
      <c r="O28" t="s">
        <v>274</v>
      </c>
      <c r="P28" t="s">
        <v>493</v>
      </c>
      <c r="Q28" t="s">
        <v>501</v>
      </c>
      <c r="S28" t="s">
        <v>503</v>
      </c>
      <c r="T28" t="s">
        <v>508</v>
      </c>
      <c r="U28" t="s">
        <v>511</v>
      </c>
      <c r="V28">
        <v>10455</v>
      </c>
      <c r="W28" t="s">
        <v>1832</v>
      </c>
      <c r="X28" t="s">
        <v>548</v>
      </c>
      <c r="Y28" t="s">
        <v>274</v>
      </c>
      <c r="Z28" t="s">
        <v>3779</v>
      </c>
      <c r="AA28" t="s">
        <v>3920</v>
      </c>
      <c r="AB28" t="s">
        <v>902</v>
      </c>
      <c r="AC28" t="s">
        <v>905</v>
      </c>
      <c r="AD28" t="s">
        <v>274</v>
      </c>
      <c r="AE28" t="s">
        <v>919</v>
      </c>
      <c r="AF28" t="s">
        <v>926</v>
      </c>
      <c r="AI28">
        <v>0.8</v>
      </c>
      <c r="AJ28" t="s">
        <v>558</v>
      </c>
      <c r="AK28" t="s">
        <v>934</v>
      </c>
      <c r="AL28" t="s">
        <v>274</v>
      </c>
      <c r="AQ28" t="s">
        <v>1035</v>
      </c>
      <c r="AR28" t="s">
        <v>1051</v>
      </c>
      <c r="AT28">
        <v>1</v>
      </c>
      <c r="AU28">
        <v>1</v>
      </c>
      <c r="AV28" t="s">
        <v>273</v>
      </c>
      <c r="AY28" t="s">
        <v>273</v>
      </c>
      <c r="BB28">
        <v>0</v>
      </c>
      <c r="BC28">
        <v>0</v>
      </c>
      <c r="BD28">
        <v>0</v>
      </c>
      <c r="BE28">
        <v>0</v>
      </c>
      <c r="BF28" t="s">
        <v>493</v>
      </c>
      <c r="BG28" t="s">
        <v>4101</v>
      </c>
      <c r="BH28">
        <v>26</v>
      </c>
      <c r="BI28" t="s">
        <v>1247</v>
      </c>
      <c r="BK28">
        <v>830838</v>
      </c>
      <c r="BL28" t="s">
        <v>274</v>
      </c>
    </row>
    <row r="29" spans="1:64">
      <c r="A29" s="1">
        <f>HYPERLINK("https://lsnyc.legalserver.org/matter/dynamic-profile/view/1910780","19-1910780")</f>
        <v>0</v>
      </c>
      <c r="B29" t="s">
        <v>3508</v>
      </c>
      <c r="C29" t="s">
        <v>3679</v>
      </c>
      <c r="D29" t="s">
        <v>257</v>
      </c>
      <c r="E29" t="s">
        <v>3683</v>
      </c>
      <c r="F29" t="s">
        <v>273</v>
      </c>
      <c r="G29" t="s">
        <v>275</v>
      </c>
      <c r="H29">
        <v>27.96</v>
      </c>
      <c r="I29" t="s">
        <v>274</v>
      </c>
      <c r="K29" t="s">
        <v>1666</v>
      </c>
      <c r="M29" t="s">
        <v>471</v>
      </c>
      <c r="N29" t="s">
        <v>1668</v>
      </c>
      <c r="O29" t="s">
        <v>275</v>
      </c>
      <c r="P29" t="s">
        <v>492</v>
      </c>
      <c r="Q29" t="s">
        <v>501</v>
      </c>
      <c r="S29" t="s">
        <v>503</v>
      </c>
      <c r="T29" t="s">
        <v>508</v>
      </c>
      <c r="U29" t="s">
        <v>511</v>
      </c>
      <c r="V29">
        <v>10460</v>
      </c>
      <c r="W29" t="s">
        <v>524</v>
      </c>
      <c r="X29" t="s">
        <v>548</v>
      </c>
      <c r="Y29" t="s">
        <v>275</v>
      </c>
      <c r="Z29" t="s">
        <v>606</v>
      </c>
      <c r="AA29" t="s">
        <v>3246</v>
      </c>
      <c r="AB29" t="s">
        <v>902</v>
      </c>
      <c r="AC29" t="s">
        <v>913</v>
      </c>
      <c r="AD29" t="s">
        <v>275</v>
      </c>
      <c r="AF29" t="s">
        <v>923</v>
      </c>
      <c r="AI29">
        <v>0.8</v>
      </c>
      <c r="AJ29" t="s">
        <v>558</v>
      </c>
      <c r="AK29" t="s">
        <v>934</v>
      </c>
      <c r="AL29" t="s">
        <v>274</v>
      </c>
      <c r="AT29">
        <v>2</v>
      </c>
      <c r="AU29">
        <v>2</v>
      </c>
      <c r="AV29" t="s">
        <v>273</v>
      </c>
      <c r="AY29" t="s">
        <v>273</v>
      </c>
      <c r="BB29">
        <v>0</v>
      </c>
      <c r="BC29">
        <v>0</v>
      </c>
      <c r="BD29">
        <v>0</v>
      </c>
      <c r="BE29">
        <v>0</v>
      </c>
      <c r="BF29" t="s">
        <v>1063</v>
      </c>
      <c r="BG29" t="s">
        <v>4102</v>
      </c>
      <c r="BH29">
        <v>49</v>
      </c>
      <c r="BI29" t="s">
        <v>2810</v>
      </c>
      <c r="BK29">
        <v>1845391</v>
      </c>
      <c r="BL29" t="s">
        <v>275</v>
      </c>
    </row>
    <row r="30" spans="1:64">
      <c r="A30" s="1">
        <f>HYPERLINK("https://lsnyc.legalserver.org/matter/dynamic-profile/view/1910005","19-1910005")</f>
        <v>0</v>
      </c>
      <c r="B30" t="s">
        <v>3509</v>
      </c>
      <c r="C30" t="s">
        <v>3679</v>
      </c>
      <c r="D30" t="s">
        <v>257</v>
      </c>
      <c r="E30" t="s">
        <v>3685</v>
      </c>
      <c r="F30" t="s">
        <v>273</v>
      </c>
      <c r="G30" t="s">
        <v>275</v>
      </c>
      <c r="H30">
        <v>0</v>
      </c>
      <c r="K30" t="s">
        <v>286</v>
      </c>
      <c r="O30" t="s">
        <v>275</v>
      </c>
      <c r="P30" t="s">
        <v>492</v>
      </c>
      <c r="Q30" t="s">
        <v>502</v>
      </c>
      <c r="S30" t="s">
        <v>503</v>
      </c>
      <c r="T30" t="s">
        <v>507</v>
      </c>
      <c r="U30" t="s">
        <v>511</v>
      </c>
      <c r="V30">
        <v>10457</v>
      </c>
      <c r="W30" t="s">
        <v>518</v>
      </c>
      <c r="X30" t="s">
        <v>548</v>
      </c>
      <c r="Y30" t="s">
        <v>275</v>
      </c>
      <c r="Z30" t="s">
        <v>3780</v>
      </c>
      <c r="AA30" t="s">
        <v>3921</v>
      </c>
      <c r="AB30" t="s">
        <v>902</v>
      </c>
      <c r="AC30" t="s">
        <v>908</v>
      </c>
      <c r="AF30" t="s">
        <v>923</v>
      </c>
      <c r="AI30">
        <v>2</v>
      </c>
      <c r="AK30" t="s">
        <v>934</v>
      </c>
      <c r="AL30" t="s">
        <v>274</v>
      </c>
      <c r="AT30">
        <v>1</v>
      </c>
      <c r="AU30">
        <v>0</v>
      </c>
      <c r="AV30" t="s">
        <v>273</v>
      </c>
      <c r="AY30" t="s">
        <v>273</v>
      </c>
      <c r="BB30">
        <v>0</v>
      </c>
      <c r="BC30">
        <v>0</v>
      </c>
      <c r="BD30">
        <v>0</v>
      </c>
      <c r="BE30">
        <v>0</v>
      </c>
      <c r="BF30" t="s">
        <v>1063</v>
      </c>
      <c r="BG30" t="s">
        <v>4103</v>
      </c>
      <c r="BH30">
        <v>9</v>
      </c>
      <c r="BI30" t="s">
        <v>1247</v>
      </c>
      <c r="BK30">
        <v>1910662</v>
      </c>
      <c r="BL30" t="s">
        <v>274</v>
      </c>
    </row>
    <row r="31" spans="1:64">
      <c r="A31" s="1">
        <f>HYPERLINK("https://lsnyc.legalserver.org/matter/dynamic-profile/view/1910078","19-1910078")</f>
        <v>0</v>
      </c>
      <c r="B31" t="s">
        <v>3483</v>
      </c>
      <c r="C31" t="s">
        <v>3679</v>
      </c>
      <c r="D31" t="s">
        <v>257</v>
      </c>
      <c r="E31" t="s">
        <v>3684</v>
      </c>
      <c r="F31" t="s">
        <v>273</v>
      </c>
      <c r="G31" t="s">
        <v>275</v>
      </c>
      <c r="H31">
        <v>146.07</v>
      </c>
      <c r="I31" t="s">
        <v>274</v>
      </c>
      <c r="K31" t="s">
        <v>286</v>
      </c>
      <c r="O31" t="s">
        <v>275</v>
      </c>
      <c r="P31" t="s">
        <v>492</v>
      </c>
      <c r="Q31" t="s">
        <v>501</v>
      </c>
      <c r="S31" t="s">
        <v>503</v>
      </c>
      <c r="T31" t="s">
        <v>507</v>
      </c>
      <c r="U31" t="s">
        <v>511</v>
      </c>
      <c r="V31">
        <v>10454</v>
      </c>
      <c r="W31" t="s">
        <v>518</v>
      </c>
      <c r="X31" t="s">
        <v>548</v>
      </c>
      <c r="Y31" t="s">
        <v>275</v>
      </c>
      <c r="Z31" t="s">
        <v>3759</v>
      </c>
      <c r="AA31" t="s">
        <v>770</v>
      </c>
      <c r="AB31" t="s">
        <v>902</v>
      </c>
      <c r="AC31" t="s">
        <v>906</v>
      </c>
      <c r="AF31" t="s">
        <v>926</v>
      </c>
      <c r="AI31">
        <v>11.55</v>
      </c>
      <c r="AJ31" t="s">
        <v>931</v>
      </c>
      <c r="AK31" t="s">
        <v>950</v>
      </c>
      <c r="AL31" t="s">
        <v>274</v>
      </c>
      <c r="AT31">
        <v>0</v>
      </c>
      <c r="AU31">
        <v>2</v>
      </c>
      <c r="AV31" t="s">
        <v>273</v>
      </c>
      <c r="AY31" t="s">
        <v>273</v>
      </c>
      <c r="BB31">
        <v>0</v>
      </c>
      <c r="BC31">
        <v>0</v>
      </c>
      <c r="BD31">
        <v>0</v>
      </c>
      <c r="BE31">
        <v>0</v>
      </c>
      <c r="BF31" t="s">
        <v>1063</v>
      </c>
      <c r="BG31" t="s">
        <v>4077</v>
      </c>
      <c r="BH31">
        <v>34</v>
      </c>
      <c r="BI31" t="s">
        <v>1276</v>
      </c>
      <c r="BK31">
        <v>1910735</v>
      </c>
      <c r="BL31" t="s">
        <v>274</v>
      </c>
    </row>
    <row r="32" spans="1:64">
      <c r="A32" s="1">
        <f>HYPERLINK("https://lsnyc.legalserver.org/matter/dynamic-profile/view/1909926","19-1909926")</f>
        <v>0</v>
      </c>
      <c r="B32" t="s">
        <v>3510</v>
      </c>
      <c r="C32" t="s">
        <v>3679</v>
      </c>
      <c r="D32" t="s">
        <v>257</v>
      </c>
      <c r="E32" t="s">
        <v>3685</v>
      </c>
      <c r="F32" t="s">
        <v>273</v>
      </c>
      <c r="G32" t="s">
        <v>275</v>
      </c>
      <c r="H32">
        <v>0</v>
      </c>
      <c r="I32" t="s">
        <v>274</v>
      </c>
      <c r="K32" t="s">
        <v>490</v>
      </c>
      <c r="O32" t="s">
        <v>275</v>
      </c>
      <c r="P32" t="s">
        <v>492</v>
      </c>
      <c r="Q32" t="s">
        <v>502</v>
      </c>
      <c r="S32" t="s">
        <v>503</v>
      </c>
      <c r="T32" t="s">
        <v>508</v>
      </c>
      <c r="U32" t="s">
        <v>511</v>
      </c>
      <c r="V32">
        <v>10451</v>
      </c>
      <c r="W32" t="s">
        <v>520</v>
      </c>
      <c r="X32" t="s">
        <v>548</v>
      </c>
      <c r="Y32" t="s">
        <v>275</v>
      </c>
      <c r="Z32" t="s">
        <v>3781</v>
      </c>
      <c r="AA32" t="s">
        <v>3922</v>
      </c>
      <c r="AB32" t="s">
        <v>902</v>
      </c>
      <c r="AC32" t="s">
        <v>905</v>
      </c>
      <c r="AF32" t="s">
        <v>923</v>
      </c>
      <c r="AI32">
        <v>7.5</v>
      </c>
      <c r="AK32" t="s">
        <v>934</v>
      </c>
      <c r="AL32" t="s">
        <v>274</v>
      </c>
      <c r="AT32">
        <v>2</v>
      </c>
      <c r="AU32">
        <v>1</v>
      </c>
      <c r="AV32" t="s">
        <v>273</v>
      </c>
      <c r="AY32" t="s">
        <v>273</v>
      </c>
      <c r="BB32">
        <v>0</v>
      </c>
      <c r="BC32">
        <v>0</v>
      </c>
      <c r="BD32">
        <v>0</v>
      </c>
      <c r="BE32">
        <v>0</v>
      </c>
      <c r="BF32" t="s">
        <v>1063</v>
      </c>
      <c r="BG32" t="s">
        <v>4104</v>
      </c>
      <c r="BH32">
        <v>15</v>
      </c>
      <c r="BI32" t="s">
        <v>1247</v>
      </c>
      <c r="BK32">
        <v>1883420</v>
      </c>
      <c r="BL32" t="s">
        <v>274</v>
      </c>
    </row>
    <row r="33" spans="1:64">
      <c r="A33" s="1">
        <f>HYPERLINK("https://lsnyc.legalserver.org/matter/dynamic-profile/view/1909934","19-1909934")</f>
        <v>0</v>
      </c>
      <c r="B33" t="s">
        <v>3511</v>
      </c>
      <c r="C33" t="s">
        <v>3679</v>
      </c>
      <c r="D33" t="s">
        <v>257</v>
      </c>
      <c r="E33" t="s">
        <v>3685</v>
      </c>
      <c r="F33" t="s">
        <v>273</v>
      </c>
      <c r="G33" t="s">
        <v>275</v>
      </c>
      <c r="H33">
        <v>0</v>
      </c>
      <c r="I33" t="s">
        <v>274</v>
      </c>
      <c r="K33" t="s">
        <v>490</v>
      </c>
      <c r="O33" t="s">
        <v>275</v>
      </c>
      <c r="P33" t="s">
        <v>492</v>
      </c>
      <c r="Q33" t="s">
        <v>502</v>
      </c>
      <c r="S33" t="s">
        <v>503</v>
      </c>
      <c r="T33" t="s">
        <v>508</v>
      </c>
      <c r="U33" t="s">
        <v>511</v>
      </c>
      <c r="V33">
        <v>10451</v>
      </c>
      <c r="W33" t="s">
        <v>520</v>
      </c>
      <c r="X33" t="s">
        <v>548</v>
      </c>
      <c r="Y33" t="s">
        <v>275</v>
      </c>
      <c r="Z33" t="s">
        <v>3782</v>
      </c>
      <c r="AA33" t="s">
        <v>3922</v>
      </c>
      <c r="AB33" t="s">
        <v>902</v>
      </c>
      <c r="AC33" t="s">
        <v>905</v>
      </c>
      <c r="AF33" t="s">
        <v>923</v>
      </c>
      <c r="AI33">
        <v>6</v>
      </c>
      <c r="AK33" t="s">
        <v>934</v>
      </c>
      <c r="AL33" t="s">
        <v>274</v>
      </c>
      <c r="AT33">
        <v>2</v>
      </c>
      <c r="AU33">
        <v>1</v>
      </c>
      <c r="AV33" t="s">
        <v>273</v>
      </c>
      <c r="AY33" t="s">
        <v>273</v>
      </c>
      <c r="BB33">
        <v>0</v>
      </c>
      <c r="BC33">
        <v>0</v>
      </c>
      <c r="BD33">
        <v>0</v>
      </c>
      <c r="BE33">
        <v>0</v>
      </c>
      <c r="BF33" t="s">
        <v>1063</v>
      </c>
      <c r="BG33" t="s">
        <v>4105</v>
      </c>
      <c r="BH33">
        <v>14</v>
      </c>
      <c r="BI33" t="s">
        <v>1247</v>
      </c>
      <c r="BK33">
        <v>1883420</v>
      </c>
      <c r="BL33" t="s">
        <v>274</v>
      </c>
    </row>
    <row r="34" spans="1:64">
      <c r="A34" s="1">
        <f>HYPERLINK("https://lsnyc.legalserver.org/matter/dynamic-profile/view/1909951","19-1909951")</f>
        <v>0</v>
      </c>
      <c r="B34" t="s">
        <v>3512</v>
      </c>
      <c r="C34" t="s">
        <v>3679</v>
      </c>
      <c r="D34" t="s">
        <v>257</v>
      </c>
      <c r="E34" t="s">
        <v>3685</v>
      </c>
      <c r="F34" t="s">
        <v>273</v>
      </c>
      <c r="G34" t="s">
        <v>275</v>
      </c>
      <c r="H34">
        <v>153.76</v>
      </c>
      <c r="I34" t="s">
        <v>274</v>
      </c>
      <c r="K34" t="s">
        <v>490</v>
      </c>
      <c r="P34" t="s">
        <v>492</v>
      </c>
      <c r="Q34" t="s">
        <v>502</v>
      </c>
      <c r="S34" t="s">
        <v>506</v>
      </c>
      <c r="T34" t="s">
        <v>507</v>
      </c>
      <c r="U34" t="s">
        <v>1820</v>
      </c>
      <c r="V34">
        <v>10458</v>
      </c>
      <c r="W34" t="s">
        <v>3753</v>
      </c>
      <c r="X34" t="s">
        <v>548</v>
      </c>
      <c r="Y34" t="s">
        <v>275</v>
      </c>
      <c r="Z34" t="s">
        <v>657</v>
      </c>
      <c r="AA34" t="s">
        <v>3923</v>
      </c>
      <c r="AB34" t="s">
        <v>902</v>
      </c>
      <c r="AC34" t="s">
        <v>905</v>
      </c>
      <c r="AF34" t="s">
        <v>924</v>
      </c>
      <c r="AI34">
        <v>31.5</v>
      </c>
      <c r="AK34" t="s">
        <v>949</v>
      </c>
      <c r="AL34" t="s">
        <v>274</v>
      </c>
      <c r="AT34">
        <v>1</v>
      </c>
      <c r="AU34">
        <v>1</v>
      </c>
      <c r="AV34" t="s">
        <v>273</v>
      </c>
      <c r="AY34" t="s">
        <v>273</v>
      </c>
      <c r="BB34">
        <v>0</v>
      </c>
      <c r="BC34">
        <v>0</v>
      </c>
      <c r="BD34">
        <v>0</v>
      </c>
      <c r="BE34">
        <v>0</v>
      </c>
      <c r="BF34" t="s">
        <v>1063</v>
      </c>
      <c r="BG34" t="s">
        <v>4106</v>
      </c>
      <c r="BH34">
        <v>20</v>
      </c>
      <c r="BI34" t="s">
        <v>1279</v>
      </c>
      <c r="BK34">
        <v>1880303</v>
      </c>
      <c r="BL34" t="s">
        <v>275</v>
      </c>
    </row>
    <row r="35" spans="1:64">
      <c r="A35" s="1">
        <f>HYPERLINK("https://lsnyc.legalserver.org/matter/dynamic-profile/view/1909468","19-1909468")</f>
        <v>0</v>
      </c>
      <c r="B35" t="s">
        <v>3513</v>
      </c>
      <c r="C35" t="s">
        <v>3679</v>
      </c>
      <c r="D35" t="s">
        <v>257</v>
      </c>
      <c r="E35" t="s">
        <v>3684</v>
      </c>
      <c r="F35" t="s">
        <v>273</v>
      </c>
      <c r="G35" t="s">
        <v>275</v>
      </c>
      <c r="H35">
        <v>109.7</v>
      </c>
      <c r="I35" t="s">
        <v>274</v>
      </c>
      <c r="K35" t="s">
        <v>1669</v>
      </c>
      <c r="P35" t="s">
        <v>492</v>
      </c>
      <c r="Q35" t="s">
        <v>501</v>
      </c>
      <c r="S35" t="s">
        <v>503</v>
      </c>
      <c r="T35" t="s">
        <v>508</v>
      </c>
      <c r="U35" t="s">
        <v>511</v>
      </c>
      <c r="V35">
        <v>10451</v>
      </c>
      <c r="W35" t="s">
        <v>520</v>
      </c>
      <c r="X35" t="s">
        <v>549</v>
      </c>
      <c r="Y35" t="s">
        <v>275</v>
      </c>
      <c r="Z35" t="s">
        <v>3783</v>
      </c>
      <c r="AA35" t="s">
        <v>3924</v>
      </c>
      <c r="AB35" t="s">
        <v>902</v>
      </c>
      <c r="AC35" t="s">
        <v>905</v>
      </c>
      <c r="AF35" t="s">
        <v>923</v>
      </c>
      <c r="AI35">
        <v>6.85</v>
      </c>
      <c r="AJ35" t="s">
        <v>558</v>
      </c>
      <c r="AK35" t="s">
        <v>939</v>
      </c>
      <c r="AL35" t="s">
        <v>274</v>
      </c>
      <c r="AM35" t="s">
        <v>973</v>
      </c>
      <c r="AT35">
        <v>2</v>
      </c>
      <c r="AU35">
        <v>1</v>
      </c>
      <c r="AV35" t="s">
        <v>273</v>
      </c>
      <c r="AY35" t="s">
        <v>273</v>
      </c>
      <c r="BB35">
        <v>0</v>
      </c>
      <c r="BC35">
        <v>0</v>
      </c>
      <c r="BD35">
        <v>0</v>
      </c>
      <c r="BE35">
        <v>0</v>
      </c>
      <c r="BF35" t="s">
        <v>1063</v>
      </c>
      <c r="BG35" t="s">
        <v>4107</v>
      </c>
      <c r="BH35">
        <v>29</v>
      </c>
      <c r="BI35" t="s">
        <v>1248</v>
      </c>
      <c r="BK35">
        <v>820683</v>
      </c>
      <c r="BL35" t="s">
        <v>275</v>
      </c>
    </row>
    <row r="36" spans="1:64">
      <c r="A36" s="1">
        <f>HYPERLINK("https://lsnyc.legalserver.org/matter/dynamic-profile/view/1909486","19-1909486")</f>
        <v>0</v>
      </c>
      <c r="B36" t="s">
        <v>3514</v>
      </c>
      <c r="C36" t="s">
        <v>3679</v>
      </c>
      <c r="D36" t="s">
        <v>257</v>
      </c>
      <c r="E36" t="s">
        <v>3684</v>
      </c>
      <c r="F36" t="s">
        <v>273</v>
      </c>
      <c r="G36" t="s">
        <v>275</v>
      </c>
      <c r="H36">
        <v>109.7</v>
      </c>
      <c r="I36" t="s">
        <v>274</v>
      </c>
      <c r="K36" t="s">
        <v>1669</v>
      </c>
      <c r="P36" t="s">
        <v>492</v>
      </c>
      <c r="Q36" t="s">
        <v>502</v>
      </c>
      <c r="S36" t="s">
        <v>503</v>
      </c>
      <c r="T36" t="s">
        <v>508</v>
      </c>
      <c r="U36" t="s">
        <v>511</v>
      </c>
      <c r="V36">
        <v>10451</v>
      </c>
      <c r="W36" t="s">
        <v>520</v>
      </c>
      <c r="X36" t="s">
        <v>549</v>
      </c>
      <c r="Y36" t="s">
        <v>275</v>
      </c>
      <c r="Z36" t="s">
        <v>3784</v>
      </c>
      <c r="AA36" t="s">
        <v>3925</v>
      </c>
      <c r="AB36" t="s">
        <v>902</v>
      </c>
      <c r="AC36" t="s">
        <v>908</v>
      </c>
      <c r="AF36" t="s">
        <v>923</v>
      </c>
      <c r="AI36">
        <v>3.75</v>
      </c>
      <c r="AJ36" t="s">
        <v>558</v>
      </c>
      <c r="AK36" t="s">
        <v>939</v>
      </c>
      <c r="AL36" t="s">
        <v>274</v>
      </c>
      <c r="AT36">
        <v>2</v>
      </c>
      <c r="AU36">
        <v>1</v>
      </c>
      <c r="AV36" t="s">
        <v>273</v>
      </c>
      <c r="AY36" t="s">
        <v>273</v>
      </c>
      <c r="BB36">
        <v>0</v>
      </c>
      <c r="BC36">
        <v>0</v>
      </c>
      <c r="BD36">
        <v>0</v>
      </c>
      <c r="BE36">
        <v>0</v>
      </c>
      <c r="BF36" t="s">
        <v>1063</v>
      </c>
      <c r="BG36" t="s">
        <v>2681</v>
      </c>
      <c r="BH36">
        <v>6</v>
      </c>
      <c r="BI36" t="s">
        <v>1248</v>
      </c>
      <c r="BK36">
        <v>820683</v>
      </c>
      <c r="BL36" t="s">
        <v>275</v>
      </c>
    </row>
    <row r="37" spans="1:64">
      <c r="A37" s="1">
        <f>HYPERLINK("https://lsnyc.legalserver.org/matter/dynamic-profile/view/1909218","19-1909218")</f>
        <v>0</v>
      </c>
      <c r="B37" t="s">
        <v>3515</v>
      </c>
      <c r="C37" t="s">
        <v>3679</v>
      </c>
      <c r="D37" t="s">
        <v>257</v>
      </c>
      <c r="E37" t="s">
        <v>3685</v>
      </c>
      <c r="F37" t="s">
        <v>273</v>
      </c>
      <c r="G37" t="s">
        <v>275</v>
      </c>
      <c r="H37">
        <v>134.07</v>
      </c>
      <c r="I37" t="s">
        <v>274</v>
      </c>
      <c r="K37" t="s">
        <v>288</v>
      </c>
      <c r="O37" t="s">
        <v>275</v>
      </c>
      <c r="P37" t="s">
        <v>492</v>
      </c>
      <c r="Q37" t="s">
        <v>502</v>
      </c>
      <c r="S37" t="s">
        <v>503</v>
      </c>
      <c r="T37" t="s">
        <v>508</v>
      </c>
      <c r="U37" t="s">
        <v>511</v>
      </c>
      <c r="V37">
        <v>10457</v>
      </c>
      <c r="W37" t="s">
        <v>520</v>
      </c>
      <c r="X37" t="s">
        <v>548</v>
      </c>
      <c r="Y37" t="s">
        <v>275</v>
      </c>
      <c r="Z37" t="s">
        <v>3785</v>
      </c>
      <c r="AA37" t="s">
        <v>3926</v>
      </c>
      <c r="AB37" t="s">
        <v>902</v>
      </c>
      <c r="AC37" t="s">
        <v>2359</v>
      </c>
      <c r="AF37" t="s">
        <v>923</v>
      </c>
      <c r="AI37">
        <v>10.5</v>
      </c>
      <c r="AK37" t="s">
        <v>934</v>
      </c>
      <c r="AL37" t="s">
        <v>274</v>
      </c>
      <c r="AT37">
        <v>1</v>
      </c>
      <c r="AU37">
        <v>1</v>
      </c>
      <c r="AV37" t="s">
        <v>273</v>
      </c>
      <c r="AY37" t="s">
        <v>273</v>
      </c>
      <c r="BB37">
        <v>0</v>
      </c>
      <c r="BC37">
        <v>0</v>
      </c>
      <c r="BD37">
        <v>0</v>
      </c>
      <c r="BE37">
        <v>0</v>
      </c>
      <c r="BF37" t="s">
        <v>1063</v>
      </c>
      <c r="BG37" t="s">
        <v>4108</v>
      </c>
      <c r="BH37">
        <v>18</v>
      </c>
      <c r="BI37" t="s">
        <v>4259</v>
      </c>
      <c r="BK37">
        <v>1883918</v>
      </c>
      <c r="BL37" t="s">
        <v>274</v>
      </c>
    </row>
    <row r="38" spans="1:64">
      <c r="A38" s="1">
        <f>HYPERLINK("https://lsnyc.legalserver.org/matter/dynamic-profile/view/1908884","19-1908884")</f>
        <v>0</v>
      </c>
      <c r="B38" t="s">
        <v>3516</v>
      </c>
      <c r="C38" t="s">
        <v>3679</v>
      </c>
      <c r="D38" t="s">
        <v>257</v>
      </c>
      <c r="E38" t="s">
        <v>3684</v>
      </c>
      <c r="F38" t="s">
        <v>273</v>
      </c>
      <c r="G38" t="s">
        <v>275</v>
      </c>
      <c r="H38">
        <v>121.17</v>
      </c>
      <c r="K38" t="s">
        <v>290</v>
      </c>
      <c r="P38" t="s">
        <v>492</v>
      </c>
      <c r="Q38" t="s">
        <v>501</v>
      </c>
      <c r="S38" t="s">
        <v>503</v>
      </c>
      <c r="T38" t="s">
        <v>507</v>
      </c>
      <c r="U38" t="s">
        <v>511</v>
      </c>
      <c r="V38">
        <v>10455</v>
      </c>
      <c r="W38" t="s">
        <v>520</v>
      </c>
      <c r="X38" t="s">
        <v>557</v>
      </c>
      <c r="Y38" t="s">
        <v>275</v>
      </c>
      <c r="Z38" t="s">
        <v>3786</v>
      </c>
      <c r="AA38" t="s">
        <v>3927</v>
      </c>
      <c r="AB38" t="s">
        <v>902</v>
      </c>
      <c r="AC38" t="s">
        <v>905</v>
      </c>
      <c r="AF38" t="s">
        <v>923</v>
      </c>
      <c r="AI38">
        <v>4.4</v>
      </c>
      <c r="AJ38" t="s">
        <v>558</v>
      </c>
      <c r="AK38" t="s">
        <v>970</v>
      </c>
      <c r="AM38" t="s">
        <v>973</v>
      </c>
      <c r="AT38">
        <v>0</v>
      </c>
      <c r="AU38">
        <v>4</v>
      </c>
      <c r="AV38" t="s">
        <v>273</v>
      </c>
      <c r="AY38" t="s">
        <v>273</v>
      </c>
      <c r="BB38">
        <v>0</v>
      </c>
      <c r="BC38">
        <v>0</v>
      </c>
      <c r="BD38">
        <v>0</v>
      </c>
      <c r="BE38">
        <v>0</v>
      </c>
      <c r="BF38" t="s">
        <v>1063</v>
      </c>
      <c r="BG38" t="s">
        <v>4109</v>
      </c>
      <c r="BH38">
        <v>34</v>
      </c>
      <c r="BI38" t="s">
        <v>1254</v>
      </c>
      <c r="BK38">
        <v>1863493</v>
      </c>
      <c r="BL38" t="s">
        <v>275</v>
      </c>
    </row>
    <row r="39" spans="1:64">
      <c r="A39" s="1">
        <f>HYPERLINK("https://lsnyc.legalserver.org/matter/dynamic-profile/view/1908694","19-1908694")</f>
        <v>0</v>
      </c>
      <c r="B39" t="s">
        <v>3517</v>
      </c>
      <c r="C39" t="s">
        <v>3679</v>
      </c>
      <c r="D39" t="s">
        <v>257</v>
      </c>
      <c r="E39" t="s">
        <v>3685</v>
      </c>
      <c r="F39" t="s">
        <v>273</v>
      </c>
      <c r="G39" t="s">
        <v>275</v>
      </c>
      <c r="H39">
        <v>0</v>
      </c>
      <c r="I39" t="s">
        <v>274</v>
      </c>
      <c r="K39" t="s">
        <v>450</v>
      </c>
      <c r="O39" t="s">
        <v>275</v>
      </c>
      <c r="P39" t="s">
        <v>492</v>
      </c>
      <c r="Q39" t="s">
        <v>502</v>
      </c>
      <c r="S39" t="s">
        <v>503</v>
      </c>
      <c r="T39" t="s">
        <v>507</v>
      </c>
      <c r="U39" t="s">
        <v>511</v>
      </c>
      <c r="V39">
        <v>10456</v>
      </c>
      <c r="W39" t="s">
        <v>520</v>
      </c>
      <c r="X39" t="s">
        <v>548</v>
      </c>
      <c r="Z39" t="s">
        <v>1988</v>
      </c>
      <c r="AA39" t="s">
        <v>3928</v>
      </c>
      <c r="AB39" t="s">
        <v>902</v>
      </c>
      <c r="AC39" t="s">
        <v>905</v>
      </c>
      <c r="AF39" t="s">
        <v>923</v>
      </c>
      <c r="AI39">
        <v>4</v>
      </c>
      <c r="AK39" t="s">
        <v>936</v>
      </c>
      <c r="AL39" t="s">
        <v>274</v>
      </c>
      <c r="AT39">
        <v>2</v>
      </c>
      <c r="AU39">
        <v>1</v>
      </c>
      <c r="AV39" t="s">
        <v>273</v>
      </c>
      <c r="AY39" t="s">
        <v>273</v>
      </c>
      <c r="BB39">
        <v>0</v>
      </c>
      <c r="BC39">
        <v>0</v>
      </c>
      <c r="BD39">
        <v>0</v>
      </c>
      <c r="BE39">
        <v>0</v>
      </c>
      <c r="BF39" t="s">
        <v>1063</v>
      </c>
      <c r="BG39" t="s">
        <v>4110</v>
      </c>
      <c r="BH39">
        <v>5</v>
      </c>
      <c r="BI39" t="s">
        <v>1247</v>
      </c>
      <c r="BK39">
        <v>1887765</v>
      </c>
    </row>
    <row r="40" spans="1:64">
      <c r="A40" s="1">
        <f>HYPERLINK("https://lsnyc.legalserver.org/matter/dynamic-profile/view/1908494","19-1908494")</f>
        <v>0</v>
      </c>
      <c r="B40" t="s">
        <v>3518</v>
      </c>
      <c r="C40" t="s">
        <v>3679</v>
      </c>
      <c r="D40" t="s">
        <v>257</v>
      </c>
      <c r="E40" t="s">
        <v>3684</v>
      </c>
      <c r="F40" t="s">
        <v>273</v>
      </c>
      <c r="G40" t="s">
        <v>275</v>
      </c>
      <c r="H40">
        <v>0</v>
      </c>
      <c r="K40" t="s">
        <v>1671</v>
      </c>
      <c r="P40" t="s">
        <v>496</v>
      </c>
      <c r="Q40" t="s">
        <v>501</v>
      </c>
      <c r="S40" t="s">
        <v>503</v>
      </c>
      <c r="T40" t="s">
        <v>508</v>
      </c>
      <c r="U40" t="s">
        <v>511</v>
      </c>
      <c r="V40">
        <v>10466</v>
      </c>
      <c r="W40" t="s">
        <v>520</v>
      </c>
      <c r="X40" t="s">
        <v>548</v>
      </c>
      <c r="Z40" t="s">
        <v>3787</v>
      </c>
      <c r="AA40" t="s">
        <v>3929</v>
      </c>
      <c r="AB40" t="s">
        <v>902</v>
      </c>
      <c r="AC40" t="s">
        <v>905</v>
      </c>
      <c r="AI40">
        <v>4.1</v>
      </c>
      <c r="AT40">
        <v>0</v>
      </c>
      <c r="AU40">
        <v>3</v>
      </c>
      <c r="AV40" t="s">
        <v>273</v>
      </c>
      <c r="AY40" t="s">
        <v>273</v>
      </c>
      <c r="BB40">
        <v>0</v>
      </c>
      <c r="BC40">
        <v>0</v>
      </c>
      <c r="BD40">
        <v>0</v>
      </c>
      <c r="BE40">
        <v>0</v>
      </c>
      <c r="BF40" t="s">
        <v>1063</v>
      </c>
      <c r="BG40" t="s">
        <v>4111</v>
      </c>
      <c r="BH40">
        <v>24</v>
      </c>
      <c r="BI40" t="s">
        <v>1247</v>
      </c>
      <c r="BK40">
        <v>1896554</v>
      </c>
    </row>
    <row r="41" spans="1:64">
      <c r="A41" s="1">
        <f>HYPERLINK("https://lsnyc.legalserver.org/matter/dynamic-profile/view/1908542","19-1908542")</f>
        <v>0</v>
      </c>
      <c r="B41" t="s">
        <v>3487</v>
      </c>
      <c r="C41" t="s">
        <v>3679</v>
      </c>
      <c r="D41" t="s">
        <v>257</v>
      </c>
      <c r="E41" t="s">
        <v>3684</v>
      </c>
      <c r="F41" t="s">
        <v>273</v>
      </c>
      <c r="G41" t="s">
        <v>275</v>
      </c>
      <c r="H41">
        <v>39.77</v>
      </c>
      <c r="I41" t="s">
        <v>275</v>
      </c>
      <c r="K41" t="s">
        <v>1671</v>
      </c>
      <c r="P41" t="s">
        <v>492</v>
      </c>
      <c r="Q41" t="s">
        <v>501</v>
      </c>
      <c r="S41" t="s">
        <v>503</v>
      </c>
      <c r="T41" t="s">
        <v>508</v>
      </c>
      <c r="U41" t="s">
        <v>511</v>
      </c>
      <c r="V41">
        <v>10463</v>
      </c>
      <c r="W41" t="s">
        <v>519</v>
      </c>
      <c r="X41" t="s">
        <v>548</v>
      </c>
      <c r="Y41" t="s">
        <v>275</v>
      </c>
      <c r="Z41" t="s">
        <v>3763</v>
      </c>
      <c r="AA41" t="s">
        <v>3905</v>
      </c>
      <c r="AB41" t="s">
        <v>902</v>
      </c>
      <c r="AC41" t="s">
        <v>905</v>
      </c>
      <c r="AF41" t="s">
        <v>926</v>
      </c>
      <c r="AI41">
        <v>4</v>
      </c>
      <c r="AJ41" t="s">
        <v>558</v>
      </c>
      <c r="AK41" t="s">
        <v>945</v>
      </c>
      <c r="AL41" t="s">
        <v>275</v>
      </c>
      <c r="AM41" t="s">
        <v>973</v>
      </c>
      <c r="AT41">
        <v>2</v>
      </c>
      <c r="AU41">
        <v>3</v>
      </c>
      <c r="AV41" t="s">
        <v>273</v>
      </c>
      <c r="AY41" t="s">
        <v>273</v>
      </c>
      <c r="BB41">
        <v>0</v>
      </c>
      <c r="BC41">
        <v>0</v>
      </c>
      <c r="BD41">
        <v>0</v>
      </c>
      <c r="BE41">
        <v>0</v>
      </c>
      <c r="BF41" t="s">
        <v>1063</v>
      </c>
      <c r="BG41" t="s">
        <v>4081</v>
      </c>
      <c r="BH41">
        <v>57</v>
      </c>
      <c r="BI41" t="s">
        <v>1267</v>
      </c>
      <c r="BK41">
        <v>1895664</v>
      </c>
      <c r="BL41" t="s">
        <v>275</v>
      </c>
    </row>
    <row r="42" spans="1:64">
      <c r="A42" s="1">
        <f>HYPERLINK("https://lsnyc.legalserver.org/matter/dynamic-profile/view/1908315","19-1908315")</f>
        <v>0</v>
      </c>
      <c r="B42" t="s">
        <v>3519</v>
      </c>
      <c r="C42" t="s">
        <v>3679</v>
      </c>
      <c r="D42" t="s">
        <v>257</v>
      </c>
      <c r="E42" t="s">
        <v>3685</v>
      </c>
      <c r="F42" t="s">
        <v>273</v>
      </c>
      <c r="G42" t="s">
        <v>275</v>
      </c>
      <c r="H42">
        <v>0</v>
      </c>
      <c r="I42" t="s">
        <v>274</v>
      </c>
      <c r="K42" t="s">
        <v>455</v>
      </c>
      <c r="O42" t="s">
        <v>275</v>
      </c>
      <c r="P42" t="s">
        <v>492</v>
      </c>
      <c r="Q42" t="s">
        <v>502</v>
      </c>
      <c r="S42" t="s">
        <v>503</v>
      </c>
      <c r="T42" t="s">
        <v>507</v>
      </c>
      <c r="U42" t="s">
        <v>511</v>
      </c>
      <c r="V42">
        <v>10455</v>
      </c>
      <c r="W42" t="s">
        <v>520</v>
      </c>
      <c r="X42" t="s">
        <v>548</v>
      </c>
      <c r="Y42" t="s">
        <v>275</v>
      </c>
      <c r="Z42" t="s">
        <v>3788</v>
      </c>
      <c r="AA42" t="s">
        <v>3908</v>
      </c>
      <c r="AB42" t="s">
        <v>902</v>
      </c>
      <c r="AC42" t="s">
        <v>905</v>
      </c>
      <c r="AF42" t="s">
        <v>923</v>
      </c>
      <c r="AI42">
        <v>5</v>
      </c>
      <c r="AK42" t="s">
        <v>934</v>
      </c>
      <c r="AL42" t="s">
        <v>274</v>
      </c>
      <c r="AT42">
        <v>3</v>
      </c>
      <c r="AU42">
        <v>1</v>
      </c>
      <c r="AV42" t="s">
        <v>273</v>
      </c>
      <c r="AY42" t="s">
        <v>273</v>
      </c>
      <c r="BB42">
        <v>0</v>
      </c>
      <c r="BC42">
        <v>0</v>
      </c>
      <c r="BD42">
        <v>0</v>
      </c>
      <c r="BE42">
        <v>0</v>
      </c>
      <c r="BF42" t="s">
        <v>1063</v>
      </c>
      <c r="BG42" t="s">
        <v>4112</v>
      </c>
      <c r="BH42">
        <v>15</v>
      </c>
      <c r="BI42" t="s">
        <v>1247</v>
      </c>
      <c r="BK42">
        <v>1888445</v>
      </c>
      <c r="BL42" t="s">
        <v>274</v>
      </c>
    </row>
    <row r="43" spans="1:64">
      <c r="A43" s="1">
        <f>HYPERLINK("https://lsnyc.legalserver.org/matter/dynamic-profile/view/1908268","19-1908268")</f>
        <v>0</v>
      </c>
      <c r="B43" t="s">
        <v>3520</v>
      </c>
      <c r="C43" t="s">
        <v>3679</v>
      </c>
      <c r="D43" t="s">
        <v>257</v>
      </c>
      <c r="E43" t="s">
        <v>3683</v>
      </c>
      <c r="F43" t="s">
        <v>273</v>
      </c>
      <c r="G43" t="s">
        <v>275</v>
      </c>
      <c r="H43">
        <v>146.27</v>
      </c>
      <c r="K43" t="s">
        <v>1008</v>
      </c>
      <c r="O43" t="s">
        <v>275</v>
      </c>
      <c r="P43" t="s">
        <v>492</v>
      </c>
      <c r="Q43" t="s">
        <v>501</v>
      </c>
      <c r="S43" t="s">
        <v>503</v>
      </c>
      <c r="T43" t="s">
        <v>508</v>
      </c>
      <c r="U43" t="s">
        <v>511</v>
      </c>
      <c r="V43">
        <v>10457</v>
      </c>
      <c r="W43" t="s">
        <v>532</v>
      </c>
      <c r="X43" t="s">
        <v>548</v>
      </c>
      <c r="Y43" t="s">
        <v>275</v>
      </c>
      <c r="Z43" t="s">
        <v>3789</v>
      </c>
      <c r="AA43" t="s">
        <v>2337</v>
      </c>
      <c r="AB43" t="s">
        <v>902</v>
      </c>
      <c r="AC43" t="s">
        <v>905</v>
      </c>
      <c r="AF43" t="s">
        <v>923</v>
      </c>
      <c r="AI43">
        <v>5.9</v>
      </c>
      <c r="AJ43" t="s">
        <v>558</v>
      </c>
      <c r="AK43" t="s">
        <v>934</v>
      </c>
      <c r="AT43">
        <v>1</v>
      </c>
      <c r="AU43">
        <v>2</v>
      </c>
      <c r="AV43" t="s">
        <v>273</v>
      </c>
      <c r="AY43" t="s">
        <v>273</v>
      </c>
      <c r="BB43">
        <v>0</v>
      </c>
      <c r="BC43">
        <v>0</v>
      </c>
      <c r="BD43">
        <v>0</v>
      </c>
      <c r="BE43">
        <v>0</v>
      </c>
      <c r="BF43" t="s">
        <v>1063</v>
      </c>
      <c r="BG43" t="s">
        <v>4113</v>
      </c>
      <c r="BH43">
        <v>39</v>
      </c>
      <c r="BI43" t="s">
        <v>1254</v>
      </c>
      <c r="BK43">
        <v>798144</v>
      </c>
      <c r="BL43" t="s">
        <v>275</v>
      </c>
    </row>
    <row r="44" spans="1:64">
      <c r="A44" s="1">
        <f>HYPERLINK("https://lsnyc.legalserver.org/matter/dynamic-profile/view/1907940","19-1907940")</f>
        <v>0</v>
      </c>
      <c r="B44" t="s">
        <v>3521</v>
      </c>
      <c r="C44" t="s">
        <v>3679</v>
      </c>
      <c r="D44" t="s">
        <v>257</v>
      </c>
      <c r="E44" t="s">
        <v>3685</v>
      </c>
      <c r="F44" t="s">
        <v>273</v>
      </c>
      <c r="G44" t="s">
        <v>275</v>
      </c>
      <c r="H44">
        <v>0</v>
      </c>
      <c r="I44" t="s">
        <v>274</v>
      </c>
      <c r="K44" t="s">
        <v>1673</v>
      </c>
      <c r="O44" t="s">
        <v>275</v>
      </c>
      <c r="P44" t="s">
        <v>492</v>
      </c>
      <c r="Q44" t="s">
        <v>502</v>
      </c>
      <c r="S44" t="s">
        <v>503</v>
      </c>
      <c r="T44" t="s">
        <v>507</v>
      </c>
      <c r="U44" t="s">
        <v>511</v>
      </c>
      <c r="V44">
        <v>10456</v>
      </c>
      <c r="W44" t="s">
        <v>520</v>
      </c>
      <c r="X44" t="s">
        <v>548</v>
      </c>
      <c r="Y44" t="s">
        <v>275</v>
      </c>
      <c r="Z44" t="s">
        <v>3124</v>
      </c>
      <c r="AA44" t="s">
        <v>3928</v>
      </c>
      <c r="AB44" t="s">
        <v>902</v>
      </c>
      <c r="AC44" t="s">
        <v>905</v>
      </c>
      <c r="AF44" t="s">
        <v>923</v>
      </c>
      <c r="AI44">
        <v>9.25</v>
      </c>
      <c r="AK44" t="s">
        <v>936</v>
      </c>
      <c r="AL44" t="s">
        <v>274</v>
      </c>
      <c r="AT44">
        <v>2</v>
      </c>
      <c r="AU44">
        <v>1</v>
      </c>
      <c r="AV44" t="s">
        <v>273</v>
      </c>
      <c r="AY44" t="s">
        <v>273</v>
      </c>
      <c r="BB44">
        <v>0</v>
      </c>
      <c r="BC44">
        <v>0</v>
      </c>
      <c r="BD44">
        <v>0</v>
      </c>
      <c r="BE44">
        <v>0</v>
      </c>
      <c r="BF44" t="s">
        <v>1063</v>
      </c>
      <c r="BG44" t="s">
        <v>4114</v>
      </c>
      <c r="BH44">
        <v>9</v>
      </c>
      <c r="BI44" t="s">
        <v>1247</v>
      </c>
      <c r="BK44">
        <v>1887765</v>
      </c>
      <c r="BL44" t="s">
        <v>274</v>
      </c>
    </row>
    <row r="45" spans="1:64">
      <c r="A45" s="1">
        <f>HYPERLINK("https://lsnyc.legalserver.org/matter/dynamic-profile/view/1907827","19-1907827")</f>
        <v>0</v>
      </c>
      <c r="B45" t="s">
        <v>3522</v>
      </c>
      <c r="C45" t="s">
        <v>3679</v>
      </c>
      <c r="D45" t="s">
        <v>257</v>
      </c>
      <c r="E45" t="s">
        <v>3685</v>
      </c>
      <c r="F45" t="s">
        <v>273</v>
      </c>
      <c r="G45" t="s">
        <v>275</v>
      </c>
      <c r="H45">
        <v>57.65</v>
      </c>
      <c r="I45" t="s">
        <v>274</v>
      </c>
      <c r="K45" t="s">
        <v>292</v>
      </c>
      <c r="O45" t="s">
        <v>275</v>
      </c>
      <c r="P45" t="s">
        <v>492</v>
      </c>
      <c r="Q45" t="s">
        <v>501</v>
      </c>
      <c r="S45" t="s">
        <v>503</v>
      </c>
      <c r="T45" t="s">
        <v>507</v>
      </c>
      <c r="U45" t="s">
        <v>511</v>
      </c>
      <c r="V45">
        <v>10457</v>
      </c>
      <c r="W45" t="s">
        <v>536</v>
      </c>
      <c r="X45" t="s">
        <v>548</v>
      </c>
      <c r="Y45" t="s">
        <v>275</v>
      </c>
      <c r="Z45" t="s">
        <v>3790</v>
      </c>
      <c r="AA45" t="s">
        <v>3930</v>
      </c>
      <c r="AB45" t="s">
        <v>902</v>
      </c>
      <c r="AC45" t="s">
        <v>905</v>
      </c>
      <c r="AF45" t="s">
        <v>923</v>
      </c>
      <c r="AI45">
        <v>8.75</v>
      </c>
      <c r="AJ45" t="s">
        <v>558</v>
      </c>
      <c r="AK45" t="s">
        <v>950</v>
      </c>
      <c r="AL45" t="s">
        <v>274</v>
      </c>
      <c r="AT45">
        <v>0</v>
      </c>
      <c r="AU45">
        <v>1</v>
      </c>
      <c r="AV45" t="s">
        <v>273</v>
      </c>
      <c r="AY45" t="s">
        <v>273</v>
      </c>
      <c r="BB45">
        <v>0</v>
      </c>
      <c r="BC45">
        <v>0</v>
      </c>
      <c r="BD45">
        <v>0</v>
      </c>
      <c r="BE45">
        <v>0</v>
      </c>
      <c r="BF45" t="s">
        <v>1063</v>
      </c>
      <c r="BG45" t="s">
        <v>4115</v>
      </c>
      <c r="BH45">
        <v>32</v>
      </c>
      <c r="BI45" t="s">
        <v>2810</v>
      </c>
      <c r="BK45">
        <v>1908484</v>
      </c>
      <c r="BL45" t="s">
        <v>275</v>
      </c>
    </row>
    <row r="46" spans="1:64">
      <c r="A46" s="1">
        <f>HYPERLINK("https://lsnyc.legalserver.org/matter/dynamic-profile/view/1907441","19-1907441")</f>
        <v>0</v>
      </c>
      <c r="B46" t="s">
        <v>3523</v>
      </c>
      <c r="C46" t="s">
        <v>3679</v>
      </c>
      <c r="D46" t="s">
        <v>257</v>
      </c>
      <c r="E46" t="s">
        <v>3684</v>
      </c>
      <c r="F46" t="s">
        <v>273</v>
      </c>
      <c r="G46" t="s">
        <v>275</v>
      </c>
      <c r="H46">
        <v>0</v>
      </c>
      <c r="I46" t="s">
        <v>274</v>
      </c>
      <c r="K46" t="s">
        <v>295</v>
      </c>
      <c r="P46" t="s">
        <v>495</v>
      </c>
      <c r="Q46" t="s">
        <v>501</v>
      </c>
      <c r="S46" t="s">
        <v>503</v>
      </c>
      <c r="T46" t="s">
        <v>507</v>
      </c>
      <c r="U46" t="s">
        <v>511</v>
      </c>
      <c r="V46">
        <v>10456</v>
      </c>
      <c r="W46" t="s">
        <v>520</v>
      </c>
      <c r="X46" t="s">
        <v>548</v>
      </c>
      <c r="Y46" t="s">
        <v>275</v>
      </c>
      <c r="Z46" t="s">
        <v>564</v>
      </c>
      <c r="AA46" t="s">
        <v>3931</v>
      </c>
      <c r="AB46" t="s">
        <v>902</v>
      </c>
      <c r="AC46" t="s">
        <v>905</v>
      </c>
      <c r="AF46" t="s">
        <v>923</v>
      </c>
      <c r="AI46">
        <v>6.75</v>
      </c>
      <c r="AJ46" t="s">
        <v>558</v>
      </c>
      <c r="AK46" t="s">
        <v>934</v>
      </c>
      <c r="AL46" t="s">
        <v>274</v>
      </c>
      <c r="AM46" t="s">
        <v>976</v>
      </c>
      <c r="AT46">
        <v>0</v>
      </c>
      <c r="AU46">
        <v>1</v>
      </c>
      <c r="AV46" t="s">
        <v>273</v>
      </c>
      <c r="AY46" t="s">
        <v>273</v>
      </c>
      <c r="BB46">
        <v>0</v>
      </c>
      <c r="BC46">
        <v>0</v>
      </c>
      <c r="BD46">
        <v>0</v>
      </c>
      <c r="BE46">
        <v>0</v>
      </c>
      <c r="BF46" t="s">
        <v>1063</v>
      </c>
      <c r="BG46" t="s">
        <v>4116</v>
      </c>
      <c r="BH46">
        <v>25</v>
      </c>
      <c r="BI46" t="s">
        <v>1247</v>
      </c>
      <c r="BK46">
        <v>1867798</v>
      </c>
      <c r="BL46" t="s">
        <v>274</v>
      </c>
    </row>
    <row r="47" spans="1:64">
      <c r="A47" s="1">
        <f>HYPERLINK("https://lsnyc.legalserver.org/matter/dynamic-profile/view/1907465","19-1907465")</f>
        <v>0</v>
      </c>
      <c r="B47" t="s">
        <v>3524</v>
      </c>
      <c r="C47" t="s">
        <v>3679</v>
      </c>
      <c r="D47" t="s">
        <v>257</v>
      </c>
      <c r="E47" t="s">
        <v>3684</v>
      </c>
      <c r="F47" t="s">
        <v>273</v>
      </c>
      <c r="G47" t="s">
        <v>275</v>
      </c>
      <c r="H47">
        <v>0</v>
      </c>
      <c r="I47" t="s">
        <v>275</v>
      </c>
      <c r="K47" t="s">
        <v>295</v>
      </c>
      <c r="P47" t="s">
        <v>496</v>
      </c>
      <c r="Q47" t="s">
        <v>502</v>
      </c>
      <c r="S47" t="s">
        <v>503</v>
      </c>
      <c r="T47" t="s">
        <v>508</v>
      </c>
      <c r="U47" t="s">
        <v>511</v>
      </c>
      <c r="V47">
        <v>10454</v>
      </c>
      <c r="W47" t="s">
        <v>520</v>
      </c>
      <c r="X47" t="s">
        <v>548</v>
      </c>
      <c r="Y47" t="s">
        <v>275</v>
      </c>
      <c r="Z47" t="s">
        <v>3791</v>
      </c>
      <c r="AA47" t="s">
        <v>3932</v>
      </c>
      <c r="AB47" t="s">
        <v>902</v>
      </c>
      <c r="AC47" t="s">
        <v>2358</v>
      </c>
      <c r="AF47" t="s">
        <v>923</v>
      </c>
      <c r="AI47">
        <v>3.4</v>
      </c>
      <c r="AJ47" t="s">
        <v>558</v>
      </c>
      <c r="AK47" t="s">
        <v>934</v>
      </c>
      <c r="AL47" t="s">
        <v>274</v>
      </c>
      <c r="AM47" t="s">
        <v>973</v>
      </c>
      <c r="AT47">
        <v>2</v>
      </c>
      <c r="AU47">
        <v>3</v>
      </c>
      <c r="AV47" t="s">
        <v>273</v>
      </c>
      <c r="AY47" t="s">
        <v>273</v>
      </c>
      <c r="BB47">
        <v>0</v>
      </c>
      <c r="BC47">
        <v>0</v>
      </c>
      <c r="BD47">
        <v>0</v>
      </c>
      <c r="BE47">
        <v>0</v>
      </c>
      <c r="BF47" t="s">
        <v>1063</v>
      </c>
      <c r="BG47" t="s">
        <v>4117</v>
      </c>
      <c r="BH47">
        <v>5</v>
      </c>
      <c r="BI47" t="s">
        <v>1247</v>
      </c>
      <c r="BK47">
        <v>1850381</v>
      </c>
      <c r="BL47" t="s">
        <v>274</v>
      </c>
    </row>
    <row r="48" spans="1:64">
      <c r="A48" s="1">
        <f>HYPERLINK("https://lsnyc.legalserver.org/matter/dynamic-profile/view/1907159","19-1907159")</f>
        <v>0</v>
      </c>
      <c r="B48" t="s">
        <v>3525</v>
      </c>
      <c r="C48" t="s">
        <v>3679</v>
      </c>
      <c r="D48" t="s">
        <v>257</v>
      </c>
      <c r="E48" t="s">
        <v>3686</v>
      </c>
      <c r="F48" t="s">
        <v>275</v>
      </c>
      <c r="G48" t="s">
        <v>275</v>
      </c>
      <c r="H48">
        <v>0</v>
      </c>
      <c r="K48" t="s">
        <v>296</v>
      </c>
      <c r="L48" t="s">
        <v>479</v>
      </c>
      <c r="O48" t="s">
        <v>275</v>
      </c>
      <c r="P48" t="s">
        <v>493</v>
      </c>
      <c r="Q48" t="s">
        <v>501</v>
      </c>
      <c r="S48" t="s">
        <v>503</v>
      </c>
      <c r="T48" t="s">
        <v>508</v>
      </c>
      <c r="U48" t="s">
        <v>511</v>
      </c>
      <c r="V48">
        <v>10472</v>
      </c>
      <c r="W48" t="s">
        <v>518</v>
      </c>
      <c r="X48" t="s">
        <v>548</v>
      </c>
      <c r="Z48" t="s">
        <v>685</v>
      </c>
      <c r="AA48" t="s">
        <v>3933</v>
      </c>
      <c r="AB48" t="s">
        <v>902</v>
      </c>
      <c r="AC48" t="s">
        <v>906</v>
      </c>
      <c r="AD48" t="s">
        <v>275</v>
      </c>
      <c r="AE48" t="s">
        <v>920</v>
      </c>
      <c r="AF48" t="s">
        <v>928</v>
      </c>
      <c r="AI48">
        <v>4</v>
      </c>
      <c r="AJ48" t="s">
        <v>931</v>
      </c>
      <c r="AK48" t="s">
        <v>934</v>
      </c>
      <c r="AQ48" t="s">
        <v>1033</v>
      </c>
      <c r="AR48" t="s">
        <v>1051</v>
      </c>
      <c r="AT48">
        <v>1</v>
      </c>
      <c r="AU48">
        <v>1</v>
      </c>
      <c r="AV48" t="s">
        <v>273</v>
      </c>
      <c r="AY48" t="s">
        <v>273</v>
      </c>
      <c r="BB48">
        <v>0</v>
      </c>
      <c r="BC48">
        <v>0</v>
      </c>
      <c r="BD48">
        <v>0</v>
      </c>
      <c r="BE48">
        <v>0</v>
      </c>
      <c r="BF48" t="s">
        <v>493</v>
      </c>
      <c r="BG48" t="s">
        <v>4118</v>
      </c>
      <c r="BH48">
        <v>27</v>
      </c>
      <c r="BI48" t="s">
        <v>1247</v>
      </c>
      <c r="BK48">
        <v>1907815</v>
      </c>
    </row>
    <row r="49" spans="1:64">
      <c r="A49" s="1">
        <f>HYPERLINK("https://lsnyc.legalserver.org/matter/dynamic-profile/view/1907141","19-1907141")</f>
        <v>0</v>
      </c>
      <c r="B49" t="s">
        <v>3526</v>
      </c>
      <c r="C49" t="s">
        <v>3679</v>
      </c>
      <c r="D49" t="s">
        <v>257</v>
      </c>
      <c r="E49" t="s">
        <v>3684</v>
      </c>
      <c r="F49" t="s">
        <v>273</v>
      </c>
      <c r="G49" t="s">
        <v>275</v>
      </c>
      <c r="H49">
        <v>0</v>
      </c>
      <c r="I49" t="s">
        <v>275</v>
      </c>
      <c r="K49" t="s">
        <v>296</v>
      </c>
      <c r="P49" t="s">
        <v>496</v>
      </c>
      <c r="Q49" t="s">
        <v>502</v>
      </c>
      <c r="S49" t="s">
        <v>503</v>
      </c>
      <c r="T49" t="s">
        <v>508</v>
      </c>
      <c r="U49" t="s">
        <v>511</v>
      </c>
      <c r="V49">
        <v>10454</v>
      </c>
      <c r="W49" t="s">
        <v>520</v>
      </c>
      <c r="Y49" t="s">
        <v>275</v>
      </c>
      <c r="Z49" t="s">
        <v>3792</v>
      </c>
      <c r="AA49" t="s">
        <v>3934</v>
      </c>
      <c r="AB49" t="s">
        <v>902</v>
      </c>
      <c r="AC49" t="s">
        <v>905</v>
      </c>
      <c r="AF49" t="s">
        <v>923</v>
      </c>
      <c r="AI49">
        <v>2.4</v>
      </c>
      <c r="AJ49" t="s">
        <v>558</v>
      </c>
      <c r="AK49" t="s">
        <v>934</v>
      </c>
      <c r="AL49" t="s">
        <v>274</v>
      </c>
      <c r="AM49" t="s">
        <v>973</v>
      </c>
      <c r="AT49">
        <v>2</v>
      </c>
      <c r="AU49">
        <v>3</v>
      </c>
      <c r="AV49" t="s">
        <v>273</v>
      </c>
      <c r="AY49" t="s">
        <v>273</v>
      </c>
      <c r="BB49">
        <v>0</v>
      </c>
      <c r="BC49">
        <v>0</v>
      </c>
      <c r="BD49">
        <v>0</v>
      </c>
      <c r="BE49">
        <v>0</v>
      </c>
      <c r="BF49" t="s">
        <v>1063</v>
      </c>
      <c r="BG49" t="s">
        <v>4119</v>
      </c>
      <c r="BH49">
        <v>16</v>
      </c>
      <c r="BI49" t="s">
        <v>1247</v>
      </c>
      <c r="BK49">
        <v>1850381</v>
      </c>
      <c r="BL49" t="s">
        <v>274</v>
      </c>
    </row>
    <row r="50" spans="1:64">
      <c r="A50" s="1">
        <f>HYPERLINK("https://lsnyc.legalserver.org/matter/dynamic-profile/view/1907152","19-1907152")</f>
        <v>0</v>
      </c>
      <c r="B50" t="s">
        <v>3527</v>
      </c>
      <c r="C50" t="s">
        <v>3679</v>
      </c>
      <c r="D50" t="s">
        <v>257</v>
      </c>
      <c r="E50" t="s">
        <v>3684</v>
      </c>
      <c r="F50" t="s">
        <v>273</v>
      </c>
      <c r="G50" t="s">
        <v>275</v>
      </c>
      <c r="H50">
        <v>0</v>
      </c>
      <c r="I50" t="s">
        <v>275</v>
      </c>
      <c r="K50" t="s">
        <v>296</v>
      </c>
      <c r="P50" t="s">
        <v>492</v>
      </c>
      <c r="Q50" t="s">
        <v>502</v>
      </c>
      <c r="S50" t="s">
        <v>503</v>
      </c>
      <c r="T50" t="s">
        <v>508</v>
      </c>
      <c r="U50" t="s">
        <v>511</v>
      </c>
      <c r="V50">
        <v>10454</v>
      </c>
      <c r="W50" t="s">
        <v>520</v>
      </c>
      <c r="Y50" t="s">
        <v>275</v>
      </c>
      <c r="Z50" t="s">
        <v>3793</v>
      </c>
      <c r="AA50" t="s">
        <v>3935</v>
      </c>
      <c r="AB50" t="s">
        <v>902</v>
      </c>
      <c r="AC50" t="s">
        <v>905</v>
      </c>
      <c r="AF50" t="s">
        <v>923</v>
      </c>
      <c r="AI50">
        <v>2.4</v>
      </c>
      <c r="AJ50" t="s">
        <v>558</v>
      </c>
      <c r="AK50" t="s">
        <v>934</v>
      </c>
      <c r="AL50" t="s">
        <v>274</v>
      </c>
      <c r="AM50" t="s">
        <v>973</v>
      </c>
      <c r="AT50">
        <v>2</v>
      </c>
      <c r="AU50">
        <v>3</v>
      </c>
      <c r="AV50" t="s">
        <v>273</v>
      </c>
      <c r="AY50" t="s">
        <v>273</v>
      </c>
      <c r="BB50">
        <v>0</v>
      </c>
      <c r="BC50">
        <v>0</v>
      </c>
      <c r="BD50">
        <v>0</v>
      </c>
      <c r="BE50">
        <v>0</v>
      </c>
      <c r="BF50" t="s">
        <v>1063</v>
      </c>
      <c r="BG50" t="s">
        <v>4120</v>
      </c>
      <c r="BH50">
        <v>18</v>
      </c>
      <c r="BI50" t="s">
        <v>1247</v>
      </c>
      <c r="BK50">
        <v>1850381</v>
      </c>
      <c r="BL50" t="s">
        <v>274</v>
      </c>
    </row>
    <row r="51" spans="1:64">
      <c r="A51" s="1">
        <f>HYPERLINK("https://lsnyc.legalserver.org/matter/dynamic-profile/view/1907201","19-1907201")</f>
        <v>0</v>
      </c>
      <c r="B51" t="s">
        <v>3528</v>
      </c>
      <c r="C51" t="s">
        <v>3679</v>
      </c>
      <c r="D51" t="s">
        <v>257</v>
      </c>
      <c r="E51" t="s">
        <v>3684</v>
      </c>
      <c r="F51" t="s">
        <v>273</v>
      </c>
      <c r="G51" t="s">
        <v>275</v>
      </c>
      <c r="H51">
        <v>0</v>
      </c>
      <c r="I51" t="s">
        <v>275</v>
      </c>
      <c r="K51" t="s">
        <v>296</v>
      </c>
      <c r="O51" t="s">
        <v>275</v>
      </c>
      <c r="P51" t="s">
        <v>495</v>
      </c>
      <c r="Q51" t="s">
        <v>501</v>
      </c>
      <c r="S51" t="s">
        <v>503</v>
      </c>
      <c r="T51" t="s">
        <v>508</v>
      </c>
      <c r="U51" t="s">
        <v>511</v>
      </c>
      <c r="V51">
        <v>10468</v>
      </c>
      <c r="W51" t="s">
        <v>518</v>
      </c>
      <c r="X51" t="s">
        <v>548</v>
      </c>
      <c r="Y51" t="s">
        <v>275</v>
      </c>
      <c r="Z51" t="s">
        <v>3789</v>
      </c>
      <c r="AA51" t="s">
        <v>3936</v>
      </c>
      <c r="AB51" t="s">
        <v>902</v>
      </c>
      <c r="AC51" t="s">
        <v>910</v>
      </c>
      <c r="AF51" t="s">
        <v>928</v>
      </c>
      <c r="AI51">
        <v>3.2</v>
      </c>
      <c r="AJ51" t="s">
        <v>931</v>
      </c>
      <c r="AK51" t="s">
        <v>934</v>
      </c>
      <c r="AL51" t="s">
        <v>275</v>
      </c>
      <c r="AM51" t="s">
        <v>975</v>
      </c>
      <c r="AT51">
        <v>2</v>
      </c>
      <c r="AU51">
        <v>1</v>
      </c>
      <c r="AV51" t="s">
        <v>273</v>
      </c>
      <c r="AY51" t="s">
        <v>273</v>
      </c>
      <c r="BB51">
        <v>0</v>
      </c>
      <c r="BC51">
        <v>0</v>
      </c>
      <c r="BD51">
        <v>0</v>
      </c>
      <c r="BE51">
        <v>0</v>
      </c>
      <c r="BF51" t="s">
        <v>1063</v>
      </c>
      <c r="BG51" t="s">
        <v>4121</v>
      </c>
      <c r="BH51">
        <v>26</v>
      </c>
      <c r="BI51" t="s">
        <v>1247</v>
      </c>
      <c r="BK51">
        <v>1907857</v>
      </c>
      <c r="BL51" t="s">
        <v>274</v>
      </c>
    </row>
    <row r="52" spans="1:64">
      <c r="A52" s="1">
        <f>HYPERLINK("https://lsnyc.legalserver.org/matter/dynamic-profile/view/1907105","19-1907105")</f>
        <v>0</v>
      </c>
      <c r="B52" t="s">
        <v>3529</v>
      </c>
      <c r="C52" t="s">
        <v>3679</v>
      </c>
      <c r="D52" t="s">
        <v>257</v>
      </c>
      <c r="E52" t="s">
        <v>3683</v>
      </c>
      <c r="F52" t="s">
        <v>273</v>
      </c>
      <c r="G52" t="s">
        <v>275</v>
      </c>
      <c r="H52">
        <v>0</v>
      </c>
      <c r="I52" t="s">
        <v>274</v>
      </c>
      <c r="K52" t="s">
        <v>297</v>
      </c>
      <c r="L52" t="s">
        <v>481</v>
      </c>
      <c r="M52" t="s">
        <v>474</v>
      </c>
      <c r="N52" t="s">
        <v>462</v>
      </c>
      <c r="O52" t="s">
        <v>275</v>
      </c>
      <c r="P52" t="s">
        <v>493</v>
      </c>
      <c r="Q52" t="s">
        <v>501</v>
      </c>
      <c r="S52" t="s">
        <v>503</v>
      </c>
      <c r="T52" t="s">
        <v>508</v>
      </c>
      <c r="U52" t="s">
        <v>511</v>
      </c>
      <c r="V52">
        <v>10456</v>
      </c>
      <c r="W52" t="s">
        <v>518</v>
      </c>
      <c r="X52" t="s">
        <v>548</v>
      </c>
      <c r="Y52" t="s">
        <v>275</v>
      </c>
      <c r="Z52" t="s">
        <v>3794</v>
      </c>
      <c r="AA52" t="s">
        <v>3937</v>
      </c>
      <c r="AB52" t="s">
        <v>902</v>
      </c>
      <c r="AC52" t="s">
        <v>905</v>
      </c>
      <c r="AD52" t="s">
        <v>274</v>
      </c>
      <c r="AE52" t="s">
        <v>920</v>
      </c>
      <c r="AF52" t="s">
        <v>928</v>
      </c>
      <c r="AI52">
        <v>3.75</v>
      </c>
      <c r="AJ52" t="s">
        <v>931</v>
      </c>
      <c r="AK52" t="s">
        <v>934</v>
      </c>
      <c r="AL52" t="s">
        <v>274</v>
      </c>
      <c r="AQ52" t="s">
        <v>1033</v>
      </c>
      <c r="AR52" t="s">
        <v>1053</v>
      </c>
      <c r="AT52">
        <v>3</v>
      </c>
      <c r="AU52">
        <v>1</v>
      </c>
      <c r="AV52" t="s">
        <v>273</v>
      </c>
      <c r="AY52" t="s">
        <v>273</v>
      </c>
      <c r="BB52">
        <v>0</v>
      </c>
      <c r="BC52">
        <v>0</v>
      </c>
      <c r="BD52">
        <v>0</v>
      </c>
      <c r="BE52">
        <v>0</v>
      </c>
      <c r="BF52" t="s">
        <v>493</v>
      </c>
      <c r="BG52" t="s">
        <v>4122</v>
      </c>
      <c r="BH52">
        <v>28</v>
      </c>
      <c r="BI52" t="s">
        <v>1247</v>
      </c>
      <c r="BK52">
        <v>1907761</v>
      </c>
      <c r="BL52" t="s">
        <v>274</v>
      </c>
    </row>
    <row r="53" spans="1:64">
      <c r="A53" s="1">
        <f>HYPERLINK("https://lsnyc.legalserver.org/matter/dynamic-profile/view/1906950","19-1906950")</f>
        <v>0</v>
      </c>
      <c r="B53" t="s">
        <v>3530</v>
      </c>
      <c r="C53" t="s">
        <v>3679</v>
      </c>
      <c r="D53" t="s">
        <v>257</v>
      </c>
      <c r="E53" t="s">
        <v>3683</v>
      </c>
      <c r="F53" t="s">
        <v>273</v>
      </c>
      <c r="G53" t="s">
        <v>275</v>
      </c>
      <c r="H53">
        <v>68.94</v>
      </c>
      <c r="I53" t="s">
        <v>274</v>
      </c>
      <c r="K53" t="s">
        <v>1001</v>
      </c>
      <c r="M53" t="s">
        <v>473</v>
      </c>
      <c r="N53" t="s">
        <v>283</v>
      </c>
      <c r="O53" t="s">
        <v>275</v>
      </c>
      <c r="P53" t="s">
        <v>492</v>
      </c>
      <c r="Q53" t="s">
        <v>501</v>
      </c>
      <c r="S53" t="s">
        <v>503</v>
      </c>
      <c r="T53" t="s">
        <v>508</v>
      </c>
      <c r="U53" t="s">
        <v>511</v>
      </c>
      <c r="V53">
        <v>10455</v>
      </c>
      <c r="W53" t="s">
        <v>1833</v>
      </c>
      <c r="X53" t="s">
        <v>549</v>
      </c>
      <c r="Y53" t="s">
        <v>274</v>
      </c>
      <c r="Z53" t="s">
        <v>3795</v>
      </c>
      <c r="AA53" t="s">
        <v>842</v>
      </c>
      <c r="AB53" t="s">
        <v>902</v>
      </c>
      <c r="AC53" t="s">
        <v>905</v>
      </c>
      <c r="AF53" t="s">
        <v>923</v>
      </c>
      <c r="AI53">
        <v>5.7</v>
      </c>
      <c r="AK53" t="s">
        <v>4058</v>
      </c>
      <c r="AL53" t="s">
        <v>274</v>
      </c>
      <c r="AT53">
        <v>3</v>
      </c>
      <c r="AU53">
        <v>2</v>
      </c>
      <c r="AV53" t="s">
        <v>273</v>
      </c>
      <c r="AY53" t="s">
        <v>273</v>
      </c>
      <c r="BB53">
        <v>0</v>
      </c>
      <c r="BC53">
        <v>0</v>
      </c>
      <c r="BD53">
        <v>0</v>
      </c>
      <c r="BE53">
        <v>0</v>
      </c>
      <c r="BF53" t="s">
        <v>1063</v>
      </c>
      <c r="BG53" t="s">
        <v>4123</v>
      </c>
      <c r="BH53">
        <v>33</v>
      </c>
      <c r="BI53" t="s">
        <v>1261</v>
      </c>
      <c r="BK53">
        <v>1885395</v>
      </c>
      <c r="BL53" t="s">
        <v>275</v>
      </c>
    </row>
    <row r="54" spans="1:64">
      <c r="A54" s="1">
        <f>HYPERLINK("https://lsnyc.legalserver.org/matter/dynamic-profile/view/1906951","19-1906951")</f>
        <v>0</v>
      </c>
      <c r="B54" t="s">
        <v>3530</v>
      </c>
      <c r="C54" t="s">
        <v>3679</v>
      </c>
      <c r="D54" t="s">
        <v>257</v>
      </c>
      <c r="E54" t="s">
        <v>3683</v>
      </c>
      <c r="F54" t="s">
        <v>273</v>
      </c>
      <c r="G54" t="s">
        <v>275</v>
      </c>
      <c r="H54">
        <v>68.94</v>
      </c>
      <c r="I54" t="s">
        <v>274</v>
      </c>
      <c r="K54" t="s">
        <v>1001</v>
      </c>
      <c r="M54" t="s">
        <v>473</v>
      </c>
      <c r="N54" t="s">
        <v>283</v>
      </c>
      <c r="O54" t="s">
        <v>275</v>
      </c>
      <c r="P54" t="s">
        <v>492</v>
      </c>
      <c r="Q54" t="s">
        <v>501</v>
      </c>
      <c r="S54" t="s">
        <v>503</v>
      </c>
      <c r="T54" t="s">
        <v>508</v>
      </c>
      <c r="U54" t="s">
        <v>511</v>
      </c>
      <c r="V54">
        <v>10455</v>
      </c>
      <c r="W54" t="s">
        <v>524</v>
      </c>
      <c r="X54" t="s">
        <v>549</v>
      </c>
      <c r="Y54" t="s">
        <v>274</v>
      </c>
      <c r="Z54" t="s">
        <v>3795</v>
      </c>
      <c r="AA54" t="s">
        <v>842</v>
      </c>
      <c r="AB54" t="s">
        <v>903</v>
      </c>
      <c r="AC54" t="s">
        <v>905</v>
      </c>
      <c r="AF54" t="s">
        <v>923</v>
      </c>
      <c r="AI54">
        <v>18.7</v>
      </c>
      <c r="AK54" t="s">
        <v>4058</v>
      </c>
      <c r="AL54" t="s">
        <v>274</v>
      </c>
      <c r="AT54">
        <v>3</v>
      </c>
      <c r="AU54">
        <v>2</v>
      </c>
      <c r="AV54" t="s">
        <v>273</v>
      </c>
      <c r="AY54" t="s">
        <v>273</v>
      </c>
      <c r="BB54">
        <v>0</v>
      </c>
      <c r="BC54">
        <v>0</v>
      </c>
      <c r="BD54">
        <v>0</v>
      </c>
      <c r="BE54">
        <v>0</v>
      </c>
      <c r="BF54" t="s">
        <v>1063</v>
      </c>
      <c r="BG54" t="s">
        <v>4123</v>
      </c>
      <c r="BH54">
        <v>33</v>
      </c>
      <c r="BI54" t="s">
        <v>1261</v>
      </c>
      <c r="BK54">
        <v>1885395</v>
      </c>
      <c r="BL54" t="s">
        <v>275</v>
      </c>
    </row>
    <row r="55" spans="1:64">
      <c r="A55" s="1">
        <f>HYPERLINK("https://lsnyc.legalserver.org/matter/dynamic-profile/view/1906822","19-1906822")</f>
        <v>0</v>
      </c>
      <c r="B55" t="s">
        <v>3531</v>
      </c>
      <c r="C55" t="s">
        <v>3679</v>
      </c>
      <c r="D55" t="s">
        <v>257</v>
      </c>
      <c r="E55" t="s">
        <v>3687</v>
      </c>
      <c r="F55" t="s">
        <v>273</v>
      </c>
      <c r="G55" t="s">
        <v>275</v>
      </c>
      <c r="H55">
        <v>0</v>
      </c>
      <c r="K55" t="s">
        <v>453</v>
      </c>
      <c r="O55" t="s">
        <v>275</v>
      </c>
      <c r="P55" t="s">
        <v>492</v>
      </c>
      <c r="Q55" t="s">
        <v>501</v>
      </c>
      <c r="S55" t="s">
        <v>503</v>
      </c>
      <c r="T55" t="s">
        <v>507</v>
      </c>
      <c r="U55" t="s">
        <v>511</v>
      </c>
      <c r="V55">
        <v>10468</v>
      </c>
      <c r="W55" t="s">
        <v>523</v>
      </c>
      <c r="X55" t="s">
        <v>549</v>
      </c>
      <c r="Z55" t="s">
        <v>3796</v>
      </c>
      <c r="AA55" t="s">
        <v>3938</v>
      </c>
      <c r="AB55" t="s">
        <v>903</v>
      </c>
      <c r="AI55">
        <v>1.5</v>
      </c>
      <c r="AJ55" t="s">
        <v>931</v>
      </c>
      <c r="AK55" t="s">
        <v>965</v>
      </c>
      <c r="AT55">
        <v>0</v>
      </c>
      <c r="AU55">
        <v>2</v>
      </c>
      <c r="AV55" t="s">
        <v>273</v>
      </c>
      <c r="AY55" t="s">
        <v>273</v>
      </c>
      <c r="BB55">
        <v>0</v>
      </c>
      <c r="BC55">
        <v>0</v>
      </c>
      <c r="BD55">
        <v>0</v>
      </c>
      <c r="BE55">
        <v>0</v>
      </c>
      <c r="BF55" t="s">
        <v>1063</v>
      </c>
      <c r="BG55" t="s">
        <v>4124</v>
      </c>
      <c r="BH55">
        <v>24</v>
      </c>
      <c r="BI55" t="s">
        <v>1247</v>
      </c>
      <c r="BK55">
        <v>1907477</v>
      </c>
    </row>
    <row r="56" spans="1:64">
      <c r="A56" s="1">
        <f>HYPERLINK("https://lsnyc.legalserver.org/matter/dynamic-profile/view/1906655","19-1906655")</f>
        <v>0</v>
      </c>
      <c r="B56" t="s">
        <v>3532</v>
      </c>
      <c r="C56" t="s">
        <v>3679</v>
      </c>
      <c r="D56" t="s">
        <v>257</v>
      </c>
      <c r="E56" t="s">
        <v>3685</v>
      </c>
      <c r="F56" t="s">
        <v>273</v>
      </c>
      <c r="G56" t="s">
        <v>275</v>
      </c>
      <c r="H56">
        <v>97.09</v>
      </c>
      <c r="I56" t="s">
        <v>274</v>
      </c>
      <c r="K56" t="s">
        <v>486</v>
      </c>
      <c r="O56" t="s">
        <v>275</v>
      </c>
      <c r="P56" t="s">
        <v>492</v>
      </c>
      <c r="Q56" t="s">
        <v>501</v>
      </c>
      <c r="S56" t="s">
        <v>503</v>
      </c>
      <c r="T56" t="s">
        <v>508</v>
      </c>
      <c r="U56" t="s">
        <v>511</v>
      </c>
      <c r="V56">
        <v>10456</v>
      </c>
      <c r="W56" t="s">
        <v>520</v>
      </c>
      <c r="X56" t="s">
        <v>548</v>
      </c>
      <c r="Y56" t="s">
        <v>275</v>
      </c>
      <c r="Z56" t="s">
        <v>3797</v>
      </c>
      <c r="AA56" t="s">
        <v>3939</v>
      </c>
      <c r="AB56" t="s">
        <v>902</v>
      </c>
      <c r="AC56" t="s">
        <v>905</v>
      </c>
      <c r="AF56" t="s">
        <v>923</v>
      </c>
      <c r="AI56">
        <v>13</v>
      </c>
      <c r="AK56" t="s">
        <v>936</v>
      </c>
      <c r="AL56" t="s">
        <v>274</v>
      </c>
      <c r="AT56">
        <v>2</v>
      </c>
      <c r="AU56">
        <v>2</v>
      </c>
      <c r="AV56" t="s">
        <v>273</v>
      </c>
      <c r="AY56" t="s">
        <v>273</v>
      </c>
      <c r="BB56">
        <v>0</v>
      </c>
      <c r="BC56">
        <v>0</v>
      </c>
      <c r="BD56">
        <v>0</v>
      </c>
      <c r="BE56">
        <v>0</v>
      </c>
      <c r="BF56" t="s">
        <v>1063</v>
      </c>
      <c r="BG56" t="s">
        <v>4125</v>
      </c>
      <c r="BH56">
        <v>26</v>
      </c>
      <c r="BI56" t="s">
        <v>1274</v>
      </c>
      <c r="BK56">
        <v>1887765</v>
      </c>
      <c r="BL56" t="s">
        <v>274</v>
      </c>
    </row>
    <row r="57" spans="1:64">
      <c r="A57" s="1">
        <f>HYPERLINK("https://lsnyc.legalserver.org/matter/dynamic-profile/view/1906396","19-1906396")</f>
        <v>0</v>
      </c>
      <c r="B57" t="s">
        <v>3533</v>
      </c>
      <c r="C57" t="s">
        <v>3679</v>
      </c>
      <c r="D57" t="s">
        <v>257</v>
      </c>
      <c r="E57" t="s">
        <v>264</v>
      </c>
      <c r="F57" t="s">
        <v>274</v>
      </c>
      <c r="G57" t="s">
        <v>274</v>
      </c>
      <c r="H57">
        <v>147.84</v>
      </c>
      <c r="I57" t="s">
        <v>274</v>
      </c>
      <c r="K57" t="s">
        <v>444</v>
      </c>
      <c r="L57" t="s">
        <v>1669</v>
      </c>
      <c r="O57" t="s">
        <v>275</v>
      </c>
      <c r="P57" t="s">
        <v>498</v>
      </c>
      <c r="Q57" t="s">
        <v>501</v>
      </c>
      <c r="S57" t="s">
        <v>503</v>
      </c>
      <c r="T57" t="s">
        <v>507</v>
      </c>
      <c r="U57" t="s">
        <v>511</v>
      </c>
      <c r="V57">
        <v>10469</v>
      </c>
      <c r="W57" t="s">
        <v>521</v>
      </c>
      <c r="X57" t="s">
        <v>549</v>
      </c>
      <c r="Y57" t="s">
        <v>275</v>
      </c>
      <c r="Z57" t="s">
        <v>3798</v>
      </c>
      <c r="AA57" t="s">
        <v>835</v>
      </c>
      <c r="AB57" t="s">
        <v>902</v>
      </c>
      <c r="AC57" t="s">
        <v>905</v>
      </c>
      <c r="AD57" t="s">
        <v>275</v>
      </c>
      <c r="AE57" t="s">
        <v>920</v>
      </c>
      <c r="AF57" t="s">
        <v>928</v>
      </c>
      <c r="AI57">
        <v>1.65</v>
      </c>
      <c r="AJ57" t="s">
        <v>558</v>
      </c>
      <c r="AK57" t="s">
        <v>939</v>
      </c>
      <c r="AL57" t="s">
        <v>274</v>
      </c>
      <c r="AQ57" t="s">
        <v>1033</v>
      </c>
      <c r="AR57" t="s">
        <v>1053</v>
      </c>
      <c r="AT57">
        <v>0</v>
      </c>
      <c r="AU57">
        <v>2</v>
      </c>
      <c r="AV57" t="s">
        <v>273</v>
      </c>
      <c r="AY57" t="s">
        <v>273</v>
      </c>
      <c r="BB57">
        <v>0</v>
      </c>
      <c r="BC57">
        <v>0</v>
      </c>
      <c r="BD57">
        <v>0</v>
      </c>
      <c r="BE57">
        <v>0</v>
      </c>
      <c r="BF57" t="s">
        <v>493</v>
      </c>
      <c r="BG57" t="s">
        <v>4126</v>
      </c>
      <c r="BH57">
        <v>23</v>
      </c>
      <c r="BI57" t="s">
        <v>1274</v>
      </c>
      <c r="BK57">
        <v>1907051</v>
      </c>
    </row>
    <row r="58" spans="1:64">
      <c r="A58" s="1">
        <f>HYPERLINK("https://lsnyc.legalserver.org/matter/dynamic-profile/view/1905890","19-1905890")</f>
        <v>0</v>
      </c>
      <c r="B58" t="s">
        <v>3534</v>
      </c>
      <c r="C58" t="s">
        <v>3679</v>
      </c>
      <c r="D58" t="s">
        <v>257</v>
      </c>
      <c r="E58" t="s">
        <v>3685</v>
      </c>
      <c r="F58" t="s">
        <v>273</v>
      </c>
      <c r="G58" t="s">
        <v>275</v>
      </c>
      <c r="H58">
        <v>0.39</v>
      </c>
      <c r="I58" t="s">
        <v>274</v>
      </c>
      <c r="K58" t="s">
        <v>468</v>
      </c>
      <c r="O58" t="s">
        <v>275</v>
      </c>
      <c r="P58" t="s">
        <v>492</v>
      </c>
      <c r="Q58" t="s">
        <v>501</v>
      </c>
      <c r="S58" t="s">
        <v>503</v>
      </c>
      <c r="T58" t="s">
        <v>508</v>
      </c>
      <c r="U58" t="s">
        <v>511</v>
      </c>
      <c r="V58">
        <v>10451</v>
      </c>
      <c r="W58" t="s">
        <v>520</v>
      </c>
      <c r="X58" t="s">
        <v>548</v>
      </c>
      <c r="Y58" t="s">
        <v>275</v>
      </c>
      <c r="Z58" t="s">
        <v>2088</v>
      </c>
      <c r="AA58" t="s">
        <v>3940</v>
      </c>
      <c r="AB58" t="s">
        <v>902</v>
      </c>
      <c r="AC58" t="s">
        <v>905</v>
      </c>
      <c r="AF58" t="s">
        <v>923</v>
      </c>
      <c r="AI58">
        <v>5.75</v>
      </c>
      <c r="AK58" t="s">
        <v>934</v>
      </c>
      <c r="AL58" t="s">
        <v>274</v>
      </c>
      <c r="AT58">
        <v>3</v>
      </c>
      <c r="AU58">
        <v>1</v>
      </c>
      <c r="AV58" t="s">
        <v>273</v>
      </c>
      <c r="AY58" t="s">
        <v>273</v>
      </c>
      <c r="BB58">
        <v>0</v>
      </c>
      <c r="BC58">
        <v>0</v>
      </c>
      <c r="BD58">
        <v>0</v>
      </c>
      <c r="BE58">
        <v>0</v>
      </c>
      <c r="BF58" t="s">
        <v>1063</v>
      </c>
      <c r="BG58" t="s">
        <v>4127</v>
      </c>
      <c r="BH58">
        <v>36</v>
      </c>
      <c r="BI58" t="s">
        <v>2743</v>
      </c>
      <c r="BK58">
        <v>1883420</v>
      </c>
      <c r="BL58" t="s">
        <v>274</v>
      </c>
    </row>
    <row r="59" spans="1:64">
      <c r="A59" s="1">
        <f>HYPERLINK("https://lsnyc.legalserver.org/matter/dynamic-profile/view/1905680","19-1905680")</f>
        <v>0</v>
      </c>
      <c r="B59" t="s">
        <v>3535</v>
      </c>
      <c r="C59" t="s">
        <v>3679</v>
      </c>
      <c r="D59" t="s">
        <v>257</v>
      </c>
      <c r="E59" t="s">
        <v>3685</v>
      </c>
      <c r="F59" t="s">
        <v>273</v>
      </c>
      <c r="G59" t="s">
        <v>275</v>
      </c>
      <c r="H59">
        <v>0</v>
      </c>
      <c r="I59" t="s">
        <v>274</v>
      </c>
      <c r="K59" t="s">
        <v>465</v>
      </c>
      <c r="O59" t="s">
        <v>275</v>
      </c>
      <c r="P59" t="s">
        <v>492</v>
      </c>
      <c r="Q59" t="s">
        <v>501</v>
      </c>
      <c r="S59" t="s">
        <v>503</v>
      </c>
      <c r="T59" t="s">
        <v>508</v>
      </c>
      <c r="U59" t="s">
        <v>511</v>
      </c>
      <c r="V59">
        <v>10455</v>
      </c>
      <c r="W59" t="s">
        <v>520</v>
      </c>
      <c r="X59" t="s">
        <v>548</v>
      </c>
      <c r="Y59" t="s">
        <v>275</v>
      </c>
      <c r="Z59" t="s">
        <v>3799</v>
      </c>
      <c r="AA59" t="s">
        <v>3941</v>
      </c>
      <c r="AB59" t="s">
        <v>902</v>
      </c>
      <c r="AC59" t="s">
        <v>905</v>
      </c>
      <c r="AF59" t="s">
        <v>923</v>
      </c>
      <c r="AI59">
        <v>6</v>
      </c>
      <c r="AK59" t="s">
        <v>934</v>
      </c>
      <c r="AL59" t="s">
        <v>274</v>
      </c>
      <c r="AT59">
        <v>1</v>
      </c>
      <c r="AU59">
        <v>1</v>
      </c>
      <c r="AV59" t="s">
        <v>273</v>
      </c>
      <c r="AY59" t="s">
        <v>273</v>
      </c>
      <c r="BB59">
        <v>0</v>
      </c>
      <c r="BC59">
        <v>0</v>
      </c>
      <c r="BD59">
        <v>0</v>
      </c>
      <c r="BE59">
        <v>0</v>
      </c>
      <c r="BF59" t="s">
        <v>1063</v>
      </c>
      <c r="BG59" t="s">
        <v>4128</v>
      </c>
      <c r="BH59">
        <v>32</v>
      </c>
      <c r="BI59" t="s">
        <v>1247</v>
      </c>
      <c r="BK59">
        <v>1881199</v>
      </c>
      <c r="BL59" t="s">
        <v>274</v>
      </c>
    </row>
    <row r="60" spans="1:64">
      <c r="A60" s="1">
        <f>HYPERLINK("https://lsnyc.legalserver.org/matter/dynamic-profile/view/1905702","19-1905702")</f>
        <v>0</v>
      </c>
      <c r="B60" t="s">
        <v>3536</v>
      </c>
      <c r="C60" t="s">
        <v>3679</v>
      </c>
      <c r="D60" t="s">
        <v>255</v>
      </c>
      <c r="E60" t="s">
        <v>3684</v>
      </c>
      <c r="F60" t="s">
        <v>273</v>
      </c>
      <c r="G60" t="s">
        <v>275</v>
      </c>
      <c r="H60">
        <v>0</v>
      </c>
      <c r="I60" t="s">
        <v>274</v>
      </c>
      <c r="K60" t="s">
        <v>465</v>
      </c>
      <c r="P60" t="s">
        <v>495</v>
      </c>
      <c r="Q60" t="s">
        <v>502</v>
      </c>
      <c r="S60" t="s">
        <v>503</v>
      </c>
      <c r="T60" t="s">
        <v>508</v>
      </c>
      <c r="U60" t="s">
        <v>511</v>
      </c>
      <c r="V60">
        <v>10027</v>
      </c>
      <c r="W60" t="s">
        <v>520</v>
      </c>
      <c r="X60" t="s">
        <v>548</v>
      </c>
      <c r="Y60" t="s">
        <v>275</v>
      </c>
      <c r="Z60" t="s">
        <v>3800</v>
      </c>
      <c r="AA60" t="s">
        <v>3942</v>
      </c>
      <c r="AB60" t="s">
        <v>902</v>
      </c>
      <c r="AC60" t="s">
        <v>910</v>
      </c>
      <c r="AF60" t="s">
        <v>923</v>
      </c>
      <c r="AI60">
        <v>5.5</v>
      </c>
      <c r="AJ60" t="s">
        <v>558</v>
      </c>
      <c r="AK60" t="s">
        <v>934</v>
      </c>
      <c r="AL60" t="s">
        <v>274</v>
      </c>
      <c r="AM60" t="s">
        <v>976</v>
      </c>
      <c r="AT60">
        <v>2</v>
      </c>
      <c r="AU60">
        <v>1</v>
      </c>
      <c r="AV60" t="s">
        <v>273</v>
      </c>
      <c r="AY60" t="s">
        <v>273</v>
      </c>
      <c r="BB60">
        <v>0</v>
      </c>
      <c r="BC60">
        <v>0</v>
      </c>
      <c r="BD60">
        <v>0</v>
      </c>
      <c r="BE60">
        <v>0</v>
      </c>
      <c r="BF60" t="s">
        <v>1063</v>
      </c>
      <c r="BG60" t="s">
        <v>4129</v>
      </c>
      <c r="BH60">
        <v>13</v>
      </c>
      <c r="BI60" t="s">
        <v>1247</v>
      </c>
      <c r="BK60">
        <v>833302</v>
      </c>
      <c r="BL60" t="s">
        <v>274</v>
      </c>
    </row>
    <row r="61" spans="1:64">
      <c r="A61" s="1">
        <f>HYPERLINK("https://lsnyc.legalserver.org/matter/dynamic-profile/view/1905529","19-1905529")</f>
        <v>0</v>
      </c>
      <c r="B61" t="s">
        <v>3537</v>
      </c>
      <c r="C61" t="s">
        <v>3679</v>
      </c>
      <c r="D61" t="s">
        <v>257</v>
      </c>
      <c r="E61" t="s">
        <v>3685</v>
      </c>
      <c r="F61" t="s">
        <v>273</v>
      </c>
      <c r="G61" t="s">
        <v>275</v>
      </c>
      <c r="H61">
        <v>0</v>
      </c>
      <c r="I61" t="s">
        <v>274</v>
      </c>
      <c r="K61" t="s">
        <v>448</v>
      </c>
      <c r="O61" t="s">
        <v>275</v>
      </c>
      <c r="P61" t="s">
        <v>492</v>
      </c>
      <c r="Q61" t="s">
        <v>501</v>
      </c>
      <c r="S61" t="s">
        <v>503</v>
      </c>
      <c r="T61" t="s">
        <v>508</v>
      </c>
      <c r="U61" t="s">
        <v>511</v>
      </c>
      <c r="V61">
        <v>10455</v>
      </c>
      <c r="W61" t="s">
        <v>520</v>
      </c>
      <c r="X61" t="s">
        <v>548</v>
      </c>
      <c r="Y61" t="s">
        <v>275</v>
      </c>
      <c r="Z61" t="s">
        <v>3801</v>
      </c>
      <c r="AA61" t="s">
        <v>3943</v>
      </c>
      <c r="AB61" t="s">
        <v>902</v>
      </c>
      <c r="AC61" t="s">
        <v>905</v>
      </c>
      <c r="AF61" t="s">
        <v>923</v>
      </c>
      <c r="AI61">
        <v>8</v>
      </c>
      <c r="AK61" t="s">
        <v>934</v>
      </c>
      <c r="AL61" t="s">
        <v>274</v>
      </c>
      <c r="AT61">
        <v>3</v>
      </c>
      <c r="AU61">
        <v>1</v>
      </c>
      <c r="AV61" t="s">
        <v>273</v>
      </c>
      <c r="AY61" t="s">
        <v>273</v>
      </c>
      <c r="BB61">
        <v>0</v>
      </c>
      <c r="BC61">
        <v>0</v>
      </c>
      <c r="BD61">
        <v>0</v>
      </c>
      <c r="BE61">
        <v>0</v>
      </c>
      <c r="BF61" t="s">
        <v>1063</v>
      </c>
      <c r="BG61" t="s">
        <v>1188</v>
      </c>
      <c r="BH61">
        <v>36</v>
      </c>
      <c r="BI61" t="s">
        <v>1247</v>
      </c>
      <c r="BK61">
        <v>1888445</v>
      </c>
      <c r="BL61" t="s">
        <v>274</v>
      </c>
    </row>
    <row r="62" spans="1:64">
      <c r="A62" s="1">
        <f>HYPERLINK("https://lsnyc.legalserver.org/matter/dynamic-profile/view/1905622","19-1905622")</f>
        <v>0</v>
      </c>
      <c r="B62" t="s">
        <v>3538</v>
      </c>
      <c r="C62" t="s">
        <v>3679</v>
      </c>
      <c r="D62" t="s">
        <v>257</v>
      </c>
      <c r="E62" t="s">
        <v>3685</v>
      </c>
      <c r="F62" t="s">
        <v>273</v>
      </c>
      <c r="G62" t="s">
        <v>275</v>
      </c>
      <c r="H62">
        <v>0</v>
      </c>
      <c r="I62" t="s">
        <v>274</v>
      </c>
      <c r="K62" t="s">
        <v>448</v>
      </c>
      <c r="O62" t="s">
        <v>274</v>
      </c>
      <c r="P62" t="s">
        <v>492</v>
      </c>
      <c r="Q62" t="s">
        <v>501</v>
      </c>
      <c r="S62" t="s">
        <v>503</v>
      </c>
      <c r="T62" t="s">
        <v>508</v>
      </c>
      <c r="U62" t="s">
        <v>511</v>
      </c>
      <c r="V62">
        <v>10452</v>
      </c>
      <c r="W62" t="s">
        <v>520</v>
      </c>
      <c r="X62" t="s">
        <v>548</v>
      </c>
      <c r="Y62" t="s">
        <v>275</v>
      </c>
      <c r="Z62" t="s">
        <v>3802</v>
      </c>
      <c r="AA62" t="s">
        <v>3944</v>
      </c>
      <c r="AB62" t="s">
        <v>902</v>
      </c>
      <c r="AC62" t="s">
        <v>905</v>
      </c>
      <c r="AF62" t="s">
        <v>923</v>
      </c>
      <c r="AI62">
        <v>8.75</v>
      </c>
      <c r="AK62" t="s">
        <v>934</v>
      </c>
      <c r="AL62" t="s">
        <v>274</v>
      </c>
      <c r="AT62">
        <v>2</v>
      </c>
      <c r="AU62">
        <v>1</v>
      </c>
      <c r="AV62" t="s">
        <v>273</v>
      </c>
      <c r="AY62" t="s">
        <v>273</v>
      </c>
      <c r="BB62">
        <v>0</v>
      </c>
      <c r="BC62">
        <v>0</v>
      </c>
      <c r="BD62">
        <v>0</v>
      </c>
      <c r="BE62">
        <v>0</v>
      </c>
      <c r="BF62" t="s">
        <v>1063</v>
      </c>
      <c r="BG62" t="s">
        <v>4130</v>
      </c>
      <c r="BH62">
        <v>39</v>
      </c>
      <c r="BI62" t="s">
        <v>1247</v>
      </c>
      <c r="BK62">
        <v>1886141</v>
      </c>
      <c r="BL62" t="s">
        <v>274</v>
      </c>
    </row>
    <row r="63" spans="1:64">
      <c r="A63" s="1">
        <f>HYPERLINK("https://lsnyc.legalserver.org/matter/dynamic-profile/view/1905324","19-1905324")</f>
        <v>0</v>
      </c>
      <c r="B63" t="s">
        <v>3539</v>
      </c>
      <c r="C63" t="s">
        <v>3679</v>
      </c>
      <c r="D63" t="s">
        <v>257</v>
      </c>
      <c r="E63" t="s">
        <v>3683</v>
      </c>
      <c r="F63" t="s">
        <v>273</v>
      </c>
      <c r="G63" t="s">
        <v>275</v>
      </c>
      <c r="H63">
        <v>0</v>
      </c>
      <c r="I63" t="s">
        <v>274</v>
      </c>
      <c r="K63" t="s">
        <v>483</v>
      </c>
      <c r="M63" t="s">
        <v>474</v>
      </c>
      <c r="N63" t="s">
        <v>1003</v>
      </c>
      <c r="O63" t="s">
        <v>275</v>
      </c>
      <c r="P63" t="s">
        <v>495</v>
      </c>
      <c r="Q63" t="s">
        <v>501</v>
      </c>
      <c r="S63" t="s">
        <v>503</v>
      </c>
      <c r="T63" t="s">
        <v>508</v>
      </c>
      <c r="U63" t="s">
        <v>511</v>
      </c>
      <c r="V63">
        <v>10451</v>
      </c>
      <c r="W63" t="s">
        <v>518</v>
      </c>
      <c r="X63" t="s">
        <v>548</v>
      </c>
      <c r="Y63" t="s">
        <v>275</v>
      </c>
      <c r="Z63" t="s">
        <v>3803</v>
      </c>
      <c r="AA63" t="s">
        <v>3945</v>
      </c>
      <c r="AB63" t="s">
        <v>902</v>
      </c>
      <c r="AC63" t="s">
        <v>905</v>
      </c>
      <c r="AF63" t="s">
        <v>928</v>
      </c>
      <c r="AI63">
        <v>2.3</v>
      </c>
      <c r="AJ63" t="s">
        <v>558</v>
      </c>
      <c r="AK63" t="s">
        <v>934</v>
      </c>
      <c r="AL63" t="s">
        <v>274</v>
      </c>
      <c r="AT63">
        <v>1</v>
      </c>
      <c r="AU63">
        <v>1</v>
      </c>
      <c r="AV63" t="s">
        <v>273</v>
      </c>
      <c r="AY63" t="s">
        <v>273</v>
      </c>
      <c r="BB63">
        <v>0</v>
      </c>
      <c r="BC63">
        <v>0</v>
      </c>
      <c r="BD63">
        <v>0</v>
      </c>
      <c r="BE63">
        <v>0</v>
      </c>
      <c r="BF63" t="s">
        <v>1063</v>
      </c>
      <c r="BH63">
        <v>0</v>
      </c>
      <c r="BI63" t="s">
        <v>1247</v>
      </c>
      <c r="BK63">
        <v>1905979</v>
      </c>
      <c r="BL63" t="s">
        <v>274</v>
      </c>
    </row>
    <row r="64" spans="1:64">
      <c r="A64" s="1">
        <f>HYPERLINK("https://lsnyc.legalserver.org/matter/dynamic-profile/view/1905032","19-1905032")</f>
        <v>0</v>
      </c>
      <c r="B64" t="s">
        <v>3540</v>
      </c>
      <c r="C64" t="s">
        <v>3679</v>
      </c>
      <c r="D64" t="s">
        <v>257</v>
      </c>
      <c r="E64" t="s">
        <v>3685</v>
      </c>
      <c r="F64" t="s">
        <v>273</v>
      </c>
      <c r="G64" t="s">
        <v>275</v>
      </c>
      <c r="H64">
        <v>158.46</v>
      </c>
      <c r="I64" t="s">
        <v>274</v>
      </c>
      <c r="K64" t="s">
        <v>1003</v>
      </c>
      <c r="O64" t="s">
        <v>274</v>
      </c>
      <c r="P64" t="s">
        <v>492</v>
      </c>
      <c r="Q64" t="s">
        <v>501</v>
      </c>
      <c r="S64" t="s">
        <v>503</v>
      </c>
      <c r="T64" t="s">
        <v>508</v>
      </c>
      <c r="U64" t="s">
        <v>511</v>
      </c>
      <c r="V64">
        <v>10454</v>
      </c>
      <c r="W64" t="s">
        <v>520</v>
      </c>
      <c r="X64" t="s">
        <v>548</v>
      </c>
      <c r="Y64" t="s">
        <v>275</v>
      </c>
      <c r="Z64" t="s">
        <v>3804</v>
      </c>
      <c r="AA64" t="s">
        <v>3946</v>
      </c>
      <c r="AB64" t="s">
        <v>902</v>
      </c>
      <c r="AC64" t="s">
        <v>905</v>
      </c>
      <c r="AF64" t="s">
        <v>923</v>
      </c>
      <c r="AI64">
        <v>7.5</v>
      </c>
      <c r="AK64" t="s">
        <v>941</v>
      </c>
      <c r="AL64" t="s">
        <v>274</v>
      </c>
      <c r="AT64">
        <v>1</v>
      </c>
      <c r="AU64">
        <v>2</v>
      </c>
      <c r="AV64" t="s">
        <v>273</v>
      </c>
      <c r="AY64" t="s">
        <v>273</v>
      </c>
      <c r="BB64">
        <v>0</v>
      </c>
      <c r="BC64">
        <v>0</v>
      </c>
      <c r="BD64">
        <v>0</v>
      </c>
      <c r="BE64">
        <v>0</v>
      </c>
      <c r="BF64" t="s">
        <v>1063</v>
      </c>
      <c r="BG64" t="s">
        <v>4131</v>
      </c>
      <c r="BH64">
        <v>38</v>
      </c>
      <c r="BI64" t="s">
        <v>4260</v>
      </c>
      <c r="BK64">
        <v>1881526</v>
      </c>
      <c r="BL64" t="s">
        <v>274</v>
      </c>
    </row>
    <row r="65" spans="1:64">
      <c r="A65" s="1">
        <f>HYPERLINK("https://lsnyc.legalserver.org/matter/dynamic-profile/view/1905139","19-1905139")</f>
        <v>0</v>
      </c>
      <c r="B65" t="s">
        <v>3485</v>
      </c>
      <c r="C65" t="s">
        <v>3679</v>
      </c>
      <c r="D65" t="s">
        <v>257</v>
      </c>
      <c r="E65" t="s">
        <v>3685</v>
      </c>
      <c r="F65" t="s">
        <v>273</v>
      </c>
      <c r="G65" t="s">
        <v>275</v>
      </c>
      <c r="H65">
        <v>0</v>
      </c>
      <c r="I65" t="s">
        <v>274</v>
      </c>
      <c r="K65" t="s">
        <v>1003</v>
      </c>
      <c r="O65" t="s">
        <v>275</v>
      </c>
      <c r="P65" t="s">
        <v>492</v>
      </c>
      <c r="Q65" t="s">
        <v>501</v>
      </c>
      <c r="S65" t="s">
        <v>503</v>
      </c>
      <c r="T65" t="s">
        <v>508</v>
      </c>
      <c r="U65" t="s">
        <v>511</v>
      </c>
      <c r="V65">
        <v>10453</v>
      </c>
      <c r="W65" t="s">
        <v>518</v>
      </c>
      <c r="X65" t="s">
        <v>548</v>
      </c>
      <c r="Y65" t="s">
        <v>275</v>
      </c>
      <c r="Z65" t="s">
        <v>3761</v>
      </c>
      <c r="AA65" t="s">
        <v>2191</v>
      </c>
      <c r="AB65" t="s">
        <v>902</v>
      </c>
      <c r="AC65" t="s">
        <v>905</v>
      </c>
      <c r="AF65" t="s">
        <v>926</v>
      </c>
      <c r="AI65">
        <v>9.25</v>
      </c>
      <c r="AK65" t="s">
        <v>950</v>
      </c>
      <c r="AL65" t="s">
        <v>274</v>
      </c>
      <c r="AT65">
        <v>0</v>
      </c>
      <c r="AU65">
        <v>2</v>
      </c>
      <c r="AV65" t="s">
        <v>273</v>
      </c>
      <c r="AY65" t="s">
        <v>273</v>
      </c>
      <c r="BB65">
        <v>0</v>
      </c>
      <c r="BC65">
        <v>0</v>
      </c>
      <c r="BD65">
        <v>0</v>
      </c>
      <c r="BE65">
        <v>0</v>
      </c>
      <c r="BF65" t="s">
        <v>1063</v>
      </c>
      <c r="BG65" t="s">
        <v>4079</v>
      </c>
      <c r="BH65">
        <v>59</v>
      </c>
      <c r="BI65" t="s">
        <v>1247</v>
      </c>
      <c r="BK65">
        <v>1892061</v>
      </c>
      <c r="BL65" t="s">
        <v>275</v>
      </c>
    </row>
    <row r="66" spans="1:64">
      <c r="A66" s="1">
        <f>HYPERLINK("https://lsnyc.legalserver.org/matter/dynamic-profile/view/1905140","19-1905140")</f>
        <v>0</v>
      </c>
      <c r="B66" t="s">
        <v>3486</v>
      </c>
      <c r="C66" t="s">
        <v>3679</v>
      </c>
      <c r="D66" t="s">
        <v>257</v>
      </c>
      <c r="E66" t="s">
        <v>3685</v>
      </c>
      <c r="F66" t="s">
        <v>273</v>
      </c>
      <c r="G66" t="s">
        <v>275</v>
      </c>
      <c r="H66">
        <v>0</v>
      </c>
      <c r="I66" t="s">
        <v>274</v>
      </c>
      <c r="K66" t="s">
        <v>1003</v>
      </c>
      <c r="O66" t="s">
        <v>275</v>
      </c>
      <c r="P66" t="s">
        <v>492</v>
      </c>
      <c r="Q66" t="s">
        <v>501</v>
      </c>
      <c r="S66" t="s">
        <v>503</v>
      </c>
      <c r="T66" t="s">
        <v>507</v>
      </c>
      <c r="U66" t="s">
        <v>511</v>
      </c>
      <c r="V66">
        <v>10453</v>
      </c>
      <c r="W66" t="s">
        <v>518</v>
      </c>
      <c r="X66" t="s">
        <v>3757</v>
      </c>
      <c r="Y66" t="s">
        <v>275</v>
      </c>
      <c r="Z66" t="s">
        <v>3762</v>
      </c>
      <c r="AA66" t="s">
        <v>3904</v>
      </c>
      <c r="AB66" t="s">
        <v>902</v>
      </c>
      <c r="AC66" t="s">
        <v>905</v>
      </c>
      <c r="AF66" t="s">
        <v>926</v>
      </c>
      <c r="AI66">
        <v>0.75</v>
      </c>
      <c r="AK66" t="s">
        <v>4057</v>
      </c>
      <c r="AL66" t="s">
        <v>274</v>
      </c>
      <c r="AT66">
        <v>0</v>
      </c>
      <c r="AU66">
        <v>2</v>
      </c>
      <c r="AV66" t="s">
        <v>273</v>
      </c>
      <c r="AY66" t="s">
        <v>273</v>
      </c>
      <c r="BB66">
        <v>0</v>
      </c>
      <c r="BC66">
        <v>0</v>
      </c>
      <c r="BD66">
        <v>0</v>
      </c>
      <c r="BE66">
        <v>0</v>
      </c>
      <c r="BF66" t="s">
        <v>1063</v>
      </c>
      <c r="BG66" t="s">
        <v>4080</v>
      </c>
      <c r="BH66">
        <v>21</v>
      </c>
      <c r="BI66" t="s">
        <v>1247</v>
      </c>
      <c r="BK66">
        <v>1892061</v>
      </c>
      <c r="BL66" t="s">
        <v>275</v>
      </c>
    </row>
    <row r="67" spans="1:64">
      <c r="A67" s="1">
        <f>HYPERLINK("https://lsnyc.legalserver.org/matter/dynamic-profile/view/1904949","19-1904949")</f>
        <v>0</v>
      </c>
      <c r="B67" t="s">
        <v>3541</v>
      </c>
      <c r="C67" t="s">
        <v>3679</v>
      </c>
      <c r="D67" t="s">
        <v>257</v>
      </c>
      <c r="E67" t="s">
        <v>3683</v>
      </c>
      <c r="F67" t="s">
        <v>275</v>
      </c>
      <c r="G67" t="s">
        <v>275</v>
      </c>
      <c r="H67">
        <v>0</v>
      </c>
      <c r="I67" t="s">
        <v>274</v>
      </c>
      <c r="K67" t="s">
        <v>1677</v>
      </c>
      <c r="L67" t="s">
        <v>1671</v>
      </c>
      <c r="M67" t="s">
        <v>473</v>
      </c>
      <c r="N67" t="s">
        <v>464</v>
      </c>
      <c r="O67" t="s">
        <v>275</v>
      </c>
      <c r="P67" t="s">
        <v>493</v>
      </c>
      <c r="Q67" t="s">
        <v>502</v>
      </c>
      <c r="S67" t="s">
        <v>503</v>
      </c>
      <c r="T67" t="s">
        <v>508</v>
      </c>
      <c r="U67" t="s">
        <v>511</v>
      </c>
      <c r="V67">
        <v>10454</v>
      </c>
      <c r="W67" t="s">
        <v>520</v>
      </c>
      <c r="X67" t="s">
        <v>548</v>
      </c>
      <c r="Y67" t="s">
        <v>275</v>
      </c>
      <c r="Z67" t="s">
        <v>3805</v>
      </c>
      <c r="AA67" t="s">
        <v>3947</v>
      </c>
      <c r="AB67" t="s">
        <v>902</v>
      </c>
      <c r="AC67" t="s">
        <v>905</v>
      </c>
      <c r="AD67" t="s">
        <v>274</v>
      </c>
      <c r="AE67" t="s">
        <v>919</v>
      </c>
      <c r="AF67" t="s">
        <v>923</v>
      </c>
      <c r="AI67">
        <v>4.35</v>
      </c>
      <c r="AK67" t="s">
        <v>934</v>
      </c>
      <c r="AL67" t="s">
        <v>274</v>
      </c>
      <c r="AM67" t="s">
        <v>973</v>
      </c>
      <c r="AN67" t="s">
        <v>464</v>
      </c>
      <c r="AO67" t="s">
        <v>978</v>
      </c>
      <c r="AP67" t="s">
        <v>467</v>
      </c>
      <c r="AQ67" t="s">
        <v>1036</v>
      </c>
      <c r="AR67" t="s">
        <v>1051</v>
      </c>
      <c r="AT67">
        <v>0</v>
      </c>
      <c r="AU67">
        <v>2</v>
      </c>
      <c r="AV67" t="s">
        <v>273</v>
      </c>
      <c r="AY67" t="s">
        <v>273</v>
      </c>
      <c r="BB67">
        <v>0</v>
      </c>
      <c r="BC67">
        <v>0</v>
      </c>
      <c r="BD67">
        <v>0</v>
      </c>
      <c r="BE67">
        <v>0</v>
      </c>
      <c r="BF67" t="s">
        <v>493</v>
      </c>
      <c r="BG67" t="s">
        <v>4132</v>
      </c>
      <c r="BH67">
        <v>19</v>
      </c>
      <c r="BI67" t="s">
        <v>1247</v>
      </c>
      <c r="BK67">
        <v>1858149</v>
      </c>
      <c r="BL67" t="s">
        <v>274</v>
      </c>
    </row>
    <row r="68" spans="1:64">
      <c r="A68" s="1">
        <f>HYPERLINK("https://lsnyc.legalserver.org/matter/dynamic-profile/view/1904922","19-1904922")</f>
        <v>0</v>
      </c>
      <c r="B68" t="s">
        <v>3505</v>
      </c>
      <c r="C68" t="s">
        <v>3679</v>
      </c>
      <c r="D68" t="s">
        <v>257</v>
      </c>
      <c r="E68" t="s">
        <v>3685</v>
      </c>
      <c r="F68" t="s">
        <v>273</v>
      </c>
      <c r="G68" t="s">
        <v>275</v>
      </c>
      <c r="H68">
        <v>0</v>
      </c>
      <c r="I68" t="s">
        <v>274</v>
      </c>
      <c r="K68" t="s">
        <v>1677</v>
      </c>
      <c r="O68" t="s">
        <v>275</v>
      </c>
      <c r="P68" t="s">
        <v>492</v>
      </c>
      <c r="Q68" t="s">
        <v>502</v>
      </c>
      <c r="S68" t="s">
        <v>503</v>
      </c>
      <c r="T68" t="s">
        <v>508</v>
      </c>
      <c r="U68" t="s">
        <v>511</v>
      </c>
      <c r="V68">
        <v>10456</v>
      </c>
      <c r="W68" t="s">
        <v>518</v>
      </c>
      <c r="X68" t="s">
        <v>548</v>
      </c>
      <c r="Y68" t="s">
        <v>275</v>
      </c>
      <c r="Z68" t="s">
        <v>3777</v>
      </c>
      <c r="AA68" t="s">
        <v>3919</v>
      </c>
      <c r="AB68" t="s">
        <v>902</v>
      </c>
      <c r="AC68" t="s">
        <v>908</v>
      </c>
      <c r="AF68" t="s">
        <v>926</v>
      </c>
      <c r="AI68">
        <v>1</v>
      </c>
      <c r="AK68" t="s">
        <v>934</v>
      </c>
      <c r="AL68" t="s">
        <v>274</v>
      </c>
      <c r="AT68">
        <v>2</v>
      </c>
      <c r="AU68">
        <v>1</v>
      </c>
      <c r="AV68" t="s">
        <v>273</v>
      </c>
      <c r="AY68" t="s">
        <v>273</v>
      </c>
      <c r="BB68">
        <v>0</v>
      </c>
      <c r="BC68">
        <v>0</v>
      </c>
      <c r="BD68">
        <v>0</v>
      </c>
      <c r="BE68">
        <v>0</v>
      </c>
      <c r="BF68" t="s">
        <v>1063</v>
      </c>
      <c r="BG68" t="s">
        <v>4099</v>
      </c>
      <c r="BH68">
        <v>11</v>
      </c>
      <c r="BI68" t="s">
        <v>1247</v>
      </c>
      <c r="BK68">
        <v>1886141</v>
      </c>
      <c r="BL68" t="s">
        <v>274</v>
      </c>
    </row>
    <row r="69" spans="1:64">
      <c r="A69" s="1">
        <f>HYPERLINK("https://lsnyc.legalserver.org/matter/dynamic-profile/view/1904924","19-1904924")</f>
        <v>0</v>
      </c>
      <c r="B69" t="s">
        <v>3506</v>
      </c>
      <c r="C69" t="s">
        <v>3679</v>
      </c>
      <c r="D69" t="s">
        <v>257</v>
      </c>
      <c r="E69" t="s">
        <v>3685</v>
      </c>
      <c r="F69" t="s">
        <v>273</v>
      </c>
      <c r="G69" t="s">
        <v>275</v>
      </c>
      <c r="H69">
        <v>0</v>
      </c>
      <c r="I69" t="s">
        <v>274</v>
      </c>
      <c r="K69" t="s">
        <v>1677</v>
      </c>
      <c r="O69" t="s">
        <v>275</v>
      </c>
      <c r="P69" t="s">
        <v>492</v>
      </c>
      <c r="Q69" t="s">
        <v>502</v>
      </c>
      <c r="S69" t="s">
        <v>503</v>
      </c>
      <c r="T69" t="s">
        <v>507</v>
      </c>
      <c r="U69" t="s">
        <v>511</v>
      </c>
      <c r="V69">
        <v>10456</v>
      </c>
      <c r="W69" t="s">
        <v>518</v>
      </c>
      <c r="X69" t="s">
        <v>548</v>
      </c>
      <c r="Y69" t="s">
        <v>275</v>
      </c>
      <c r="Z69" t="s">
        <v>3778</v>
      </c>
      <c r="AA69" t="s">
        <v>3919</v>
      </c>
      <c r="AB69" t="s">
        <v>902</v>
      </c>
      <c r="AC69" t="s">
        <v>908</v>
      </c>
      <c r="AF69" t="s">
        <v>926</v>
      </c>
      <c r="AI69">
        <v>1</v>
      </c>
      <c r="AK69" t="s">
        <v>934</v>
      </c>
      <c r="AL69" t="s">
        <v>274</v>
      </c>
      <c r="AT69">
        <v>2</v>
      </c>
      <c r="AU69">
        <v>1</v>
      </c>
      <c r="AV69" t="s">
        <v>273</v>
      </c>
      <c r="AY69" t="s">
        <v>273</v>
      </c>
      <c r="BB69">
        <v>0</v>
      </c>
      <c r="BC69">
        <v>0</v>
      </c>
      <c r="BD69">
        <v>0</v>
      </c>
      <c r="BE69">
        <v>0</v>
      </c>
      <c r="BF69" t="s">
        <v>1063</v>
      </c>
      <c r="BG69" t="s">
        <v>4100</v>
      </c>
      <c r="BH69">
        <v>16</v>
      </c>
      <c r="BI69" t="s">
        <v>1247</v>
      </c>
      <c r="BK69">
        <v>1886141</v>
      </c>
      <c r="BL69" t="s">
        <v>274</v>
      </c>
    </row>
    <row r="70" spans="1:64">
      <c r="A70" s="1">
        <f>HYPERLINK("https://lsnyc.legalserver.org/matter/dynamic-profile/view/1904253","19-1904253")</f>
        <v>0</v>
      </c>
      <c r="B70" t="s">
        <v>3542</v>
      </c>
      <c r="C70" t="s">
        <v>3679</v>
      </c>
      <c r="D70" t="s">
        <v>257</v>
      </c>
      <c r="E70" t="s">
        <v>3683</v>
      </c>
      <c r="F70" t="s">
        <v>275</v>
      </c>
      <c r="G70" t="s">
        <v>275</v>
      </c>
      <c r="H70">
        <v>0</v>
      </c>
      <c r="I70" t="s">
        <v>274</v>
      </c>
      <c r="K70" t="s">
        <v>485</v>
      </c>
      <c r="L70" t="s">
        <v>285</v>
      </c>
      <c r="M70" t="s">
        <v>473</v>
      </c>
      <c r="N70" t="s">
        <v>1003</v>
      </c>
      <c r="O70" t="s">
        <v>275</v>
      </c>
      <c r="P70" t="s">
        <v>493</v>
      </c>
      <c r="Q70" t="s">
        <v>501</v>
      </c>
      <c r="S70" t="s">
        <v>503</v>
      </c>
      <c r="T70" t="s">
        <v>508</v>
      </c>
      <c r="U70" t="s">
        <v>511</v>
      </c>
      <c r="V70">
        <v>10462</v>
      </c>
      <c r="W70" t="s">
        <v>520</v>
      </c>
      <c r="X70" t="s">
        <v>558</v>
      </c>
      <c r="Y70" t="s">
        <v>275</v>
      </c>
      <c r="Z70" t="s">
        <v>3806</v>
      </c>
      <c r="AA70" t="s">
        <v>3846</v>
      </c>
      <c r="AB70" t="s">
        <v>902</v>
      </c>
      <c r="AC70" t="s">
        <v>910</v>
      </c>
      <c r="AD70" t="s">
        <v>274</v>
      </c>
      <c r="AE70" t="s">
        <v>919</v>
      </c>
      <c r="AF70" t="s">
        <v>923</v>
      </c>
      <c r="AI70">
        <v>2.15</v>
      </c>
      <c r="AJ70" t="s">
        <v>558</v>
      </c>
      <c r="AK70" t="s">
        <v>962</v>
      </c>
      <c r="AL70" t="s">
        <v>274</v>
      </c>
      <c r="AM70" t="s">
        <v>976</v>
      </c>
      <c r="AN70" t="s">
        <v>1695</v>
      </c>
      <c r="AQ70" t="s">
        <v>1038</v>
      </c>
      <c r="AR70" t="s">
        <v>1051</v>
      </c>
      <c r="AT70">
        <v>5</v>
      </c>
      <c r="AU70">
        <v>2</v>
      </c>
      <c r="AV70" t="s">
        <v>273</v>
      </c>
      <c r="AY70" t="s">
        <v>273</v>
      </c>
      <c r="BB70">
        <v>0</v>
      </c>
      <c r="BC70">
        <v>0</v>
      </c>
      <c r="BD70">
        <v>0</v>
      </c>
      <c r="BE70">
        <v>0</v>
      </c>
      <c r="BF70" t="s">
        <v>493</v>
      </c>
      <c r="BG70" t="s">
        <v>4133</v>
      </c>
      <c r="BH70">
        <v>42</v>
      </c>
      <c r="BI70" t="s">
        <v>1247</v>
      </c>
      <c r="BK70">
        <v>796397</v>
      </c>
    </row>
    <row r="71" spans="1:64">
      <c r="A71" s="1">
        <f>HYPERLINK("https://lsnyc.legalserver.org/matter/dynamic-profile/view/1904172","19-1904172")</f>
        <v>0</v>
      </c>
      <c r="B71" t="s">
        <v>3543</v>
      </c>
      <c r="C71" t="s">
        <v>3679</v>
      </c>
      <c r="D71" t="s">
        <v>257</v>
      </c>
      <c r="E71" t="s">
        <v>3685</v>
      </c>
      <c r="F71" t="s">
        <v>273</v>
      </c>
      <c r="G71" t="s">
        <v>275</v>
      </c>
      <c r="H71">
        <v>14.19</v>
      </c>
      <c r="I71" t="s">
        <v>274</v>
      </c>
      <c r="K71" t="s">
        <v>302</v>
      </c>
      <c r="P71" t="s">
        <v>492</v>
      </c>
      <c r="Q71" t="s">
        <v>501</v>
      </c>
      <c r="S71" t="s">
        <v>503</v>
      </c>
      <c r="T71" t="s">
        <v>508</v>
      </c>
      <c r="U71" t="s">
        <v>511</v>
      </c>
      <c r="V71">
        <v>10460</v>
      </c>
      <c r="W71" t="s">
        <v>520</v>
      </c>
      <c r="X71" t="s">
        <v>548</v>
      </c>
      <c r="Y71" t="s">
        <v>275</v>
      </c>
      <c r="Z71" t="s">
        <v>3807</v>
      </c>
      <c r="AA71" t="s">
        <v>3948</v>
      </c>
      <c r="AB71" t="s">
        <v>902</v>
      </c>
      <c r="AC71" t="s">
        <v>905</v>
      </c>
      <c r="AF71" t="s">
        <v>923</v>
      </c>
      <c r="AI71">
        <v>13.75</v>
      </c>
      <c r="AK71" t="s">
        <v>934</v>
      </c>
      <c r="AL71" t="s">
        <v>274</v>
      </c>
      <c r="AT71">
        <v>1</v>
      </c>
      <c r="AU71">
        <v>1</v>
      </c>
      <c r="AV71" t="s">
        <v>273</v>
      </c>
      <c r="AY71" t="s">
        <v>273</v>
      </c>
      <c r="BB71">
        <v>0</v>
      </c>
      <c r="BC71">
        <v>0</v>
      </c>
      <c r="BD71">
        <v>0</v>
      </c>
      <c r="BE71">
        <v>0</v>
      </c>
      <c r="BF71" t="s">
        <v>1063</v>
      </c>
      <c r="BG71" t="s">
        <v>4134</v>
      </c>
      <c r="BH71">
        <v>32</v>
      </c>
      <c r="BI71" t="s">
        <v>1291</v>
      </c>
      <c r="BK71">
        <v>1878945</v>
      </c>
      <c r="BL71" t="s">
        <v>274</v>
      </c>
    </row>
    <row r="72" spans="1:64">
      <c r="A72" s="1">
        <f>HYPERLINK("https://lsnyc.legalserver.org/matter/dynamic-profile/view/1903762","19-1903762")</f>
        <v>0</v>
      </c>
      <c r="B72" t="s">
        <v>3544</v>
      </c>
      <c r="C72" t="s">
        <v>3679</v>
      </c>
      <c r="D72" t="s">
        <v>257</v>
      </c>
      <c r="E72" t="s">
        <v>3685</v>
      </c>
      <c r="F72" t="s">
        <v>273</v>
      </c>
      <c r="G72" t="s">
        <v>275</v>
      </c>
      <c r="H72">
        <v>92.25</v>
      </c>
      <c r="I72" t="s">
        <v>274</v>
      </c>
      <c r="K72" t="s">
        <v>1680</v>
      </c>
      <c r="O72" t="s">
        <v>275</v>
      </c>
      <c r="P72" t="s">
        <v>492</v>
      </c>
      <c r="Q72" t="s">
        <v>502</v>
      </c>
      <c r="S72" t="s">
        <v>506</v>
      </c>
      <c r="T72" t="s">
        <v>507</v>
      </c>
      <c r="U72" t="s">
        <v>1820</v>
      </c>
      <c r="V72">
        <v>10456</v>
      </c>
      <c r="W72" t="s">
        <v>1826</v>
      </c>
      <c r="X72" t="s">
        <v>548</v>
      </c>
      <c r="Y72" t="s">
        <v>275</v>
      </c>
      <c r="Z72" t="s">
        <v>613</v>
      </c>
      <c r="AA72" t="s">
        <v>3949</v>
      </c>
      <c r="AB72" t="s">
        <v>902</v>
      </c>
      <c r="AC72" t="s">
        <v>906</v>
      </c>
      <c r="AF72" t="s">
        <v>924</v>
      </c>
      <c r="AI72">
        <v>1.75</v>
      </c>
      <c r="AK72" t="s">
        <v>941</v>
      </c>
      <c r="AL72" t="s">
        <v>274</v>
      </c>
      <c r="AT72">
        <v>1</v>
      </c>
      <c r="AU72">
        <v>1</v>
      </c>
      <c r="AV72" t="s">
        <v>273</v>
      </c>
      <c r="AY72" t="s">
        <v>273</v>
      </c>
      <c r="BB72">
        <v>0</v>
      </c>
      <c r="BC72">
        <v>0</v>
      </c>
      <c r="BD72">
        <v>0</v>
      </c>
      <c r="BE72">
        <v>0</v>
      </c>
      <c r="BF72" t="s">
        <v>1063</v>
      </c>
      <c r="BG72" t="s">
        <v>4135</v>
      </c>
      <c r="BH72">
        <v>16</v>
      </c>
      <c r="BI72" t="s">
        <v>1270</v>
      </c>
      <c r="BK72">
        <v>1890678</v>
      </c>
      <c r="BL72" t="s">
        <v>275</v>
      </c>
    </row>
    <row r="73" spans="1:64">
      <c r="A73" s="1">
        <f>HYPERLINK("https://lsnyc.legalserver.org/matter/dynamic-profile/view/1901580","19-1901580")</f>
        <v>0</v>
      </c>
      <c r="B73" t="s">
        <v>3545</v>
      </c>
      <c r="C73" t="s">
        <v>3679</v>
      </c>
      <c r="D73" t="s">
        <v>257</v>
      </c>
      <c r="E73" t="s">
        <v>3684</v>
      </c>
      <c r="F73" t="s">
        <v>273</v>
      </c>
      <c r="G73" t="s">
        <v>275</v>
      </c>
      <c r="H73">
        <v>0</v>
      </c>
      <c r="I73" t="s">
        <v>274</v>
      </c>
      <c r="K73" t="s">
        <v>2388</v>
      </c>
      <c r="O73" t="s">
        <v>275</v>
      </c>
      <c r="P73" t="s">
        <v>495</v>
      </c>
      <c r="Q73" t="s">
        <v>502</v>
      </c>
      <c r="S73" t="s">
        <v>503</v>
      </c>
      <c r="T73" t="s">
        <v>507</v>
      </c>
      <c r="U73" t="s">
        <v>511</v>
      </c>
      <c r="V73">
        <v>10457</v>
      </c>
      <c r="W73" t="s">
        <v>520</v>
      </c>
      <c r="X73" t="s">
        <v>548</v>
      </c>
      <c r="Z73" t="s">
        <v>3808</v>
      </c>
      <c r="AA73" t="s">
        <v>3950</v>
      </c>
      <c r="AB73" t="s">
        <v>902</v>
      </c>
      <c r="AC73" t="s">
        <v>908</v>
      </c>
      <c r="AF73" t="s">
        <v>923</v>
      </c>
      <c r="AI73">
        <v>2.9</v>
      </c>
      <c r="AJ73" t="s">
        <v>558</v>
      </c>
      <c r="AK73" t="s">
        <v>934</v>
      </c>
      <c r="AL73" t="s">
        <v>274</v>
      </c>
      <c r="AM73" t="s">
        <v>973</v>
      </c>
      <c r="AN73" t="s">
        <v>3274</v>
      </c>
      <c r="AT73">
        <v>2</v>
      </c>
      <c r="AU73">
        <v>1</v>
      </c>
      <c r="AV73" t="s">
        <v>273</v>
      </c>
      <c r="AY73" t="s">
        <v>273</v>
      </c>
      <c r="BB73">
        <v>0</v>
      </c>
      <c r="BC73">
        <v>0</v>
      </c>
      <c r="BD73">
        <v>0</v>
      </c>
      <c r="BE73">
        <v>0</v>
      </c>
      <c r="BF73" t="s">
        <v>1063</v>
      </c>
      <c r="BG73" t="s">
        <v>4136</v>
      </c>
      <c r="BH73">
        <v>7</v>
      </c>
      <c r="BI73" t="s">
        <v>1247</v>
      </c>
      <c r="BK73">
        <v>1863646</v>
      </c>
    </row>
    <row r="74" spans="1:64">
      <c r="A74" s="1">
        <f>HYPERLINK("https://lsnyc.legalserver.org/matter/dynamic-profile/view/1901591","19-1901591")</f>
        <v>0</v>
      </c>
      <c r="B74" t="s">
        <v>3546</v>
      </c>
      <c r="C74" t="s">
        <v>3679</v>
      </c>
      <c r="D74" t="s">
        <v>257</v>
      </c>
      <c r="E74" t="s">
        <v>3684</v>
      </c>
      <c r="F74" t="s">
        <v>273</v>
      </c>
      <c r="G74" t="s">
        <v>275</v>
      </c>
      <c r="H74">
        <v>0</v>
      </c>
      <c r="I74" t="s">
        <v>275</v>
      </c>
      <c r="K74" t="s">
        <v>2388</v>
      </c>
      <c r="M74" t="s">
        <v>473</v>
      </c>
      <c r="N74" t="s">
        <v>992</v>
      </c>
      <c r="O74" t="s">
        <v>275</v>
      </c>
      <c r="P74" t="s">
        <v>492</v>
      </c>
      <c r="Q74" t="s">
        <v>502</v>
      </c>
      <c r="S74" t="s">
        <v>503</v>
      </c>
      <c r="T74" t="s">
        <v>508</v>
      </c>
      <c r="U74" t="s">
        <v>511</v>
      </c>
      <c r="V74">
        <v>10455</v>
      </c>
      <c r="W74" t="s">
        <v>518</v>
      </c>
      <c r="X74" t="s">
        <v>548</v>
      </c>
      <c r="Y74" t="s">
        <v>275</v>
      </c>
      <c r="Z74" t="s">
        <v>3809</v>
      </c>
      <c r="AA74" t="s">
        <v>3951</v>
      </c>
      <c r="AB74" t="s">
        <v>902</v>
      </c>
      <c r="AC74" t="s">
        <v>905</v>
      </c>
      <c r="AF74" t="s">
        <v>926</v>
      </c>
      <c r="AI74">
        <v>4.7</v>
      </c>
      <c r="AK74" t="s">
        <v>934</v>
      </c>
      <c r="AL74" t="s">
        <v>275</v>
      </c>
      <c r="AT74">
        <v>4</v>
      </c>
      <c r="AU74">
        <v>3</v>
      </c>
      <c r="AV74" t="s">
        <v>273</v>
      </c>
      <c r="AY74" t="s">
        <v>273</v>
      </c>
      <c r="BB74">
        <v>0</v>
      </c>
      <c r="BC74">
        <v>0</v>
      </c>
      <c r="BD74">
        <v>0</v>
      </c>
      <c r="BE74">
        <v>0</v>
      </c>
      <c r="BF74" t="s">
        <v>1063</v>
      </c>
      <c r="BG74" t="s">
        <v>4137</v>
      </c>
      <c r="BH74">
        <v>18</v>
      </c>
      <c r="BI74" t="s">
        <v>1247</v>
      </c>
      <c r="BK74">
        <v>1865117</v>
      </c>
      <c r="BL74" t="s">
        <v>274</v>
      </c>
    </row>
    <row r="75" spans="1:64">
      <c r="A75" s="1">
        <f>HYPERLINK("https://lsnyc.legalserver.org/matter/dynamic-profile/view/1901602","19-1901602")</f>
        <v>0</v>
      </c>
      <c r="B75" t="s">
        <v>3523</v>
      </c>
      <c r="C75" t="s">
        <v>3679</v>
      </c>
      <c r="D75" t="s">
        <v>257</v>
      </c>
      <c r="E75" t="s">
        <v>3684</v>
      </c>
      <c r="F75" t="s">
        <v>273</v>
      </c>
      <c r="G75" t="s">
        <v>275</v>
      </c>
      <c r="H75">
        <v>0</v>
      </c>
      <c r="I75" t="s">
        <v>274</v>
      </c>
      <c r="K75" t="s">
        <v>2388</v>
      </c>
      <c r="M75" t="s">
        <v>473</v>
      </c>
      <c r="N75" t="s">
        <v>297</v>
      </c>
      <c r="O75" t="s">
        <v>275</v>
      </c>
      <c r="P75" t="s">
        <v>492</v>
      </c>
      <c r="Q75" t="s">
        <v>501</v>
      </c>
      <c r="S75" t="s">
        <v>503</v>
      </c>
      <c r="T75" t="s">
        <v>507</v>
      </c>
      <c r="U75" t="s">
        <v>511</v>
      </c>
      <c r="V75">
        <v>10456</v>
      </c>
      <c r="W75" t="s">
        <v>518</v>
      </c>
      <c r="X75" t="s">
        <v>548</v>
      </c>
      <c r="Z75" t="s">
        <v>564</v>
      </c>
      <c r="AA75" t="s">
        <v>3931</v>
      </c>
      <c r="AB75" t="s">
        <v>902</v>
      </c>
      <c r="AC75" t="s">
        <v>905</v>
      </c>
      <c r="AF75" t="s">
        <v>926</v>
      </c>
      <c r="AI75">
        <v>2.1</v>
      </c>
      <c r="AK75" t="s">
        <v>934</v>
      </c>
      <c r="AL75" t="s">
        <v>274</v>
      </c>
      <c r="AM75" t="s">
        <v>974</v>
      </c>
      <c r="AN75" t="s">
        <v>297</v>
      </c>
      <c r="AT75">
        <v>0</v>
      </c>
      <c r="AU75">
        <v>1</v>
      </c>
      <c r="AV75" t="s">
        <v>273</v>
      </c>
      <c r="AY75" t="s">
        <v>273</v>
      </c>
      <c r="BB75">
        <v>0</v>
      </c>
      <c r="BC75">
        <v>0</v>
      </c>
      <c r="BD75">
        <v>0</v>
      </c>
      <c r="BE75">
        <v>0</v>
      </c>
      <c r="BF75" t="s">
        <v>1063</v>
      </c>
      <c r="BG75" t="s">
        <v>4116</v>
      </c>
      <c r="BH75">
        <v>25</v>
      </c>
      <c r="BI75" t="s">
        <v>1247</v>
      </c>
      <c r="BK75">
        <v>1867798</v>
      </c>
    </row>
    <row r="76" spans="1:64">
      <c r="A76" s="1">
        <f>HYPERLINK("https://lsnyc.legalserver.org/matter/dynamic-profile/view/1901698","19-1901698")</f>
        <v>0</v>
      </c>
      <c r="B76" t="s">
        <v>3547</v>
      </c>
      <c r="C76" t="s">
        <v>3679</v>
      </c>
      <c r="D76" t="s">
        <v>257</v>
      </c>
      <c r="E76" t="s">
        <v>3689</v>
      </c>
      <c r="F76" t="s">
        <v>274</v>
      </c>
      <c r="G76" t="s">
        <v>274</v>
      </c>
      <c r="H76">
        <v>141.36</v>
      </c>
      <c r="I76" t="s">
        <v>274</v>
      </c>
      <c r="K76" t="s">
        <v>2388</v>
      </c>
      <c r="Q76" t="s">
        <v>501</v>
      </c>
      <c r="S76" t="s">
        <v>503</v>
      </c>
      <c r="T76" t="s">
        <v>508</v>
      </c>
      <c r="U76" t="s">
        <v>511</v>
      </c>
      <c r="V76">
        <v>10458</v>
      </c>
      <c r="X76" t="s">
        <v>548</v>
      </c>
      <c r="Z76" t="s">
        <v>696</v>
      </c>
      <c r="AA76" t="s">
        <v>2250</v>
      </c>
      <c r="AB76" t="s">
        <v>902</v>
      </c>
      <c r="AC76" t="s">
        <v>905</v>
      </c>
      <c r="AF76" t="s">
        <v>925</v>
      </c>
      <c r="AI76">
        <v>16.3</v>
      </c>
      <c r="AJ76" t="s">
        <v>558</v>
      </c>
      <c r="AL76" t="s">
        <v>274</v>
      </c>
      <c r="AT76">
        <v>2</v>
      </c>
      <c r="AU76">
        <v>2</v>
      </c>
      <c r="AV76" t="s">
        <v>273</v>
      </c>
      <c r="AY76" t="s">
        <v>273</v>
      </c>
      <c r="BB76">
        <v>0</v>
      </c>
      <c r="BC76">
        <v>0</v>
      </c>
      <c r="BD76">
        <v>0</v>
      </c>
      <c r="BE76">
        <v>0</v>
      </c>
      <c r="BF76" t="s">
        <v>1063</v>
      </c>
      <c r="BG76" t="s">
        <v>4138</v>
      </c>
      <c r="BH76">
        <v>26</v>
      </c>
      <c r="BI76" t="s">
        <v>1317</v>
      </c>
      <c r="BK76">
        <v>1902351</v>
      </c>
    </row>
    <row r="77" spans="1:64">
      <c r="A77" s="1">
        <f>HYPERLINK("https://lsnyc.legalserver.org/matter/dynamic-profile/view/1901567","19-1901567")</f>
        <v>0</v>
      </c>
      <c r="B77" t="s">
        <v>3548</v>
      </c>
      <c r="C77" t="s">
        <v>3679</v>
      </c>
      <c r="D77" t="s">
        <v>257</v>
      </c>
      <c r="E77" t="s">
        <v>3684</v>
      </c>
      <c r="F77" t="s">
        <v>273</v>
      </c>
      <c r="G77" t="s">
        <v>275</v>
      </c>
      <c r="H77">
        <v>0</v>
      </c>
      <c r="I77" t="s">
        <v>274</v>
      </c>
      <c r="K77" t="s">
        <v>3271</v>
      </c>
      <c r="M77" t="s">
        <v>475</v>
      </c>
      <c r="N77" t="s">
        <v>445</v>
      </c>
      <c r="O77" t="s">
        <v>275</v>
      </c>
      <c r="P77" t="s">
        <v>492</v>
      </c>
      <c r="Q77" t="s">
        <v>502</v>
      </c>
      <c r="S77" t="s">
        <v>503</v>
      </c>
      <c r="T77" t="s">
        <v>507</v>
      </c>
      <c r="U77" t="s">
        <v>511</v>
      </c>
      <c r="V77">
        <v>10457</v>
      </c>
      <c r="W77" t="s">
        <v>520</v>
      </c>
      <c r="X77" t="s">
        <v>548</v>
      </c>
      <c r="Y77" t="s">
        <v>275</v>
      </c>
      <c r="Z77" t="s">
        <v>680</v>
      </c>
      <c r="AA77" t="s">
        <v>3952</v>
      </c>
      <c r="AB77" t="s">
        <v>902</v>
      </c>
      <c r="AC77" t="s">
        <v>908</v>
      </c>
      <c r="AF77" t="s">
        <v>923</v>
      </c>
      <c r="AI77">
        <v>5.1</v>
      </c>
      <c r="AK77" t="s">
        <v>934</v>
      </c>
      <c r="AL77" t="s">
        <v>274</v>
      </c>
      <c r="AM77" t="s">
        <v>980</v>
      </c>
      <c r="AN77" t="s">
        <v>451</v>
      </c>
      <c r="AT77">
        <v>2</v>
      </c>
      <c r="AU77">
        <v>1</v>
      </c>
      <c r="AV77" t="s">
        <v>273</v>
      </c>
      <c r="AY77" t="s">
        <v>273</v>
      </c>
      <c r="BB77">
        <v>0</v>
      </c>
      <c r="BC77">
        <v>0</v>
      </c>
      <c r="BD77">
        <v>0</v>
      </c>
      <c r="BE77">
        <v>0</v>
      </c>
      <c r="BF77" t="s">
        <v>1063</v>
      </c>
      <c r="BG77" t="s">
        <v>4139</v>
      </c>
      <c r="BH77">
        <v>12</v>
      </c>
      <c r="BI77" t="s">
        <v>1247</v>
      </c>
      <c r="BK77">
        <v>1863646</v>
      </c>
      <c r="BL77" t="s">
        <v>274</v>
      </c>
    </row>
    <row r="78" spans="1:64">
      <c r="A78" s="1">
        <f>HYPERLINK("https://lsnyc.legalserver.org/matter/dynamic-profile/view/1901347","19-1901347")</f>
        <v>0</v>
      </c>
      <c r="B78" t="s">
        <v>3549</v>
      </c>
      <c r="C78" t="s">
        <v>3679</v>
      </c>
      <c r="D78" t="s">
        <v>257</v>
      </c>
      <c r="E78" t="s">
        <v>3684</v>
      </c>
      <c r="F78" t="s">
        <v>273</v>
      </c>
      <c r="G78" t="s">
        <v>275</v>
      </c>
      <c r="H78">
        <v>0</v>
      </c>
      <c r="I78" t="s">
        <v>275</v>
      </c>
      <c r="K78" t="s">
        <v>1686</v>
      </c>
      <c r="O78" t="s">
        <v>275</v>
      </c>
      <c r="P78" t="s">
        <v>495</v>
      </c>
      <c r="Q78" t="s">
        <v>501</v>
      </c>
      <c r="S78" t="s">
        <v>503</v>
      </c>
      <c r="T78" t="s">
        <v>508</v>
      </c>
      <c r="U78" t="s">
        <v>511</v>
      </c>
      <c r="V78">
        <v>10467</v>
      </c>
      <c r="W78" t="s">
        <v>519</v>
      </c>
      <c r="X78" t="s">
        <v>548</v>
      </c>
      <c r="Y78" t="s">
        <v>275</v>
      </c>
      <c r="Z78" t="s">
        <v>1924</v>
      </c>
      <c r="AA78" t="s">
        <v>3953</v>
      </c>
      <c r="AB78" t="s">
        <v>902</v>
      </c>
      <c r="AC78" t="s">
        <v>2357</v>
      </c>
      <c r="AF78" t="s">
        <v>928</v>
      </c>
      <c r="AI78">
        <v>2.75</v>
      </c>
      <c r="AJ78" t="s">
        <v>558</v>
      </c>
      <c r="AK78" t="s">
        <v>945</v>
      </c>
      <c r="AL78" t="s">
        <v>275</v>
      </c>
      <c r="AM78" t="s">
        <v>975</v>
      </c>
      <c r="AN78" t="s">
        <v>309</v>
      </c>
      <c r="AT78">
        <v>0</v>
      </c>
      <c r="AU78">
        <v>1</v>
      </c>
      <c r="AV78" t="s">
        <v>273</v>
      </c>
      <c r="AY78" t="s">
        <v>273</v>
      </c>
      <c r="BB78">
        <v>0</v>
      </c>
      <c r="BC78">
        <v>0</v>
      </c>
      <c r="BD78">
        <v>0</v>
      </c>
      <c r="BE78">
        <v>0</v>
      </c>
      <c r="BF78" t="s">
        <v>1063</v>
      </c>
      <c r="BG78" t="s">
        <v>4140</v>
      </c>
      <c r="BH78">
        <v>23</v>
      </c>
      <c r="BI78" t="s">
        <v>1247</v>
      </c>
      <c r="BK78">
        <v>1902000</v>
      </c>
      <c r="BL78" t="s">
        <v>275</v>
      </c>
    </row>
    <row r="79" spans="1:64">
      <c r="A79" s="1">
        <f>HYPERLINK("https://lsnyc.legalserver.org/matter/dynamic-profile/view/1901070","19-1901070")</f>
        <v>0</v>
      </c>
      <c r="B79" t="s">
        <v>3550</v>
      </c>
      <c r="C79" t="s">
        <v>3679</v>
      </c>
      <c r="D79" t="s">
        <v>257</v>
      </c>
      <c r="E79" t="s">
        <v>3683</v>
      </c>
      <c r="F79" t="s">
        <v>273</v>
      </c>
      <c r="G79" t="s">
        <v>275</v>
      </c>
      <c r="H79">
        <v>47.73</v>
      </c>
      <c r="I79" t="s">
        <v>274</v>
      </c>
      <c r="K79" t="s">
        <v>1687</v>
      </c>
      <c r="M79" t="s">
        <v>471</v>
      </c>
      <c r="N79" t="s">
        <v>1668</v>
      </c>
      <c r="O79" t="s">
        <v>275</v>
      </c>
      <c r="P79" t="s">
        <v>492</v>
      </c>
      <c r="Q79" t="s">
        <v>501</v>
      </c>
      <c r="S79" t="s">
        <v>506</v>
      </c>
      <c r="T79" t="s">
        <v>508</v>
      </c>
      <c r="U79" t="s">
        <v>1821</v>
      </c>
      <c r="V79">
        <v>10454</v>
      </c>
      <c r="W79" t="s">
        <v>1828</v>
      </c>
      <c r="X79" t="s">
        <v>548</v>
      </c>
      <c r="Y79" t="s">
        <v>275</v>
      </c>
      <c r="Z79" t="s">
        <v>3810</v>
      </c>
      <c r="AA79" t="s">
        <v>3954</v>
      </c>
      <c r="AB79" t="s">
        <v>902</v>
      </c>
      <c r="AC79" t="s">
        <v>906</v>
      </c>
      <c r="AF79" t="s">
        <v>924</v>
      </c>
      <c r="AI79">
        <v>46.9</v>
      </c>
      <c r="AJ79" t="s">
        <v>558</v>
      </c>
      <c r="AK79" t="s">
        <v>934</v>
      </c>
      <c r="AL79" t="s">
        <v>274</v>
      </c>
      <c r="AT79">
        <v>3</v>
      </c>
      <c r="AU79">
        <v>2</v>
      </c>
      <c r="AV79" t="s">
        <v>273</v>
      </c>
      <c r="AY79" t="s">
        <v>273</v>
      </c>
      <c r="BB79">
        <v>0</v>
      </c>
      <c r="BC79">
        <v>0</v>
      </c>
      <c r="BD79">
        <v>0</v>
      </c>
      <c r="BE79">
        <v>0</v>
      </c>
      <c r="BF79" t="s">
        <v>1063</v>
      </c>
      <c r="BG79" t="s">
        <v>4141</v>
      </c>
      <c r="BH79">
        <v>37</v>
      </c>
      <c r="BI79" t="s">
        <v>1253</v>
      </c>
      <c r="BK79">
        <v>1857111</v>
      </c>
    </row>
    <row r="80" spans="1:64">
      <c r="A80" s="1">
        <f>HYPERLINK("https://lsnyc.legalserver.org/matter/dynamic-profile/view/1901151","19-1901151")</f>
        <v>0</v>
      </c>
      <c r="B80" t="s">
        <v>3493</v>
      </c>
      <c r="C80" t="s">
        <v>3679</v>
      </c>
      <c r="D80" t="s">
        <v>257</v>
      </c>
      <c r="E80" t="s">
        <v>3685</v>
      </c>
      <c r="F80" t="s">
        <v>273</v>
      </c>
      <c r="G80" t="s">
        <v>275</v>
      </c>
      <c r="H80">
        <v>0</v>
      </c>
      <c r="I80" t="s">
        <v>274</v>
      </c>
      <c r="K80" t="s">
        <v>1687</v>
      </c>
      <c r="O80" t="s">
        <v>275</v>
      </c>
      <c r="P80" t="s">
        <v>492</v>
      </c>
      <c r="Q80" t="s">
        <v>502</v>
      </c>
      <c r="S80" t="s">
        <v>506</v>
      </c>
      <c r="T80" t="s">
        <v>508</v>
      </c>
      <c r="U80" t="s">
        <v>1820</v>
      </c>
      <c r="V80">
        <v>10460</v>
      </c>
      <c r="W80" t="s">
        <v>3753</v>
      </c>
      <c r="X80" t="s">
        <v>549</v>
      </c>
      <c r="Y80" t="s">
        <v>275</v>
      </c>
      <c r="Z80" t="s">
        <v>3767</v>
      </c>
      <c r="AA80" t="s">
        <v>2337</v>
      </c>
      <c r="AB80" t="s">
        <v>902</v>
      </c>
      <c r="AC80" t="s">
        <v>905</v>
      </c>
      <c r="AF80" t="s">
        <v>924</v>
      </c>
      <c r="AI80">
        <v>29</v>
      </c>
      <c r="AK80" t="s">
        <v>969</v>
      </c>
      <c r="AL80" t="s">
        <v>274</v>
      </c>
      <c r="AT80">
        <v>0</v>
      </c>
      <c r="AU80">
        <v>1</v>
      </c>
      <c r="AV80" t="s">
        <v>273</v>
      </c>
      <c r="AY80" t="s">
        <v>273</v>
      </c>
      <c r="BB80">
        <v>0</v>
      </c>
      <c r="BC80">
        <v>0</v>
      </c>
      <c r="BD80">
        <v>0</v>
      </c>
      <c r="BE80">
        <v>0</v>
      </c>
      <c r="BF80" t="s">
        <v>1063</v>
      </c>
      <c r="BG80" t="s">
        <v>4086</v>
      </c>
      <c r="BH80">
        <v>19</v>
      </c>
      <c r="BI80" t="s">
        <v>1247</v>
      </c>
      <c r="BK80">
        <v>1893666</v>
      </c>
    </row>
    <row r="81" spans="1:64">
      <c r="A81" s="1">
        <f>HYPERLINK("https://lsnyc.legalserver.org/matter/dynamic-profile/view/1901053","19-1901053")</f>
        <v>0</v>
      </c>
      <c r="B81" t="s">
        <v>3500</v>
      </c>
      <c r="C81" t="s">
        <v>3679</v>
      </c>
      <c r="D81" t="s">
        <v>257</v>
      </c>
      <c r="E81" t="s">
        <v>3685</v>
      </c>
      <c r="F81" t="s">
        <v>273</v>
      </c>
      <c r="G81" t="s">
        <v>275</v>
      </c>
      <c r="H81">
        <v>0</v>
      </c>
      <c r="I81" t="s">
        <v>274</v>
      </c>
      <c r="K81" t="s">
        <v>984</v>
      </c>
      <c r="M81" t="s">
        <v>473</v>
      </c>
      <c r="O81" t="s">
        <v>275</v>
      </c>
      <c r="P81" t="s">
        <v>492</v>
      </c>
      <c r="Q81" t="s">
        <v>502</v>
      </c>
      <c r="S81" t="s">
        <v>506</v>
      </c>
      <c r="T81" t="s">
        <v>507</v>
      </c>
      <c r="U81" t="s">
        <v>1821</v>
      </c>
      <c r="V81">
        <v>10453</v>
      </c>
      <c r="W81" t="s">
        <v>1828</v>
      </c>
      <c r="X81" t="s">
        <v>548</v>
      </c>
      <c r="Y81" t="s">
        <v>274</v>
      </c>
      <c r="Z81" t="s">
        <v>3773</v>
      </c>
      <c r="AA81" t="s">
        <v>3915</v>
      </c>
      <c r="AB81" t="s">
        <v>902</v>
      </c>
      <c r="AC81" t="s">
        <v>905</v>
      </c>
      <c r="AF81" t="s">
        <v>924</v>
      </c>
      <c r="AI81">
        <v>4.25</v>
      </c>
      <c r="AK81" t="s">
        <v>934</v>
      </c>
      <c r="AL81" t="s">
        <v>274</v>
      </c>
      <c r="AT81">
        <v>2</v>
      </c>
      <c r="AU81">
        <v>1</v>
      </c>
      <c r="AV81" t="s">
        <v>273</v>
      </c>
      <c r="AY81" t="s">
        <v>273</v>
      </c>
      <c r="BB81">
        <v>0</v>
      </c>
      <c r="BC81">
        <v>0</v>
      </c>
      <c r="BD81">
        <v>0</v>
      </c>
      <c r="BE81">
        <v>0</v>
      </c>
      <c r="BF81" t="s">
        <v>1063</v>
      </c>
      <c r="BG81" t="s">
        <v>4094</v>
      </c>
      <c r="BH81">
        <v>11</v>
      </c>
      <c r="BI81" t="s">
        <v>1247</v>
      </c>
      <c r="BK81">
        <v>1861791</v>
      </c>
    </row>
    <row r="82" spans="1:64">
      <c r="A82" s="1">
        <f>HYPERLINK("https://lsnyc.legalserver.org/matter/dynamic-profile/view/1899925","19-1899925")</f>
        <v>0</v>
      </c>
      <c r="B82" t="s">
        <v>3551</v>
      </c>
      <c r="C82" t="s">
        <v>3679</v>
      </c>
      <c r="D82" t="s">
        <v>257</v>
      </c>
      <c r="E82" t="s">
        <v>3683</v>
      </c>
      <c r="F82" t="s">
        <v>275</v>
      </c>
      <c r="G82" t="s">
        <v>275</v>
      </c>
      <c r="H82">
        <v>48.76</v>
      </c>
      <c r="I82" t="s">
        <v>274</v>
      </c>
      <c r="K82" t="s">
        <v>312</v>
      </c>
      <c r="L82" t="s">
        <v>446</v>
      </c>
      <c r="M82" t="s">
        <v>473</v>
      </c>
      <c r="N82" t="s">
        <v>1688</v>
      </c>
      <c r="O82" t="s">
        <v>275</v>
      </c>
      <c r="P82" t="s">
        <v>493</v>
      </c>
      <c r="Q82" t="s">
        <v>501</v>
      </c>
      <c r="S82" t="s">
        <v>503</v>
      </c>
      <c r="T82" t="s">
        <v>508</v>
      </c>
      <c r="U82" t="s">
        <v>511</v>
      </c>
      <c r="V82">
        <v>10459</v>
      </c>
      <c r="W82" t="s">
        <v>520</v>
      </c>
      <c r="X82" t="s">
        <v>549</v>
      </c>
      <c r="Z82" t="s">
        <v>3811</v>
      </c>
      <c r="AA82" t="s">
        <v>3955</v>
      </c>
      <c r="AB82" t="s">
        <v>902</v>
      </c>
      <c r="AC82" t="s">
        <v>904</v>
      </c>
      <c r="AD82" t="s">
        <v>916</v>
      </c>
      <c r="AE82" t="s">
        <v>919</v>
      </c>
      <c r="AF82" t="s">
        <v>923</v>
      </c>
      <c r="AI82">
        <v>2.6</v>
      </c>
      <c r="AK82" t="s">
        <v>967</v>
      </c>
      <c r="AL82" t="s">
        <v>274</v>
      </c>
      <c r="AQ82" t="s">
        <v>1036</v>
      </c>
      <c r="AR82" t="s">
        <v>1051</v>
      </c>
      <c r="AT82">
        <v>2</v>
      </c>
      <c r="AU82">
        <v>1</v>
      </c>
      <c r="AV82" t="s">
        <v>273</v>
      </c>
      <c r="AY82" t="s">
        <v>273</v>
      </c>
      <c r="BB82">
        <v>0</v>
      </c>
      <c r="BC82">
        <v>0</v>
      </c>
      <c r="BD82">
        <v>0</v>
      </c>
      <c r="BE82">
        <v>0</v>
      </c>
      <c r="BF82" t="s">
        <v>493</v>
      </c>
      <c r="BG82" t="s">
        <v>4142</v>
      </c>
      <c r="BH82">
        <v>40</v>
      </c>
      <c r="BI82" t="s">
        <v>1301</v>
      </c>
      <c r="BK82">
        <v>773501</v>
      </c>
    </row>
    <row r="83" spans="1:64">
      <c r="A83" s="1">
        <f>HYPERLINK("https://lsnyc.legalserver.org/matter/dynamic-profile/view/1899888","19-1899888")</f>
        <v>0</v>
      </c>
      <c r="B83" t="s">
        <v>3552</v>
      </c>
      <c r="C83" t="s">
        <v>3679</v>
      </c>
      <c r="D83" t="s">
        <v>257</v>
      </c>
      <c r="E83" t="s">
        <v>3683</v>
      </c>
      <c r="F83" t="s">
        <v>273</v>
      </c>
      <c r="G83" t="s">
        <v>275</v>
      </c>
      <c r="H83">
        <v>30.75</v>
      </c>
      <c r="I83" t="s">
        <v>274</v>
      </c>
      <c r="K83" t="s">
        <v>1689</v>
      </c>
      <c r="M83" t="s">
        <v>471</v>
      </c>
      <c r="N83" t="s">
        <v>1680</v>
      </c>
      <c r="O83" t="s">
        <v>275</v>
      </c>
      <c r="P83" t="s">
        <v>492</v>
      </c>
      <c r="Q83" t="s">
        <v>502</v>
      </c>
      <c r="S83" t="s">
        <v>503</v>
      </c>
      <c r="T83" t="s">
        <v>508</v>
      </c>
      <c r="U83" t="s">
        <v>511</v>
      </c>
      <c r="V83">
        <v>10459</v>
      </c>
      <c r="W83" t="s">
        <v>518</v>
      </c>
      <c r="X83" t="s">
        <v>548</v>
      </c>
      <c r="Y83" t="s">
        <v>275</v>
      </c>
      <c r="Z83" t="s">
        <v>3812</v>
      </c>
      <c r="AA83" t="s">
        <v>3956</v>
      </c>
      <c r="AB83" t="s">
        <v>902</v>
      </c>
      <c r="AC83" t="s">
        <v>908</v>
      </c>
      <c r="AF83" t="s">
        <v>926</v>
      </c>
      <c r="AI83">
        <v>1.45</v>
      </c>
      <c r="AJ83" t="s">
        <v>558</v>
      </c>
      <c r="AK83" t="s">
        <v>934</v>
      </c>
      <c r="AL83" t="s">
        <v>274</v>
      </c>
      <c r="AT83">
        <v>1</v>
      </c>
      <c r="AU83">
        <v>1</v>
      </c>
      <c r="AV83" t="s">
        <v>273</v>
      </c>
      <c r="AY83" t="s">
        <v>273</v>
      </c>
      <c r="BB83">
        <v>0</v>
      </c>
      <c r="BC83">
        <v>0</v>
      </c>
      <c r="BD83">
        <v>0</v>
      </c>
      <c r="BE83">
        <v>0</v>
      </c>
      <c r="BF83" t="s">
        <v>1063</v>
      </c>
      <c r="BG83" t="s">
        <v>4143</v>
      </c>
      <c r="BH83">
        <v>4</v>
      </c>
      <c r="BI83" t="s">
        <v>1258</v>
      </c>
      <c r="BK83">
        <v>1891673</v>
      </c>
    </row>
    <row r="84" spans="1:64">
      <c r="A84" s="1">
        <f>HYPERLINK("https://lsnyc.legalserver.org/matter/dynamic-profile/view/1898949","19-1898949")</f>
        <v>0</v>
      </c>
      <c r="B84" t="s">
        <v>3553</v>
      </c>
      <c r="C84" t="s">
        <v>3679</v>
      </c>
      <c r="D84" t="s">
        <v>257</v>
      </c>
      <c r="E84" t="s">
        <v>3683</v>
      </c>
      <c r="F84" t="s">
        <v>273</v>
      </c>
      <c r="G84" t="s">
        <v>275</v>
      </c>
      <c r="H84">
        <v>141.36</v>
      </c>
      <c r="I84" t="s">
        <v>274</v>
      </c>
      <c r="K84" t="s">
        <v>316</v>
      </c>
      <c r="M84" t="s">
        <v>472</v>
      </c>
      <c r="N84" t="s">
        <v>488</v>
      </c>
      <c r="O84" t="s">
        <v>275</v>
      </c>
      <c r="P84" t="s">
        <v>492</v>
      </c>
      <c r="Q84" t="s">
        <v>501</v>
      </c>
      <c r="S84" t="s">
        <v>503</v>
      </c>
      <c r="T84" t="s">
        <v>507</v>
      </c>
      <c r="U84" t="s">
        <v>511</v>
      </c>
      <c r="V84">
        <v>10454</v>
      </c>
      <c r="W84" t="s">
        <v>518</v>
      </c>
      <c r="X84" t="s">
        <v>548</v>
      </c>
      <c r="Y84" t="s">
        <v>275</v>
      </c>
      <c r="Z84" t="s">
        <v>3813</v>
      </c>
      <c r="AA84" t="s">
        <v>3957</v>
      </c>
      <c r="AB84" t="s">
        <v>902</v>
      </c>
      <c r="AC84" t="s">
        <v>908</v>
      </c>
      <c r="AF84" t="s">
        <v>926</v>
      </c>
      <c r="AI84">
        <v>9.699999999999999</v>
      </c>
      <c r="AJ84" t="s">
        <v>558</v>
      </c>
      <c r="AK84" t="s">
        <v>934</v>
      </c>
      <c r="AL84" t="s">
        <v>274</v>
      </c>
      <c r="AT84">
        <v>2</v>
      </c>
      <c r="AU84">
        <v>2</v>
      </c>
      <c r="AV84" t="s">
        <v>273</v>
      </c>
      <c r="AY84" t="s">
        <v>273</v>
      </c>
      <c r="BB84">
        <v>0</v>
      </c>
      <c r="BC84">
        <v>0</v>
      </c>
      <c r="BD84">
        <v>0</v>
      </c>
      <c r="BE84">
        <v>0</v>
      </c>
      <c r="BF84" t="s">
        <v>1063</v>
      </c>
      <c r="BG84" t="s">
        <v>4144</v>
      </c>
      <c r="BH84">
        <v>8</v>
      </c>
      <c r="BI84" t="s">
        <v>1317</v>
      </c>
      <c r="BK84">
        <v>1857111</v>
      </c>
    </row>
    <row r="85" spans="1:64">
      <c r="A85" s="1">
        <f>HYPERLINK("https://lsnyc.legalserver.org/matter/dynamic-profile/view/1897929","19-1897929")</f>
        <v>0</v>
      </c>
      <c r="B85" t="s">
        <v>3554</v>
      </c>
      <c r="C85" t="s">
        <v>3679</v>
      </c>
      <c r="D85" t="s">
        <v>255</v>
      </c>
      <c r="E85" t="s">
        <v>3683</v>
      </c>
      <c r="F85" t="s">
        <v>273</v>
      </c>
      <c r="G85" t="s">
        <v>275</v>
      </c>
      <c r="H85">
        <v>74.65000000000001</v>
      </c>
      <c r="I85" t="s">
        <v>274</v>
      </c>
      <c r="K85" t="s">
        <v>1690</v>
      </c>
      <c r="O85" t="s">
        <v>275</v>
      </c>
      <c r="P85" t="s">
        <v>492</v>
      </c>
      <c r="Q85" t="s">
        <v>501</v>
      </c>
      <c r="S85" t="s">
        <v>503</v>
      </c>
      <c r="T85" t="s">
        <v>508</v>
      </c>
      <c r="U85" t="s">
        <v>511</v>
      </c>
      <c r="V85">
        <v>10705</v>
      </c>
      <c r="W85" t="s">
        <v>523</v>
      </c>
      <c r="X85" t="s">
        <v>548</v>
      </c>
      <c r="Z85" t="s">
        <v>1864</v>
      </c>
      <c r="AA85" t="s">
        <v>3958</v>
      </c>
      <c r="AB85" t="s">
        <v>903</v>
      </c>
      <c r="AC85" t="s">
        <v>904</v>
      </c>
      <c r="AF85" t="s">
        <v>923</v>
      </c>
      <c r="AI85">
        <v>2.25</v>
      </c>
      <c r="AK85" t="s">
        <v>950</v>
      </c>
      <c r="AL85" t="s">
        <v>274</v>
      </c>
      <c r="AT85">
        <v>0</v>
      </c>
      <c r="AU85">
        <v>1</v>
      </c>
      <c r="AV85" t="s">
        <v>273</v>
      </c>
      <c r="AY85" t="s">
        <v>273</v>
      </c>
      <c r="BB85">
        <v>0</v>
      </c>
      <c r="BC85">
        <v>0</v>
      </c>
      <c r="BD85">
        <v>0</v>
      </c>
      <c r="BE85">
        <v>0</v>
      </c>
      <c r="BF85" t="s">
        <v>1063</v>
      </c>
      <c r="BG85" t="s">
        <v>4145</v>
      </c>
      <c r="BH85">
        <v>55</v>
      </c>
      <c r="BI85" t="s">
        <v>4261</v>
      </c>
      <c r="BK85">
        <v>1859537</v>
      </c>
    </row>
    <row r="86" spans="1:64">
      <c r="A86" s="1">
        <f>HYPERLINK("https://lsnyc.legalserver.org/matter/dynamic-profile/view/1897708","19-1897708")</f>
        <v>0</v>
      </c>
      <c r="B86" t="s">
        <v>3555</v>
      </c>
      <c r="C86" t="s">
        <v>3679</v>
      </c>
      <c r="D86" t="s">
        <v>257</v>
      </c>
      <c r="E86" t="s">
        <v>3683</v>
      </c>
      <c r="F86" t="s">
        <v>273</v>
      </c>
      <c r="G86" t="s">
        <v>275</v>
      </c>
      <c r="H86">
        <v>0</v>
      </c>
      <c r="I86" t="s">
        <v>274</v>
      </c>
      <c r="K86" t="s">
        <v>2392</v>
      </c>
      <c r="M86" t="s">
        <v>473</v>
      </c>
      <c r="N86" t="s">
        <v>1683</v>
      </c>
      <c r="O86" t="s">
        <v>275</v>
      </c>
      <c r="P86" t="s">
        <v>496</v>
      </c>
      <c r="Q86" t="s">
        <v>501</v>
      </c>
      <c r="S86" t="s">
        <v>503</v>
      </c>
      <c r="T86" t="s">
        <v>507</v>
      </c>
      <c r="U86" t="s">
        <v>511</v>
      </c>
      <c r="V86">
        <v>10469</v>
      </c>
      <c r="W86" t="s">
        <v>1831</v>
      </c>
      <c r="X86" t="s">
        <v>549</v>
      </c>
      <c r="Z86" t="s">
        <v>3814</v>
      </c>
      <c r="AA86" t="s">
        <v>3959</v>
      </c>
      <c r="AB86" t="s">
        <v>902</v>
      </c>
      <c r="AC86" t="s">
        <v>904</v>
      </c>
      <c r="AD86" t="s">
        <v>275</v>
      </c>
      <c r="AF86" t="s">
        <v>923</v>
      </c>
      <c r="AI86">
        <v>7.15</v>
      </c>
      <c r="AJ86" t="s">
        <v>558</v>
      </c>
      <c r="AK86" t="s">
        <v>961</v>
      </c>
      <c r="AL86" t="s">
        <v>274</v>
      </c>
      <c r="AM86" t="s">
        <v>973</v>
      </c>
      <c r="AN86" t="s">
        <v>1683</v>
      </c>
      <c r="AT86">
        <v>1</v>
      </c>
      <c r="AU86">
        <v>1</v>
      </c>
      <c r="AV86" t="s">
        <v>273</v>
      </c>
      <c r="AY86" t="s">
        <v>273</v>
      </c>
      <c r="BB86">
        <v>0</v>
      </c>
      <c r="BC86">
        <v>0</v>
      </c>
      <c r="BD86">
        <v>0</v>
      </c>
      <c r="BE86">
        <v>0</v>
      </c>
      <c r="BF86" t="s">
        <v>1063</v>
      </c>
      <c r="BG86" t="s">
        <v>4146</v>
      </c>
      <c r="BH86">
        <v>17</v>
      </c>
      <c r="BI86" t="s">
        <v>1247</v>
      </c>
      <c r="BK86">
        <v>1854503</v>
      </c>
    </row>
    <row r="87" spans="1:64">
      <c r="A87" s="1">
        <f>HYPERLINK("https://lsnyc.legalserver.org/matter/dynamic-profile/view/1897662","19-1897662")</f>
        <v>0</v>
      </c>
      <c r="B87" t="s">
        <v>3554</v>
      </c>
      <c r="C87" t="s">
        <v>3679</v>
      </c>
      <c r="D87" t="s">
        <v>255</v>
      </c>
      <c r="E87" t="s">
        <v>3683</v>
      </c>
      <c r="F87" t="s">
        <v>273</v>
      </c>
      <c r="G87" t="s">
        <v>275</v>
      </c>
      <c r="H87">
        <v>74.65000000000001</v>
      </c>
      <c r="I87" t="s">
        <v>274</v>
      </c>
      <c r="K87" t="s">
        <v>321</v>
      </c>
      <c r="O87" t="s">
        <v>275</v>
      </c>
      <c r="P87" t="s">
        <v>492</v>
      </c>
      <c r="Q87" t="s">
        <v>501</v>
      </c>
      <c r="S87" t="s">
        <v>503</v>
      </c>
      <c r="T87" t="s">
        <v>508</v>
      </c>
      <c r="U87" t="s">
        <v>511</v>
      </c>
      <c r="V87">
        <v>10705</v>
      </c>
      <c r="W87" t="s">
        <v>523</v>
      </c>
      <c r="X87" t="s">
        <v>548</v>
      </c>
      <c r="Z87" t="s">
        <v>1864</v>
      </c>
      <c r="AA87" t="s">
        <v>3958</v>
      </c>
      <c r="AB87" t="s">
        <v>902</v>
      </c>
      <c r="AC87" t="s">
        <v>904</v>
      </c>
      <c r="AF87" t="s">
        <v>923</v>
      </c>
      <c r="AI87">
        <v>2.6</v>
      </c>
      <c r="AK87" t="s">
        <v>950</v>
      </c>
      <c r="AL87" t="s">
        <v>274</v>
      </c>
      <c r="AT87">
        <v>0</v>
      </c>
      <c r="AU87">
        <v>1</v>
      </c>
      <c r="AV87" t="s">
        <v>273</v>
      </c>
      <c r="AY87" t="s">
        <v>273</v>
      </c>
      <c r="BB87">
        <v>0</v>
      </c>
      <c r="BC87">
        <v>0</v>
      </c>
      <c r="BD87">
        <v>0</v>
      </c>
      <c r="BE87">
        <v>0</v>
      </c>
      <c r="BF87" t="s">
        <v>1063</v>
      </c>
      <c r="BG87" t="s">
        <v>4145</v>
      </c>
      <c r="BH87">
        <v>55</v>
      </c>
      <c r="BI87" t="s">
        <v>4261</v>
      </c>
      <c r="BK87">
        <v>1859537</v>
      </c>
    </row>
    <row r="88" spans="1:64">
      <c r="A88" s="1">
        <f>HYPERLINK("https://lsnyc.legalserver.org/matter/dynamic-profile/view/1897374","19-1897374")</f>
        <v>0</v>
      </c>
      <c r="B88" t="s">
        <v>3556</v>
      </c>
      <c r="C88" t="s">
        <v>3679</v>
      </c>
      <c r="D88" t="s">
        <v>257</v>
      </c>
      <c r="E88" t="s">
        <v>3683</v>
      </c>
      <c r="F88" t="s">
        <v>273</v>
      </c>
      <c r="G88" t="s">
        <v>275</v>
      </c>
      <c r="H88">
        <v>0</v>
      </c>
      <c r="I88" t="s">
        <v>274</v>
      </c>
      <c r="K88" t="s">
        <v>3697</v>
      </c>
      <c r="M88" t="s">
        <v>473</v>
      </c>
      <c r="N88" t="s">
        <v>1020</v>
      </c>
      <c r="O88" t="s">
        <v>275</v>
      </c>
      <c r="P88" t="s">
        <v>492</v>
      </c>
      <c r="Q88" t="s">
        <v>501</v>
      </c>
      <c r="S88" t="s">
        <v>503</v>
      </c>
      <c r="T88" t="s">
        <v>508</v>
      </c>
      <c r="U88" t="s">
        <v>511</v>
      </c>
      <c r="V88">
        <v>10452</v>
      </c>
      <c r="W88" t="s">
        <v>529</v>
      </c>
      <c r="X88" t="s">
        <v>548</v>
      </c>
      <c r="Y88" t="s">
        <v>275</v>
      </c>
      <c r="Z88" t="s">
        <v>3815</v>
      </c>
      <c r="AA88" t="s">
        <v>3960</v>
      </c>
      <c r="AB88" t="s">
        <v>902</v>
      </c>
      <c r="AC88" t="s">
        <v>905</v>
      </c>
      <c r="AF88" t="s">
        <v>923</v>
      </c>
      <c r="AI88">
        <v>2.15</v>
      </c>
      <c r="AJ88" t="s">
        <v>558</v>
      </c>
      <c r="AK88" t="s">
        <v>934</v>
      </c>
      <c r="AL88" t="s">
        <v>274</v>
      </c>
      <c r="AM88" t="s">
        <v>973</v>
      </c>
      <c r="AN88" t="s">
        <v>318</v>
      </c>
      <c r="AT88">
        <v>2</v>
      </c>
      <c r="AU88">
        <v>1</v>
      </c>
      <c r="AV88" t="s">
        <v>273</v>
      </c>
      <c r="AY88" t="s">
        <v>273</v>
      </c>
      <c r="BB88">
        <v>0</v>
      </c>
      <c r="BC88">
        <v>0</v>
      </c>
      <c r="BD88">
        <v>0</v>
      </c>
      <c r="BE88">
        <v>0</v>
      </c>
      <c r="BF88" t="s">
        <v>1063</v>
      </c>
      <c r="BG88" t="s">
        <v>4147</v>
      </c>
      <c r="BH88">
        <v>14</v>
      </c>
      <c r="BI88" t="s">
        <v>1247</v>
      </c>
      <c r="BK88">
        <v>1869937</v>
      </c>
    </row>
    <row r="89" spans="1:64">
      <c r="A89" s="1">
        <f>HYPERLINK("https://lsnyc.legalserver.org/matter/dynamic-profile/view/1897385","19-1897385")</f>
        <v>0</v>
      </c>
      <c r="B89" t="s">
        <v>3557</v>
      </c>
      <c r="C89" t="s">
        <v>3679</v>
      </c>
      <c r="D89" t="s">
        <v>257</v>
      </c>
      <c r="E89" t="s">
        <v>3683</v>
      </c>
      <c r="F89" t="s">
        <v>273</v>
      </c>
      <c r="G89" t="s">
        <v>275</v>
      </c>
      <c r="H89">
        <v>0</v>
      </c>
      <c r="I89" t="s">
        <v>274</v>
      </c>
      <c r="K89" t="s">
        <v>3697</v>
      </c>
      <c r="M89" t="s">
        <v>473</v>
      </c>
      <c r="N89" t="s">
        <v>1684</v>
      </c>
      <c r="O89" t="s">
        <v>275</v>
      </c>
      <c r="P89" t="s">
        <v>495</v>
      </c>
      <c r="Q89" t="s">
        <v>501</v>
      </c>
      <c r="S89" t="s">
        <v>503</v>
      </c>
      <c r="T89" t="s">
        <v>507</v>
      </c>
      <c r="U89" t="s">
        <v>511</v>
      </c>
      <c r="V89">
        <v>10452</v>
      </c>
      <c r="W89" t="s">
        <v>529</v>
      </c>
      <c r="X89" t="s">
        <v>548</v>
      </c>
      <c r="Y89" t="s">
        <v>275</v>
      </c>
      <c r="Z89" t="s">
        <v>3816</v>
      </c>
      <c r="AA89" t="s">
        <v>3961</v>
      </c>
      <c r="AB89" t="s">
        <v>902</v>
      </c>
      <c r="AC89" t="s">
        <v>905</v>
      </c>
      <c r="AF89" t="s">
        <v>923</v>
      </c>
      <c r="AI89">
        <v>3.55</v>
      </c>
      <c r="AJ89" t="s">
        <v>558</v>
      </c>
      <c r="AK89" t="s">
        <v>934</v>
      </c>
      <c r="AL89" t="s">
        <v>274</v>
      </c>
      <c r="AM89" t="s">
        <v>973</v>
      </c>
      <c r="AN89" t="s">
        <v>318</v>
      </c>
      <c r="AO89" t="s">
        <v>976</v>
      </c>
      <c r="AP89" t="s">
        <v>452</v>
      </c>
      <c r="AT89">
        <v>2</v>
      </c>
      <c r="AU89">
        <v>1</v>
      </c>
      <c r="AV89" t="s">
        <v>273</v>
      </c>
      <c r="AY89" t="s">
        <v>273</v>
      </c>
      <c r="BB89">
        <v>0</v>
      </c>
      <c r="BC89">
        <v>0</v>
      </c>
      <c r="BD89">
        <v>0</v>
      </c>
      <c r="BE89">
        <v>0</v>
      </c>
      <c r="BF89" t="s">
        <v>1063</v>
      </c>
      <c r="BG89" t="s">
        <v>4148</v>
      </c>
      <c r="BH89">
        <v>8</v>
      </c>
      <c r="BI89" t="s">
        <v>1247</v>
      </c>
      <c r="BK89">
        <v>1869937</v>
      </c>
    </row>
    <row r="90" spans="1:64">
      <c r="A90" s="1">
        <f>HYPERLINK("https://lsnyc.legalserver.org/matter/dynamic-profile/view/1896918","19-1896918")</f>
        <v>0</v>
      </c>
      <c r="B90" t="s">
        <v>3558</v>
      </c>
      <c r="C90" t="s">
        <v>3679</v>
      </c>
      <c r="D90" t="s">
        <v>255</v>
      </c>
      <c r="E90" t="s">
        <v>3684</v>
      </c>
      <c r="F90" t="s">
        <v>273</v>
      </c>
      <c r="G90" t="s">
        <v>275</v>
      </c>
      <c r="H90">
        <v>14.41</v>
      </c>
      <c r="I90" t="s">
        <v>275</v>
      </c>
      <c r="K90" t="s">
        <v>1692</v>
      </c>
      <c r="P90" t="s">
        <v>496</v>
      </c>
      <c r="Q90" t="s">
        <v>501</v>
      </c>
      <c r="S90" t="s">
        <v>503</v>
      </c>
      <c r="T90" t="s">
        <v>507</v>
      </c>
      <c r="U90" t="s">
        <v>511</v>
      </c>
      <c r="V90">
        <v>10033</v>
      </c>
      <c r="W90" t="s">
        <v>522</v>
      </c>
      <c r="X90" t="s">
        <v>548</v>
      </c>
      <c r="Y90" t="s">
        <v>274</v>
      </c>
      <c r="Z90" t="s">
        <v>3817</v>
      </c>
      <c r="AA90" t="s">
        <v>3962</v>
      </c>
      <c r="AB90" t="s">
        <v>902</v>
      </c>
      <c r="AC90" t="s">
        <v>906</v>
      </c>
      <c r="AF90" t="s">
        <v>923</v>
      </c>
      <c r="AI90">
        <v>1.5</v>
      </c>
      <c r="AJ90" t="s">
        <v>558</v>
      </c>
      <c r="AK90" t="s">
        <v>934</v>
      </c>
      <c r="AL90" t="s">
        <v>274</v>
      </c>
      <c r="AM90" t="s">
        <v>973</v>
      </c>
      <c r="AN90" t="s">
        <v>1692</v>
      </c>
      <c r="AT90">
        <v>0</v>
      </c>
      <c r="AU90">
        <v>1</v>
      </c>
      <c r="AV90" t="s">
        <v>273</v>
      </c>
      <c r="AY90" t="s">
        <v>273</v>
      </c>
      <c r="BB90">
        <v>0</v>
      </c>
      <c r="BC90">
        <v>0</v>
      </c>
      <c r="BD90">
        <v>0</v>
      </c>
      <c r="BE90">
        <v>0</v>
      </c>
      <c r="BF90" t="s">
        <v>1063</v>
      </c>
      <c r="BG90" t="s">
        <v>4149</v>
      </c>
      <c r="BH90">
        <v>56</v>
      </c>
      <c r="BI90" t="s">
        <v>4262</v>
      </c>
      <c r="BK90">
        <v>1896454</v>
      </c>
      <c r="BL90" t="s">
        <v>275</v>
      </c>
    </row>
    <row r="91" spans="1:64">
      <c r="A91" s="1">
        <f>HYPERLINK("https://lsnyc.legalserver.org/matter/dynamic-profile/view/1896610","19-1896610")</f>
        <v>0</v>
      </c>
      <c r="B91" t="s">
        <v>3559</v>
      </c>
      <c r="C91" t="s">
        <v>3679</v>
      </c>
      <c r="D91" t="s">
        <v>257</v>
      </c>
      <c r="E91" t="s">
        <v>3685</v>
      </c>
      <c r="F91" t="s">
        <v>273</v>
      </c>
      <c r="G91" t="s">
        <v>275</v>
      </c>
      <c r="H91">
        <v>145.72</v>
      </c>
      <c r="I91" t="s">
        <v>274</v>
      </c>
      <c r="K91" t="s">
        <v>1694</v>
      </c>
      <c r="M91" t="s">
        <v>473</v>
      </c>
      <c r="O91" t="s">
        <v>275</v>
      </c>
      <c r="Q91" t="s">
        <v>501</v>
      </c>
      <c r="S91" t="s">
        <v>503</v>
      </c>
      <c r="T91" t="s">
        <v>507</v>
      </c>
      <c r="U91" t="s">
        <v>511</v>
      </c>
      <c r="V91">
        <v>10452</v>
      </c>
      <c r="W91" t="s">
        <v>518</v>
      </c>
      <c r="X91" t="s">
        <v>548</v>
      </c>
      <c r="Y91" t="s">
        <v>275</v>
      </c>
      <c r="Z91" t="s">
        <v>2262</v>
      </c>
      <c r="AA91" t="s">
        <v>3963</v>
      </c>
      <c r="AB91" t="s">
        <v>902</v>
      </c>
      <c r="AC91" t="s">
        <v>904</v>
      </c>
      <c r="AF91" t="s">
        <v>926</v>
      </c>
      <c r="AI91">
        <v>8</v>
      </c>
      <c r="AJ91" t="s">
        <v>558</v>
      </c>
      <c r="AK91" t="s">
        <v>950</v>
      </c>
      <c r="AL91" t="s">
        <v>274</v>
      </c>
      <c r="AT91">
        <v>0</v>
      </c>
      <c r="AU91">
        <v>1</v>
      </c>
      <c r="AV91" t="s">
        <v>273</v>
      </c>
      <c r="AY91" t="s">
        <v>273</v>
      </c>
      <c r="BB91">
        <v>0</v>
      </c>
      <c r="BC91">
        <v>0</v>
      </c>
      <c r="BD91">
        <v>0</v>
      </c>
      <c r="BE91">
        <v>0</v>
      </c>
      <c r="BF91" t="s">
        <v>1063</v>
      </c>
      <c r="BG91" t="s">
        <v>4150</v>
      </c>
      <c r="BH91">
        <v>47</v>
      </c>
      <c r="BI91" t="s">
        <v>1260</v>
      </c>
      <c r="BK91">
        <v>1897252</v>
      </c>
    </row>
    <row r="92" spans="1:64">
      <c r="A92" s="1">
        <f>HYPERLINK("https://lsnyc.legalserver.org/matter/dynamic-profile/view/1895812","19-1895812")</f>
        <v>0</v>
      </c>
      <c r="B92" t="s">
        <v>3558</v>
      </c>
      <c r="C92" t="s">
        <v>3679</v>
      </c>
      <c r="D92" t="s">
        <v>255</v>
      </c>
      <c r="E92" t="s">
        <v>3684</v>
      </c>
      <c r="F92" t="s">
        <v>273</v>
      </c>
      <c r="G92" t="s">
        <v>275</v>
      </c>
      <c r="H92">
        <v>14.41</v>
      </c>
      <c r="I92" t="s">
        <v>275</v>
      </c>
      <c r="K92" t="s">
        <v>1007</v>
      </c>
      <c r="M92" t="s">
        <v>472</v>
      </c>
      <c r="N92" t="s">
        <v>1008</v>
      </c>
      <c r="O92" t="s">
        <v>275</v>
      </c>
      <c r="P92" t="s">
        <v>492</v>
      </c>
      <c r="Q92" t="s">
        <v>501</v>
      </c>
      <c r="S92" t="s">
        <v>503</v>
      </c>
      <c r="T92" t="s">
        <v>507</v>
      </c>
      <c r="U92" t="s">
        <v>511</v>
      </c>
      <c r="V92">
        <v>10033</v>
      </c>
      <c r="W92" t="s">
        <v>532</v>
      </c>
      <c r="X92" t="s">
        <v>548</v>
      </c>
      <c r="Y92" t="s">
        <v>274</v>
      </c>
      <c r="Z92" t="s">
        <v>3817</v>
      </c>
      <c r="AA92" t="s">
        <v>3962</v>
      </c>
      <c r="AB92" t="s">
        <v>902</v>
      </c>
      <c r="AC92" t="s">
        <v>906</v>
      </c>
      <c r="AF92" t="s">
        <v>923</v>
      </c>
      <c r="AI92">
        <v>20.2</v>
      </c>
      <c r="AJ92" t="s">
        <v>558</v>
      </c>
      <c r="AK92" t="s">
        <v>934</v>
      </c>
      <c r="AL92" t="s">
        <v>274</v>
      </c>
      <c r="AT92">
        <v>0</v>
      </c>
      <c r="AU92">
        <v>1</v>
      </c>
      <c r="AV92" t="s">
        <v>273</v>
      </c>
      <c r="AY92" t="s">
        <v>273</v>
      </c>
      <c r="BB92">
        <v>0</v>
      </c>
      <c r="BC92">
        <v>0</v>
      </c>
      <c r="BD92">
        <v>0</v>
      </c>
      <c r="BE92">
        <v>0</v>
      </c>
      <c r="BF92" t="s">
        <v>1063</v>
      </c>
      <c r="BG92" t="s">
        <v>4149</v>
      </c>
      <c r="BH92">
        <v>56</v>
      </c>
      <c r="BI92" t="s">
        <v>4262</v>
      </c>
      <c r="BK92">
        <v>1896454</v>
      </c>
      <c r="BL92" t="s">
        <v>275</v>
      </c>
    </row>
    <row r="93" spans="1:64">
      <c r="A93" s="1">
        <f>HYPERLINK("https://lsnyc.legalserver.org/matter/dynamic-profile/view/1895659","19-1895659")</f>
        <v>0</v>
      </c>
      <c r="B93" t="s">
        <v>3487</v>
      </c>
      <c r="C93" t="s">
        <v>3679</v>
      </c>
      <c r="D93" t="s">
        <v>257</v>
      </c>
      <c r="E93" t="s">
        <v>3684</v>
      </c>
      <c r="F93" t="s">
        <v>273</v>
      </c>
      <c r="G93" t="s">
        <v>275</v>
      </c>
      <c r="H93">
        <v>39.77</v>
      </c>
      <c r="I93" t="s">
        <v>275</v>
      </c>
      <c r="K93" t="s">
        <v>324</v>
      </c>
      <c r="P93" t="s">
        <v>495</v>
      </c>
      <c r="Q93" t="s">
        <v>501</v>
      </c>
      <c r="S93" t="s">
        <v>503</v>
      </c>
      <c r="T93" t="s">
        <v>508</v>
      </c>
      <c r="U93" t="s">
        <v>511</v>
      </c>
      <c r="V93">
        <v>10463</v>
      </c>
      <c r="W93" t="s">
        <v>521</v>
      </c>
      <c r="X93" t="s">
        <v>548</v>
      </c>
      <c r="Y93" t="s">
        <v>275</v>
      </c>
      <c r="Z93" t="s">
        <v>3763</v>
      </c>
      <c r="AA93" t="s">
        <v>3905</v>
      </c>
      <c r="AB93" t="s">
        <v>902</v>
      </c>
      <c r="AC93" t="s">
        <v>905</v>
      </c>
      <c r="AF93" t="s">
        <v>923</v>
      </c>
      <c r="AI93">
        <v>86</v>
      </c>
      <c r="AJ93" t="s">
        <v>558</v>
      </c>
      <c r="AK93" t="s">
        <v>945</v>
      </c>
      <c r="AL93" t="s">
        <v>275</v>
      </c>
      <c r="AM93" t="s">
        <v>2403</v>
      </c>
      <c r="AN93" t="s">
        <v>1008</v>
      </c>
      <c r="AT93">
        <v>2</v>
      </c>
      <c r="AU93">
        <v>3</v>
      </c>
      <c r="AV93" t="s">
        <v>273</v>
      </c>
      <c r="AY93" t="s">
        <v>273</v>
      </c>
      <c r="BB93">
        <v>0</v>
      </c>
      <c r="BC93">
        <v>0</v>
      </c>
      <c r="BD93">
        <v>0</v>
      </c>
      <c r="BE93">
        <v>0</v>
      </c>
      <c r="BF93" t="s">
        <v>1063</v>
      </c>
      <c r="BG93" t="s">
        <v>4081</v>
      </c>
      <c r="BH93">
        <v>57</v>
      </c>
      <c r="BI93" t="s">
        <v>1267</v>
      </c>
      <c r="BK93">
        <v>1895664</v>
      </c>
      <c r="BL93" t="s">
        <v>275</v>
      </c>
    </row>
    <row r="94" spans="1:64">
      <c r="A94" s="1">
        <f>HYPERLINK("https://lsnyc.legalserver.org/matter/dynamic-profile/view/1895662","19-1895662")</f>
        <v>0</v>
      </c>
      <c r="B94" t="s">
        <v>3560</v>
      </c>
      <c r="C94" t="s">
        <v>3679</v>
      </c>
      <c r="D94" t="s">
        <v>257</v>
      </c>
      <c r="E94" t="s">
        <v>3684</v>
      </c>
      <c r="F94" t="s">
        <v>273</v>
      </c>
      <c r="G94" t="s">
        <v>275</v>
      </c>
      <c r="H94">
        <v>39.77</v>
      </c>
      <c r="I94" t="s">
        <v>275</v>
      </c>
      <c r="K94" t="s">
        <v>324</v>
      </c>
      <c r="P94" t="s">
        <v>495</v>
      </c>
      <c r="Q94" t="s">
        <v>501</v>
      </c>
      <c r="S94" t="s">
        <v>503</v>
      </c>
      <c r="T94" t="s">
        <v>508</v>
      </c>
      <c r="U94" t="s">
        <v>511</v>
      </c>
      <c r="V94">
        <v>10463</v>
      </c>
      <c r="W94" t="s">
        <v>521</v>
      </c>
      <c r="X94" t="s">
        <v>548</v>
      </c>
      <c r="Y94" t="s">
        <v>275</v>
      </c>
      <c r="Z94" t="s">
        <v>3818</v>
      </c>
      <c r="AA94" t="s">
        <v>3964</v>
      </c>
      <c r="AB94" t="s">
        <v>902</v>
      </c>
      <c r="AC94" t="s">
        <v>905</v>
      </c>
      <c r="AF94" t="s">
        <v>923</v>
      </c>
      <c r="AI94">
        <v>62.4</v>
      </c>
      <c r="AJ94" t="s">
        <v>558</v>
      </c>
      <c r="AK94" t="s">
        <v>945</v>
      </c>
      <c r="AL94" t="s">
        <v>275</v>
      </c>
      <c r="AM94" t="s">
        <v>978</v>
      </c>
      <c r="AN94" t="s">
        <v>1676</v>
      </c>
      <c r="AT94">
        <v>2</v>
      </c>
      <c r="AU94">
        <v>3</v>
      </c>
      <c r="AV94" t="s">
        <v>273</v>
      </c>
      <c r="AY94" t="s">
        <v>273</v>
      </c>
      <c r="BB94">
        <v>0</v>
      </c>
      <c r="BC94">
        <v>0</v>
      </c>
      <c r="BD94">
        <v>0</v>
      </c>
      <c r="BE94">
        <v>0</v>
      </c>
      <c r="BF94" t="s">
        <v>1063</v>
      </c>
      <c r="BG94" t="s">
        <v>4151</v>
      </c>
      <c r="BH94">
        <v>26</v>
      </c>
      <c r="BI94" t="s">
        <v>1267</v>
      </c>
      <c r="BK94">
        <v>1895664</v>
      </c>
      <c r="BL94" t="s">
        <v>275</v>
      </c>
    </row>
    <row r="95" spans="1:64">
      <c r="A95" s="1">
        <f>HYPERLINK("https://lsnyc.legalserver.org/matter/dynamic-profile/view/1890655","19-1890655")</f>
        <v>0</v>
      </c>
      <c r="B95" t="s">
        <v>3561</v>
      </c>
      <c r="C95" t="s">
        <v>3679</v>
      </c>
      <c r="D95" t="s">
        <v>257</v>
      </c>
      <c r="E95" t="s">
        <v>3690</v>
      </c>
      <c r="F95" t="s">
        <v>274</v>
      </c>
      <c r="G95" t="s">
        <v>274</v>
      </c>
      <c r="H95">
        <v>34.42</v>
      </c>
      <c r="I95" t="s">
        <v>274</v>
      </c>
      <c r="K95" t="s">
        <v>988</v>
      </c>
      <c r="Q95" t="s">
        <v>501</v>
      </c>
      <c r="S95" t="s">
        <v>506</v>
      </c>
      <c r="T95" t="s">
        <v>508</v>
      </c>
      <c r="U95" t="s">
        <v>514</v>
      </c>
      <c r="V95">
        <v>10452</v>
      </c>
      <c r="W95" t="s">
        <v>535</v>
      </c>
      <c r="X95" t="s">
        <v>549</v>
      </c>
      <c r="Z95" t="s">
        <v>3819</v>
      </c>
      <c r="AA95" t="s">
        <v>3965</v>
      </c>
      <c r="AB95" t="s">
        <v>902</v>
      </c>
      <c r="AC95" t="s">
        <v>910</v>
      </c>
      <c r="AF95" t="s">
        <v>923</v>
      </c>
      <c r="AI95">
        <v>2.3</v>
      </c>
      <c r="AJ95" t="s">
        <v>558</v>
      </c>
      <c r="AK95" t="s">
        <v>965</v>
      </c>
      <c r="AL95" t="s">
        <v>274</v>
      </c>
      <c r="AS95" t="s">
        <v>558</v>
      </c>
      <c r="AT95">
        <v>0</v>
      </c>
      <c r="AU95">
        <v>2</v>
      </c>
      <c r="AV95" t="s">
        <v>273</v>
      </c>
      <c r="AY95" t="s">
        <v>273</v>
      </c>
      <c r="BB95">
        <v>0</v>
      </c>
      <c r="BC95">
        <v>0</v>
      </c>
      <c r="BD95">
        <v>0</v>
      </c>
      <c r="BE95">
        <v>0</v>
      </c>
      <c r="BF95" t="s">
        <v>1063</v>
      </c>
      <c r="BG95" t="s">
        <v>4152</v>
      </c>
      <c r="BH95">
        <v>47</v>
      </c>
      <c r="BI95" t="s">
        <v>4263</v>
      </c>
      <c r="BK95">
        <v>1891287</v>
      </c>
    </row>
    <row r="96" spans="1:64">
      <c r="A96" s="1">
        <f>HYPERLINK("https://lsnyc.legalserver.org/matter/dynamic-profile/view/1895478","19-1895478")</f>
        <v>0</v>
      </c>
      <c r="B96" t="s">
        <v>3562</v>
      </c>
      <c r="C96" t="s">
        <v>3679</v>
      </c>
      <c r="D96" t="s">
        <v>257</v>
      </c>
      <c r="E96" t="s">
        <v>3686</v>
      </c>
      <c r="F96" t="s">
        <v>273</v>
      </c>
      <c r="G96" t="s">
        <v>275</v>
      </c>
      <c r="H96">
        <v>0</v>
      </c>
      <c r="I96" t="s">
        <v>274</v>
      </c>
      <c r="K96" t="s">
        <v>988</v>
      </c>
      <c r="P96" t="s">
        <v>492</v>
      </c>
      <c r="Q96" t="s">
        <v>501</v>
      </c>
      <c r="S96" t="s">
        <v>503</v>
      </c>
      <c r="T96" t="s">
        <v>508</v>
      </c>
      <c r="U96" t="s">
        <v>511</v>
      </c>
      <c r="V96">
        <v>10451</v>
      </c>
      <c r="W96" t="s">
        <v>521</v>
      </c>
      <c r="X96" t="s">
        <v>548</v>
      </c>
      <c r="Z96" t="s">
        <v>3820</v>
      </c>
      <c r="AA96" t="s">
        <v>867</v>
      </c>
      <c r="AB96" t="s">
        <v>902</v>
      </c>
      <c r="AC96" t="s">
        <v>910</v>
      </c>
      <c r="AF96" t="s">
        <v>926</v>
      </c>
      <c r="AI96">
        <v>1.5</v>
      </c>
      <c r="AL96" t="s">
        <v>274</v>
      </c>
      <c r="AT96">
        <v>2</v>
      </c>
      <c r="AU96">
        <v>1</v>
      </c>
      <c r="AV96" t="s">
        <v>273</v>
      </c>
      <c r="AY96" t="s">
        <v>273</v>
      </c>
      <c r="BB96">
        <v>0</v>
      </c>
      <c r="BC96">
        <v>0</v>
      </c>
      <c r="BD96">
        <v>0</v>
      </c>
      <c r="BE96">
        <v>0</v>
      </c>
      <c r="BF96" t="s">
        <v>1063</v>
      </c>
      <c r="BG96" t="s">
        <v>4153</v>
      </c>
      <c r="BH96">
        <v>26</v>
      </c>
      <c r="BI96" t="s">
        <v>1247</v>
      </c>
      <c r="BK96">
        <v>789401</v>
      </c>
    </row>
    <row r="97" spans="1:63">
      <c r="A97" s="1">
        <f>HYPERLINK("https://lsnyc.legalserver.org/matter/dynamic-profile/view/1895364","19-1895364")</f>
        <v>0</v>
      </c>
      <c r="B97" t="s">
        <v>3563</v>
      </c>
      <c r="C97" t="s">
        <v>3679</v>
      </c>
      <c r="D97" t="s">
        <v>257</v>
      </c>
      <c r="E97" t="s">
        <v>3686</v>
      </c>
      <c r="F97" t="s">
        <v>275</v>
      </c>
      <c r="G97" t="s">
        <v>275</v>
      </c>
      <c r="H97">
        <v>30.29</v>
      </c>
      <c r="I97" t="s">
        <v>274</v>
      </c>
      <c r="K97" t="s">
        <v>989</v>
      </c>
      <c r="L97" t="s">
        <v>479</v>
      </c>
      <c r="O97" t="s">
        <v>275</v>
      </c>
      <c r="P97" t="s">
        <v>493</v>
      </c>
      <c r="Q97" t="s">
        <v>501</v>
      </c>
      <c r="S97" t="s">
        <v>503</v>
      </c>
      <c r="T97" t="s">
        <v>508</v>
      </c>
      <c r="U97" t="s">
        <v>511</v>
      </c>
      <c r="V97">
        <v>10451</v>
      </c>
      <c r="W97" t="s">
        <v>520</v>
      </c>
      <c r="Z97" t="s">
        <v>3821</v>
      </c>
      <c r="AA97" t="s">
        <v>3178</v>
      </c>
      <c r="AB97" t="s">
        <v>902</v>
      </c>
      <c r="AC97" t="s">
        <v>905</v>
      </c>
      <c r="AD97" t="s">
        <v>275</v>
      </c>
      <c r="AE97" t="s">
        <v>919</v>
      </c>
      <c r="AF97" t="s">
        <v>923</v>
      </c>
      <c r="AI97">
        <v>6.5</v>
      </c>
      <c r="AK97" t="s">
        <v>934</v>
      </c>
      <c r="AL97" t="s">
        <v>274</v>
      </c>
      <c r="AQ97" t="s">
        <v>1037</v>
      </c>
      <c r="AR97" t="s">
        <v>1051</v>
      </c>
      <c r="AT97">
        <v>2</v>
      </c>
      <c r="AU97">
        <v>2</v>
      </c>
      <c r="AV97" t="s">
        <v>273</v>
      </c>
      <c r="AY97" t="s">
        <v>273</v>
      </c>
      <c r="BB97">
        <v>0</v>
      </c>
      <c r="BC97">
        <v>0</v>
      </c>
      <c r="BD97">
        <v>0</v>
      </c>
      <c r="BE97">
        <v>0</v>
      </c>
      <c r="BF97" t="s">
        <v>493</v>
      </c>
      <c r="BG97" t="s">
        <v>4154</v>
      </c>
      <c r="BH97">
        <v>4</v>
      </c>
      <c r="BI97" t="s">
        <v>2771</v>
      </c>
      <c r="BK97">
        <v>1867871</v>
      </c>
    </row>
    <row r="98" spans="1:63">
      <c r="A98" s="1">
        <f>HYPERLINK("https://lsnyc.legalserver.org/matter/dynamic-profile/view/1895269","19-1895269")</f>
        <v>0</v>
      </c>
      <c r="B98" t="s">
        <v>3564</v>
      </c>
      <c r="C98" t="s">
        <v>3679</v>
      </c>
      <c r="D98" t="s">
        <v>257</v>
      </c>
      <c r="E98" t="s">
        <v>3686</v>
      </c>
      <c r="F98" t="s">
        <v>273</v>
      </c>
      <c r="G98" t="s">
        <v>275</v>
      </c>
      <c r="H98">
        <v>50.63</v>
      </c>
      <c r="I98" t="s">
        <v>274</v>
      </c>
      <c r="K98" t="s">
        <v>989</v>
      </c>
      <c r="P98" t="s">
        <v>492</v>
      </c>
      <c r="Q98" t="s">
        <v>501</v>
      </c>
      <c r="S98" t="s">
        <v>506</v>
      </c>
      <c r="T98" t="s">
        <v>508</v>
      </c>
      <c r="U98" t="s">
        <v>1821</v>
      </c>
      <c r="V98">
        <v>10451</v>
      </c>
      <c r="W98" t="s">
        <v>1828</v>
      </c>
      <c r="X98" t="s">
        <v>548</v>
      </c>
      <c r="Z98" t="s">
        <v>3822</v>
      </c>
      <c r="AA98" t="s">
        <v>3966</v>
      </c>
      <c r="AB98" t="s">
        <v>902</v>
      </c>
      <c r="AC98" t="s">
        <v>910</v>
      </c>
      <c r="AF98" t="s">
        <v>924</v>
      </c>
      <c r="AI98">
        <v>16.25</v>
      </c>
      <c r="AK98" t="s">
        <v>934</v>
      </c>
      <c r="AL98" t="s">
        <v>274</v>
      </c>
      <c r="AT98">
        <v>2</v>
      </c>
      <c r="AU98">
        <v>1</v>
      </c>
      <c r="AV98" t="s">
        <v>273</v>
      </c>
      <c r="AY98" t="s">
        <v>273</v>
      </c>
      <c r="BB98">
        <v>0</v>
      </c>
      <c r="BC98">
        <v>0</v>
      </c>
      <c r="BD98">
        <v>0</v>
      </c>
      <c r="BE98">
        <v>0</v>
      </c>
      <c r="BF98" t="s">
        <v>1063</v>
      </c>
      <c r="BG98" t="s">
        <v>4153</v>
      </c>
      <c r="BH98">
        <v>26</v>
      </c>
      <c r="BI98" t="s">
        <v>2730</v>
      </c>
      <c r="BK98">
        <v>789401</v>
      </c>
    </row>
    <row r="99" spans="1:63">
      <c r="A99" s="1">
        <f>HYPERLINK("https://lsnyc.legalserver.org/matter/dynamic-profile/view/1895281","19-1895281")</f>
        <v>0</v>
      </c>
      <c r="B99" t="s">
        <v>3565</v>
      </c>
      <c r="C99" t="s">
        <v>3679</v>
      </c>
      <c r="D99" t="s">
        <v>257</v>
      </c>
      <c r="E99" t="s">
        <v>3686</v>
      </c>
      <c r="F99" t="s">
        <v>273</v>
      </c>
      <c r="G99" t="s">
        <v>275</v>
      </c>
      <c r="H99">
        <v>30.29</v>
      </c>
      <c r="I99" t="s">
        <v>274</v>
      </c>
      <c r="K99" t="s">
        <v>989</v>
      </c>
      <c r="P99" t="s">
        <v>492</v>
      </c>
      <c r="Q99" t="s">
        <v>501</v>
      </c>
      <c r="S99" t="s">
        <v>503</v>
      </c>
      <c r="T99" t="s">
        <v>508</v>
      </c>
      <c r="U99" t="s">
        <v>511</v>
      </c>
      <c r="V99">
        <v>10451</v>
      </c>
      <c r="W99" t="s">
        <v>520</v>
      </c>
      <c r="Z99" t="s">
        <v>3069</v>
      </c>
      <c r="AA99" t="s">
        <v>3178</v>
      </c>
      <c r="AB99" t="s">
        <v>902</v>
      </c>
      <c r="AC99" t="s">
        <v>905</v>
      </c>
      <c r="AF99" t="s">
        <v>923</v>
      </c>
      <c r="AI99">
        <v>1.25</v>
      </c>
      <c r="AK99" t="s">
        <v>934</v>
      </c>
      <c r="AL99" t="s">
        <v>274</v>
      </c>
      <c r="AT99">
        <v>2</v>
      </c>
      <c r="AU99">
        <v>2</v>
      </c>
      <c r="AV99" t="s">
        <v>273</v>
      </c>
      <c r="AY99" t="s">
        <v>273</v>
      </c>
      <c r="BB99">
        <v>0</v>
      </c>
      <c r="BC99">
        <v>0</v>
      </c>
      <c r="BD99">
        <v>0</v>
      </c>
      <c r="BE99">
        <v>0</v>
      </c>
      <c r="BF99" t="s">
        <v>1063</v>
      </c>
      <c r="BG99" t="s">
        <v>4155</v>
      </c>
      <c r="BH99">
        <v>23</v>
      </c>
      <c r="BI99" t="s">
        <v>2771</v>
      </c>
      <c r="BK99">
        <v>1867871</v>
      </c>
    </row>
    <row r="100" spans="1:63">
      <c r="A100" s="1">
        <f>HYPERLINK("https://lsnyc.legalserver.org/matter/dynamic-profile/view/1895362","19-1895362")</f>
        <v>0</v>
      </c>
      <c r="B100" t="s">
        <v>3563</v>
      </c>
      <c r="C100" t="s">
        <v>3679</v>
      </c>
      <c r="D100" t="s">
        <v>257</v>
      </c>
      <c r="E100" t="s">
        <v>3686</v>
      </c>
      <c r="F100" t="s">
        <v>273</v>
      </c>
      <c r="G100" t="s">
        <v>275</v>
      </c>
      <c r="H100">
        <v>30.29</v>
      </c>
      <c r="I100" t="s">
        <v>274</v>
      </c>
      <c r="K100" t="s">
        <v>989</v>
      </c>
      <c r="P100" t="s">
        <v>492</v>
      </c>
      <c r="Q100" t="s">
        <v>501</v>
      </c>
      <c r="S100" t="s">
        <v>503</v>
      </c>
      <c r="T100" t="s">
        <v>508</v>
      </c>
      <c r="U100" t="s">
        <v>511</v>
      </c>
      <c r="V100">
        <v>10451</v>
      </c>
      <c r="W100" t="s">
        <v>519</v>
      </c>
      <c r="Z100" t="s">
        <v>3821</v>
      </c>
      <c r="AA100" t="s">
        <v>3178</v>
      </c>
      <c r="AB100" t="s">
        <v>902</v>
      </c>
      <c r="AC100" t="s">
        <v>905</v>
      </c>
      <c r="AF100" t="s">
        <v>926</v>
      </c>
      <c r="AI100">
        <v>1.25</v>
      </c>
      <c r="AK100" t="s">
        <v>934</v>
      </c>
      <c r="AL100" t="s">
        <v>274</v>
      </c>
      <c r="AT100">
        <v>2</v>
      </c>
      <c r="AU100">
        <v>2</v>
      </c>
      <c r="AV100" t="s">
        <v>273</v>
      </c>
      <c r="AY100" t="s">
        <v>273</v>
      </c>
      <c r="BB100">
        <v>0</v>
      </c>
      <c r="BC100">
        <v>0</v>
      </c>
      <c r="BD100">
        <v>0</v>
      </c>
      <c r="BE100">
        <v>0</v>
      </c>
      <c r="BF100" t="s">
        <v>1063</v>
      </c>
      <c r="BG100" t="s">
        <v>4154</v>
      </c>
      <c r="BH100">
        <v>4</v>
      </c>
      <c r="BI100" t="s">
        <v>2771</v>
      </c>
      <c r="BK100">
        <v>1867871</v>
      </c>
    </row>
    <row r="101" spans="1:63">
      <c r="A101" s="1">
        <f>HYPERLINK("https://lsnyc.legalserver.org/matter/dynamic-profile/view/1895373","19-1895373")</f>
        <v>0</v>
      </c>
      <c r="B101" t="s">
        <v>3566</v>
      </c>
      <c r="C101" t="s">
        <v>3679</v>
      </c>
      <c r="D101" t="s">
        <v>257</v>
      </c>
      <c r="E101" t="s">
        <v>3686</v>
      </c>
      <c r="F101" t="s">
        <v>273</v>
      </c>
      <c r="G101" t="s">
        <v>275</v>
      </c>
      <c r="H101">
        <v>0</v>
      </c>
      <c r="K101" t="s">
        <v>989</v>
      </c>
      <c r="P101" t="s">
        <v>492</v>
      </c>
      <c r="Q101" t="s">
        <v>501</v>
      </c>
      <c r="S101" t="s">
        <v>506</v>
      </c>
      <c r="T101" t="s">
        <v>508</v>
      </c>
      <c r="U101" t="s">
        <v>1821</v>
      </c>
      <c r="V101">
        <v>10457</v>
      </c>
      <c r="W101" t="s">
        <v>1828</v>
      </c>
      <c r="X101" t="s">
        <v>548</v>
      </c>
      <c r="Z101" t="s">
        <v>2009</v>
      </c>
      <c r="AA101" t="s">
        <v>3967</v>
      </c>
      <c r="AB101" t="s">
        <v>902</v>
      </c>
      <c r="AC101" t="s">
        <v>910</v>
      </c>
      <c r="AF101" t="s">
        <v>924</v>
      </c>
      <c r="AI101">
        <v>20.7</v>
      </c>
      <c r="AK101" t="s">
        <v>934</v>
      </c>
      <c r="AT101">
        <v>1</v>
      </c>
      <c r="AU101">
        <v>1</v>
      </c>
      <c r="AV101" t="s">
        <v>273</v>
      </c>
      <c r="AY101" t="s">
        <v>273</v>
      </c>
      <c r="BB101">
        <v>0</v>
      </c>
      <c r="BC101">
        <v>0</v>
      </c>
      <c r="BD101">
        <v>0</v>
      </c>
      <c r="BE101">
        <v>0</v>
      </c>
      <c r="BF101" t="s">
        <v>1063</v>
      </c>
      <c r="BG101" t="s">
        <v>4156</v>
      </c>
      <c r="BH101">
        <v>37</v>
      </c>
      <c r="BI101" t="s">
        <v>1247</v>
      </c>
      <c r="BK101">
        <v>1893476</v>
      </c>
    </row>
    <row r="102" spans="1:63">
      <c r="A102" s="1">
        <f>HYPERLINK("https://lsnyc.legalserver.org/matter/dynamic-profile/view/1895378","19-1895378")</f>
        <v>0</v>
      </c>
      <c r="B102" t="s">
        <v>3567</v>
      </c>
      <c r="C102" t="s">
        <v>3679</v>
      </c>
      <c r="D102" t="s">
        <v>257</v>
      </c>
      <c r="E102" t="s">
        <v>3686</v>
      </c>
      <c r="F102" t="s">
        <v>273</v>
      </c>
      <c r="G102" t="s">
        <v>275</v>
      </c>
      <c r="H102">
        <v>0</v>
      </c>
      <c r="I102" t="s">
        <v>274</v>
      </c>
      <c r="K102" t="s">
        <v>989</v>
      </c>
      <c r="P102" t="s">
        <v>492</v>
      </c>
      <c r="Q102" t="s">
        <v>501</v>
      </c>
      <c r="S102" t="s">
        <v>503</v>
      </c>
      <c r="T102" t="s">
        <v>508</v>
      </c>
      <c r="U102" t="s">
        <v>511</v>
      </c>
      <c r="V102">
        <v>10454</v>
      </c>
      <c r="W102" t="s">
        <v>520</v>
      </c>
      <c r="X102" t="s">
        <v>548</v>
      </c>
      <c r="Z102" t="s">
        <v>1936</v>
      </c>
      <c r="AA102" t="s">
        <v>3968</v>
      </c>
      <c r="AB102" t="s">
        <v>902</v>
      </c>
      <c r="AC102" t="s">
        <v>905</v>
      </c>
      <c r="AF102" t="s">
        <v>923</v>
      </c>
      <c r="AI102">
        <v>5.25</v>
      </c>
      <c r="AK102" t="s">
        <v>934</v>
      </c>
      <c r="AL102" t="s">
        <v>274</v>
      </c>
      <c r="AT102">
        <v>4</v>
      </c>
      <c r="AU102">
        <v>3</v>
      </c>
      <c r="AV102" t="s">
        <v>273</v>
      </c>
      <c r="AY102" t="s">
        <v>273</v>
      </c>
      <c r="BB102">
        <v>0</v>
      </c>
      <c r="BC102">
        <v>0</v>
      </c>
      <c r="BD102">
        <v>0</v>
      </c>
      <c r="BE102">
        <v>0</v>
      </c>
      <c r="BF102" t="s">
        <v>1063</v>
      </c>
      <c r="BG102" t="s">
        <v>4157</v>
      </c>
      <c r="BH102">
        <v>46</v>
      </c>
      <c r="BI102" t="s">
        <v>1247</v>
      </c>
      <c r="BK102">
        <v>1887155</v>
      </c>
    </row>
    <row r="103" spans="1:63">
      <c r="A103" s="1">
        <f>HYPERLINK("https://lsnyc.legalserver.org/matter/dynamic-profile/view/1895381","19-1895381")</f>
        <v>0</v>
      </c>
      <c r="B103" t="s">
        <v>3568</v>
      </c>
      <c r="C103" t="s">
        <v>3679</v>
      </c>
      <c r="D103" t="s">
        <v>257</v>
      </c>
      <c r="E103" t="s">
        <v>3686</v>
      </c>
      <c r="F103" t="s">
        <v>273</v>
      </c>
      <c r="G103" t="s">
        <v>275</v>
      </c>
      <c r="H103">
        <v>0</v>
      </c>
      <c r="I103" t="s">
        <v>274</v>
      </c>
      <c r="K103" t="s">
        <v>989</v>
      </c>
      <c r="P103" t="s">
        <v>492</v>
      </c>
      <c r="Q103" t="s">
        <v>501</v>
      </c>
      <c r="S103" t="s">
        <v>503</v>
      </c>
      <c r="T103" t="s">
        <v>507</v>
      </c>
      <c r="U103" t="s">
        <v>511</v>
      </c>
      <c r="V103">
        <v>10454</v>
      </c>
      <c r="W103" t="s">
        <v>520</v>
      </c>
      <c r="X103" t="s">
        <v>548</v>
      </c>
      <c r="Z103" t="s">
        <v>3823</v>
      </c>
      <c r="AA103" t="s">
        <v>3969</v>
      </c>
      <c r="AB103" t="s">
        <v>902</v>
      </c>
      <c r="AC103" t="s">
        <v>905</v>
      </c>
      <c r="AF103" t="s">
        <v>923</v>
      </c>
      <c r="AI103">
        <v>2.25</v>
      </c>
      <c r="AK103" t="s">
        <v>934</v>
      </c>
      <c r="AL103" t="s">
        <v>274</v>
      </c>
      <c r="AT103">
        <v>1</v>
      </c>
      <c r="AU103">
        <v>1</v>
      </c>
      <c r="AV103" t="s">
        <v>273</v>
      </c>
      <c r="AY103" t="s">
        <v>273</v>
      </c>
      <c r="BB103">
        <v>0</v>
      </c>
      <c r="BC103">
        <v>0</v>
      </c>
      <c r="BD103">
        <v>0</v>
      </c>
      <c r="BE103">
        <v>0</v>
      </c>
      <c r="BF103" t="s">
        <v>1063</v>
      </c>
      <c r="BG103" t="s">
        <v>4158</v>
      </c>
      <c r="BH103">
        <v>9</v>
      </c>
      <c r="BI103" t="s">
        <v>1247</v>
      </c>
      <c r="BK103">
        <v>1887155</v>
      </c>
    </row>
    <row r="104" spans="1:63">
      <c r="A104" s="1">
        <f>HYPERLINK("https://lsnyc.legalserver.org/matter/dynamic-profile/view/1895389","19-1895389")</f>
        <v>0</v>
      </c>
      <c r="B104" t="s">
        <v>3569</v>
      </c>
      <c r="C104" t="s">
        <v>3679</v>
      </c>
      <c r="D104" t="s">
        <v>257</v>
      </c>
      <c r="E104" t="s">
        <v>3686</v>
      </c>
      <c r="F104" t="s">
        <v>273</v>
      </c>
      <c r="G104" t="s">
        <v>275</v>
      </c>
      <c r="H104">
        <v>0</v>
      </c>
      <c r="I104" t="s">
        <v>274</v>
      </c>
      <c r="K104" t="s">
        <v>989</v>
      </c>
      <c r="P104" t="s">
        <v>492</v>
      </c>
      <c r="Q104" t="s">
        <v>501</v>
      </c>
      <c r="S104" t="s">
        <v>503</v>
      </c>
      <c r="T104" t="s">
        <v>508</v>
      </c>
      <c r="U104" t="s">
        <v>511</v>
      </c>
      <c r="V104">
        <v>10469</v>
      </c>
      <c r="W104" t="s">
        <v>1829</v>
      </c>
      <c r="X104" t="s">
        <v>549</v>
      </c>
      <c r="Y104" t="s">
        <v>275</v>
      </c>
      <c r="Z104" t="s">
        <v>3824</v>
      </c>
      <c r="AA104" t="s">
        <v>3970</v>
      </c>
      <c r="AB104" t="s">
        <v>902</v>
      </c>
      <c r="AC104" t="s">
        <v>905</v>
      </c>
      <c r="AF104" t="s">
        <v>923</v>
      </c>
      <c r="AI104">
        <v>5.5</v>
      </c>
      <c r="AK104" t="s">
        <v>939</v>
      </c>
      <c r="AL104" t="s">
        <v>274</v>
      </c>
      <c r="AT104">
        <v>2</v>
      </c>
      <c r="AU104">
        <v>1</v>
      </c>
      <c r="AV104" t="s">
        <v>273</v>
      </c>
      <c r="AY104" t="s">
        <v>273</v>
      </c>
      <c r="BB104">
        <v>0</v>
      </c>
      <c r="BC104">
        <v>0</v>
      </c>
      <c r="BD104">
        <v>0</v>
      </c>
      <c r="BE104">
        <v>0</v>
      </c>
      <c r="BF104" t="s">
        <v>1063</v>
      </c>
      <c r="BG104" t="s">
        <v>4159</v>
      </c>
      <c r="BH104">
        <v>40</v>
      </c>
      <c r="BI104" t="s">
        <v>1247</v>
      </c>
      <c r="BK104">
        <v>1896031</v>
      </c>
    </row>
    <row r="105" spans="1:63">
      <c r="A105" s="1">
        <f>HYPERLINK("https://lsnyc.legalserver.org/matter/dynamic-profile/view/1895398","19-1895398")</f>
        <v>0</v>
      </c>
      <c r="B105" t="s">
        <v>3570</v>
      </c>
      <c r="C105" t="s">
        <v>3679</v>
      </c>
      <c r="D105" t="s">
        <v>257</v>
      </c>
      <c r="E105" t="s">
        <v>3686</v>
      </c>
      <c r="F105" t="s">
        <v>273</v>
      </c>
      <c r="G105" t="s">
        <v>275</v>
      </c>
      <c r="H105">
        <v>0</v>
      </c>
      <c r="I105" t="s">
        <v>274</v>
      </c>
      <c r="K105" t="s">
        <v>989</v>
      </c>
      <c r="P105" t="s">
        <v>492</v>
      </c>
      <c r="Q105" t="s">
        <v>502</v>
      </c>
      <c r="S105" t="s">
        <v>503</v>
      </c>
      <c r="T105" t="s">
        <v>508</v>
      </c>
      <c r="U105" t="s">
        <v>511</v>
      </c>
      <c r="V105">
        <v>10453</v>
      </c>
      <c r="W105" t="s">
        <v>541</v>
      </c>
      <c r="X105" t="s">
        <v>548</v>
      </c>
      <c r="Z105" t="s">
        <v>3825</v>
      </c>
      <c r="AA105" t="s">
        <v>3971</v>
      </c>
      <c r="AB105" t="s">
        <v>902</v>
      </c>
      <c r="AC105" t="s">
        <v>905</v>
      </c>
      <c r="AF105" t="s">
        <v>926</v>
      </c>
      <c r="AI105">
        <v>10</v>
      </c>
      <c r="AK105" t="s">
        <v>934</v>
      </c>
      <c r="AL105" t="s">
        <v>274</v>
      </c>
      <c r="AT105">
        <v>4</v>
      </c>
      <c r="AU105">
        <v>1</v>
      </c>
      <c r="AV105" t="s">
        <v>273</v>
      </c>
      <c r="AY105" t="s">
        <v>273</v>
      </c>
      <c r="BB105">
        <v>0</v>
      </c>
      <c r="BC105">
        <v>0</v>
      </c>
      <c r="BD105">
        <v>0</v>
      </c>
      <c r="BE105">
        <v>0</v>
      </c>
      <c r="BF105" t="s">
        <v>1063</v>
      </c>
      <c r="BG105" t="s">
        <v>4160</v>
      </c>
      <c r="BH105">
        <v>15</v>
      </c>
      <c r="BI105" t="s">
        <v>1247</v>
      </c>
      <c r="BK105">
        <v>1896040</v>
      </c>
    </row>
    <row r="106" spans="1:63">
      <c r="A106" s="1">
        <f>HYPERLINK("https://lsnyc.legalserver.org/matter/dynamic-profile/view/1895399","19-1895399")</f>
        <v>0</v>
      </c>
      <c r="B106" t="s">
        <v>3571</v>
      </c>
      <c r="C106" t="s">
        <v>3679</v>
      </c>
      <c r="D106" t="s">
        <v>257</v>
      </c>
      <c r="E106" t="s">
        <v>3686</v>
      </c>
      <c r="F106" t="s">
        <v>273</v>
      </c>
      <c r="G106" t="s">
        <v>275</v>
      </c>
      <c r="H106">
        <v>0</v>
      </c>
      <c r="I106" t="s">
        <v>274</v>
      </c>
      <c r="K106" t="s">
        <v>989</v>
      </c>
      <c r="Q106" t="s">
        <v>502</v>
      </c>
      <c r="S106" t="s">
        <v>503</v>
      </c>
      <c r="T106" t="s">
        <v>507</v>
      </c>
      <c r="U106" t="s">
        <v>511</v>
      </c>
      <c r="V106">
        <v>10453</v>
      </c>
      <c r="W106" t="s">
        <v>541</v>
      </c>
      <c r="X106" t="s">
        <v>548</v>
      </c>
      <c r="Z106" t="s">
        <v>3826</v>
      </c>
      <c r="AA106" t="s">
        <v>3971</v>
      </c>
      <c r="AB106" t="s">
        <v>902</v>
      </c>
      <c r="AC106" t="s">
        <v>905</v>
      </c>
      <c r="AF106" t="s">
        <v>923</v>
      </c>
      <c r="AI106">
        <v>3</v>
      </c>
      <c r="AK106" t="s">
        <v>934</v>
      </c>
      <c r="AL106" t="s">
        <v>274</v>
      </c>
      <c r="AT106">
        <v>4</v>
      </c>
      <c r="AU106">
        <v>1</v>
      </c>
      <c r="AV106" t="s">
        <v>273</v>
      </c>
      <c r="AY106" t="s">
        <v>273</v>
      </c>
      <c r="BB106">
        <v>0</v>
      </c>
      <c r="BC106">
        <v>0</v>
      </c>
      <c r="BD106">
        <v>0</v>
      </c>
      <c r="BE106">
        <v>0</v>
      </c>
      <c r="BF106" t="s">
        <v>1063</v>
      </c>
      <c r="BG106" t="s">
        <v>4161</v>
      </c>
      <c r="BH106">
        <v>13</v>
      </c>
      <c r="BI106" t="s">
        <v>1247</v>
      </c>
      <c r="BK106">
        <v>1896040</v>
      </c>
    </row>
    <row r="107" spans="1:63">
      <c r="A107" s="1">
        <f>HYPERLINK("https://lsnyc.legalserver.org/matter/dynamic-profile/view/1895400","19-1895400")</f>
        <v>0</v>
      </c>
      <c r="B107" t="s">
        <v>3570</v>
      </c>
      <c r="C107" t="s">
        <v>3679</v>
      </c>
      <c r="D107" t="s">
        <v>257</v>
      </c>
      <c r="E107" t="s">
        <v>3686</v>
      </c>
      <c r="F107" t="s">
        <v>273</v>
      </c>
      <c r="G107" t="s">
        <v>275</v>
      </c>
      <c r="H107">
        <v>0</v>
      </c>
      <c r="I107" t="s">
        <v>274</v>
      </c>
      <c r="K107" t="s">
        <v>989</v>
      </c>
      <c r="P107" t="s">
        <v>492</v>
      </c>
      <c r="Q107" t="s">
        <v>502</v>
      </c>
      <c r="S107" t="s">
        <v>503</v>
      </c>
      <c r="T107" t="s">
        <v>508</v>
      </c>
      <c r="U107" t="s">
        <v>511</v>
      </c>
      <c r="V107">
        <v>10453</v>
      </c>
      <c r="W107" t="s">
        <v>520</v>
      </c>
      <c r="X107" t="s">
        <v>548</v>
      </c>
      <c r="Z107" t="s">
        <v>3825</v>
      </c>
      <c r="AA107" t="s">
        <v>3971</v>
      </c>
      <c r="AB107" t="s">
        <v>902</v>
      </c>
      <c r="AC107" t="s">
        <v>905</v>
      </c>
      <c r="AF107" t="s">
        <v>923</v>
      </c>
      <c r="AI107">
        <v>1</v>
      </c>
      <c r="AK107" t="s">
        <v>934</v>
      </c>
      <c r="AL107" t="s">
        <v>274</v>
      </c>
      <c r="AT107">
        <v>4</v>
      </c>
      <c r="AU107">
        <v>1</v>
      </c>
      <c r="AV107" t="s">
        <v>273</v>
      </c>
      <c r="AY107" t="s">
        <v>273</v>
      </c>
      <c r="BB107">
        <v>0</v>
      </c>
      <c r="BC107">
        <v>0</v>
      </c>
      <c r="BD107">
        <v>0</v>
      </c>
      <c r="BE107">
        <v>0</v>
      </c>
      <c r="BF107" t="s">
        <v>1063</v>
      </c>
      <c r="BG107" t="s">
        <v>4160</v>
      </c>
      <c r="BH107">
        <v>15</v>
      </c>
      <c r="BI107" t="s">
        <v>1247</v>
      </c>
      <c r="BK107">
        <v>1896040</v>
      </c>
    </row>
    <row r="108" spans="1:63">
      <c r="A108" s="1">
        <f>HYPERLINK("https://lsnyc.legalserver.org/matter/dynamic-profile/view/1895402","19-1895402")</f>
        <v>0</v>
      </c>
      <c r="B108" t="s">
        <v>3571</v>
      </c>
      <c r="C108" t="s">
        <v>3679</v>
      </c>
      <c r="D108" t="s">
        <v>257</v>
      </c>
      <c r="E108" t="s">
        <v>3686</v>
      </c>
      <c r="F108" t="s">
        <v>273</v>
      </c>
      <c r="G108" t="s">
        <v>275</v>
      </c>
      <c r="H108">
        <v>0</v>
      </c>
      <c r="I108" t="s">
        <v>274</v>
      </c>
      <c r="K108" t="s">
        <v>989</v>
      </c>
      <c r="Q108" t="s">
        <v>502</v>
      </c>
      <c r="S108" t="s">
        <v>503</v>
      </c>
      <c r="T108" t="s">
        <v>507</v>
      </c>
      <c r="U108" t="s">
        <v>511</v>
      </c>
      <c r="V108">
        <v>10453</v>
      </c>
      <c r="W108" t="s">
        <v>520</v>
      </c>
      <c r="X108" t="s">
        <v>548</v>
      </c>
      <c r="Z108" t="s">
        <v>3826</v>
      </c>
      <c r="AA108" t="s">
        <v>3971</v>
      </c>
      <c r="AB108" t="s">
        <v>902</v>
      </c>
      <c r="AC108" t="s">
        <v>905</v>
      </c>
      <c r="AF108" t="s">
        <v>923</v>
      </c>
      <c r="AI108">
        <v>1</v>
      </c>
      <c r="AK108" t="s">
        <v>934</v>
      </c>
      <c r="AL108" t="s">
        <v>274</v>
      </c>
      <c r="AT108">
        <v>4</v>
      </c>
      <c r="AU108">
        <v>1</v>
      </c>
      <c r="AV108" t="s">
        <v>273</v>
      </c>
      <c r="AY108" t="s">
        <v>273</v>
      </c>
      <c r="BB108">
        <v>0</v>
      </c>
      <c r="BC108">
        <v>0</v>
      </c>
      <c r="BD108">
        <v>0</v>
      </c>
      <c r="BE108">
        <v>0</v>
      </c>
      <c r="BF108" t="s">
        <v>1063</v>
      </c>
      <c r="BG108" t="s">
        <v>4161</v>
      </c>
      <c r="BH108">
        <v>13</v>
      </c>
      <c r="BI108" t="s">
        <v>1247</v>
      </c>
      <c r="BK108">
        <v>1896040</v>
      </c>
    </row>
    <row r="109" spans="1:63">
      <c r="A109" s="1">
        <f>HYPERLINK("https://lsnyc.legalserver.org/matter/dynamic-profile/view/1893030","19-1893030")</f>
        <v>0</v>
      </c>
      <c r="B109" t="s">
        <v>3493</v>
      </c>
      <c r="C109" t="s">
        <v>3679</v>
      </c>
      <c r="D109" t="s">
        <v>257</v>
      </c>
      <c r="E109" t="s">
        <v>3685</v>
      </c>
      <c r="F109" t="s">
        <v>273</v>
      </c>
      <c r="G109" t="s">
        <v>275</v>
      </c>
      <c r="H109">
        <v>0</v>
      </c>
      <c r="I109" t="s">
        <v>274</v>
      </c>
      <c r="K109" t="s">
        <v>991</v>
      </c>
      <c r="M109" t="s">
        <v>473</v>
      </c>
      <c r="P109" t="s">
        <v>492</v>
      </c>
      <c r="Q109" t="s">
        <v>502</v>
      </c>
      <c r="S109" t="s">
        <v>503</v>
      </c>
      <c r="T109" t="s">
        <v>508</v>
      </c>
      <c r="U109" t="s">
        <v>511</v>
      </c>
      <c r="V109">
        <v>10460</v>
      </c>
      <c r="W109" t="s">
        <v>529</v>
      </c>
      <c r="X109" t="s">
        <v>549</v>
      </c>
      <c r="Y109" t="s">
        <v>275</v>
      </c>
      <c r="Z109" t="s">
        <v>3767</v>
      </c>
      <c r="AA109" t="s">
        <v>2337</v>
      </c>
      <c r="AB109" t="s">
        <v>902</v>
      </c>
      <c r="AC109" t="s">
        <v>905</v>
      </c>
      <c r="AF109" t="s">
        <v>923</v>
      </c>
      <c r="AI109">
        <v>29.15</v>
      </c>
      <c r="AJ109" t="s">
        <v>558</v>
      </c>
      <c r="AK109" t="s">
        <v>969</v>
      </c>
      <c r="AL109" t="s">
        <v>274</v>
      </c>
      <c r="AT109">
        <v>0</v>
      </c>
      <c r="AU109">
        <v>1</v>
      </c>
      <c r="AV109" t="s">
        <v>273</v>
      </c>
      <c r="AY109" t="s">
        <v>273</v>
      </c>
      <c r="BB109">
        <v>0</v>
      </c>
      <c r="BC109">
        <v>0</v>
      </c>
      <c r="BD109">
        <v>0</v>
      </c>
      <c r="BE109">
        <v>0</v>
      </c>
      <c r="BF109" t="s">
        <v>1063</v>
      </c>
      <c r="BG109" t="s">
        <v>4086</v>
      </c>
      <c r="BH109">
        <v>19</v>
      </c>
      <c r="BI109" t="s">
        <v>1247</v>
      </c>
      <c r="BK109">
        <v>1893666</v>
      </c>
    </row>
    <row r="110" spans="1:63">
      <c r="A110" s="1">
        <f>HYPERLINK("https://lsnyc.legalserver.org/matter/dynamic-profile/view/1892829","19-1892829")</f>
        <v>0</v>
      </c>
      <c r="B110" t="s">
        <v>3500</v>
      </c>
      <c r="C110" t="s">
        <v>3679</v>
      </c>
      <c r="D110" t="s">
        <v>257</v>
      </c>
      <c r="E110" t="s">
        <v>3685</v>
      </c>
      <c r="F110" t="s">
        <v>273</v>
      </c>
      <c r="G110" t="s">
        <v>275</v>
      </c>
      <c r="H110">
        <v>0</v>
      </c>
      <c r="I110" t="s">
        <v>274</v>
      </c>
      <c r="K110" t="s">
        <v>334</v>
      </c>
      <c r="P110" t="s">
        <v>492</v>
      </c>
      <c r="Q110" t="s">
        <v>502</v>
      </c>
      <c r="S110" t="s">
        <v>503</v>
      </c>
      <c r="T110" t="s">
        <v>507</v>
      </c>
      <c r="U110" t="s">
        <v>511</v>
      </c>
      <c r="V110">
        <v>10453</v>
      </c>
      <c r="W110" t="s">
        <v>529</v>
      </c>
      <c r="X110" t="s">
        <v>548</v>
      </c>
      <c r="Y110" t="s">
        <v>275</v>
      </c>
      <c r="Z110" t="s">
        <v>3773</v>
      </c>
      <c r="AA110" t="s">
        <v>3915</v>
      </c>
      <c r="AB110" t="s">
        <v>902</v>
      </c>
      <c r="AC110" t="s">
        <v>905</v>
      </c>
      <c r="AF110" t="s">
        <v>923</v>
      </c>
      <c r="AI110">
        <v>6.45</v>
      </c>
      <c r="AK110" t="s">
        <v>934</v>
      </c>
      <c r="AL110" t="s">
        <v>274</v>
      </c>
      <c r="AT110">
        <v>2</v>
      </c>
      <c r="AU110">
        <v>1</v>
      </c>
      <c r="AV110" t="s">
        <v>273</v>
      </c>
      <c r="AY110" t="s">
        <v>273</v>
      </c>
      <c r="BB110">
        <v>0</v>
      </c>
      <c r="BC110">
        <v>0</v>
      </c>
      <c r="BD110">
        <v>0</v>
      </c>
      <c r="BE110">
        <v>0</v>
      </c>
      <c r="BF110" t="s">
        <v>1063</v>
      </c>
      <c r="BG110" t="s">
        <v>4094</v>
      </c>
      <c r="BH110">
        <v>10</v>
      </c>
      <c r="BI110" t="s">
        <v>1247</v>
      </c>
      <c r="BK110">
        <v>1861791</v>
      </c>
    </row>
    <row r="111" spans="1:63">
      <c r="A111" s="1">
        <f>HYPERLINK("https://lsnyc.legalserver.org/matter/dynamic-profile/view/1892840","19-1892840")</f>
        <v>0</v>
      </c>
      <c r="B111" t="s">
        <v>3566</v>
      </c>
      <c r="C111" t="s">
        <v>3679</v>
      </c>
      <c r="D111" t="s">
        <v>257</v>
      </c>
      <c r="E111" t="s">
        <v>3686</v>
      </c>
      <c r="F111" t="s">
        <v>273</v>
      </c>
      <c r="G111" t="s">
        <v>275</v>
      </c>
      <c r="H111">
        <v>0</v>
      </c>
      <c r="K111" t="s">
        <v>334</v>
      </c>
      <c r="O111" t="s">
        <v>275</v>
      </c>
      <c r="P111" t="s">
        <v>492</v>
      </c>
      <c r="Q111" t="s">
        <v>501</v>
      </c>
      <c r="S111" t="s">
        <v>503</v>
      </c>
      <c r="T111" t="s">
        <v>508</v>
      </c>
      <c r="U111" t="s">
        <v>511</v>
      </c>
      <c r="V111">
        <v>10457</v>
      </c>
      <c r="W111" t="s">
        <v>519</v>
      </c>
      <c r="X111" t="s">
        <v>548</v>
      </c>
      <c r="Z111" t="s">
        <v>2009</v>
      </c>
      <c r="AA111" t="s">
        <v>3967</v>
      </c>
      <c r="AB111" t="s">
        <v>902</v>
      </c>
      <c r="AC111" t="s">
        <v>910</v>
      </c>
      <c r="AF111" t="s">
        <v>926</v>
      </c>
      <c r="AI111">
        <v>114.7</v>
      </c>
      <c r="AJ111" t="s">
        <v>558</v>
      </c>
      <c r="AK111" t="s">
        <v>934</v>
      </c>
      <c r="AL111" t="s">
        <v>274</v>
      </c>
      <c r="AT111">
        <v>1</v>
      </c>
      <c r="AU111">
        <v>1</v>
      </c>
      <c r="AV111" t="s">
        <v>273</v>
      </c>
      <c r="AY111" t="s">
        <v>273</v>
      </c>
      <c r="BB111">
        <v>0</v>
      </c>
      <c r="BC111">
        <v>0</v>
      </c>
      <c r="BD111">
        <v>0</v>
      </c>
      <c r="BE111">
        <v>0</v>
      </c>
      <c r="BF111" t="s">
        <v>1063</v>
      </c>
      <c r="BG111" t="s">
        <v>4156</v>
      </c>
      <c r="BH111">
        <v>37</v>
      </c>
      <c r="BI111" t="s">
        <v>1247</v>
      </c>
      <c r="BK111">
        <v>1893476</v>
      </c>
    </row>
    <row r="112" spans="1:63">
      <c r="A112" s="1">
        <f>HYPERLINK("https://lsnyc.legalserver.org/matter/dynamic-profile/view/1892574","19-1892574")</f>
        <v>0</v>
      </c>
      <c r="B112" t="s">
        <v>3486</v>
      </c>
      <c r="C112" t="s">
        <v>3679</v>
      </c>
      <c r="D112" t="s">
        <v>257</v>
      </c>
      <c r="E112" t="s">
        <v>3685</v>
      </c>
      <c r="F112" t="s">
        <v>273</v>
      </c>
      <c r="G112" t="s">
        <v>275</v>
      </c>
      <c r="H112">
        <v>0</v>
      </c>
      <c r="I112" t="s">
        <v>274</v>
      </c>
      <c r="K112" t="s">
        <v>336</v>
      </c>
      <c r="P112" t="s">
        <v>492</v>
      </c>
      <c r="Q112" t="s">
        <v>502</v>
      </c>
      <c r="S112" t="s">
        <v>503</v>
      </c>
      <c r="T112" t="s">
        <v>507</v>
      </c>
      <c r="U112" t="s">
        <v>511</v>
      </c>
      <c r="V112">
        <v>10453</v>
      </c>
      <c r="W112" t="s">
        <v>531</v>
      </c>
      <c r="X112" t="s">
        <v>3757</v>
      </c>
      <c r="Y112" t="s">
        <v>275</v>
      </c>
      <c r="Z112" t="s">
        <v>3762</v>
      </c>
      <c r="AA112" t="s">
        <v>3904</v>
      </c>
      <c r="AB112" t="s">
        <v>902</v>
      </c>
      <c r="AC112" t="s">
        <v>905</v>
      </c>
      <c r="AF112" t="s">
        <v>923</v>
      </c>
      <c r="AI112">
        <v>0.55</v>
      </c>
      <c r="AJ112" t="s">
        <v>931</v>
      </c>
      <c r="AK112" t="s">
        <v>4057</v>
      </c>
      <c r="AL112" t="s">
        <v>274</v>
      </c>
      <c r="AT112">
        <v>0</v>
      </c>
      <c r="AU112">
        <v>2</v>
      </c>
      <c r="AV112" t="s">
        <v>273</v>
      </c>
      <c r="AY112" t="s">
        <v>273</v>
      </c>
      <c r="BB112">
        <v>0</v>
      </c>
      <c r="BC112">
        <v>0</v>
      </c>
      <c r="BD112">
        <v>0</v>
      </c>
      <c r="BE112">
        <v>0</v>
      </c>
      <c r="BF112" t="s">
        <v>1063</v>
      </c>
      <c r="BG112" t="s">
        <v>4080</v>
      </c>
      <c r="BH112">
        <v>20</v>
      </c>
      <c r="BI112" t="s">
        <v>1247</v>
      </c>
      <c r="BK112">
        <v>1892061</v>
      </c>
    </row>
    <row r="113" spans="1:64">
      <c r="A113" s="1">
        <f>HYPERLINK("https://lsnyc.legalserver.org/matter/dynamic-profile/view/1892577","19-1892577")</f>
        <v>0</v>
      </c>
      <c r="B113" t="s">
        <v>3486</v>
      </c>
      <c r="C113" t="s">
        <v>3679</v>
      </c>
      <c r="D113" t="s">
        <v>257</v>
      </c>
      <c r="E113" t="s">
        <v>3685</v>
      </c>
      <c r="F113" t="s">
        <v>273</v>
      </c>
      <c r="G113" t="s">
        <v>275</v>
      </c>
      <c r="H113">
        <v>0</v>
      </c>
      <c r="I113" t="s">
        <v>274</v>
      </c>
      <c r="K113" t="s">
        <v>336</v>
      </c>
      <c r="M113" t="s">
        <v>473</v>
      </c>
      <c r="P113" t="s">
        <v>492</v>
      </c>
      <c r="Q113" t="s">
        <v>502</v>
      </c>
      <c r="S113" t="s">
        <v>503</v>
      </c>
      <c r="T113" t="s">
        <v>507</v>
      </c>
      <c r="U113" t="s">
        <v>511</v>
      </c>
      <c r="V113">
        <v>10453</v>
      </c>
      <c r="W113" t="s">
        <v>519</v>
      </c>
      <c r="X113" t="s">
        <v>3757</v>
      </c>
      <c r="Y113" t="s">
        <v>275</v>
      </c>
      <c r="Z113" t="s">
        <v>3762</v>
      </c>
      <c r="AA113" t="s">
        <v>3904</v>
      </c>
      <c r="AB113" t="s">
        <v>902</v>
      </c>
      <c r="AC113" t="s">
        <v>905</v>
      </c>
      <c r="AF113" t="s">
        <v>923</v>
      </c>
      <c r="AI113">
        <v>8.550000000000001</v>
      </c>
      <c r="AJ113" t="s">
        <v>931</v>
      </c>
      <c r="AK113" t="s">
        <v>4057</v>
      </c>
      <c r="AL113" t="s">
        <v>274</v>
      </c>
      <c r="AT113">
        <v>0</v>
      </c>
      <c r="AU113">
        <v>2</v>
      </c>
      <c r="AV113" t="s">
        <v>273</v>
      </c>
      <c r="AY113" t="s">
        <v>273</v>
      </c>
      <c r="BB113">
        <v>0</v>
      </c>
      <c r="BC113">
        <v>0</v>
      </c>
      <c r="BD113">
        <v>0</v>
      </c>
      <c r="BE113">
        <v>0</v>
      </c>
      <c r="BF113" t="s">
        <v>1063</v>
      </c>
      <c r="BG113" t="s">
        <v>4080</v>
      </c>
      <c r="BH113">
        <v>20</v>
      </c>
      <c r="BI113" t="s">
        <v>1247</v>
      </c>
      <c r="BK113">
        <v>1892061</v>
      </c>
    </row>
    <row r="114" spans="1:64">
      <c r="A114" s="1">
        <f>HYPERLINK("https://lsnyc.legalserver.org/matter/dynamic-profile/view/1892612","19-1892612")</f>
        <v>0</v>
      </c>
      <c r="B114" t="s">
        <v>3572</v>
      </c>
      <c r="C114" t="s">
        <v>3679</v>
      </c>
      <c r="D114" t="s">
        <v>257</v>
      </c>
      <c r="E114" t="s">
        <v>3685</v>
      </c>
      <c r="F114" t="s">
        <v>273</v>
      </c>
      <c r="G114" t="s">
        <v>275</v>
      </c>
      <c r="H114">
        <v>80.78</v>
      </c>
      <c r="I114" t="s">
        <v>274</v>
      </c>
      <c r="K114" t="s">
        <v>336</v>
      </c>
      <c r="M114" t="s">
        <v>473</v>
      </c>
      <c r="O114" t="s">
        <v>275</v>
      </c>
      <c r="Q114" t="s">
        <v>502</v>
      </c>
      <c r="S114" t="s">
        <v>506</v>
      </c>
      <c r="T114" t="s">
        <v>508</v>
      </c>
      <c r="U114" t="s">
        <v>1821</v>
      </c>
      <c r="V114">
        <v>10454</v>
      </c>
      <c r="W114" t="s">
        <v>1828</v>
      </c>
      <c r="X114" t="s">
        <v>548</v>
      </c>
      <c r="Y114" t="s">
        <v>275</v>
      </c>
      <c r="Z114" t="s">
        <v>3827</v>
      </c>
      <c r="AA114" t="s">
        <v>3972</v>
      </c>
      <c r="AB114" t="s">
        <v>902</v>
      </c>
      <c r="AC114" t="s">
        <v>905</v>
      </c>
      <c r="AF114" t="s">
        <v>923</v>
      </c>
      <c r="AI114">
        <v>6.2</v>
      </c>
      <c r="AJ114" t="s">
        <v>558</v>
      </c>
      <c r="AK114" t="s">
        <v>933</v>
      </c>
      <c r="AL114" t="s">
        <v>274</v>
      </c>
      <c r="AT114">
        <v>2</v>
      </c>
      <c r="AU114">
        <v>2</v>
      </c>
      <c r="AV114" t="s">
        <v>273</v>
      </c>
      <c r="AY114" t="s">
        <v>273</v>
      </c>
      <c r="BB114">
        <v>0</v>
      </c>
      <c r="BC114">
        <v>0</v>
      </c>
      <c r="BD114">
        <v>0</v>
      </c>
      <c r="BE114">
        <v>0</v>
      </c>
      <c r="BF114" t="s">
        <v>1063</v>
      </c>
      <c r="BG114" t="s">
        <v>4162</v>
      </c>
      <c r="BH114">
        <v>14</v>
      </c>
      <c r="BI114" t="s">
        <v>1261</v>
      </c>
      <c r="BK114">
        <v>1893248</v>
      </c>
    </row>
    <row r="115" spans="1:64">
      <c r="A115" s="1">
        <f>HYPERLINK("https://lsnyc.legalserver.org/matter/dynamic-profile/view/1892431","19-1892431")</f>
        <v>0</v>
      </c>
      <c r="B115" t="s">
        <v>3486</v>
      </c>
      <c r="C115" t="s">
        <v>3679</v>
      </c>
      <c r="D115" t="s">
        <v>257</v>
      </c>
      <c r="E115" t="s">
        <v>3685</v>
      </c>
      <c r="F115" t="s">
        <v>273</v>
      </c>
      <c r="G115" t="s">
        <v>275</v>
      </c>
      <c r="H115">
        <v>0</v>
      </c>
      <c r="I115" t="s">
        <v>274</v>
      </c>
      <c r="K115" t="s">
        <v>1021</v>
      </c>
      <c r="P115" t="s">
        <v>492</v>
      </c>
      <c r="Q115" t="s">
        <v>502</v>
      </c>
      <c r="S115" t="s">
        <v>503</v>
      </c>
      <c r="T115" t="s">
        <v>507</v>
      </c>
      <c r="U115" t="s">
        <v>511</v>
      </c>
      <c r="V115">
        <v>10453</v>
      </c>
      <c r="W115" t="s">
        <v>529</v>
      </c>
      <c r="X115" t="s">
        <v>3757</v>
      </c>
      <c r="Y115" t="s">
        <v>275</v>
      </c>
      <c r="Z115" t="s">
        <v>3762</v>
      </c>
      <c r="AA115" t="s">
        <v>3904</v>
      </c>
      <c r="AB115" t="s">
        <v>902</v>
      </c>
      <c r="AC115" t="s">
        <v>905</v>
      </c>
      <c r="AF115" t="s">
        <v>923</v>
      </c>
      <c r="AI115">
        <v>0.55</v>
      </c>
      <c r="AJ115" t="s">
        <v>931</v>
      </c>
      <c r="AK115" t="s">
        <v>4057</v>
      </c>
      <c r="AL115" t="s">
        <v>274</v>
      </c>
      <c r="AT115">
        <v>0</v>
      </c>
      <c r="AU115">
        <v>2</v>
      </c>
      <c r="AV115" t="s">
        <v>273</v>
      </c>
      <c r="AY115" t="s">
        <v>273</v>
      </c>
      <c r="BB115">
        <v>0</v>
      </c>
      <c r="BC115">
        <v>0</v>
      </c>
      <c r="BD115">
        <v>0</v>
      </c>
      <c r="BE115">
        <v>0</v>
      </c>
      <c r="BF115" t="s">
        <v>1063</v>
      </c>
      <c r="BG115" t="s">
        <v>4080</v>
      </c>
      <c r="BH115">
        <v>20</v>
      </c>
      <c r="BI115" t="s">
        <v>1247</v>
      </c>
      <c r="BK115">
        <v>1892061</v>
      </c>
    </row>
    <row r="116" spans="1:64">
      <c r="A116" s="1">
        <f>HYPERLINK("https://lsnyc.legalserver.org/matter/dynamic-profile/view/1891695","19-1891695")</f>
        <v>0</v>
      </c>
      <c r="B116" t="s">
        <v>3573</v>
      </c>
      <c r="C116" t="s">
        <v>3679</v>
      </c>
      <c r="D116" t="s">
        <v>3680</v>
      </c>
      <c r="E116" t="s">
        <v>3683</v>
      </c>
      <c r="F116" t="s">
        <v>273</v>
      </c>
      <c r="G116" t="s">
        <v>275</v>
      </c>
      <c r="H116">
        <v>131.26</v>
      </c>
      <c r="I116" t="s">
        <v>274</v>
      </c>
      <c r="K116" t="s">
        <v>340</v>
      </c>
      <c r="M116" t="s">
        <v>471</v>
      </c>
      <c r="N116" t="s">
        <v>1811</v>
      </c>
      <c r="Q116" t="s">
        <v>501</v>
      </c>
      <c r="S116" t="s">
        <v>503</v>
      </c>
      <c r="T116" t="s">
        <v>508</v>
      </c>
      <c r="U116" t="s">
        <v>511</v>
      </c>
      <c r="V116">
        <v>10467</v>
      </c>
      <c r="W116" t="s">
        <v>521</v>
      </c>
      <c r="X116" t="s">
        <v>548</v>
      </c>
      <c r="Y116" t="s">
        <v>275</v>
      </c>
      <c r="Z116" t="s">
        <v>3828</v>
      </c>
      <c r="AA116" t="s">
        <v>3973</v>
      </c>
      <c r="AB116" t="s">
        <v>902</v>
      </c>
      <c r="AC116" t="s">
        <v>906</v>
      </c>
      <c r="AF116" t="s">
        <v>923</v>
      </c>
      <c r="AI116">
        <v>1.28</v>
      </c>
      <c r="AJ116" t="s">
        <v>931</v>
      </c>
      <c r="AK116" t="s">
        <v>945</v>
      </c>
      <c r="AL116" t="s">
        <v>274</v>
      </c>
      <c r="AM116" t="s">
        <v>973</v>
      </c>
      <c r="AN116" t="s">
        <v>469</v>
      </c>
      <c r="AT116">
        <v>1</v>
      </c>
      <c r="AU116">
        <v>3</v>
      </c>
      <c r="AV116" t="s">
        <v>273</v>
      </c>
      <c r="AY116" t="s">
        <v>273</v>
      </c>
      <c r="BB116">
        <v>0</v>
      </c>
      <c r="BC116">
        <v>0</v>
      </c>
      <c r="BD116">
        <v>0</v>
      </c>
      <c r="BE116">
        <v>0</v>
      </c>
      <c r="BF116" t="s">
        <v>1063</v>
      </c>
      <c r="BG116" t="s">
        <v>4163</v>
      </c>
      <c r="BH116">
        <v>41</v>
      </c>
      <c r="BI116" t="s">
        <v>4260</v>
      </c>
      <c r="BK116">
        <v>1892329</v>
      </c>
      <c r="BL116" t="s">
        <v>275</v>
      </c>
    </row>
    <row r="117" spans="1:64">
      <c r="A117" s="1">
        <f>HYPERLINK("https://lsnyc.legalserver.org/matter/dynamic-profile/view/1891701","19-1891701")</f>
        <v>0</v>
      </c>
      <c r="B117" t="s">
        <v>3574</v>
      </c>
      <c r="C117" t="s">
        <v>3679</v>
      </c>
      <c r="D117" t="s">
        <v>3680</v>
      </c>
      <c r="E117" t="s">
        <v>3683</v>
      </c>
      <c r="F117" t="s">
        <v>273</v>
      </c>
      <c r="G117" t="s">
        <v>275</v>
      </c>
      <c r="H117">
        <v>131.26</v>
      </c>
      <c r="I117" t="s">
        <v>274</v>
      </c>
      <c r="K117" t="s">
        <v>340</v>
      </c>
      <c r="M117" t="s">
        <v>471</v>
      </c>
      <c r="N117" t="s">
        <v>1811</v>
      </c>
      <c r="P117" t="s">
        <v>492</v>
      </c>
      <c r="Q117" t="s">
        <v>501</v>
      </c>
      <c r="S117" t="s">
        <v>503</v>
      </c>
      <c r="T117" t="s">
        <v>508</v>
      </c>
      <c r="U117" t="s">
        <v>511</v>
      </c>
      <c r="V117">
        <v>10467</v>
      </c>
      <c r="W117" t="s">
        <v>521</v>
      </c>
      <c r="X117" t="s">
        <v>548</v>
      </c>
      <c r="Y117" t="s">
        <v>275</v>
      </c>
      <c r="Z117" t="s">
        <v>3829</v>
      </c>
      <c r="AA117" t="s">
        <v>3974</v>
      </c>
      <c r="AB117" t="s">
        <v>902</v>
      </c>
      <c r="AC117" t="s">
        <v>905</v>
      </c>
      <c r="AF117" t="s">
        <v>923</v>
      </c>
      <c r="AI117">
        <v>14.32</v>
      </c>
      <c r="AJ117" t="s">
        <v>931</v>
      </c>
      <c r="AK117" t="s">
        <v>945</v>
      </c>
      <c r="AL117" t="s">
        <v>274</v>
      </c>
      <c r="AT117">
        <v>1</v>
      </c>
      <c r="AU117">
        <v>3</v>
      </c>
      <c r="AV117" t="s">
        <v>273</v>
      </c>
      <c r="AY117" t="s">
        <v>273</v>
      </c>
      <c r="BB117">
        <v>0</v>
      </c>
      <c r="BC117">
        <v>0</v>
      </c>
      <c r="BD117">
        <v>0</v>
      </c>
      <c r="BE117">
        <v>0</v>
      </c>
      <c r="BF117" t="s">
        <v>1063</v>
      </c>
      <c r="BG117" t="s">
        <v>4164</v>
      </c>
      <c r="BH117">
        <v>19</v>
      </c>
      <c r="BI117" t="s">
        <v>4260</v>
      </c>
      <c r="BK117">
        <v>1892329</v>
      </c>
      <c r="BL117" t="s">
        <v>275</v>
      </c>
    </row>
    <row r="118" spans="1:64">
      <c r="A118" s="1">
        <f>HYPERLINK("https://lsnyc.legalserver.org/matter/dynamic-profile/view/1891704","19-1891704")</f>
        <v>0</v>
      </c>
      <c r="B118" t="s">
        <v>3575</v>
      </c>
      <c r="C118" t="s">
        <v>3679</v>
      </c>
      <c r="D118" t="s">
        <v>3680</v>
      </c>
      <c r="E118" t="s">
        <v>3683</v>
      </c>
      <c r="F118" t="s">
        <v>273</v>
      </c>
      <c r="G118" t="s">
        <v>275</v>
      </c>
      <c r="H118">
        <v>131.26</v>
      </c>
      <c r="I118" t="s">
        <v>274</v>
      </c>
      <c r="K118" t="s">
        <v>340</v>
      </c>
      <c r="M118" t="s">
        <v>471</v>
      </c>
      <c r="N118" t="s">
        <v>1811</v>
      </c>
      <c r="P118" t="s">
        <v>492</v>
      </c>
      <c r="Q118" t="s">
        <v>501</v>
      </c>
      <c r="S118" t="s">
        <v>503</v>
      </c>
      <c r="T118" t="s">
        <v>508</v>
      </c>
      <c r="U118" t="s">
        <v>511</v>
      </c>
      <c r="V118">
        <v>10467</v>
      </c>
      <c r="W118" t="s">
        <v>521</v>
      </c>
      <c r="X118" t="s">
        <v>548</v>
      </c>
      <c r="Y118" t="s">
        <v>275</v>
      </c>
      <c r="Z118" t="s">
        <v>3830</v>
      </c>
      <c r="AA118" t="s">
        <v>3974</v>
      </c>
      <c r="AB118" t="s">
        <v>902</v>
      </c>
      <c r="AC118" t="s">
        <v>905</v>
      </c>
      <c r="AF118" t="s">
        <v>923</v>
      </c>
      <c r="AI118">
        <v>0.97</v>
      </c>
      <c r="AK118" t="s">
        <v>945</v>
      </c>
      <c r="AL118" t="s">
        <v>274</v>
      </c>
      <c r="AT118">
        <v>1</v>
      </c>
      <c r="AU118">
        <v>3</v>
      </c>
      <c r="AV118" t="s">
        <v>273</v>
      </c>
      <c r="AY118" t="s">
        <v>273</v>
      </c>
      <c r="BB118">
        <v>0</v>
      </c>
      <c r="BC118">
        <v>0</v>
      </c>
      <c r="BD118">
        <v>0</v>
      </c>
      <c r="BE118">
        <v>0</v>
      </c>
      <c r="BF118" t="s">
        <v>1063</v>
      </c>
      <c r="BG118" t="s">
        <v>4165</v>
      </c>
      <c r="BH118">
        <v>13</v>
      </c>
      <c r="BI118" t="s">
        <v>4260</v>
      </c>
      <c r="BK118">
        <v>1892329</v>
      </c>
      <c r="BL118" t="s">
        <v>275</v>
      </c>
    </row>
    <row r="119" spans="1:64">
      <c r="A119" s="1">
        <f>HYPERLINK("https://lsnyc.legalserver.org/matter/dynamic-profile/view/1891428","19-1891428")</f>
        <v>0</v>
      </c>
      <c r="B119" t="s">
        <v>3485</v>
      </c>
      <c r="C119" t="s">
        <v>3679</v>
      </c>
      <c r="D119" t="s">
        <v>257</v>
      </c>
      <c r="E119" t="s">
        <v>3685</v>
      </c>
      <c r="F119" t="s">
        <v>273</v>
      </c>
      <c r="G119" t="s">
        <v>275</v>
      </c>
      <c r="H119">
        <v>0</v>
      </c>
      <c r="I119" t="s">
        <v>274</v>
      </c>
      <c r="K119" t="s">
        <v>1698</v>
      </c>
      <c r="M119" t="s">
        <v>473</v>
      </c>
      <c r="P119" t="s">
        <v>492</v>
      </c>
      <c r="Q119" t="s">
        <v>501</v>
      </c>
      <c r="S119" t="s">
        <v>503</v>
      </c>
      <c r="T119" t="s">
        <v>508</v>
      </c>
      <c r="U119" t="s">
        <v>511</v>
      </c>
      <c r="V119">
        <v>10453</v>
      </c>
      <c r="W119" t="s">
        <v>521</v>
      </c>
      <c r="X119" t="s">
        <v>548</v>
      </c>
      <c r="Y119" t="s">
        <v>275</v>
      </c>
      <c r="Z119" t="s">
        <v>3761</v>
      </c>
      <c r="AA119" t="s">
        <v>2191</v>
      </c>
      <c r="AB119" t="s">
        <v>902</v>
      </c>
      <c r="AC119" t="s">
        <v>905</v>
      </c>
      <c r="AF119" t="s">
        <v>923</v>
      </c>
      <c r="AI119">
        <v>119.65</v>
      </c>
      <c r="AJ119" t="s">
        <v>558</v>
      </c>
      <c r="AK119" t="s">
        <v>950</v>
      </c>
      <c r="AL119" t="s">
        <v>274</v>
      </c>
      <c r="AT119">
        <v>0</v>
      </c>
      <c r="AU119">
        <v>2</v>
      </c>
      <c r="AV119" t="s">
        <v>273</v>
      </c>
      <c r="AY119" t="s">
        <v>273</v>
      </c>
      <c r="BB119">
        <v>0</v>
      </c>
      <c r="BC119">
        <v>0</v>
      </c>
      <c r="BD119">
        <v>0</v>
      </c>
      <c r="BE119">
        <v>0</v>
      </c>
      <c r="BF119" t="s">
        <v>1063</v>
      </c>
      <c r="BG119" t="s">
        <v>4079</v>
      </c>
      <c r="BH119">
        <v>59</v>
      </c>
      <c r="BI119" t="s">
        <v>1247</v>
      </c>
      <c r="BK119">
        <v>1892061</v>
      </c>
    </row>
    <row r="120" spans="1:64">
      <c r="A120" s="1">
        <f>HYPERLINK("https://lsnyc.legalserver.org/matter/dynamic-profile/view/1890996","19-1890996")</f>
        <v>0</v>
      </c>
      <c r="B120" t="s">
        <v>3576</v>
      </c>
      <c r="C120" t="s">
        <v>3679</v>
      </c>
      <c r="D120" t="s">
        <v>257</v>
      </c>
      <c r="E120" t="s">
        <v>3683</v>
      </c>
      <c r="F120" t="s">
        <v>275</v>
      </c>
      <c r="G120" t="s">
        <v>275</v>
      </c>
      <c r="H120">
        <v>0</v>
      </c>
      <c r="I120" t="s">
        <v>274</v>
      </c>
      <c r="K120" t="s">
        <v>1700</v>
      </c>
      <c r="L120" t="s">
        <v>295</v>
      </c>
      <c r="O120" t="s">
        <v>274</v>
      </c>
      <c r="P120" t="s">
        <v>493</v>
      </c>
      <c r="Q120" t="s">
        <v>501</v>
      </c>
      <c r="S120" t="s">
        <v>503</v>
      </c>
      <c r="T120" t="s">
        <v>508</v>
      </c>
      <c r="U120" t="s">
        <v>511</v>
      </c>
      <c r="V120">
        <v>10458</v>
      </c>
      <c r="W120" t="s">
        <v>520</v>
      </c>
      <c r="X120" t="s">
        <v>548</v>
      </c>
      <c r="Y120" t="s">
        <v>274</v>
      </c>
      <c r="Z120" t="s">
        <v>3831</v>
      </c>
      <c r="AA120" t="s">
        <v>3975</v>
      </c>
      <c r="AB120" t="s">
        <v>902</v>
      </c>
      <c r="AC120" t="s">
        <v>905</v>
      </c>
      <c r="AD120" t="s">
        <v>274</v>
      </c>
      <c r="AE120" t="s">
        <v>919</v>
      </c>
      <c r="AF120" t="s">
        <v>923</v>
      </c>
      <c r="AI120">
        <v>2.65</v>
      </c>
      <c r="AJ120" t="s">
        <v>558</v>
      </c>
      <c r="AK120" t="s">
        <v>934</v>
      </c>
      <c r="AL120" t="s">
        <v>274</v>
      </c>
      <c r="AM120" t="s">
        <v>973</v>
      </c>
      <c r="AN120" t="s">
        <v>348</v>
      </c>
      <c r="AO120" t="s">
        <v>978</v>
      </c>
      <c r="AP120" t="s">
        <v>461</v>
      </c>
      <c r="AQ120" t="s">
        <v>1038</v>
      </c>
      <c r="AR120" t="s">
        <v>1051</v>
      </c>
      <c r="AT120">
        <v>2</v>
      </c>
      <c r="AU120">
        <v>1</v>
      </c>
      <c r="AV120" t="s">
        <v>273</v>
      </c>
      <c r="AY120" t="s">
        <v>273</v>
      </c>
      <c r="BB120">
        <v>0</v>
      </c>
      <c r="BC120">
        <v>0</v>
      </c>
      <c r="BD120">
        <v>0</v>
      </c>
      <c r="BE120">
        <v>0</v>
      </c>
      <c r="BF120" t="s">
        <v>493</v>
      </c>
      <c r="BG120" t="s">
        <v>2590</v>
      </c>
      <c r="BH120">
        <v>34</v>
      </c>
      <c r="BI120" t="s">
        <v>1247</v>
      </c>
      <c r="BK120">
        <v>781803</v>
      </c>
    </row>
    <row r="121" spans="1:64">
      <c r="A121" s="1">
        <f>HYPERLINK("https://lsnyc.legalserver.org/matter/dynamic-profile/view/1890422","19-1890422")</f>
        <v>0</v>
      </c>
      <c r="B121" t="s">
        <v>3577</v>
      </c>
      <c r="C121" t="s">
        <v>3679</v>
      </c>
      <c r="D121" t="s">
        <v>257</v>
      </c>
      <c r="E121" t="s">
        <v>3683</v>
      </c>
      <c r="F121" t="s">
        <v>273</v>
      </c>
      <c r="G121" t="s">
        <v>275</v>
      </c>
      <c r="H121">
        <v>249.8</v>
      </c>
      <c r="K121" t="s">
        <v>1703</v>
      </c>
      <c r="M121" t="s">
        <v>473</v>
      </c>
      <c r="N121" t="s">
        <v>466</v>
      </c>
      <c r="O121" t="s">
        <v>275</v>
      </c>
      <c r="P121" t="s">
        <v>492</v>
      </c>
      <c r="Q121" t="s">
        <v>3751</v>
      </c>
      <c r="R121" t="s">
        <v>501</v>
      </c>
      <c r="S121" t="s">
        <v>503</v>
      </c>
      <c r="T121" t="s">
        <v>507</v>
      </c>
      <c r="U121" t="s">
        <v>511</v>
      </c>
      <c r="V121">
        <v>10460</v>
      </c>
      <c r="W121" t="s">
        <v>519</v>
      </c>
      <c r="X121" t="s">
        <v>549</v>
      </c>
      <c r="Y121" t="s">
        <v>275</v>
      </c>
      <c r="Z121" t="s">
        <v>3122</v>
      </c>
      <c r="AA121" t="s">
        <v>3976</v>
      </c>
      <c r="AB121" t="s">
        <v>902</v>
      </c>
      <c r="AC121" t="s">
        <v>905</v>
      </c>
      <c r="AF121" t="s">
        <v>926</v>
      </c>
      <c r="AI121">
        <v>20.6</v>
      </c>
      <c r="AJ121" t="s">
        <v>558</v>
      </c>
      <c r="AK121" t="s">
        <v>3268</v>
      </c>
      <c r="AT121">
        <v>0</v>
      </c>
      <c r="AU121">
        <v>1</v>
      </c>
      <c r="AV121" t="s">
        <v>273</v>
      </c>
      <c r="AY121" t="s">
        <v>273</v>
      </c>
      <c r="BB121">
        <v>0</v>
      </c>
      <c r="BC121">
        <v>0</v>
      </c>
      <c r="BD121">
        <v>0</v>
      </c>
      <c r="BE121">
        <v>0</v>
      </c>
      <c r="BF121" t="s">
        <v>1063</v>
      </c>
      <c r="BG121" t="s">
        <v>4166</v>
      </c>
      <c r="BH121">
        <v>39</v>
      </c>
      <c r="BI121" t="s">
        <v>1254</v>
      </c>
      <c r="BK121">
        <v>1891054</v>
      </c>
      <c r="BL121" t="s">
        <v>275</v>
      </c>
    </row>
    <row r="122" spans="1:64">
      <c r="A122" s="1">
        <f>HYPERLINK("https://lsnyc.legalserver.org/matter/dynamic-profile/view/1890244","19-1890244")</f>
        <v>0</v>
      </c>
      <c r="B122" t="s">
        <v>3578</v>
      </c>
      <c r="C122" t="s">
        <v>3679</v>
      </c>
      <c r="D122" t="s">
        <v>257</v>
      </c>
      <c r="E122" t="s">
        <v>3685</v>
      </c>
      <c r="F122" t="s">
        <v>273</v>
      </c>
      <c r="G122" t="s">
        <v>275</v>
      </c>
      <c r="H122">
        <v>0</v>
      </c>
      <c r="I122" t="s">
        <v>274</v>
      </c>
      <c r="K122" t="s">
        <v>342</v>
      </c>
      <c r="M122" t="s">
        <v>473</v>
      </c>
      <c r="P122" t="s">
        <v>492</v>
      </c>
      <c r="Q122" t="s">
        <v>501</v>
      </c>
      <c r="S122" t="s">
        <v>503</v>
      </c>
      <c r="T122" t="s">
        <v>508</v>
      </c>
      <c r="U122" t="s">
        <v>511</v>
      </c>
      <c r="V122">
        <v>10460</v>
      </c>
      <c r="W122" t="s">
        <v>519</v>
      </c>
      <c r="X122" t="s">
        <v>548</v>
      </c>
      <c r="Y122" t="s">
        <v>275</v>
      </c>
      <c r="Z122" t="s">
        <v>3832</v>
      </c>
      <c r="AA122" t="s">
        <v>3977</v>
      </c>
      <c r="AB122" t="s">
        <v>902</v>
      </c>
      <c r="AC122" t="s">
        <v>905</v>
      </c>
      <c r="AF122" t="s">
        <v>926</v>
      </c>
      <c r="AI122">
        <v>5.7</v>
      </c>
      <c r="AJ122" t="s">
        <v>558</v>
      </c>
      <c r="AK122" t="s">
        <v>934</v>
      </c>
      <c r="AL122" t="s">
        <v>274</v>
      </c>
      <c r="AT122">
        <v>1</v>
      </c>
      <c r="AU122">
        <v>1</v>
      </c>
      <c r="AV122" t="s">
        <v>273</v>
      </c>
      <c r="AY122" t="s">
        <v>273</v>
      </c>
      <c r="BB122">
        <v>0</v>
      </c>
      <c r="BC122">
        <v>0</v>
      </c>
      <c r="BD122">
        <v>0</v>
      </c>
      <c r="BE122">
        <v>0</v>
      </c>
      <c r="BF122" t="s">
        <v>1063</v>
      </c>
      <c r="BG122" t="s">
        <v>4167</v>
      </c>
      <c r="BH122">
        <v>34</v>
      </c>
      <c r="BI122" t="s">
        <v>1247</v>
      </c>
      <c r="BK122">
        <v>1880681</v>
      </c>
    </row>
    <row r="123" spans="1:64">
      <c r="A123" s="1">
        <f>HYPERLINK("https://lsnyc.legalserver.org/matter/dynamic-profile/view/1890248","19-1890248")</f>
        <v>0</v>
      </c>
      <c r="B123" t="s">
        <v>3578</v>
      </c>
      <c r="C123" t="s">
        <v>3679</v>
      </c>
      <c r="D123" t="s">
        <v>257</v>
      </c>
      <c r="E123" t="s">
        <v>3685</v>
      </c>
      <c r="F123" t="s">
        <v>273</v>
      </c>
      <c r="G123" t="s">
        <v>275</v>
      </c>
      <c r="H123">
        <v>0</v>
      </c>
      <c r="I123" t="s">
        <v>274</v>
      </c>
      <c r="K123" t="s">
        <v>342</v>
      </c>
      <c r="M123" t="s">
        <v>471</v>
      </c>
      <c r="P123" t="s">
        <v>492</v>
      </c>
      <c r="Q123" t="s">
        <v>501</v>
      </c>
      <c r="S123" t="s">
        <v>506</v>
      </c>
      <c r="T123" t="s">
        <v>508</v>
      </c>
      <c r="U123" t="s">
        <v>1821</v>
      </c>
      <c r="V123">
        <v>10460</v>
      </c>
      <c r="W123" t="s">
        <v>1828</v>
      </c>
      <c r="X123" t="s">
        <v>548</v>
      </c>
      <c r="Y123" t="s">
        <v>275</v>
      </c>
      <c r="Z123" t="s">
        <v>3832</v>
      </c>
      <c r="AA123" t="s">
        <v>3977</v>
      </c>
      <c r="AB123" t="s">
        <v>902</v>
      </c>
      <c r="AC123" t="s">
        <v>905</v>
      </c>
      <c r="AF123" t="s">
        <v>924</v>
      </c>
      <c r="AI123">
        <v>22.95</v>
      </c>
      <c r="AK123" t="s">
        <v>934</v>
      </c>
      <c r="AL123" t="s">
        <v>274</v>
      </c>
      <c r="AT123">
        <v>1</v>
      </c>
      <c r="AU123">
        <v>1</v>
      </c>
      <c r="AV123" t="s">
        <v>273</v>
      </c>
      <c r="AY123" t="s">
        <v>273</v>
      </c>
      <c r="BB123">
        <v>0</v>
      </c>
      <c r="BC123">
        <v>0</v>
      </c>
      <c r="BD123">
        <v>0</v>
      </c>
      <c r="BE123">
        <v>0</v>
      </c>
      <c r="BF123" t="s">
        <v>1063</v>
      </c>
      <c r="BG123" t="s">
        <v>4167</v>
      </c>
      <c r="BH123">
        <v>34</v>
      </c>
      <c r="BI123" t="s">
        <v>1247</v>
      </c>
      <c r="BK123">
        <v>1880681</v>
      </c>
    </row>
    <row r="124" spans="1:64">
      <c r="A124" s="1">
        <f>HYPERLINK("https://lsnyc.legalserver.org/matter/dynamic-profile/view/1890321","19-1890321")</f>
        <v>0</v>
      </c>
      <c r="B124" t="s">
        <v>3495</v>
      </c>
      <c r="C124" t="s">
        <v>3679</v>
      </c>
      <c r="D124" t="s">
        <v>257</v>
      </c>
      <c r="E124" t="s">
        <v>3685</v>
      </c>
      <c r="F124" t="s">
        <v>273</v>
      </c>
      <c r="G124" t="s">
        <v>275</v>
      </c>
      <c r="H124">
        <v>0</v>
      </c>
      <c r="I124" t="s">
        <v>274</v>
      </c>
      <c r="K124" t="s">
        <v>342</v>
      </c>
      <c r="M124" t="s">
        <v>473</v>
      </c>
      <c r="P124" t="s">
        <v>492</v>
      </c>
      <c r="Q124" t="s">
        <v>502</v>
      </c>
      <c r="S124" t="s">
        <v>503</v>
      </c>
      <c r="T124" t="s">
        <v>508</v>
      </c>
      <c r="U124" t="s">
        <v>511</v>
      </c>
      <c r="V124">
        <v>10460</v>
      </c>
      <c r="W124" t="s">
        <v>519</v>
      </c>
      <c r="X124" t="s">
        <v>548</v>
      </c>
      <c r="Y124" t="s">
        <v>275</v>
      </c>
      <c r="Z124" t="s">
        <v>3769</v>
      </c>
      <c r="AA124" t="s">
        <v>3910</v>
      </c>
      <c r="AB124" t="s">
        <v>902</v>
      </c>
      <c r="AC124" t="s">
        <v>905</v>
      </c>
      <c r="AF124" t="s">
        <v>926</v>
      </c>
      <c r="AI124">
        <v>12.7</v>
      </c>
      <c r="AK124" t="s">
        <v>934</v>
      </c>
      <c r="AL124" t="s">
        <v>274</v>
      </c>
      <c r="AT124">
        <v>1</v>
      </c>
      <c r="AU124">
        <v>1</v>
      </c>
      <c r="AV124" t="s">
        <v>273</v>
      </c>
      <c r="AY124" t="s">
        <v>273</v>
      </c>
      <c r="BB124">
        <v>0</v>
      </c>
      <c r="BC124">
        <v>0</v>
      </c>
      <c r="BD124">
        <v>0</v>
      </c>
      <c r="BE124">
        <v>0</v>
      </c>
      <c r="BF124" t="s">
        <v>1063</v>
      </c>
      <c r="BG124" t="s">
        <v>4089</v>
      </c>
      <c r="BH124">
        <v>12</v>
      </c>
      <c r="BI124" t="s">
        <v>1247</v>
      </c>
      <c r="BK124">
        <v>1880681</v>
      </c>
    </row>
    <row r="125" spans="1:64">
      <c r="A125" s="1">
        <f>HYPERLINK("https://lsnyc.legalserver.org/matter/dynamic-profile/view/1890326","19-1890326")</f>
        <v>0</v>
      </c>
      <c r="B125" t="s">
        <v>3495</v>
      </c>
      <c r="C125" t="s">
        <v>3679</v>
      </c>
      <c r="D125" t="s">
        <v>257</v>
      </c>
      <c r="E125" t="s">
        <v>3685</v>
      </c>
      <c r="F125" t="s">
        <v>273</v>
      </c>
      <c r="G125" t="s">
        <v>275</v>
      </c>
      <c r="H125">
        <v>0</v>
      </c>
      <c r="I125" t="s">
        <v>274</v>
      </c>
      <c r="K125" t="s">
        <v>342</v>
      </c>
      <c r="M125" t="s">
        <v>473</v>
      </c>
      <c r="P125" t="s">
        <v>492</v>
      </c>
      <c r="Q125" t="s">
        <v>502</v>
      </c>
      <c r="S125" t="s">
        <v>503</v>
      </c>
      <c r="T125" t="s">
        <v>508</v>
      </c>
      <c r="U125" t="s">
        <v>511</v>
      </c>
      <c r="V125">
        <v>10460</v>
      </c>
      <c r="W125" t="s">
        <v>529</v>
      </c>
      <c r="X125" t="s">
        <v>548</v>
      </c>
      <c r="Y125" t="s">
        <v>275</v>
      </c>
      <c r="Z125" t="s">
        <v>3769</v>
      </c>
      <c r="AA125" t="s">
        <v>3910</v>
      </c>
      <c r="AB125" t="s">
        <v>902</v>
      </c>
      <c r="AC125" t="s">
        <v>905</v>
      </c>
      <c r="AF125" t="s">
        <v>923</v>
      </c>
      <c r="AI125">
        <v>5.2</v>
      </c>
      <c r="AK125" t="s">
        <v>934</v>
      </c>
      <c r="AL125" t="s">
        <v>274</v>
      </c>
      <c r="AT125">
        <v>1</v>
      </c>
      <c r="AU125">
        <v>1</v>
      </c>
      <c r="AV125" t="s">
        <v>273</v>
      </c>
      <c r="AY125" t="s">
        <v>273</v>
      </c>
      <c r="BB125">
        <v>0</v>
      </c>
      <c r="BC125">
        <v>0</v>
      </c>
      <c r="BD125">
        <v>0</v>
      </c>
      <c r="BE125">
        <v>0</v>
      </c>
      <c r="BF125" t="s">
        <v>1063</v>
      </c>
      <c r="BG125" t="s">
        <v>4089</v>
      </c>
      <c r="BH125">
        <v>12</v>
      </c>
      <c r="BI125" t="s">
        <v>1247</v>
      </c>
      <c r="BK125">
        <v>1880681</v>
      </c>
    </row>
    <row r="126" spans="1:64">
      <c r="A126" s="1">
        <f>HYPERLINK("https://lsnyc.legalserver.org/matter/dynamic-profile/view/1890126","19-1890126")</f>
        <v>0</v>
      </c>
      <c r="B126" t="s">
        <v>3579</v>
      </c>
      <c r="C126" t="s">
        <v>3679</v>
      </c>
      <c r="D126" t="s">
        <v>257</v>
      </c>
      <c r="E126" t="s">
        <v>3686</v>
      </c>
      <c r="F126" t="s">
        <v>273</v>
      </c>
      <c r="G126" t="s">
        <v>275</v>
      </c>
      <c r="H126">
        <v>97.52</v>
      </c>
      <c r="I126" t="s">
        <v>274</v>
      </c>
      <c r="K126" t="s">
        <v>343</v>
      </c>
      <c r="P126" t="s">
        <v>492</v>
      </c>
      <c r="Q126" t="s">
        <v>502</v>
      </c>
      <c r="S126" t="s">
        <v>503</v>
      </c>
      <c r="T126" t="s">
        <v>507</v>
      </c>
      <c r="U126" t="s">
        <v>511</v>
      </c>
      <c r="V126">
        <v>10469</v>
      </c>
      <c r="W126" t="s">
        <v>529</v>
      </c>
      <c r="X126" t="s">
        <v>549</v>
      </c>
      <c r="Z126" t="s">
        <v>3833</v>
      </c>
      <c r="AA126" t="s">
        <v>3978</v>
      </c>
      <c r="AB126" t="s">
        <v>902</v>
      </c>
      <c r="AC126" t="s">
        <v>905</v>
      </c>
      <c r="AF126" t="s">
        <v>924</v>
      </c>
      <c r="AI126">
        <v>13.05</v>
      </c>
      <c r="AL126" t="s">
        <v>274</v>
      </c>
      <c r="AT126">
        <v>2</v>
      </c>
      <c r="AU126">
        <v>1</v>
      </c>
      <c r="AV126" t="s">
        <v>273</v>
      </c>
      <c r="AY126" t="s">
        <v>273</v>
      </c>
      <c r="BB126">
        <v>0</v>
      </c>
      <c r="BC126">
        <v>0</v>
      </c>
      <c r="BD126">
        <v>0</v>
      </c>
      <c r="BE126">
        <v>0</v>
      </c>
      <c r="BF126" t="s">
        <v>1063</v>
      </c>
      <c r="BG126" t="s">
        <v>4168</v>
      </c>
      <c r="BH126">
        <v>10</v>
      </c>
      <c r="BI126" t="s">
        <v>1261</v>
      </c>
      <c r="BK126">
        <v>1896031</v>
      </c>
    </row>
    <row r="127" spans="1:64">
      <c r="A127" s="1">
        <f>HYPERLINK("https://lsnyc.legalserver.org/matter/dynamic-profile/view/1890129","19-1890129")</f>
        <v>0</v>
      </c>
      <c r="B127" t="s">
        <v>3580</v>
      </c>
      <c r="C127" t="s">
        <v>3679</v>
      </c>
      <c r="D127" t="s">
        <v>257</v>
      </c>
      <c r="E127" t="s">
        <v>3686</v>
      </c>
      <c r="F127" t="s">
        <v>273</v>
      </c>
      <c r="G127" t="s">
        <v>275</v>
      </c>
      <c r="H127">
        <v>97.52</v>
      </c>
      <c r="I127" t="s">
        <v>274</v>
      </c>
      <c r="K127" t="s">
        <v>343</v>
      </c>
      <c r="P127" t="s">
        <v>492</v>
      </c>
      <c r="Q127" t="s">
        <v>502</v>
      </c>
      <c r="S127" t="s">
        <v>503</v>
      </c>
      <c r="T127" t="s">
        <v>508</v>
      </c>
      <c r="U127" t="s">
        <v>511</v>
      </c>
      <c r="V127">
        <v>10469</v>
      </c>
      <c r="W127" t="s">
        <v>529</v>
      </c>
      <c r="X127" t="s">
        <v>549</v>
      </c>
      <c r="Z127" t="s">
        <v>3834</v>
      </c>
      <c r="AA127" t="s">
        <v>3978</v>
      </c>
      <c r="AB127" t="s">
        <v>902</v>
      </c>
      <c r="AC127" t="s">
        <v>905</v>
      </c>
      <c r="AF127" t="s">
        <v>924</v>
      </c>
      <c r="AI127">
        <v>7.95</v>
      </c>
      <c r="AL127" t="s">
        <v>274</v>
      </c>
      <c r="AT127">
        <v>2</v>
      </c>
      <c r="AU127">
        <v>1</v>
      </c>
      <c r="AV127" t="s">
        <v>273</v>
      </c>
      <c r="AY127" t="s">
        <v>273</v>
      </c>
      <c r="BB127">
        <v>0</v>
      </c>
      <c r="BC127">
        <v>0</v>
      </c>
      <c r="BD127">
        <v>0</v>
      </c>
      <c r="BE127">
        <v>0</v>
      </c>
      <c r="BF127" t="s">
        <v>1063</v>
      </c>
      <c r="BG127" t="s">
        <v>4169</v>
      </c>
      <c r="BH127">
        <v>7</v>
      </c>
      <c r="BI127" t="s">
        <v>1261</v>
      </c>
      <c r="BK127">
        <v>1896031</v>
      </c>
    </row>
    <row r="128" spans="1:64">
      <c r="A128" s="1">
        <f>HYPERLINK("https://lsnyc.legalserver.org/matter/dynamic-profile/view/1889880","19-1889880")</f>
        <v>0</v>
      </c>
      <c r="B128" t="s">
        <v>3540</v>
      </c>
      <c r="C128" t="s">
        <v>3679</v>
      </c>
      <c r="D128" t="s">
        <v>257</v>
      </c>
      <c r="E128" t="s">
        <v>3685</v>
      </c>
      <c r="F128" t="s">
        <v>273</v>
      </c>
      <c r="G128" t="s">
        <v>275</v>
      </c>
      <c r="H128">
        <v>158.46</v>
      </c>
      <c r="I128" t="s">
        <v>274</v>
      </c>
      <c r="K128" t="s">
        <v>344</v>
      </c>
      <c r="M128" t="s">
        <v>474</v>
      </c>
      <c r="P128" t="s">
        <v>492</v>
      </c>
      <c r="Q128" t="s">
        <v>501</v>
      </c>
      <c r="S128" t="s">
        <v>503</v>
      </c>
      <c r="T128" t="s">
        <v>508</v>
      </c>
      <c r="U128" t="s">
        <v>511</v>
      </c>
      <c r="V128">
        <v>10454</v>
      </c>
      <c r="W128" t="s">
        <v>518</v>
      </c>
      <c r="X128" t="s">
        <v>548</v>
      </c>
      <c r="Y128" t="s">
        <v>275</v>
      </c>
      <c r="Z128" t="s">
        <v>3804</v>
      </c>
      <c r="AA128" t="s">
        <v>3946</v>
      </c>
      <c r="AB128" t="s">
        <v>902</v>
      </c>
      <c r="AC128" t="s">
        <v>905</v>
      </c>
      <c r="AF128" t="s">
        <v>926</v>
      </c>
      <c r="AI128">
        <v>2.25</v>
      </c>
      <c r="AJ128" t="s">
        <v>558</v>
      </c>
      <c r="AK128" t="s">
        <v>941</v>
      </c>
      <c r="AL128" t="s">
        <v>274</v>
      </c>
      <c r="AT128">
        <v>1</v>
      </c>
      <c r="AU128">
        <v>2</v>
      </c>
      <c r="AV128" t="s">
        <v>273</v>
      </c>
      <c r="AY128" t="s">
        <v>273</v>
      </c>
      <c r="BB128">
        <v>0</v>
      </c>
      <c r="BC128">
        <v>0</v>
      </c>
      <c r="BD128">
        <v>0</v>
      </c>
      <c r="BE128">
        <v>0</v>
      </c>
      <c r="BF128" t="s">
        <v>1063</v>
      </c>
      <c r="BG128" t="s">
        <v>4131</v>
      </c>
      <c r="BH128">
        <v>37</v>
      </c>
      <c r="BI128" t="s">
        <v>4260</v>
      </c>
      <c r="BK128">
        <v>1881526</v>
      </c>
    </row>
    <row r="129" spans="1:64">
      <c r="A129" s="1">
        <f>HYPERLINK("https://lsnyc.legalserver.org/matter/dynamic-profile/view/1889890","19-1889890")</f>
        <v>0</v>
      </c>
      <c r="B129" t="s">
        <v>3540</v>
      </c>
      <c r="C129" t="s">
        <v>3679</v>
      </c>
      <c r="D129" t="s">
        <v>257</v>
      </c>
      <c r="E129" t="s">
        <v>3685</v>
      </c>
      <c r="F129" t="s">
        <v>273</v>
      </c>
      <c r="G129" t="s">
        <v>275</v>
      </c>
      <c r="H129">
        <v>158.46</v>
      </c>
      <c r="I129" t="s">
        <v>274</v>
      </c>
      <c r="K129" t="s">
        <v>344</v>
      </c>
      <c r="M129" t="s">
        <v>473</v>
      </c>
      <c r="P129" t="s">
        <v>492</v>
      </c>
      <c r="Q129" t="s">
        <v>501</v>
      </c>
      <c r="S129" t="s">
        <v>506</v>
      </c>
      <c r="T129" t="s">
        <v>508</v>
      </c>
      <c r="U129" t="s">
        <v>1821</v>
      </c>
      <c r="V129">
        <v>10454</v>
      </c>
      <c r="W129" t="s">
        <v>1828</v>
      </c>
      <c r="X129" t="s">
        <v>548</v>
      </c>
      <c r="Y129" t="s">
        <v>275</v>
      </c>
      <c r="Z129" t="s">
        <v>3804</v>
      </c>
      <c r="AA129" t="s">
        <v>3946</v>
      </c>
      <c r="AB129" t="s">
        <v>902</v>
      </c>
      <c r="AC129" t="s">
        <v>905</v>
      </c>
      <c r="AF129" t="s">
        <v>924</v>
      </c>
      <c r="AI129">
        <v>0.5</v>
      </c>
      <c r="AJ129" t="s">
        <v>558</v>
      </c>
      <c r="AK129" t="s">
        <v>941</v>
      </c>
      <c r="AL129" t="s">
        <v>274</v>
      </c>
      <c r="AT129">
        <v>1</v>
      </c>
      <c r="AU129">
        <v>2</v>
      </c>
      <c r="AV129" t="s">
        <v>273</v>
      </c>
      <c r="AY129" t="s">
        <v>273</v>
      </c>
      <c r="BB129">
        <v>0</v>
      </c>
      <c r="BC129">
        <v>0</v>
      </c>
      <c r="BD129">
        <v>0</v>
      </c>
      <c r="BE129">
        <v>0</v>
      </c>
      <c r="BF129" t="s">
        <v>1063</v>
      </c>
      <c r="BG129" t="s">
        <v>4131</v>
      </c>
      <c r="BH129">
        <v>37</v>
      </c>
      <c r="BI129" t="s">
        <v>4260</v>
      </c>
      <c r="BK129">
        <v>1881526</v>
      </c>
    </row>
    <row r="130" spans="1:64">
      <c r="A130" s="1">
        <f>HYPERLINK("https://lsnyc.legalserver.org/matter/dynamic-profile/view/1889947","19-1889947")</f>
        <v>0</v>
      </c>
      <c r="B130" t="s">
        <v>3581</v>
      </c>
      <c r="C130" t="s">
        <v>3679</v>
      </c>
      <c r="D130" t="s">
        <v>257</v>
      </c>
      <c r="E130" t="s">
        <v>3685</v>
      </c>
      <c r="F130" t="s">
        <v>273</v>
      </c>
      <c r="G130" t="s">
        <v>275</v>
      </c>
      <c r="H130">
        <v>158.46</v>
      </c>
      <c r="I130" t="s">
        <v>274</v>
      </c>
      <c r="K130" t="s">
        <v>344</v>
      </c>
      <c r="M130" t="s">
        <v>473</v>
      </c>
      <c r="P130" t="s">
        <v>492</v>
      </c>
      <c r="Q130" t="s">
        <v>502</v>
      </c>
      <c r="S130" t="s">
        <v>503</v>
      </c>
      <c r="T130" t="s">
        <v>507</v>
      </c>
      <c r="U130" t="s">
        <v>511</v>
      </c>
      <c r="V130">
        <v>10454</v>
      </c>
      <c r="W130" t="s">
        <v>519</v>
      </c>
      <c r="X130" t="s">
        <v>548</v>
      </c>
      <c r="Y130" t="s">
        <v>275</v>
      </c>
      <c r="Z130" t="s">
        <v>596</v>
      </c>
      <c r="AA130" t="s">
        <v>3979</v>
      </c>
      <c r="AB130" t="s">
        <v>902</v>
      </c>
      <c r="AC130" t="s">
        <v>905</v>
      </c>
      <c r="AF130" t="s">
        <v>926</v>
      </c>
      <c r="AI130">
        <v>1</v>
      </c>
      <c r="AK130" t="s">
        <v>941</v>
      </c>
      <c r="AL130" t="s">
        <v>274</v>
      </c>
      <c r="AT130">
        <v>1</v>
      </c>
      <c r="AU130">
        <v>2</v>
      </c>
      <c r="AV130" t="s">
        <v>273</v>
      </c>
      <c r="AY130" t="s">
        <v>273</v>
      </c>
      <c r="BB130">
        <v>0</v>
      </c>
      <c r="BC130">
        <v>0</v>
      </c>
      <c r="BD130">
        <v>0</v>
      </c>
      <c r="BE130">
        <v>0</v>
      </c>
      <c r="BF130" t="s">
        <v>1063</v>
      </c>
      <c r="BG130" t="s">
        <v>4170</v>
      </c>
      <c r="BH130">
        <v>11</v>
      </c>
      <c r="BI130" t="s">
        <v>4260</v>
      </c>
      <c r="BK130">
        <v>1881526</v>
      </c>
    </row>
    <row r="131" spans="1:64">
      <c r="A131" s="1">
        <f>HYPERLINK("https://lsnyc.legalserver.org/matter/dynamic-profile/view/1889953","19-1889953")</f>
        <v>0</v>
      </c>
      <c r="B131" t="s">
        <v>3581</v>
      </c>
      <c r="C131" t="s">
        <v>3679</v>
      </c>
      <c r="D131" t="s">
        <v>257</v>
      </c>
      <c r="E131" t="s">
        <v>3685</v>
      </c>
      <c r="F131" t="s">
        <v>273</v>
      </c>
      <c r="G131" t="s">
        <v>275</v>
      </c>
      <c r="H131">
        <v>158.46</v>
      </c>
      <c r="I131" t="s">
        <v>274</v>
      </c>
      <c r="K131" t="s">
        <v>344</v>
      </c>
      <c r="P131" t="s">
        <v>492</v>
      </c>
      <c r="Q131" t="s">
        <v>502</v>
      </c>
      <c r="S131" t="s">
        <v>503</v>
      </c>
      <c r="T131" t="s">
        <v>507</v>
      </c>
      <c r="U131" t="s">
        <v>511</v>
      </c>
      <c r="V131">
        <v>10454</v>
      </c>
      <c r="W131" t="s">
        <v>529</v>
      </c>
      <c r="X131" t="s">
        <v>548</v>
      </c>
      <c r="Y131" t="s">
        <v>275</v>
      </c>
      <c r="Z131" t="s">
        <v>596</v>
      </c>
      <c r="AA131" t="s">
        <v>3979</v>
      </c>
      <c r="AB131" t="s">
        <v>902</v>
      </c>
      <c r="AC131" t="s">
        <v>905</v>
      </c>
      <c r="AF131" t="s">
        <v>923</v>
      </c>
      <c r="AI131">
        <v>0.5</v>
      </c>
      <c r="AJ131" t="s">
        <v>558</v>
      </c>
      <c r="AK131" t="s">
        <v>941</v>
      </c>
      <c r="AL131" t="s">
        <v>274</v>
      </c>
      <c r="AT131">
        <v>1</v>
      </c>
      <c r="AU131">
        <v>2</v>
      </c>
      <c r="AV131" t="s">
        <v>273</v>
      </c>
      <c r="AY131" t="s">
        <v>273</v>
      </c>
      <c r="BB131">
        <v>0</v>
      </c>
      <c r="BC131">
        <v>0</v>
      </c>
      <c r="BD131">
        <v>0</v>
      </c>
      <c r="BE131">
        <v>0</v>
      </c>
      <c r="BF131" t="s">
        <v>1063</v>
      </c>
      <c r="BG131" t="s">
        <v>4170</v>
      </c>
      <c r="BH131">
        <v>11</v>
      </c>
      <c r="BI131" t="s">
        <v>4260</v>
      </c>
      <c r="BK131">
        <v>1881526</v>
      </c>
    </row>
    <row r="132" spans="1:64">
      <c r="A132" s="1">
        <f>HYPERLINK("https://lsnyc.legalserver.org/matter/dynamic-profile/view/1889961","19-1889961")</f>
        <v>0</v>
      </c>
      <c r="B132" t="s">
        <v>3581</v>
      </c>
      <c r="C132" t="s">
        <v>3679</v>
      </c>
      <c r="D132" t="s">
        <v>257</v>
      </c>
      <c r="E132" t="s">
        <v>3685</v>
      </c>
      <c r="F132" t="s">
        <v>273</v>
      </c>
      <c r="G132" t="s">
        <v>275</v>
      </c>
      <c r="H132">
        <v>158.46</v>
      </c>
      <c r="I132" t="s">
        <v>274</v>
      </c>
      <c r="K132" t="s">
        <v>344</v>
      </c>
      <c r="M132" t="s">
        <v>474</v>
      </c>
      <c r="P132" t="s">
        <v>492</v>
      </c>
      <c r="Q132" t="s">
        <v>502</v>
      </c>
      <c r="S132" t="s">
        <v>503</v>
      </c>
      <c r="T132" t="s">
        <v>507</v>
      </c>
      <c r="U132" t="s">
        <v>511</v>
      </c>
      <c r="V132">
        <v>10454</v>
      </c>
      <c r="W132" t="s">
        <v>518</v>
      </c>
      <c r="X132" t="s">
        <v>548</v>
      </c>
      <c r="Y132" t="s">
        <v>275</v>
      </c>
      <c r="Z132" t="s">
        <v>596</v>
      </c>
      <c r="AA132" t="s">
        <v>3979</v>
      </c>
      <c r="AB132" t="s">
        <v>902</v>
      </c>
      <c r="AC132" t="s">
        <v>905</v>
      </c>
      <c r="AF132" t="s">
        <v>926</v>
      </c>
      <c r="AI132">
        <v>0.5</v>
      </c>
      <c r="AJ132" t="s">
        <v>558</v>
      </c>
      <c r="AK132" t="s">
        <v>941</v>
      </c>
      <c r="AL132" t="s">
        <v>274</v>
      </c>
      <c r="AT132">
        <v>1</v>
      </c>
      <c r="AU132">
        <v>2</v>
      </c>
      <c r="AV132" t="s">
        <v>273</v>
      </c>
      <c r="AY132" t="s">
        <v>273</v>
      </c>
      <c r="BB132">
        <v>0</v>
      </c>
      <c r="BC132">
        <v>0</v>
      </c>
      <c r="BD132">
        <v>0</v>
      </c>
      <c r="BE132">
        <v>0</v>
      </c>
      <c r="BF132" t="s">
        <v>1063</v>
      </c>
      <c r="BG132" t="s">
        <v>4170</v>
      </c>
      <c r="BH132">
        <v>11</v>
      </c>
      <c r="BI132" t="s">
        <v>4260</v>
      </c>
      <c r="BK132">
        <v>1881526</v>
      </c>
    </row>
    <row r="133" spans="1:64">
      <c r="A133" s="1">
        <f>HYPERLINK("https://lsnyc.legalserver.org/matter/dynamic-profile/view/1889988","19-1889988")</f>
        <v>0</v>
      </c>
      <c r="B133" t="s">
        <v>3582</v>
      </c>
      <c r="C133" t="s">
        <v>3679</v>
      </c>
      <c r="D133" t="s">
        <v>257</v>
      </c>
      <c r="E133" t="s">
        <v>3683</v>
      </c>
      <c r="F133" t="s">
        <v>273</v>
      </c>
      <c r="G133" t="s">
        <v>275</v>
      </c>
      <c r="H133">
        <v>120.65</v>
      </c>
      <c r="I133" t="s">
        <v>274</v>
      </c>
      <c r="K133" t="s">
        <v>344</v>
      </c>
      <c r="M133" t="s">
        <v>473</v>
      </c>
      <c r="N133" t="s">
        <v>2985</v>
      </c>
      <c r="P133" t="s">
        <v>492</v>
      </c>
      <c r="Q133" t="s">
        <v>501</v>
      </c>
      <c r="S133" t="s">
        <v>503</v>
      </c>
      <c r="T133" t="s">
        <v>507</v>
      </c>
      <c r="U133" t="s">
        <v>511</v>
      </c>
      <c r="V133">
        <v>10454</v>
      </c>
      <c r="W133" t="s">
        <v>519</v>
      </c>
      <c r="X133" t="s">
        <v>548</v>
      </c>
      <c r="Y133" t="s">
        <v>275</v>
      </c>
      <c r="Z133" t="s">
        <v>3835</v>
      </c>
      <c r="AA133" t="s">
        <v>3980</v>
      </c>
      <c r="AB133" t="s">
        <v>902</v>
      </c>
      <c r="AC133" t="s">
        <v>906</v>
      </c>
      <c r="AF133" t="s">
        <v>926</v>
      </c>
      <c r="AI133">
        <v>7.25</v>
      </c>
      <c r="AJ133" t="s">
        <v>558</v>
      </c>
      <c r="AK133" t="s">
        <v>933</v>
      </c>
      <c r="AL133" t="s">
        <v>274</v>
      </c>
      <c r="AT133">
        <v>3</v>
      </c>
      <c r="AU133">
        <v>2</v>
      </c>
      <c r="AV133" t="s">
        <v>273</v>
      </c>
      <c r="AY133" t="s">
        <v>273</v>
      </c>
      <c r="BB133">
        <v>0</v>
      </c>
      <c r="BC133">
        <v>0</v>
      </c>
      <c r="BD133">
        <v>0</v>
      </c>
      <c r="BE133">
        <v>0</v>
      </c>
      <c r="BF133" t="s">
        <v>1063</v>
      </c>
      <c r="BG133" t="s">
        <v>4171</v>
      </c>
      <c r="BH133">
        <v>38</v>
      </c>
      <c r="BI133" t="s">
        <v>1317</v>
      </c>
      <c r="BK133">
        <v>1871259</v>
      </c>
      <c r="BL133" t="s">
        <v>275</v>
      </c>
    </row>
    <row r="134" spans="1:64">
      <c r="A134" s="1">
        <f>HYPERLINK("https://lsnyc.legalserver.org/matter/dynamic-profile/view/1890000","19-1890000")</f>
        <v>0</v>
      </c>
      <c r="B134" t="s">
        <v>3583</v>
      </c>
      <c r="C134" t="s">
        <v>3679</v>
      </c>
      <c r="D134" t="s">
        <v>3680</v>
      </c>
      <c r="E134" t="s">
        <v>3683</v>
      </c>
      <c r="F134" t="s">
        <v>273</v>
      </c>
      <c r="G134" t="s">
        <v>275</v>
      </c>
      <c r="H134">
        <v>151.46</v>
      </c>
      <c r="I134" t="s">
        <v>274</v>
      </c>
      <c r="K134" t="s">
        <v>344</v>
      </c>
      <c r="M134" t="s">
        <v>471</v>
      </c>
      <c r="N134" t="s">
        <v>1811</v>
      </c>
      <c r="P134" t="s">
        <v>492</v>
      </c>
      <c r="Q134" t="s">
        <v>501</v>
      </c>
      <c r="S134" t="s">
        <v>503</v>
      </c>
      <c r="T134" t="s">
        <v>507</v>
      </c>
      <c r="U134" t="s">
        <v>511</v>
      </c>
      <c r="V134">
        <v>10467</v>
      </c>
      <c r="W134" t="s">
        <v>521</v>
      </c>
      <c r="X134" t="s">
        <v>548</v>
      </c>
      <c r="Y134" t="s">
        <v>275</v>
      </c>
      <c r="Z134" t="s">
        <v>613</v>
      </c>
      <c r="AA134" t="s">
        <v>3981</v>
      </c>
      <c r="AB134" t="s">
        <v>902</v>
      </c>
      <c r="AC134" t="s">
        <v>905</v>
      </c>
      <c r="AF134" t="s">
        <v>923</v>
      </c>
      <c r="AI134">
        <v>64.68000000000001</v>
      </c>
      <c r="AJ134" t="s">
        <v>558</v>
      </c>
      <c r="AK134" t="s">
        <v>945</v>
      </c>
      <c r="AL134" t="s">
        <v>274</v>
      </c>
      <c r="AM134" t="s">
        <v>973</v>
      </c>
      <c r="AN134" t="s">
        <v>289</v>
      </c>
      <c r="AT134">
        <v>1</v>
      </c>
      <c r="AU134">
        <v>3</v>
      </c>
      <c r="AV134" t="s">
        <v>273</v>
      </c>
      <c r="AY134" t="s">
        <v>273</v>
      </c>
      <c r="BB134">
        <v>0</v>
      </c>
      <c r="BC134">
        <v>0</v>
      </c>
      <c r="BD134">
        <v>0</v>
      </c>
      <c r="BE134">
        <v>0</v>
      </c>
      <c r="BF134" t="s">
        <v>1063</v>
      </c>
      <c r="BG134" t="s">
        <v>4172</v>
      </c>
      <c r="BH134">
        <v>45</v>
      </c>
      <c r="BI134" t="s">
        <v>1273</v>
      </c>
      <c r="BK134">
        <v>1892329</v>
      </c>
    </row>
    <row r="135" spans="1:64">
      <c r="A135" s="1">
        <f>HYPERLINK("https://lsnyc.legalserver.org/matter/dynamic-profile/view/1890046","19-1890046")</f>
        <v>0</v>
      </c>
      <c r="B135" t="s">
        <v>3544</v>
      </c>
      <c r="C135" t="s">
        <v>3679</v>
      </c>
      <c r="D135" t="s">
        <v>257</v>
      </c>
      <c r="E135" t="s">
        <v>3685</v>
      </c>
      <c r="F135" t="s">
        <v>273</v>
      </c>
      <c r="G135" t="s">
        <v>275</v>
      </c>
      <c r="H135">
        <v>124.9</v>
      </c>
      <c r="I135" t="s">
        <v>274</v>
      </c>
      <c r="K135" t="s">
        <v>344</v>
      </c>
      <c r="P135" t="s">
        <v>492</v>
      </c>
      <c r="Q135" t="s">
        <v>502</v>
      </c>
      <c r="S135" t="s">
        <v>503</v>
      </c>
      <c r="T135" t="s">
        <v>507</v>
      </c>
      <c r="U135" t="s">
        <v>511</v>
      </c>
      <c r="V135">
        <v>10456</v>
      </c>
      <c r="W135" t="s">
        <v>529</v>
      </c>
      <c r="X135" t="s">
        <v>548</v>
      </c>
      <c r="Y135" t="s">
        <v>275</v>
      </c>
      <c r="Z135" t="s">
        <v>613</v>
      </c>
      <c r="AA135" t="s">
        <v>3949</v>
      </c>
      <c r="AB135" t="s">
        <v>902</v>
      </c>
      <c r="AC135" t="s">
        <v>906</v>
      </c>
      <c r="AF135" t="s">
        <v>923</v>
      </c>
      <c r="AI135">
        <v>6.5</v>
      </c>
      <c r="AJ135" t="s">
        <v>558</v>
      </c>
      <c r="AK135" t="s">
        <v>941</v>
      </c>
      <c r="AL135" t="s">
        <v>274</v>
      </c>
      <c r="AT135">
        <v>0</v>
      </c>
      <c r="AU135">
        <v>1</v>
      </c>
      <c r="AV135" t="s">
        <v>273</v>
      </c>
      <c r="AY135" t="s">
        <v>273</v>
      </c>
      <c r="BB135">
        <v>0</v>
      </c>
      <c r="BC135">
        <v>0</v>
      </c>
      <c r="BD135">
        <v>0</v>
      </c>
      <c r="BE135">
        <v>0</v>
      </c>
      <c r="BF135" t="s">
        <v>1063</v>
      </c>
      <c r="BG135" t="s">
        <v>4135</v>
      </c>
      <c r="BH135">
        <v>16</v>
      </c>
      <c r="BI135" t="s">
        <v>1270</v>
      </c>
      <c r="BK135">
        <v>1890678</v>
      </c>
    </row>
    <row r="136" spans="1:64">
      <c r="A136" s="1">
        <f>HYPERLINK("https://lsnyc.legalserver.org/matter/dynamic-profile/view/1889202","19-1889202")</f>
        <v>0</v>
      </c>
      <c r="B136" t="s">
        <v>3584</v>
      </c>
      <c r="C136" t="s">
        <v>3679</v>
      </c>
      <c r="D136" t="s">
        <v>257</v>
      </c>
      <c r="E136" t="s">
        <v>3685</v>
      </c>
      <c r="F136" t="s">
        <v>273</v>
      </c>
      <c r="G136" t="s">
        <v>275</v>
      </c>
      <c r="H136">
        <v>0</v>
      </c>
      <c r="I136" t="s">
        <v>274</v>
      </c>
      <c r="K136" t="s">
        <v>350</v>
      </c>
      <c r="M136" t="s">
        <v>473</v>
      </c>
      <c r="P136" t="s">
        <v>492</v>
      </c>
      <c r="Q136" t="s">
        <v>501</v>
      </c>
      <c r="S136" t="s">
        <v>503</v>
      </c>
      <c r="T136" t="s">
        <v>508</v>
      </c>
      <c r="U136" t="s">
        <v>511</v>
      </c>
      <c r="V136">
        <v>10467</v>
      </c>
      <c r="W136" t="s">
        <v>520</v>
      </c>
      <c r="X136" t="s">
        <v>548</v>
      </c>
      <c r="Y136" t="s">
        <v>275</v>
      </c>
      <c r="Z136" t="s">
        <v>3836</v>
      </c>
      <c r="AA136" t="s">
        <v>3982</v>
      </c>
      <c r="AB136" t="s">
        <v>902</v>
      </c>
      <c r="AC136" t="s">
        <v>905</v>
      </c>
      <c r="AF136" t="s">
        <v>923</v>
      </c>
      <c r="AI136">
        <v>6.55</v>
      </c>
      <c r="AJ136" t="s">
        <v>558</v>
      </c>
      <c r="AK136" t="s">
        <v>934</v>
      </c>
      <c r="AL136" t="s">
        <v>274</v>
      </c>
      <c r="AT136">
        <v>1</v>
      </c>
      <c r="AU136">
        <v>1</v>
      </c>
      <c r="AV136" t="s">
        <v>273</v>
      </c>
      <c r="AY136" t="s">
        <v>273</v>
      </c>
      <c r="BB136">
        <v>0</v>
      </c>
      <c r="BC136">
        <v>0</v>
      </c>
      <c r="BD136">
        <v>0</v>
      </c>
      <c r="BE136">
        <v>0</v>
      </c>
      <c r="BF136" t="s">
        <v>1063</v>
      </c>
      <c r="BG136" t="s">
        <v>4173</v>
      </c>
      <c r="BH136">
        <v>30</v>
      </c>
      <c r="BI136" t="s">
        <v>1247</v>
      </c>
      <c r="BK136">
        <v>1884461</v>
      </c>
    </row>
    <row r="137" spans="1:64">
      <c r="A137" s="1">
        <f>HYPERLINK("https://lsnyc.legalserver.org/matter/dynamic-profile/view/1888921","19-1888921")</f>
        <v>0</v>
      </c>
      <c r="B137" t="s">
        <v>3585</v>
      </c>
      <c r="C137" t="s">
        <v>3679</v>
      </c>
      <c r="D137" t="s">
        <v>257</v>
      </c>
      <c r="E137" t="s">
        <v>3686</v>
      </c>
      <c r="F137" t="s">
        <v>273</v>
      </c>
      <c r="G137" t="s">
        <v>275</v>
      </c>
      <c r="H137">
        <v>0</v>
      </c>
      <c r="I137" t="s">
        <v>274</v>
      </c>
      <c r="K137" t="s">
        <v>351</v>
      </c>
      <c r="P137" t="s">
        <v>492</v>
      </c>
      <c r="Q137" t="s">
        <v>502</v>
      </c>
      <c r="S137" t="s">
        <v>503</v>
      </c>
      <c r="T137" t="s">
        <v>508</v>
      </c>
      <c r="U137" t="s">
        <v>511</v>
      </c>
      <c r="V137">
        <v>10468</v>
      </c>
      <c r="W137" t="s">
        <v>538</v>
      </c>
      <c r="X137" t="s">
        <v>548</v>
      </c>
      <c r="Y137" t="s">
        <v>275</v>
      </c>
      <c r="Z137" t="s">
        <v>2024</v>
      </c>
      <c r="AA137" t="s">
        <v>3983</v>
      </c>
      <c r="AB137" t="s">
        <v>902</v>
      </c>
      <c r="AC137" t="s">
        <v>905</v>
      </c>
      <c r="AF137" t="s">
        <v>923</v>
      </c>
      <c r="AI137">
        <v>9.15</v>
      </c>
      <c r="AJ137" t="s">
        <v>558</v>
      </c>
      <c r="AK137" t="s">
        <v>934</v>
      </c>
      <c r="AL137" t="s">
        <v>274</v>
      </c>
      <c r="AM137" t="s">
        <v>975</v>
      </c>
      <c r="AN137" t="s">
        <v>1705</v>
      </c>
      <c r="AO137" t="s">
        <v>973</v>
      </c>
      <c r="AP137" t="s">
        <v>1699</v>
      </c>
      <c r="AT137">
        <v>2</v>
      </c>
      <c r="AU137">
        <v>1</v>
      </c>
      <c r="AV137" t="s">
        <v>273</v>
      </c>
      <c r="AY137" t="s">
        <v>273</v>
      </c>
      <c r="BB137">
        <v>0</v>
      </c>
      <c r="BC137">
        <v>0</v>
      </c>
      <c r="BD137">
        <v>0</v>
      </c>
      <c r="BE137">
        <v>0</v>
      </c>
      <c r="BF137" t="s">
        <v>1063</v>
      </c>
      <c r="BG137" t="s">
        <v>4174</v>
      </c>
      <c r="BH137">
        <v>15</v>
      </c>
      <c r="BI137" t="s">
        <v>1247</v>
      </c>
      <c r="BK137">
        <v>1849072</v>
      </c>
    </row>
    <row r="138" spans="1:64">
      <c r="A138" s="1">
        <f>HYPERLINK("https://lsnyc.legalserver.org/matter/dynamic-profile/view/1888926","19-1888926")</f>
        <v>0</v>
      </c>
      <c r="B138" t="s">
        <v>3586</v>
      </c>
      <c r="C138" t="s">
        <v>3679</v>
      </c>
      <c r="D138" t="s">
        <v>257</v>
      </c>
      <c r="E138" t="s">
        <v>3686</v>
      </c>
      <c r="F138" t="s">
        <v>273</v>
      </c>
      <c r="G138" t="s">
        <v>275</v>
      </c>
      <c r="H138">
        <v>0</v>
      </c>
      <c r="I138" t="s">
        <v>274</v>
      </c>
      <c r="K138" t="s">
        <v>351</v>
      </c>
      <c r="P138" t="s">
        <v>492</v>
      </c>
      <c r="Q138" t="s">
        <v>502</v>
      </c>
      <c r="S138" t="s">
        <v>503</v>
      </c>
      <c r="T138" t="s">
        <v>507</v>
      </c>
      <c r="U138" t="s">
        <v>511</v>
      </c>
      <c r="V138">
        <v>10468</v>
      </c>
      <c r="W138" t="s">
        <v>538</v>
      </c>
      <c r="Y138" t="s">
        <v>275</v>
      </c>
      <c r="Z138" t="s">
        <v>3837</v>
      </c>
      <c r="AA138" t="s">
        <v>3983</v>
      </c>
      <c r="AB138" t="s">
        <v>902</v>
      </c>
      <c r="AC138" t="s">
        <v>905</v>
      </c>
      <c r="AF138" t="s">
        <v>923</v>
      </c>
      <c r="AI138">
        <v>4.95</v>
      </c>
      <c r="AK138" t="s">
        <v>934</v>
      </c>
      <c r="AL138" t="s">
        <v>274</v>
      </c>
      <c r="AM138" t="s">
        <v>975</v>
      </c>
      <c r="AN138" t="s">
        <v>1705</v>
      </c>
      <c r="AO138" t="s">
        <v>973</v>
      </c>
      <c r="AP138" t="s">
        <v>1699</v>
      </c>
      <c r="AT138">
        <v>2</v>
      </c>
      <c r="AU138">
        <v>1</v>
      </c>
      <c r="AV138" t="s">
        <v>273</v>
      </c>
      <c r="AY138" t="s">
        <v>273</v>
      </c>
      <c r="BB138">
        <v>0</v>
      </c>
      <c r="BC138">
        <v>0</v>
      </c>
      <c r="BD138">
        <v>0</v>
      </c>
      <c r="BE138">
        <v>0</v>
      </c>
      <c r="BF138" t="s">
        <v>1063</v>
      </c>
      <c r="BG138" t="s">
        <v>4175</v>
      </c>
      <c r="BH138">
        <v>13</v>
      </c>
      <c r="BI138" t="s">
        <v>1247</v>
      </c>
      <c r="BK138">
        <v>1849072</v>
      </c>
    </row>
    <row r="139" spans="1:64">
      <c r="A139" s="1">
        <f>HYPERLINK("https://lsnyc.legalserver.org/matter/dynamic-profile/view/1888533","19-1888533")</f>
        <v>0</v>
      </c>
      <c r="B139" t="s">
        <v>3587</v>
      </c>
      <c r="C139" t="s">
        <v>3679</v>
      </c>
      <c r="D139" t="s">
        <v>257</v>
      </c>
      <c r="E139" t="s">
        <v>3686</v>
      </c>
      <c r="F139" t="s">
        <v>273</v>
      </c>
      <c r="G139" t="s">
        <v>275</v>
      </c>
      <c r="H139">
        <v>0</v>
      </c>
      <c r="I139" t="s">
        <v>274</v>
      </c>
      <c r="K139" t="s">
        <v>1707</v>
      </c>
      <c r="O139" t="s">
        <v>275</v>
      </c>
      <c r="P139" t="s">
        <v>499</v>
      </c>
      <c r="Q139" t="s">
        <v>501</v>
      </c>
      <c r="S139" t="s">
        <v>503</v>
      </c>
      <c r="T139" t="s">
        <v>508</v>
      </c>
      <c r="U139" t="s">
        <v>511</v>
      </c>
      <c r="V139">
        <v>10454</v>
      </c>
      <c r="W139" t="s">
        <v>1829</v>
      </c>
      <c r="X139" t="s">
        <v>558</v>
      </c>
      <c r="Y139" t="s">
        <v>275</v>
      </c>
      <c r="Z139" t="s">
        <v>593</v>
      </c>
      <c r="AA139" t="s">
        <v>3984</v>
      </c>
      <c r="AB139" t="s">
        <v>902</v>
      </c>
      <c r="AC139" t="s">
        <v>4056</v>
      </c>
      <c r="AF139" t="s">
        <v>923</v>
      </c>
      <c r="AI139">
        <v>12</v>
      </c>
      <c r="AJ139" t="s">
        <v>558</v>
      </c>
      <c r="AK139" t="s">
        <v>941</v>
      </c>
      <c r="AL139" t="s">
        <v>274</v>
      </c>
      <c r="AM139" t="s">
        <v>975</v>
      </c>
      <c r="AN139" t="s">
        <v>1704</v>
      </c>
      <c r="AT139">
        <v>0</v>
      </c>
      <c r="AU139">
        <v>1</v>
      </c>
      <c r="AV139" t="s">
        <v>273</v>
      </c>
      <c r="AY139" t="s">
        <v>273</v>
      </c>
      <c r="BB139">
        <v>0</v>
      </c>
      <c r="BC139">
        <v>0</v>
      </c>
      <c r="BD139">
        <v>0</v>
      </c>
      <c r="BE139">
        <v>0</v>
      </c>
      <c r="BF139" t="s">
        <v>1063</v>
      </c>
      <c r="BG139" t="s">
        <v>4176</v>
      </c>
      <c r="BH139">
        <v>18</v>
      </c>
      <c r="BI139" t="s">
        <v>1247</v>
      </c>
      <c r="BK139">
        <v>1889164</v>
      </c>
    </row>
    <row r="140" spans="1:64">
      <c r="A140" s="1">
        <f>HYPERLINK("https://lsnyc.legalserver.org/matter/dynamic-profile/view/1888151","19-1888151")</f>
        <v>0</v>
      </c>
      <c r="B140" t="s">
        <v>3588</v>
      </c>
      <c r="C140" t="s">
        <v>3679</v>
      </c>
      <c r="D140" t="s">
        <v>257</v>
      </c>
      <c r="E140" t="s">
        <v>3685</v>
      </c>
      <c r="F140" t="s">
        <v>273</v>
      </c>
      <c r="G140" t="s">
        <v>275</v>
      </c>
      <c r="H140">
        <v>82.87</v>
      </c>
      <c r="I140" t="s">
        <v>274</v>
      </c>
      <c r="K140" t="s">
        <v>2390</v>
      </c>
      <c r="M140" t="s">
        <v>474</v>
      </c>
      <c r="P140" t="s">
        <v>492</v>
      </c>
      <c r="Q140" t="s">
        <v>502</v>
      </c>
      <c r="S140" t="s">
        <v>503</v>
      </c>
      <c r="T140" t="s">
        <v>508</v>
      </c>
      <c r="U140" t="s">
        <v>511</v>
      </c>
      <c r="V140">
        <v>10460</v>
      </c>
      <c r="W140" t="s">
        <v>518</v>
      </c>
      <c r="X140" t="s">
        <v>548</v>
      </c>
      <c r="Y140" t="s">
        <v>275</v>
      </c>
      <c r="Z140" t="s">
        <v>3838</v>
      </c>
      <c r="AA140" t="s">
        <v>3985</v>
      </c>
      <c r="AB140" t="s">
        <v>902</v>
      </c>
      <c r="AC140" t="s">
        <v>905</v>
      </c>
      <c r="AF140" t="s">
        <v>926</v>
      </c>
      <c r="AI140">
        <v>3.45</v>
      </c>
      <c r="AK140" t="s">
        <v>941</v>
      </c>
      <c r="AL140" t="s">
        <v>274</v>
      </c>
      <c r="AT140">
        <v>2</v>
      </c>
      <c r="AU140">
        <v>2</v>
      </c>
      <c r="AV140" t="s">
        <v>273</v>
      </c>
      <c r="AY140" t="s">
        <v>273</v>
      </c>
      <c r="BB140">
        <v>0</v>
      </c>
      <c r="BC140">
        <v>0</v>
      </c>
      <c r="BD140">
        <v>0</v>
      </c>
      <c r="BE140">
        <v>0</v>
      </c>
      <c r="BF140" t="s">
        <v>1063</v>
      </c>
      <c r="BG140" t="s">
        <v>4177</v>
      </c>
      <c r="BH140">
        <v>18</v>
      </c>
      <c r="BI140" t="s">
        <v>1261</v>
      </c>
      <c r="BK140">
        <v>1885443</v>
      </c>
    </row>
    <row r="141" spans="1:64">
      <c r="A141" s="1">
        <f>HYPERLINK("https://lsnyc.legalserver.org/matter/dynamic-profile/view/1887816","19-1887816")</f>
        <v>0</v>
      </c>
      <c r="B141" t="s">
        <v>3492</v>
      </c>
      <c r="C141" t="s">
        <v>3679</v>
      </c>
      <c r="D141" t="s">
        <v>257</v>
      </c>
      <c r="E141" t="s">
        <v>3685</v>
      </c>
      <c r="F141" t="s">
        <v>273</v>
      </c>
      <c r="G141" t="s">
        <v>275</v>
      </c>
      <c r="H141">
        <v>0</v>
      </c>
      <c r="I141" t="s">
        <v>274</v>
      </c>
      <c r="K141" t="s">
        <v>1709</v>
      </c>
      <c r="M141" t="s">
        <v>473</v>
      </c>
      <c r="P141" t="s">
        <v>492</v>
      </c>
      <c r="Q141" t="s">
        <v>502</v>
      </c>
      <c r="S141" t="s">
        <v>503</v>
      </c>
      <c r="T141" t="s">
        <v>507</v>
      </c>
      <c r="U141" t="s">
        <v>511</v>
      </c>
      <c r="V141">
        <v>10455</v>
      </c>
      <c r="W141" t="s">
        <v>519</v>
      </c>
      <c r="X141" t="s">
        <v>548</v>
      </c>
      <c r="Y141" t="s">
        <v>275</v>
      </c>
      <c r="Z141" t="s">
        <v>946</v>
      </c>
      <c r="AA141" t="s">
        <v>3908</v>
      </c>
      <c r="AB141" t="s">
        <v>902</v>
      </c>
      <c r="AC141" t="s">
        <v>905</v>
      </c>
      <c r="AF141" t="s">
        <v>926</v>
      </c>
      <c r="AI141">
        <v>1.3</v>
      </c>
      <c r="AJ141" t="s">
        <v>558</v>
      </c>
      <c r="AK141" t="s">
        <v>934</v>
      </c>
      <c r="AL141" t="s">
        <v>274</v>
      </c>
      <c r="AT141">
        <v>3</v>
      </c>
      <c r="AU141">
        <v>1</v>
      </c>
      <c r="AV141" t="s">
        <v>273</v>
      </c>
      <c r="AY141" t="s">
        <v>273</v>
      </c>
      <c r="BB141">
        <v>0</v>
      </c>
      <c r="BC141">
        <v>0</v>
      </c>
      <c r="BD141">
        <v>0</v>
      </c>
      <c r="BE141">
        <v>0</v>
      </c>
      <c r="BF141" t="s">
        <v>1063</v>
      </c>
      <c r="BG141" t="s">
        <v>2477</v>
      </c>
      <c r="BH141">
        <v>4</v>
      </c>
      <c r="BI141" t="s">
        <v>1247</v>
      </c>
      <c r="BK141">
        <v>1888445</v>
      </c>
    </row>
    <row r="142" spans="1:64">
      <c r="A142" s="1">
        <f>HYPERLINK("https://lsnyc.legalserver.org/matter/dynamic-profile/view/1887821","19-1887821")</f>
        <v>0</v>
      </c>
      <c r="B142" t="s">
        <v>3492</v>
      </c>
      <c r="C142" t="s">
        <v>3679</v>
      </c>
      <c r="D142" t="s">
        <v>257</v>
      </c>
      <c r="E142" t="s">
        <v>3685</v>
      </c>
      <c r="F142" t="s">
        <v>273</v>
      </c>
      <c r="G142" t="s">
        <v>275</v>
      </c>
      <c r="H142">
        <v>0</v>
      </c>
      <c r="I142" t="s">
        <v>274</v>
      </c>
      <c r="K142" t="s">
        <v>1709</v>
      </c>
      <c r="P142" t="s">
        <v>492</v>
      </c>
      <c r="Q142" t="s">
        <v>502</v>
      </c>
      <c r="S142" t="s">
        <v>503</v>
      </c>
      <c r="T142" t="s">
        <v>507</v>
      </c>
      <c r="U142" t="s">
        <v>511</v>
      </c>
      <c r="V142">
        <v>10455</v>
      </c>
      <c r="W142" t="s">
        <v>529</v>
      </c>
      <c r="X142" t="s">
        <v>548</v>
      </c>
      <c r="Y142" t="s">
        <v>275</v>
      </c>
      <c r="Z142" t="s">
        <v>946</v>
      </c>
      <c r="AA142" t="s">
        <v>3908</v>
      </c>
      <c r="AB142" t="s">
        <v>902</v>
      </c>
      <c r="AC142" t="s">
        <v>905</v>
      </c>
      <c r="AF142" t="s">
        <v>923</v>
      </c>
      <c r="AI142">
        <v>0.3</v>
      </c>
      <c r="AJ142" t="s">
        <v>558</v>
      </c>
      <c r="AK142" t="s">
        <v>934</v>
      </c>
      <c r="AL142" t="s">
        <v>274</v>
      </c>
      <c r="AT142">
        <v>3</v>
      </c>
      <c r="AU142">
        <v>1</v>
      </c>
      <c r="AV142" t="s">
        <v>273</v>
      </c>
      <c r="AY142" t="s">
        <v>273</v>
      </c>
      <c r="BB142">
        <v>0</v>
      </c>
      <c r="BC142">
        <v>0</v>
      </c>
      <c r="BD142">
        <v>0</v>
      </c>
      <c r="BE142">
        <v>0</v>
      </c>
      <c r="BF142" t="s">
        <v>1063</v>
      </c>
      <c r="BG142" t="s">
        <v>2477</v>
      </c>
      <c r="BH142">
        <v>4</v>
      </c>
      <c r="BI142" t="s">
        <v>1247</v>
      </c>
      <c r="BK142">
        <v>1888445</v>
      </c>
    </row>
    <row r="143" spans="1:64">
      <c r="A143" s="1">
        <f>HYPERLINK("https://lsnyc.legalserver.org/matter/dynamic-profile/view/1887573","19-1887573")</f>
        <v>0</v>
      </c>
      <c r="B143" t="s">
        <v>3519</v>
      </c>
      <c r="C143" t="s">
        <v>3679</v>
      </c>
      <c r="D143" t="s">
        <v>257</v>
      </c>
      <c r="E143" t="s">
        <v>3685</v>
      </c>
      <c r="F143" t="s">
        <v>273</v>
      </c>
      <c r="G143" t="s">
        <v>275</v>
      </c>
      <c r="H143">
        <v>0</v>
      </c>
      <c r="I143" t="s">
        <v>274</v>
      </c>
      <c r="K143" t="s">
        <v>1710</v>
      </c>
      <c r="M143" t="s">
        <v>473</v>
      </c>
      <c r="P143" t="s">
        <v>492</v>
      </c>
      <c r="Q143" t="s">
        <v>502</v>
      </c>
      <c r="S143" t="s">
        <v>503</v>
      </c>
      <c r="T143" t="s">
        <v>507</v>
      </c>
      <c r="U143" t="s">
        <v>511</v>
      </c>
      <c r="V143">
        <v>10455</v>
      </c>
      <c r="W143" t="s">
        <v>519</v>
      </c>
      <c r="X143" t="s">
        <v>548</v>
      </c>
      <c r="Y143" t="s">
        <v>275</v>
      </c>
      <c r="Z143" t="s">
        <v>3788</v>
      </c>
      <c r="AA143" t="s">
        <v>3908</v>
      </c>
      <c r="AB143" t="s">
        <v>902</v>
      </c>
      <c r="AC143" t="s">
        <v>905</v>
      </c>
      <c r="AF143" t="s">
        <v>926</v>
      </c>
      <c r="AI143">
        <v>1.2</v>
      </c>
      <c r="AJ143" t="s">
        <v>558</v>
      </c>
      <c r="AK143" t="s">
        <v>934</v>
      </c>
      <c r="AL143" t="s">
        <v>274</v>
      </c>
      <c r="AT143">
        <v>3</v>
      </c>
      <c r="AU143">
        <v>1</v>
      </c>
      <c r="AV143" t="s">
        <v>273</v>
      </c>
      <c r="AY143" t="s">
        <v>273</v>
      </c>
      <c r="BB143">
        <v>0</v>
      </c>
      <c r="BC143">
        <v>0</v>
      </c>
      <c r="BD143">
        <v>0</v>
      </c>
      <c r="BE143">
        <v>0</v>
      </c>
      <c r="BF143" t="s">
        <v>1063</v>
      </c>
      <c r="BG143" t="s">
        <v>4112</v>
      </c>
      <c r="BH143">
        <v>14</v>
      </c>
      <c r="BI143" t="s">
        <v>1247</v>
      </c>
      <c r="BK143">
        <v>1888445</v>
      </c>
    </row>
    <row r="144" spans="1:64">
      <c r="A144" s="1">
        <f>HYPERLINK("https://lsnyc.legalserver.org/matter/dynamic-profile/view/1887579","19-1887579")</f>
        <v>0</v>
      </c>
      <c r="B144" t="s">
        <v>3519</v>
      </c>
      <c r="C144" t="s">
        <v>3679</v>
      </c>
      <c r="D144" t="s">
        <v>257</v>
      </c>
      <c r="E144" t="s">
        <v>3685</v>
      </c>
      <c r="F144" t="s">
        <v>273</v>
      </c>
      <c r="G144" t="s">
        <v>275</v>
      </c>
      <c r="H144">
        <v>0</v>
      </c>
      <c r="I144" t="s">
        <v>274</v>
      </c>
      <c r="K144" t="s">
        <v>1710</v>
      </c>
      <c r="Q144" t="s">
        <v>502</v>
      </c>
      <c r="S144" t="s">
        <v>503</v>
      </c>
      <c r="T144" t="s">
        <v>507</v>
      </c>
      <c r="U144" t="s">
        <v>511</v>
      </c>
      <c r="V144">
        <v>10455</v>
      </c>
      <c r="W144" t="s">
        <v>529</v>
      </c>
      <c r="X144" t="s">
        <v>548</v>
      </c>
      <c r="Y144" t="s">
        <v>275</v>
      </c>
      <c r="Z144" t="s">
        <v>3788</v>
      </c>
      <c r="AA144" t="s">
        <v>3908</v>
      </c>
      <c r="AB144" t="s">
        <v>902</v>
      </c>
      <c r="AC144" t="s">
        <v>905</v>
      </c>
      <c r="AF144" t="s">
        <v>923</v>
      </c>
      <c r="AI144">
        <v>0.2</v>
      </c>
      <c r="AK144" t="s">
        <v>934</v>
      </c>
      <c r="AL144" t="s">
        <v>274</v>
      </c>
      <c r="AT144">
        <v>3</v>
      </c>
      <c r="AU144">
        <v>1</v>
      </c>
      <c r="AV144" t="s">
        <v>273</v>
      </c>
      <c r="AY144" t="s">
        <v>273</v>
      </c>
      <c r="BB144">
        <v>0</v>
      </c>
      <c r="BC144">
        <v>0</v>
      </c>
      <c r="BD144">
        <v>0</v>
      </c>
      <c r="BE144">
        <v>0</v>
      </c>
      <c r="BF144" t="s">
        <v>1063</v>
      </c>
      <c r="BG144" t="s">
        <v>4112</v>
      </c>
      <c r="BH144">
        <v>14</v>
      </c>
      <c r="BI144" t="s">
        <v>1247</v>
      </c>
      <c r="BK144">
        <v>1888201</v>
      </c>
    </row>
    <row r="145" spans="1:63">
      <c r="A145" s="1">
        <f>HYPERLINK("https://lsnyc.legalserver.org/matter/dynamic-profile/view/1887588","19-1887588")</f>
        <v>0</v>
      </c>
      <c r="B145" t="s">
        <v>3491</v>
      </c>
      <c r="C145" t="s">
        <v>3679</v>
      </c>
      <c r="D145" t="s">
        <v>257</v>
      </c>
      <c r="E145" t="s">
        <v>3685</v>
      </c>
      <c r="F145" t="s">
        <v>273</v>
      </c>
      <c r="G145" t="s">
        <v>275</v>
      </c>
      <c r="H145">
        <v>0</v>
      </c>
      <c r="I145" t="s">
        <v>274</v>
      </c>
      <c r="K145" t="s">
        <v>1710</v>
      </c>
      <c r="M145" t="s">
        <v>473</v>
      </c>
      <c r="P145" t="s">
        <v>492</v>
      </c>
      <c r="Q145" t="s">
        <v>502</v>
      </c>
      <c r="S145" t="s">
        <v>503</v>
      </c>
      <c r="T145" t="s">
        <v>508</v>
      </c>
      <c r="U145" t="s">
        <v>511</v>
      </c>
      <c r="V145">
        <v>10455</v>
      </c>
      <c r="W145" t="s">
        <v>519</v>
      </c>
      <c r="X145" t="s">
        <v>548</v>
      </c>
      <c r="Y145" t="s">
        <v>275</v>
      </c>
      <c r="Z145" t="s">
        <v>3141</v>
      </c>
      <c r="AA145" t="s">
        <v>3908</v>
      </c>
      <c r="AB145" t="s">
        <v>902</v>
      </c>
      <c r="AC145" t="s">
        <v>905</v>
      </c>
      <c r="AF145" t="s">
        <v>926</v>
      </c>
      <c r="AI145">
        <v>0.95</v>
      </c>
      <c r="AJ145" t="s">
        <v>558</v>
      </c>
      <c r="AK145" t="s">
        <v>934</v>
      </c>
      <c r="AL145" t="s">
        <v>274</v>
      </c>
      <c r="AT145">
        <v>3</v>
      </c>
      <c r="AU145">
        <v>1</v>
      </c>
      <c r="AV145" t="s">
        <v>273</v>
      </c>
      <c r="AY145" t="s">
        <v>273</v>
      </c>
      <c r="BB145">
        <v>0</v>
      </c>
      <c r="BC145">
        <v>0</v>
      </c>
      <c r="BD145">
        <v>0</v>
      </c>
      <c r="BE145">
        <v>0</v>
      </c>
      <c r="BF145" t="s">
        <v>1063</v>
      </c>
      <c r="BG145" t="s">
        <v>4085</v>
      </c>
      <c r="BH145">
        <v>9</v>
      </c>
      <c r="BI145" t="s">
        <v>1247</v>
      </c>
      <c r="BK145">
        <v>1888445</v>
      </c>
    </row>
    <row r="146" spans="1:63">
      <c r="A146" s="1">
        <f>HYPERLINK("https://lsnyc.legalserver.org/matter/dynamic-profile/view/1887595","19-1887595")</f>
        <v>0</v>
      </c>
      <c r="B146" t="s">
        <v>3491</v>
      </c>
      <c r="C146" t="s">
        <v>3679</v>
      </c>
      <c r="D146" t="s">
        <v>257</v>
      </c>
      <c r="E146" t="s">
        <v>3685</v>
      </c>
      <c r="F146" t="s">
        <v>273</v>
      </c>
      <c r="G146" t="s">
        <v>275</v>
      </c>
      <c r="H146">
        <v>0</v>
      </c>
      <c r="I146" t="s">
        <v>274</v>
      </c>
      <c r="K146" t="s">
        <v>1710</v>
      </c>
      <c r="P146" t="s">
        <v>492</v>
      </c>
      <c r="Q146" t="s">
        <v>502</v>
      </c>
      <c r="S146" t="s">
        <v>503</v>
      </c>
      <c r="T146" t="s">
        <v>508</v>
      </c>
      <c r="U146" t="s">
        <v>511</v>
      </c>
      <c r="V146">
        <v>10455</v>
      </c>
      <c r="W146" t="s">
        <v>529</v>
      </c>
      <c r="X146" t="s">
        <v>548</v>
      </c>
      <c r="Y146" t="s">
        <v>275</v>
      </c>
      <c r="Z146" t="s">
        <v>3141</v>
      </c>
      <c r="AA146" t="s">
        <v>3908</v>
      </c>
      <c r="AB146" t="s">
        <v>902</v>
      </c>
      <c r="AC146" t="s">
        <v>905</v>
      </c>
      <c r="AF146" t="s">
        <v>923</v>
      </c>
      <c r="AI146">
        <v>0.45</v>
      </c>
      <c r="AJ146" t="s">
        <v>558</v>
      </c>
      <c r="AK146" t="s">
        <v>934</v>
      </c>
      <c r="AL146" t="s">
        <v>274</v>
      </c>
      <c r="AT146">
        <v>3</v>
      </c>
      <c r="AU146">
        <v>1</v>
      </c>
      <c r="AV146" t="s">
        <v>273</v>
      </c>
      <c r="AY146" t="s">
        <v>273</v>
      </c>
      <c r="BB146">
        <v>0</v>
      </c>
      <c r="BC146">
        <v>0</v>
      </c>
      <c r="BD146">
        <v>0</v>
      </c>
      <c r="BE146">
        <v>0</v>
      </c>
      <c r="BF146" t="s">
        <v>1063</v>
      </c>
      <c r="BG146" t="s">
        <v>4085</v>
      </c>
      <c r="BH146">
        <v>9</v>
      </c>
      <c r="BI146" t="s">
        <v>1247</v>
      </c>
      <c r="BK146">
        <v>1888216</v>
      </c>
    </row>
    <row r="147" spans="1:63">
      <c r="A147" s="1">
        <f>HYPERLINK("https://lsnyc.legalserver.org/matter/dynamic-profile/view/1887535","19-1887535")</f>
        <v>0</v>
      </c>
      <c r="B147" t="s">
        <v>3537</v>
      </c>
      <c r="C147" t="s">
        <v>3679</v>
      </c>
      <c r="D147" t="s">
        <v>257</v>
      </c>
      <c r="E147" t="s">
        <v>3685</v>
      </c>
      <c r="F147" t="s">
        <v>273</v>
      </c>
      <c r="G147" t="s">
        <v>275</v>
      </c>
      <c r="H147">
        <v>0</v>
      </c>
      <c r="I147" t="s">
        <v>274</v>
      </c>
      <c r="K147" t="s">
        <v>1711</v>
      </c>
      <c r="M147" t="s">
        <v>473</v>
      </c>
      <c r="P147" t="s">
        <v>492</v>
      </c>
      <c r="Q147" t="s">
        <v>501</v>
      </c>
      <c r="S147" t="s">
        <v>506</v>
      </c>
      <c r="T147" t="s">
        <v>508</v>
      </c>
      <c r="U147" t="s">
        <v>1821</v>
      </c>
      <c r="V147">
        <v>10455</v>
      </c>
      <c r="W147" t="s">
        <v>1828</v>
      </c>
      <c r="X147" t="s">
        <v>548</v>
      </c>
      <c r="Y147" t="s">
        <v>275</v>
      </c>
      <c r="Z147" t="s">
        <v>3801</v>
      </c>
      <c r="AA147" t="s">
        <v>3943</v>
      </c>
      <c r="AB147" t="s">
        <v>902</v>
      </c>
      <c r="AC147" t="s">
        <v>905</v>
      </c>
      <c r="AF147" t="s">
        <v>924</v>
      </c>
      <c r="AI147">
        <v>6.75</v>
      </c>
      <c r="AJ147" t="s">
        <v>558</v>
      </c>
      <c r="AK147" t="s">
        <v>934</v>
      </c>
      <c r="AL147" t="s">
        <v>274</v>
      </c>
      <c r="AT147">
        <v>3</v>
      </c>
      <c r="AU147">
        <v>1</v>
      </c>
      <c r="AV147" t="s">
        <v>273</v>
      </c>
      <c r="AY147" t="s">
        <v>273</v>
      </c>
      <c r="BB147">
        <v>0</v>
      </c>
      <c r="BC147">
        <v>0</v>
      </c>
      <c r="BD147">
        <v>0</v>
      </c>
      <c r="BE147">
        <v>0</v>
      </c>
      <c r="BF147" t="s">
        <v>1063</v>
      </c>
      <c r="BG147" t="s">
        <v>1188</v>
      </c>
      <c r="BH147">
        <v>36</v>
      </c>
      <c r="BI147" t="s">
        <v>1247</v>
      </c>
      <c r="BK147">
        <v>1884508</v>
      </c>
    </row>
    <row r="148" spans="1:63">
      <c r="A148" s="1">
        <f>HYPERLINK("https://lsnyc.legalserver.org/matter/dynamic-profile/view/1887383","19-1887383")</f>
        <v>0</v>
      </c>
      <c r="B148" t="s">
        <v>3589</v>
      </c>
      <c r="C148" t="s">
        <v>3679</v>
      </c>
      <c r="D148" t="s">
        <v>257</v>
      </c>
      <c r="E148" t="s">
        <v>3691</v>
      </c>
      <c r="F148" t="s">
        <v>273</v>
      </c>
      <c r="G148" t="s">
        <v>275</v>
      </c>
      <c r="H148">
        <v>0</v>
      </c>
      <c r="I148" t="s">
        <v>274</v>
      </c>
      <c r="K148" t="s">
        <v>355</v>
      </c>
      <c r="O148" t="s">
        <v>275</v>
      </c>
      <c r="P148" t="s">
        <v>499</v>
      </c>
      <c r="Q148" t="s">
        <v>501</v>
      </c>
      <c r="S148" t="s">
        <v>506</v>
      </c>
      <c r="T148" t="s">
        <v>508</v>
      </c>
      <c r="U148" t="s">
        <v>3016</v>
      </c>
      <c r="V148">
        <v>10458</v>
      </c>
      <c r="W148" t="s">
        <v>3022</v>
      </c>
      <c r="X148" t="s">
        <v>548</v>
      </c>
      <c r="Y148" t="s">
        <v>275</v>
      </c>
      <c r="Z148" t="s">
        <v>695</v>
      </c>
      <c r="AA148" t="s">
        <v>3986</v>
      </c>
      <c r="AB148" t="s">
        <v>902</v>
      </c>
      <c r="AC148" t="s">
        <v>911</v>
      </c>
      <c r="AF148" t="s">
        <v>926</v>
      </c>
      <c r="AI148">
        <v>32.25</v>
      </c>
      <c r="AK148" t="s">
        <v>934</v>
      </c>
      <c r="AL148" t="s">
        <v>274</v>
      </c>
      <c r="AT148">
        <v>3</v>
      </c>
      <c r="AU148">
        <v>1</v>
      </c>
      <c r="AV148" t="s">
        <v>273</v>
      </c>
      <c r="AY148" t="s">
        <v>273</v>
      </c>
      <c r="BB148">
        <v>0</v>
      </c>
      <c r="BC148">
        <v>0</v>
      </c>
      <c r="BD148">
        <v>0</v>
      </c>
      <c r="BE148">
        <v>0</v>
      </c>
      <c r="BF148" t="s">
        <v>1063</v>
      </c>
      <c r="BG148" t="s">
        <v>4178</v>
      </c>
      <c r="BH148">
        <v>31</v>
      </c>
      <c r="BI148" t="s">
        <v>1247</v>
      </c>
      <c r="BK148">
        <v>814911</v>
      </c>
    </row>
    <row r="149" spans="1:63">
      <c r="A149" s="1">
        <f>HYPERLINK("https://lsnyc.legalserver.org/matter/dynamic-profile/view/1887174","19-1887174")</f>
        <v>0</v>
      </c>
      <c r="B149" t="s">
        <v>3590</v>
      </c>
      <c r="C149" t="s">
        <v>3679</v>
      </c>
      <c r="D149" t="s">
        <v>257</v>
      </c>
      <c r="E149" t="s">
        <v>3683</v>
      </c>
      <c r="F149" t="s">
        <v>275</v>
      </c>
      <c r="G149" t="s">
        <v>275</v>
      </c>
      <c r="H149">
        <v>0</v>
      </c>
      <c r="I149" t="s">
        <v>274</v>
      </c>
      <c r="K149" t="s">
        <v>1712</v>
      </c>
      <c r="L149" t="s">
        <v>1666</v>
      </c>
      <c r="N149" t="s">
        <v>296</v>
      </c>
      <c r="O149" t="s">
        <v>275</v>
      </c>
      <c r="P149" t="s">
        <v>493</v>
      </c>
      <c r="Q149" t="s">
        <v>501</v>
      </c>
      <c r="S149" t="s">
        <v>503</v>
      </c>
      <c r="T149" t="s">
        <v>507</v>
      </c>
      <c r="U149" t="s">
        <v>511</v>
      </c>
      <c r="V149">
        <v>10474</v>
      </c>
      <c r="W149" t="s">
        <v>521</v>
      </c>
      <c r="X149" t="s">
        <v>549</v>
      </c>
      <c r="Y149" t="s">
        <v>275</v>
      </c>
      <c r="Z149" t="s">
        <v>3839</v>
      </c>
      <c r="AA149" t="s">
        <v>3987</v>
      </c>
      <c r="AB149" t="s">
        <v>902</v>
      </c>
      <c r="AC149" t="s">
        <v>905</v>
      </c>
      <c r="AD149" t="s">
        <v>275</v>
      </c>
      <c r="AE149" t="s">
        <v>920</v>
      </c>
      <c r="AF149" t="s">
        <v>928</v>
      </c>
      <c r="AI149">
        <v>26.3</v>
      </c>
      <c r="AJ149" t="s">
        <v>558</v>
      </c>
      <c r="AK149" t="s">
        <v>950</v>
      </c>
      <c r="AL149" t="s">
        <v>274</v>
      </c>
      <c r="AM149" t="s">
        <v>975</v>
      </c>
      <c r="AN149" t="s">
        <v>343</v>
      </c>
      <c r="AQ149" t="s">
        <v>1033</v>
      </c>
      <c r="AR149" t="s">
        <v>1052</v>
      </c>
      <c r="AT149">
        <v>0</v>
      </c>
      <c r="AU149">
        <v>1</v>
      </c>
      <c r="AV149" t="s">
        <v>274</v>
      </c>
      <c r="AY149" t="s">
        <v>273</v>
      </c>
      <c r="BB149">
        <v>0</v>
      </c>
      <c r="BC149">
        <v>0</v>
      </c>
      <c r="BD149">
        <v>0</v>
      </c>
      <c r="BE149">
        <v>0</v>
      </c>
      <c r="BF149" t="s">
        <v>493</v>
      </c>
      <c r="BG149" t="s">
        <v>4179</v>
      </c>
      <c r="BH149">
        <v>50</v>
      </c>
      <c r="BI149" t="s">
        <v>1247</v>
      </c>
      <c r="BK149">
        <v>1887802</v>
      </c>
    </row>
    <row r="150" spans="1:63">
      <c r="A150" s="1">
        <f>HYPERLINK("https://lsnyc.legalserver.org/matter/dynamic-profile/view/1887134","19-1887134")</f>
        <v>0</v>
      </c>
      <c r="B150" t="s">
        <v>3517</v>
      </c>
      <c r="C150" t="s">
        <v>3679</v>
      </c>
      <c r="D150" t="s">
        <v>257</v>
      </c>
      <c r="E150" t="s">
        <v>3685</v>
      </c>
      <c r="F150" t="s">
        <v>273</v>
      </c>
      <c r="G150" t="s">
        <v>275</v>
      </c>
      <c r="H150">
        <v>0</v>
      </c>
      <c r="I150" t="s">
        <v>274</v>
      </c>
      <c r="K150" t="s">
        <v>2988</v>
      </c>
      <c r="M150" t="s">
        <v>471</v>
      </c>
      <c r="P150" t="s">
        <v>492</v>
      </c>
      <c r="Q150" t="s">
        <v>502</v>
      </c>
      <c r="S150" t="s">
        <v>503</v>
      </c>
      <c r="T150" t="s">
        <v>507</v>
      </c>
      <c r="U150" t="s">
        <v>511</v>
      </c>
      <c r="V150">
        <v>10456</v>
      </c>
      <c r="W150" t="s">
        <v>518</v>
      </c>
      <c r="X150" t="s">
        <v>548</v>
      </c>
      <c r="Z150" t="s">
        <v>1988</v>
      </c>
      <c r="AA150" t="s">
        <v>3928</v>
      </c>
      <c r="AB150" t="s">
        <v>902</v>
      </c>
      <c r="AC150" t="s">
        <v>905</v>
      </c>
      <c r="AF150" t="s">
        <v>926</v>
      </c>
      <c r="AI150">
        <v>0.75</v>
      </c>
      <c r="AK150" t="s">
        <v>936</v>
      </c>
      <c r="AL150" t="s">
        <v>274</v>
      </c>
      <c r="AT150">
        <v>2</v>
      </c>
      <c r="AU150">
        <v>1</v>
      </c>
      <c r="AV150" t="s">
        <v>273</v>
      </c>
      <c r="AY150" t="s">
        <v>273</v>
      </c>
      <c r="BB150">
        <v>0</v>
      </c>
      <c r="BC150">
        <v>0</v>
      </c>
      <c r="BD150">
        <v>0</v>
      </c>
      <c r="BE150">
        <v>0</v>
      </c>
      <c r="BF150" t="s">
        <v>1063</v>
      </c>
      <c r="BG150" t="s">
        <v>4110</v>
      </c>
      <c r="BH150">
        <v>5</v>
      </c>
      <c r="BI150" t="s">
        <v>1247</v>
      </c>
      <c r="BK150">
        <v>1887765</v>
      </c>
    </row>
    <row r="151" spans="1:63">
      <c r="A151" s="1">
        <f>HYPERLINK("https://lsnyc.legalserver.org/matter/dynamic-profile/view/1887137","19-1887137")</f>
        <v>0</v>
      </c>
      <c r="B151" t="s">
        <v>3521</v>
      </c>
      <c r="C151" t="s">
        <v>3679</v>
      </c>
      <c r="D151" t="s">
        <v>257</v>
      </c>
      <c r="E151" t="s">
        <v>3685</v>
      </c>
      <c r="F151" t="s">
        <v>273</v>
      </c>
      <c r="G151" t="s">
        <v>275</v>
      </c>
      <c r="H151">
        <v>0</v>
      </c>
      <c r="I151" t="s">
        <v>274</v>
      </c>
      <c r="K151" t="s">
        <v>2988</v>
      </c>
      <c r="M151" t="s">
        <v>471</v>
      </c>
      <c r="P151" t="s">
        <v>492</v>
      </c>
      <c r="Q151" t="s">
        <v>502</v>
      </c>
      <c r="S151" t="s">
        <v>503</v>
      </c>
      <c r="T151" t="s">
        <v>507</v>
      </c>
      <c r="U151" t="s">
        <v>511</v>
      </c>
      <c r="V151">
        <v>10456</v>
      </c>
      <c r="W151" t="s">
        <v>518</v>
      </c>
      <c r="X151" t="s">
        <v>548</v>
      </c>
      <c r="Z151" t="s">
        <v>3124</v>
      </c>
      <c r="AA151" t="s">
        <v>3928</v>
      </c>
      <c r="AB151" t="s">
        <v>902</v>
      </c>
      <c r="AC151" t="s">
        <v>905</v>
      </c>
      <c r="AF151" t="s">
        <v>926</v>
      </c>
      <c r="AI151">
        <v>0.65</v>
      </c>
      <c r="AK151" t="s">
        <v>936</v>
      </c>
      <c r="AL151" t="s">
        <v>274</v>
      </c>
      <c r="AT151">
        <v>2</v>
      </c>
      <c r="AU151">
        <v>1</v>
      </c>
      <c r="AV151" t="s">
        <v>273</v>
      </c>
      <c r="AY151" t="s">
        <v>273</v>
      </c>
      <c r="BB151">
        <v>0</v>
      </c>
      <c r="BC151">
        <v>0</v>
      </c>
      <c r="BD151">
        <v>0</v>
      </c>
      <c r="BE151">
        <v>0</v>
      </c>
      <c r="BF151" t="s">
        <v>1063</v>
      </c>
      <c r="BG151" t="s">
        <v>4110</v>
      </c>
      <c r="BH151">
        <v>5</v>
      </c>
      <c r="BI151" t="s">
        <v>1247</v>
      </c>
      <c r="BK151">
        <v>1887765</v>
      </c>
    </row>
    <row r="152" spans="1:63">
      <c r="A152" s="1">
        <f>HYPERLINK("https://lsnyc.legalserver.org/matter/dynamic-profile/view/1886935","19-1886935")</f>
        <v>0</v>
      </c>
      <c r="B152" t="s">
        <v>3591</v>
      </c>
      <c r="C152" t="s">
        <v>3679</v>
      </c>
      <c r="D152" t="s">
        <v>257</v>
      </c>
      <c r="E152" t="s">
        <v>3692</v>
      </c>
      <c r="F152" t="s">
        <v>273</v>
      </c>
      <c r="G152" t="s">
        <v>275</v>
      </c>
      <c r="H152">
        <v>132.91</v>
      </c>
      <c r="I152" t="s">
        <v>274</v>
      </c>
      <c r="K152" t="s">
        <v>356</v>
      </c>
      <c r="L152" t="s">
        <v>299</v>
      </c>
      <c r="P152" t="s">
        <v>493</v>
      </c>
      <c r="Q152" t="s">
        <v>501</v>
      </c>
      <c r="S152" t="s">
        <v>503</v>
      </c>
      <c r="T152" t="s">
        <v>507</v>
      </c>
      <c r="U152" t="s">
        <v>511</v>
      </c>
      <c r="V152">
        <v>10456</v>
      </c>
      <c r="W152" t="s">
        <v>517</v>
      </c>
      <c r="X152" t="s">
        <v>548</v>
      </c>
      <c r="Z152" t="s">
        <v>657</v>
      </c>
      <c r="AA152" t="s">
        <v>3988</v>
      </c>
      <c r="AB152" t="s">
        <v>902</v>
      </c>
      <c r="AC152" t="s">
        <v>904</v>
      </c>
      <c r="AD152" t="s">
        <v>275</v>
      </c>
      <c r="AE152" t="s">
        <v>919</v>
      </c>
      <c r="AF152" t="s">
        <v>923</v>
      </c>
      <c r="AI152">
        <v>10.45</v>
      </c>
      <c r="AM152" t="s">
        <v>976</v>
      </c>
      <c r="AN152" t="s">
        <v>297</v>
      </c>
      <c r="AQ152" t="s">
        <v>1042</v>
      </c>
      <c r="AR152" t="s">
        <v>1051</v>
      </c>
      <c r="AT152">
        <v>2</v>
      </c>
      <c r="AU152">
        <v>2</v>
      </c>
      <c r="AV152" t="s">
        <v>273</v>
      </c>
      <c r="AY152" t="s">
        <v>273</v>
      </c>
      <c r="BB152">
        <v>0</v>
      </c>
      <c r="BC152">
        <v>0</v>
      </c>
      <c r="BD152">
        <v>0</v>
      </c>
      <c r="BE152">
        <v>0</v>
      </c>
      <c r="BF152" t="s">
        <v>493</v>
      </c>
      <c r="BG152" t="s">
        <v>4180</v>
      </c>
      <c r="BH152">
        <v>38</v>
      </c>
      <c r="BI152" t="s">
        <v>4264</v>
      </c>
      <c r="BK152">
        <v>1849615</v>
      </c>
    </row>
    <row r="153" spans="1:63">
      <c r="A153" s="1">
        <f>HYPERLINK("https://lsnyc.legalserver.org/matter/dynamic-profile/view/1886556","18-1886556")</f>
        <v>0</v>
      </c>
      <c r="B153" t="s">
        <v>3501</v>
      </c>
      <c r="C153" t="s">
        <v>3679</v>
      </c>
      <c r="D153" t="s">
        <v>257</v>
      </c>
      <c r="E153" t="s">
        <v>3685</v>
      </c>
      <c r="F153" t="s">
        <v>273</v>
      </c>
      <c r="G153" t="s">
        <v>275</v>
      </c>
      <c r="H153">
        <v>0</v>
      </c>
      <c r="I153" t="s">
        <v>274</v>
      </c>
      <c r="K153" t="s">
        <v>3277</v>
      </c>
      <c r="M153" t="s">
        <v>473</v>
      </c>
      <c r="P153" t="s">
        <v>492</v>
      </c>
      <c r="Q153" t="s">
        <v>502</v>
      </c>
      <c r="S153" t="s">
        <v>503</v>
      </c>
      <c r="T153" t="s">
        <v>508</v>
      </c>
      <c r="U153" t="s">
        <v>511</v>
      </c>
      <c r="V153">
        <v>10459</v>
      </c>
      <c r="W153" t="s">
        <v>529</v>
      </c>
      <c r="X153" t="s">
        <v>548</v>
      </c>
      <c r="Y153" t="s">
        <v>275</v>
      </c>
      <c r="Z153" t="s">
        <v>3774</v>
      </c>
      <c r="AA153" t="s">
        <v>3916</v>
      </c>
      <c r="AB153" t="s">
        <v>902</v>
      </c>
      <c r="AC153" t="s">
        <v>905</v>
      </c>
      <c r="AF153" t="s">
        <v>923</v>
      </c>
      <c r="AI153">
        <v>16.25</v>
      </c>
      <c r="AJ153" t="s">
        <v>558</v>
      </c>
      <c r="AK153" t="s">
        <v>934</v>
      </c>
      <c r="AL153" t="s">
        <v>274</v>
      </c>
      <c r="AT153">
        <v>0</v>
      </c>
      <c r="AU153">
        <v>3</v>
      </c>
      <c r="AV153" t="s">
        <v>273</v>
      </c>
      <c r="AY153" t="s">
        <v>273</v>
      </c>
      <c r="BB153">
        <v>0</v>
      </c>
      <c r="BC153">
        <v>0</v>
      </c>
      <c r="BD153">
        <v>0</v>
      </c>
      <c r="BE153">
        <v>0</v>
      </c>
      <c r="BF153" t="s">
        <v>1063</v>
      </c>
      <c r="BG153" t="s">
        <v>4095</v>
      </c>
      <c r="BH153">
        <v>19</v>
      </c>
      <c r="BI153" t="s">
        <v>1247</v>
      </c>
      <c r="BK153">
        <v>1887184</v>
      </c>
    </row>
    <row r="154" spans="1:63">
      <c r="A154" s="1">
        <f>HYPERLINK("https://lsnyc.legalserver.org/matter/dynamic-profile/view/1886509","18-1886509")</f>
        <v>0</v>
      </c>
      <c r="B154" t="s">
        <v>3592</v>
      </c>
      <c r="C154" t="s">
        <v>3679</v>
      </c>
      <c r="D154" t="s">
        <v>257</v>
      </c>
      <c r="E154" t="s">
        <v>3686</v>
      </c>
      <c r="F154" t="s">
        <v>273</v>
      </c>
      <c r="G154" t="s">
        <v>275</v>
      </c>
      <c r="H154">
        <v>52.55</v>
      </c>
      <c r="I154" t="s">
        <v>274</v>
      </c>
      <c r="K154" t="s">
        <v>2391</v>
      </c>
      <c r="P154" t="s">
        <v>492</v>
      </c>
      <c r="Q154" t="s">
        <v>501</v>
      </c>
      <c r="S154" t="s">
        <v>503</v>
      </c>
      <c r="T154" t="s">
        <v>507</v>
      </c>
      <c r="U154" t="s">
        <v>511</v>
      </c>
      <c r="V154">
        <v>10456</v>
      </c>
      <c r="W154" t="s">
        <v>531</v>
      </c>
      <c r="X154" t="s">
        <v>548</v>
      </c>
      <c r="Z154" t="s">
        <v>3839</v>
      </c>
      <c r="AA154" t="s">
        <v>3989</v>
      </c>
      <c r="AB154" t="s">
        <v>902</v>
      </c>
      <c r="AC154" t="s">
        <v>909</v>
      </c>
      <c r="AF154" t="s">
        <v>923</v>
      </c>
      <c r="AI154">
        <v>11.5</v>
      </c>
      <c r="AK154" t="s">
        <v>933</v>
      </c>
      <c r="AL154" t="s">
        <v>274</v>
      </c>
      <c r="AT154">
        <v>5</v>
      </c>
      <c r="AU154">
        <v>2</v>
      </c>
      <c r="AV154" t="s">
        <v>273</v>
      </c>
      <c r="AY154" t="s">
        <v>273</v>
      </c>
      <c r="BB154">
        <v>0</v>
      </c>
      <c r="BC154">
        <v>0</v>
      </c>
      <c r="BD154">
        <v>0</v>
      </c>
      <c r="BE154">
        <v>0</v>
      </c>
      <c r="BF154" t="s">
        <v>1063</v>
      </c>
      <c r="BG154" t="s">
        <v>4181</v>
      </c>
      <c r="BH154">
        <v>38</v>
      </c>
      <c r="BI154" t="s">
        <v>1251</v>
      </c>
      <c r="BK154">
        <v>796185</v>
      </c>
    </row>
    <row r="155" spans="1:63">
      <c r="A155" s="1">
        <f>HYPERLINK("https://lsnyc.legalserver.org/matter/dynamic-profile/view/1886527","18-1886527")</f>
        <v>0</v>
      </c>
      <c r="B155" t="s">
        <v>3568</v>
      </c>
      <c r="C155" t="s">
        <v>3679</v>
      </c>
      <c r="D155" t="s">
        <v>257</v>
      </c>
      <c r="E155" t="s">
        <v>3686</v>
      </c>
      <c r="F155" t="s">
        <v>273</v>
      </c>
      <c r="G155" t="s">
        <v>275</v>
      </c>
      <c r="H155">
        <v>0</v>
      </c>
      <c r="I155" t="s">
        <v>274</v>
      </c>
      <c r="K155" t="s">
        <v>2391</v>
      </c>
      <c r="P155" t="s">
        <v>492</v>
      </c>
      <c r="Q155" t="s">
        <v>502</v>
      </c>
      <c r="S155" t="s">
        <v>503</v>
      </c>
      <c r="T155" t="s">
        <v>507</v>
      </c>
      <c r="U155" t="s">
        <v>511</v>
      </c>
      <c r="V155">
        <v>10454</v>
      </c>
      <c r="W155" t="s">
        <v>519</v>
      </c>
      <c r="X155" t="s">
        <v>548</v>
      </c>
      <c r="Z155" t="s">
        <v>3823</v>
      </c>
      <c r="AA155" t="s">
        <v>3969</v>
      </c>
      <c r="AB155" t="s">
        <v>902</v>
      </c>
      <c r="AC155" t="s">
        <v>905</v>
      </c>
      <c r="AF155" t="s">
        <v>926</v>
      </c>
      <c r="AI155">
        <v>1.75</v>
      </c>
      <c r="AK155" t="s">
        <v>934</v>
      </c>
      <c r="AL155" t="s">
        <v>274</v>
      </c>
      <c r="AT155">
        <v>1</v>
      </c>
      <c r="AU155">
        <v>1</v>
      </c>
      <c r="AV155" t="s">
        <v>273</v>
      </c>
      <c r="AY155" t="s">
        <v>273</v>
      </c>
      <c r="BB155">
        <v>0</v>
      </c>
      <c r="BC155">
        <v>0</v>
      </c>
      <c r="BD155">
        <v>0</v>
      </c>
      <c r="BE155">
        <v>0</v>
      </c>
      <c r="BF155" t="s">
        <v>1063</v>
      </c>
      <c r="BG155" t="s">
        <v>4158</v>
      </c>
      <c r="BH155">
        <v>9</v>
      </c>
      <c r="BI155" t="s">
        <v>1247</v>
      </c>
      <c r="BK155">
        <v>1887155</v>
      </c>
    </row>
    <row r="156" spans="1:63">
      <c r="A156" s="1">
        <f>HYPERLINK("https://lsnyc.legalserver.org/matter/dynamic-profile/view/1886528","18-1886528")</f>
        <v>0</v>
      </c>
      <c r="B156" t="s">
        <v>3593</v>
      </c>
      <c r="C156" t="s">
        <v>3679</v>
      </c>
      <c r="D156" t="s">
        <v>257</v>
      </c>
      <c r="E156" t="s">
        <v>3686</v>
      </c>
      <c r="F156" t="s">
        <v>273</v>
      </c>
      <c r="G156" t="s">
        <v>275</v>
      </c>
      <c r="H156">
        <v>79.08</v>
      </c>
      <c r="I156" t="s">
        <v>274</v>
      </c>
      <c r="K156" t="s">
        <v>2391</v>
      </c>
      <c r="P156" t="s">
        <v>492</v>
      </c>
      <c r="Q156" t="s">
        <v>502</v>
      </c>
      <c r="R156" t="s">
        <v>501</v>
      </c>
      <c r="S156" t="s">
        <v>503</v>
      </c>
      <c r="T156" t="s">
        <v>508</v>
      </c>
      <c r="U156" t="s">
        <v>511</v>
      </c>
      <c r="V156">
        <v>10456</v>
      </c>
      <c r="W156" t="s">
        <v>531</v>
      </c>
      <c r="X156" t="s">
        <v>549</v>
      </c>
      <c r="Y156" t="s">
        <v>275</v>
      </c>
      <c r="Z156" t="s">
        <v>3840</v>
      </c>
      <c r="AA156" t="s">
        <v>3990</v>
      </c>
      <c r="AB156" t="s">
        <v>902</v>
      </c>
      <c r="AC156" t="s">
        <v>910</v>
      </c>
      <c r="AF156" t="s">
        <v>923</v>
      </c>
      <c r="AI156">
        <v>16.5</v>
      </c>
      <c r="AK156" t="s">
        <v>967</v>
      </c>
      <c r="AL156" t="s">
        <v>274</v>
      </c>
      <c r="AT156">
        <v>0</v>
      </c>
      <c r="AU156">
        <v>1</v>
      </c>
      <c r="AV156" t="s">
        <v>273</v>
      </c>
      <c r="AY156" t="s">
        <v>273</v>
      </c>
      <c r="BB156">
        <v>0</v>
      </c>
      <c r="BC156">
        <v>0</v>
      </c>
      <c r="BD156">
        <v>0</v>
      </c>
      <c r="BE156">
        <v>0</v>
      </c>
      <c r="BF156" t="s">
        <v>1063</v>
      </c>
      <c r="BG156" t="s">
        <v>2544</v>
      </c>
      <c r="BH156">
        <v>20</v>
      </c>
      <c r="BI156" t="s">
        <v>1280</v>
      </c>
      <c r="BK156">
        <v>1865823</v>
      </c>
    </row>
    <row r="157" spans="1:63">
      <c r="A157" s="1">
        <f>HYPERLINK("https://lsnyc.legalserver.org/matter/dynamic-profile/view/1886157","18-1886157")</f>
        <v>0</v>
      </c>
      <c r="B157" t="s">
        <v>3543</v>
      </c>
      <c r="C157" t="s">
        <v>3679</v>
      </c>
      <c r="D157" t="s">
        <v>257</v>
      </c>
      <c r="E157" t="s">
        <v>3685</v>
      </c>
      <c r="F157" t="s">
        <v>273</v>
      </c>
      <c r="G157" t="s">
        <v>275</v>
      </c>
      <c r="H157">
        <v>14.58</v>
      </c>
      <c r="I157" t="s">
        <v>274</v>
      </c>
      <c r="K157" t="s">
        <v>3698</v>
      </c>
      <c r="M157" t="s">
        <v>473</v>
      </c>
      <c r="P157" t="s">
        <v>492</v>
      </c>
      <c r="Q157" t="s">
        <v>501</v>
      </c>
      <c r="S157" t="s">
        <v>506</v>
      </c>
      <c r="T157" t="s">
        <v>508</v>
      </c>
      <c r="U157" t="s">
        <v>1821</v>
      </c>
      <c r="V157">
        <v>10454</v>
      </c>
      <c r="W157" t="s">
        <v>1828</v>
      </c>
      <c r="X157" t="s">
        <v>548</v>
      </c>
      <c r="Y157" t="s">
        <v>275</v>
      </c>
      <c r="Z157" t="s">
        <v>3807</v>
      </c>
      <c r="AA157" t="s">
        <v>3948</v>
      </c>
      <c r="AB157" t="s">
        <v>902</v>
      </c>
      <c r="AC157" t="s">
        <v>905</v>
      </c>
      <c r="AF157" t="s">
        <v>924</v>
      </c>
      <c r="AI157">
        <v>4</v>
      </c>
      <c r="AJ157" t="s">
        <v>558</v>
      </c>
      <c r="AK157" t="s">
        <v>934</v>
      </c>
      <c r="AL157" t="s">
        <v>274</v>
      </c>
      <c r="AT157">
        <v>1</v>
      </c>
      <c r="AU157">
        <v>1</v>
      </c>
      <c r="AV157" t="s">
        <v>273</v>
      </c>
      <c r="AY157" t="s">
        <v>273</v>
      </c>
      <c r="BB157">
        <v>0</v>
      </c>
      <c r="BC157">
        <v>0</v>
      </c>
      <c r="BD157">
        <v>0</v>
      </c>
      <c r="BE157">
        <v>0</v>
      </c>
      <c r="BF157" t="s">
        <v>1063</v>
      </c>
      <c r="BG157" t="s">
        <v>4134</v>
      </c>
      <c r="BH157">
        <v>32</v>
      </c>
      <c r="BI157" t="s">
        <v>1291</v>
      </c>
      <c r="BK157">
        <v>1878945</v>
      </c>
    </row>
    <row r="158" spans="1:63">
      <c r="A158" s="1">
        <f>HYPERLINK("https://lsnyc.legalserver.org/matter/dynamic-profile/view/1886214","18-1886214")</f>
        <v>0</v>
      </c>
      <c r="B158" t="s">
        <v>3594</v>
      </c>
      <c r="C158" t="s">
        <v>3679</v>
      </c>
      <c r="D158" t="s">
        <v>257</v>
      </c>
      <c r="E158" t="s">
        <v>3685</v>
      </c>
      <c r="F158" t="s">
        <v>273</v>
      </c>
      <c r="G158" t="s">
        <v>275</v>
      </c>
      <c r="H158">
        <v>0</v>
      </c>
      <c r="I158" t="s">
        <v>274</v>
      </c>
      <c r="K158" t="s">
        <v>3698</v>
      </c>
      <c r="M158" t="s">
        <v>471</v>
      </c>
      <c r="P158" t="s">
        <v>492</v>
      </c>
      <c r="Q158" t="s">
        <v>502</v>
      </c>
      <c r="S158" t="s">
        <v>503</v>
      </c>
      <c r="T158" t="s">
        <v>508</v>
      </c>
      <c r="U158" t="s">
        <v>511</v>
      </c>
      <c r="V158">
        <v>10454</v>
      </c>
      <c r="W158" t="s">
        <v>519</v>
      </c>
      <c r="X158" t="s">
        <v>548</v>
      </c>
      <c r="Y158" t="s">
        <v>275</v>
      </c>
      <c r="Z158" t="s">
        <v>3841</v>
      </c>
      <c r="AA158" t="s">
        <v>3991</v>
      </c>
      <c r="AB158" t="s">
        <v>902</v>
      </c>
      <c r="AC158" t="s">
        <v>905</v>
      </c>
      <c r="AF158" t="s">
        <v>926</v>
      </c>
      <c r="AI158">
        <v>4.8</v>
      </c>
      <c r="AJ158" t="s">
        <v>558</v>
      </c>
      <c r="AK158" t="s">
        <v>934</v>
      </c>
      <c r="AL158" t="s">
        <v>274</v>
      </c>
      <c r="AT158">
        <v>1</v>
      </c>
      <c r="AU158">
        <v>1</v>
      </c>
      <c r="AV158" t="s">
        <v>273</v>
      </c>
      <c r="AY158" t="s">
        <v>273</v>
      </c>
      <c r="BB158">
        <v>0</v>
      </c>
      <c r="BC158">
        <v>0</v>
      </c>
      <c r="BD158">
        <v>0</v>
      </c>
      <c r="BE158">
        <v>0</v>
      </c>
      <c r="BF158" t="s">
        <v>1063</v>
      </c>
      <c r="BG158" t="s">
        <v>4182</v>
      </c>
      <c r="BH158">
        <v>11</v>
      </c>
      <c r="BI158" t="s">
        <v>1247</v>
      </c>
      <c r="BK158">
        <v>1878945</v>
      </c>
    </row>
    <row r="159" spans="1:63">
      <c r="A159" s="1">
        <f>HYPERLINK("https://lsnyc.legalserver.org/matter/dynamic-profile/view/1886292","18-1886292")</f>
        <v>0</v>
      </c>
      <c r="B159" t="s">
        <v>3594</v>
      </c>
      <c r="C159" t="s">
        <v>3679</v>
      </c>
      <c r="D159" t="s">
        <v>257</v>
      </c>
      <c r="E159" t="s">
        <v>3685</v>
      </c>
      <c r="F159" t="s">
        <v>273</v>
      </c>
      <c r="G159" t="s">
        <v>275</v>
      </c>
      <c r="H159">
        <v>0</v>
      </c>
      <c r="I159" t="s">
        <v>274</v>
      </c>
      <c r="K159" t="s">
        <v>3698</v>
      </c>
      <c r="P159" t="s">
        <v>492</v>
      </c>
      <c r="Q159" t="s">
        <v>502</v>
      </c>
      <c r="S159" t="s">
        <v>503</v>
      </c>
      <c r="T159" t="s">
        <v>508</v>
      </c>
      <c r="U159" t="s">
        <v>511</v>
      </c>
      <c r="V159">
        <v>10454</v>
      </c>
      <c r="W159" t="s">
        <v>529</v>
      </c>
      <c r="X159" t="s">
        <v>548</v>
      </c>
      <c r="Y159" t="s">
        <v>275</v>
      </c>
      <c r="Z159" t="s">
        <v>3841</v>
      </c>
      <c r="AA159" t="s">
        <v>3991</v>
      </c>
      <c r="AB159" t="s">
        <v>902</v>
      </c>
      <c r="AC159" t="s">
        <v>905</v>
      </c>
      <c r="AF159" t="s">
        <v>923</v>
      </c>
      <c r="AI159">
        <v>0.35</v>
      </c>
      <c r="AJ159" t="s">
        <v>558</v>
      </c>
      <c r="AK159" t="s">
        <v>934</v>
      </c>
      <c r="AL159" t="s">
        <v>274</v>
      </c>
      <c r="AT159">
        <v>1</v>
      </c>
      <c r="AU159">
        <v>1</v>
      </c>
      <c r="AV159" t="s">
        <v>273</v>
      </c>
      <c r="AY159" t="s">
        <v>273</v>
      </c>
      <c r="BB159">
        <v>0</v>
      </c>
      <c r="BC159">
        <v>0</v>
      </c>
      <c r="BD159">
        <v>0</v>
      </c>
      <c r="BE159">
        <v>0</v>
      </c>
      <c r="BF159" t="s">
        <v>1063</v>
      </c>
      <c r="BG159" t="s">
        <v>4182</v>
      </c>
      <c r="BH159">
        <v>11</v>
      </c>
      <c r="BI159" t="s">
        <v>1247</v>
      </c>
      <c r="BK159">
        <v>1878945</v>
      </c>
    </row>
    <row r="160" spans="1:63">
      <c r="A160" s="1">
        <f>HYPERLINK("https://lsnyc.legalserver.org/matter/dynamic-profile/view/1886144","18-1886144")</f>
        <v>0</v>
      </c>
      <c r="B160" t="s">
        <v>3595</v>
      </c>
      <c r="C160" t="s">
        <v>3679</v>
      </c>
      <c r="D160" t="s">
        <v>257</v>
      </c>
      <c r="E160" t="s">
        <v>3683</v>
      </c>
      <c r="F160" t="s">
        <v>273</v>
      </c>
      <c r="G160" t="s">
        <v>275</v>
      </c>
      <c r="H160">
        <v>65.26000000000001</v>
      </c>
      <c r="I160" t="s">
        <v>274</v>
      </c>
      <c r="K160" t="s">
        <v>3699</v>
      </c>
      <c r="N160" t="s">
        <v>355</v>
      </c>
      <c r="P160" t="s">
        <v>492</v>
      </c>
      <c r="Q160" t="s">
        <v>501</v>
      </c>
      <c r="S160" t="s">
        <v>503</v>
      </c>
      <c r="T160" t="s">
        <v>508</v>
      </c>
      <c r="U160" t="s">
        <v>511</v>
      </c>
      <c r="V160">
        <v>10474</v>
      </c>
      <c r="W160" t="s">
        <v>529</v>
      </c>
      <c r="X160" t="s">
        <v>548</v>
      </c>
      <c r="Y160" t="s">
        <v>275</v>
      </c>
      <c r="Z160" t="s">
        <v>3842</v>
      </c>
      <c r="AA160" t="s">
        <v>3992</v>
      </c>
      <c r="AB160" t="s">
        <v>902</v>
      </c>
      <c r="AC160" t="s">
        <v>905</v>
      </c>
      <c r="AF160" t="s">
        <v>923</v>
      </c>
      <c r="AI160">
        <v>1.7</v>
      </c>
      <c r="AK160" t="s">
        <v>934</v>
      </c>
      <c r="AL160" t="s">
        <v>274</v>
      </c>
      <c r="AM160" t="s">
        <v>973</v>
      </c>
      <c r="AN160" t="s">
        <v>355</v>
      </c>
      <c r="AT160">
        <v>4</v>
      </c>
      <c r="AU160">
        <v>1</v>
      </c>
      <c r="AV160" t="s">
        <v>273</v>
      </c>
      <c r="AY160" t="s">
        <v>273</v>
      </c>
      <c r="BB160">
        <v>0</v>
      </c>
      <c r="BC160">
        <v>0</v>
      </c>
      <c r="BD160">
        <v>0</v>
      </c>
      <c r="BE160">
        <v>0</v>
      </c>
      <c r="BF160" t="s">
        <v>1063</v>
      </c>
      <c r="BG160" t="s">
        <v>4183</v>
      </c>
      <c r="BH160">
        <v>7</v>
      </c>
      <c r="BI160" t="s">
        <v>2720</v>
      </c>
      <c r="BK160">
        <v>807054</v>
      </c>
    </row>
    <row r="161" spans="1:64">
      <c r="A161" s="1">
        <f>HYPERLINK("https://lsnyc.legalserver.org/matter/dynamic-profile/view/1885954","18-1885954")</f>
        <v>0</v>
      </c>
      <c r="B161" t="s">
        <v>3534</v>
      </c>
      <c r="C161" t="s">
        <v>3679</v>
      </c>
      <c r="D161" t="s">
        <v>257</v>
      </c>
      <c r="E161" t="s">
        <v>3685</v>
      </c>
      <c r="F161" t="s">
        <v>273</v>
      </c>
      <c r="G161" t="s">
        <v>275</v>
      </c>
      <c r="H161">
        <v>0.4</v>
      </c>
      <c r="I161" t="s">
        <v>274</v>
      </c>
      <c r="K161" t="s">
        <v>3700</v>
      </c>
      <c r="M161" t="s">
        <v>473</v>
      </c>
      <c r="P161" t="s">
        <v>492</v>
      </c>
      <c r="Q161" t="s">
        <v>501</v>
      </c>
      <c r="S161" t="s">
        <v>506</v>
      </c>
      <c r="T161" t="s">
        <v>508</v>
      </c>
      <c r="U161" t="s">
        <v>1821</v>
      </c>
      <c r="V161">
        <v>10451</v>
      </c>
      <c r="W161" t="s">
        <v>1828</v>
      </c>
      <c r="X161" t="s">
        <v>548</v>
      </c>
      <c r="Y161" t="s">
        <v>275</v>
      </c>
      <c r="Z161" t="s">
        <v>2088</v>
      </c>
      <c r="AA161" t="s">
        <v>3940</v>
      </c>
      <c r="AB161" t="s">
        <v>902</v>
      </c>
      <c r="AC161" t="s">
        <v>905</v>
      </c>
      <c r="AF161" t="s">
        <v>924</v>
      </c>
      <c r="AI161">
        <v>0.4</v>
      </c>
      <c r="AJ161" t="s">
        <v>558</v>
      </c>
      <c r="AK161" t="s">
        <v>934</v>
      </c>
      <c r="AL161" t="s">
        <v>274</v>
      </c>
      <c r="AT161">
        <v>3</v>
      </c>
      <c r="AU161">
        <v>1</v>
      </c>
      <c r="AV161" t="s">
        <v>273</v>
      </c>
      <c r="AY161" t="s">
        <v>273</v>
      </c>
      <c r="BB161">
        <v>0</v>
      </c>
      <c r="BC161">
        <v>0</v>
      </c>
      <c r="BD161">
        <v>0</v>
      </c>
      <c r="BE161">
        <v>0</v>
      </c>
      <c r="BF161" t="s">
        <v>1063</v>
      </c>
      <c r="BG161" t="s">
        <v>4127</v>
      </c>
      <c r="BH161">
        <v>36</v>
      </c>
      <c r="BI161" t="s">
        <v>2743</v>
      </c>
      <c r="BK161">
        <v>1883420</v>
      </c>
    </row>
    <row r="162" spans="1:64">
      <c r="A162" s="1">
        <f>HYPERLINK("https://lsnyc.legalserver.org/matter/dynamic-profile/view/1885960","18-1885960")</f>
        <v>0</v>
      </c>
      <c r="B162" t="s">
        <v>3511</v>
      </c>
      <c r="C162" t="s">
        <v>3679</v>
      </c>
      <c r="D162" t="s">
        <v>257</v>
      </c>
      <c r="E162" t="s">
        <v>3685</v>
      </c>
      <c r="F162" t="s">
        <v>273</v>
      </c>
      <c r="G162" t="s">
        <v>275</v>
      </c>
      <c r="H162">
        <v>0</v>
      </c>
      <c r="I162" t="s">
        <v>274</v>
      </c>
      <c r="K162" t="s">
        <v>3700</v>
      </c>
      <c r="M162" t="s">
        <v>471</v>
      </c>
      <c r="P162" t="s">
        <v>492</v>
      </c>
      <c r="Q162" t="s">
        <v>502</v>
      </c>
      <c r="R162" t="s">
        <v>502</v>
      </c>
      <c r="S162" t="s">
        <v>503</v>
      </c>
      <c r="T162" t="s">
        <v>508</v>
      </c>
      <c r="U162" t="s">
        <v>511</v>
      </c>
      <c r="V162">
        <v>10451</v>
      </c>
      <c r="W162" t="s">
        <v>519</v>
      </c>
      <c r="X162" t="s">
        <v>548</v>
      </c>
      <c r="Y162" t="s">
        <v>275</v>
      </c>
      <c r="Z162" t="s">
        <v>3782</v>
      </c>
      <c r="AA162" t="s">
        <v>3922</v>
      </c>
      <c r="AB162" t="s">
        <v>902</v>
      </c>
      <c r="AC162" t="s">
        <v>905</v>
      </c>
      <c r="AF162" t="s">
        <v>926</v>
      </c>
      <c r="AI162">
        <v>2.8</v>
      </c>
      <c r="AJ162" t="s">
        <v>558</v>
      </c>
      <c r="AK162" t="s">
        <v>934</v>
      </c>
      <c r="AL162" t="s">
        <v>274</v>
      </c>
      <c r="AT162">
        <v>2</v>
      </c>
      <c r="AU162">
        <v>1</v>
      </c>
      <c r="AV162" t="s">
        <v>273</v>
      </c>
      <c r="AY162" t="s">
        <v>273</v>
      </c>
      <c r="BB162">
        <v>0</v>
      </c>
      <c r="BC162">
        <v>0</v>
      </c>
      <c r="BD162">
        <v>0</v>
      </c>
      <c r="BE162">
        <v>0</v>
      </c>
      <c r="BF162" t="s">
        <v>1063</v>
      </c>
      <c r="BG162" t="s">
        <v>4105</v>
      </c>
      <c r="BH162">
        <v>13</v>
      </c>
      <c r="BI162" t="s">
        <v>1247</v>
      </c>
      <c r="BK162">
        <v>1883420</v>
      </c>
    </row>
    <row r="163" spans="1:64">
      <c r="A163" s="1">
        <f>HYPERLINK("https://lsnyc.legalserver.org/matter/dynamic-profile/view/1885968","18-1885968")</f>
        <v>0</v>
      </c>
      <c r="B163" t="s">
        <v>3511</v>
      </c>
      <c r="C163" t="s">
        <v>3679</v>
      </c>
      <c r="D163" t="s">
        <v>257</v>
      </c>
      <c r="E163" t="s">
        <v>3685</v>
      </c>
      <c r="F163" t="s">
        <v>273</v>
      </c>
      <c r="G163" t="s">
        <v>275</v>
      </c>
      <c r="H163">
        <v>0</v>
      </c>
      <c r="I163" t="s">
        <v>274</v>
      </c>
      <c r="K163" t="s">
        <v>3700</v>
      </c>
      <c r="P163" t="s">
        <v>492</v>
      </c>
      <c r="Q163" t="s">
        <v>502</v>
      </c>
      <c r="S163" t="s">
        <v>503</v>
      </c>
      <c r="T163" t="s">
        <v>508</v>
      </c>
      <c r="U163" t="s">
        <v>511</v>
      </c>
      <c r="V163">
        <v>10451</v>
      </c>
      <c r="W163" t="s">
        <v>529</v>
      </c>
      <c r="X163" t="s">
        <v>548</v>
      </c>
      <c r="Y163" t="s">
        <v>275</v>
      </c>
      <c r="Z163" t="s">
        <v>3782</v>
      </c>
      <c r="AA163" t="s">
        <v>3922</v>
      </c>
      <c r="AB163" t="s">
        <v>902</v>
      </c>
      <c r="AC163" t="s">
        <v>905</v>
      </c>
      <c r="AF163" t="s">
        <v>926</v>
      </c>
      <c r="AI163">
        <v>0.1</v>
      </c>
      <c r="AJ163" t="s">
        <v>558</v>
      </c>
      <c r="AK163" t="s">
        <v>934</v>
      </c>
      <c r="AL163" t="s">
        <v>274</v>
      </c>
      <c r="AT163">
        <v>2</v>
      </c>
      <c r="AU163">
        <v>1</v>
      </c>
      <c r="AV163" t="s">
        <v>273</v>
      </c>
      <c r="AY163" t="s">
        <v>273</v>
      </c>
      <c r="BB163">
        <v>0</v>
      </c>
      <c r="BC163">
        <v>0</v>
      </c>
      <c r="BD163">
        <v>0</v>
      </c>
      <c r="BE163">
        <v>0</v>
      </c>
      <c r="BF163" t="s">
        <v>1063</v>
      </c>
      <c r="BG163" t="s">
        <v>4105</v>
      </c>
      <c r="BH163">
        <v>13</v>
      </c>
      <c r="BI163" t="s">
        <v>1247</v>
      </c>
      <c r="BK163">
        <v>1883420</v>
      </c>
    </row>
    <row r="164" spans="1:64">
      <c r="A164" s="1">
        <f>HYPERLINK("https://lsnyc.legalserver.org/matter/dynamic-profile/view/1885996","18-1885996")</f>
        <v>0</v>
      </c>
      <c r="B164" t="s">
        <v>3510</v>
      </c>
      <c r="C164" t="s">
        <v>3679</v>
      </c>
      <c r="D164" t="s">
        <v>257</v>
      </c>
      <c r="E164" t="s">
        <v>3685</v>
      </c>
      <c r="F164" t="s">
        <v>273</v>
      </c>
      <c r="G164" t="s">
        <v>275</v>
      </c>
      <c r="H164">
        <v>0</v>
      </c>
      <c r="I164" t="s">
        <v>274</v>
      </c>
      <c r="K164" t="s">
        <v>3700</v>
      </c>
      <c r="M164" t="s">
        <v>471</v>
      </c>
      <c r="P164" t="s">
        <v>492</v>
      </c>
      <c r="Q164" t="s">
        <v>502</v>
      </c>
      <c r="S164" t="s">
        <v>503</v>
      </c>
      <c r="T164" t="s">
        <v>508</v>
      </c>
      <c r="U164" t="s">
        <v>511</v>
      </c>
      <c r="V164">
        <v>10451</v>
      </c>
      <c r="W164" t="s">
        <v>519</v>
      </c>
      <c r="X164" t="s">
        <v>548</v>
      </c>
      <c r="Y164" t="s">
        <v>275</v>
      </c>
      <c r="Z164" t="s">
        <v>3781</v>
      </c>
      <c r="AA164" t="s">
        <v>3922</v>
      </c>
      <c r="AB164" t="s">
        <v>902</v>
      </c>
      <c r="AC164" t="s">
        <v>905</v>
      </c>
      <c r="AF164" t="s">
        <v>926</v>
      </c>
      <c r="AI164">
        <v>2.8</v>
      </c>
      <c r="AJ164" t="s">
        <v>558</v>
      </c>
      <c r="AK164" t="s">
        <v>934</v>
      </c>
      <c r="AL164" t="s">
        <v>274</v>
      </c>
      <c r="AT164">
        <v>2</v>
      </c>
      <c r="AU164">
        <v>1</v>
      </c>
      <c r="AV164" t="s">
        <v>273</v>
      </c>
      <c r="AY164" t="s">
        <v>273</v>
      </c>
      <c r="BB164">
        <v>0</v>
      </c>
      <c r="BC164">
        <v>0</v>
      </c>
      <c r="BD164">
        <v>0</v>
      </c>
      <c r="BE164">
        <v>0</v>
      </c>
      <c r="BF164" t="s">
        <v>1063</v>
      </c>
      <c r="BG164" t="s">
        <v>4104</v>
      </c>
      <c r="BH164">
        <v>15</v>
      </c>
      <c r="BI164" t="s">
        <v>1247</v>
      </c>
      <c r="BK164">
        <v>1883420</v>
      </c>
    </row>
    <row r="165" spans="1:64">
      <c r="A165" s="1">
        <f>HYPERLINK("https://lsnyc.legalserver.org/matter/dynamic-profile/view/1885998","18-1885998")</f>
        <v>0</v>
      </c>
      <c r="B165" t="s">
        <v>3510</v>
      </c>
      <c r="C165" t="s">
        <v>3679</v>
      </c>
      <c r="D165" t="s">
        <v>257</v>
      </c>
      <c r="E165" t="s">
        <v>3685</v>
      </c>
      <c r="F165" t="s">
        <v>273</v>
      </c>
      <c r="G165" t="s">
        <v>275</v>
      </c>
      <c r="H165">
        <v>0</v>
      </c>
      <c r="I165" t="s">
        <v>274</v>
      </c>
      <c r="K165" t="s">
        <v>3700</v>
      </c>
      <c r="P165" t="s">
        <v>492</v>
      </c>
      <c r="Q165" t="s">
        <v>502</v>
      </c>
      <c r="S165" t="s">
        <v>503</v>
      </c>
      <c r="T165" t="s">
        <v>508</v>
      </c>
      <c r="U165" t="s">
        <v>511</v>
      </c>
      <c r="V165">
        <v>10451</v>
      </c>
      <c r="W165" t="s">
        <v>529</v>
      </c>
      <c r="X165" t="s">
        <v>548</v>
      </c>
      <c r="Y165" t="s">
        <v>275</v>
      </c>
      <c r="Z165" t="s">
        <v>3781</v>
      </c>
      <c r="AA165" t="s">
        <v>3922</v>
      </c>
      <c r="AB165" t="s">
        <v>902</v>
      </c>
      <c r="AC165" t="s">
        <v>905</v>
      </c>
      <c r="AF165" t="s">
        <v>926</v>
      </c>
      <c r="AI165">
        <v>0.3</v>
      </c>
      <c r="AJ165" t="s">
        <v>558</v>
      </c>
      <c r="AK165" t="s">
        <v>934</v>
      </c>
      <c r="AL165" t="s">
        <v>274</v>
      </c>
      <c r="AT165">
        <v>2</v>
      </c>
      <c r="AU165">
        <v>1</v>
      </c>
      <c r="AV165" t="s">
        <v>273</v>
      </c>
      <c r="AY165" t="s">
        <v>273</v>
      </c>
      <c r="BB165">
        <v>0</v>
      </c>
      <c r="BC165">
        <v>0</v>
      </c>
      <c r="BD165">
        <v>0</v>
      </c>
      <c r="BE165">
        <v>0</v>
      </c>
      <c r="BF165" t="s">
        <v>1063</v>
      </c>
      <c r="BG165" t="s">
        <v>4104</v>
      </c>
      <c r="BH165">
        <v>15</v>
      </c>
      <c r="BI165" t="s">
        <v>1247</v>
      </c>
      <c r="BK165">
        <v>1883420</v>
      </c>
    </row>
    <row r="166" spans="1:64">
      <c r="A166" s="1">
        <f>HYPERLINK("https://lsnyc.legalserver.org/matter/dynamic-profile/view/1885542","18-1885542")</f>
        <v>0</v>
      </c>
      <c r="B166" t="s">
        <v>3596</v>
      </c>
      <c r="C166" t="s">
        <v>3679</v>
      </c>
      <c r="D166" t="s">
        <v>257</v>
      </c>
      <c r="E166" t="s">
        <v>3683</v>
      </c>
      <c r="F166" t="s">
        <v>273</v>
      </c>
      <c r="G166" t="s">
        <v>275</v>
      </c>
      <c r="H166">
        <v>123.73</v>
      </c>
      <c r="I166" t="s">
        <v>274</v>
      </c>
      <c r="K166" t="s">
        <v>1715</v>
      </c>
      <c r="M166" t="s">
        <v>473</v>
      </c>
      <c r="N166" t="s">
        <v>2985</v>
      </c>
      <c r="P166" t="s">
        <v>492</v>
      </c>
      <c r="Q166" t="s">
        <v>501</v>
      </c>
      <c r="S166" t="s">
        <v>503</v>
      </c>
      <c r="T166" t="s">
        <v>508</v>
      </c>
      <c r="U166" t="s">
        <v>511</v>
      </c>
      <c r="V166">
        <v>10454</v>
      </c>
      <c r="W166" t="s">
        <v>519</v>
      </c>
      <c r="X166" t="s">
        <v>548</v>
      </c>
      <c r="Y166" t="s">
        <v>275</v>
      </c>
      <c r="Z166" t="s">
        <v>3843</v>
      </c>
      <c r="AA166" t="s">
        <v>3993</v>
      </c>
      <c r="AB166" t="s">
        <v>902</v>
      </c>
      <c r="AC166" t="s">
        <v>906</v>
      </c>
      <c r="AF166" t="s">
        <v>926</v>
      </c>
      <c r="AI166">
        <v>23.75</v>
      </c>
      <c r="AK166" t="s">
        <v>933</v>
      </c>
      <c r="AL166" t="s">
        <v>274</v>
      </c>
      <c r="AM166" t="s">
        <v>973</v>
      </c>
      <c r="AN166" t="s">
        <v>2985</v>
      </c>
      <c r="AT166">
        <v>3</v>
      </c>
      <c r="AU166">
        <v>2</v>
      </c>
      <c r="AV166" t="s">
        <v>273</v>
      </c>
      <c r="AY166" t="s">
        <v>273</v>
      </c>
      <c r="BB166">
        <v>0</v>
      </c>
      <c r="BC166">
        <v>0</v>
      </c>
      <c r="BD166">
        <v>0</v>
      </c>
      <c r="BE166">
        <v>0</v>
      </c>
      <c r="BF166" t="s">
        <v>1063</v>
      </c>
      <c r="BG166" t="s">
        <v>4184</v>
      </c>
      <c r="BH166">
        <v>37</v>
      </c>
      <c r="BI166" t="s">
        <v>1317</v>
      </c>
      <c r="BK166">
        <v>1871259</v>
      </c>
    </row>
    <row r="167" spans="1:64">
      <c r="A167" s="1">
        <f>HYPERLINK("https://lsnyc.legalserver.org/matter/dynamic-profile/view/1885514","18-1885514")</f>
        <v>0</v>
      </c>
      <c r="B167" t="s">
        <v>3538</v>
      </c>
      <c r="C167" t="s">
        <v>3679</v>
      </c>
      <c r="D167" t="s">
        <v>257</v>
      </c>
      <c r="E167" t="s">
        <v>3685</v>
      </c>
      <c r="F167" t="s">
        <v>273</v>
      </c>
      <c r="G167" t="s">
        <v>275</v>
      </c>
      <c r="H167">
        <v>0</v>
      </c>
      <c r="I167" t="s">
        <v>274</v>
      </c>
      <c r="K167" t="s">
        <v>2990</v>
      </c>
      <c r="M167" t="s">
        <v>473</v>
      </c>
      <c r="P167" t="s">
        <v>496</v>
      </c>
      <c r="Q167" t="s">
        <v>501</v>
      </c>
      <c r="S167" t="s">
        <v>503</v>
      </c>
      <c r="T167" t="s">
        <v>508</v>
      </c>
      <c r="U167" t="s">
        <v>511</v>
      </c>
      <c r="V167">
        <v>10456</v>
      </c>
      <c r="W167" t="s">
        <v>519</v>
      </c>
      <c r="X167" t="s">
        <v>548</v>
      </c>
      <c r="Y167" t="s">
        <v>275</v>
      </c>
      <c r="Z167" t="s">
        <v>3802</v>
      </c>
      <c r="AA167" t="s">
        <v>3944</v>
      </c>
      <c r="AB167" t="s">
        <v>902</v>
      </c>
      <c r="AC167" t="s">
        <v>905</v>
      </c>
      <c r="AF167" t="s">
        <v>926</v>
      </c>
      <c r="AI167">
        <v>22.8</v>
      </c>
      <c r="AJ167" t="s">
        <v>558</v>
      </c>
      <c r="AK167" t="s">
        <v>934</v>
      </c>
      <c r="AL167" t="s">
        <v>274</v>
      </c>
      <c r="AT167">
        <v>2</v>
      </c>
      <c r="AU167">
        <v>1</v>
      </c>
      <c r="AV167" t="s">
        <v>273</v>
      </c>
      <c r="AY167" t="s">
        <v>273</v>
      </c>
      <c r="BB167">
        <v>0</v>
      </c>
      <c r="BC167">
        <v>0</v>
      </c>
      <c r="BD167">
        <v>0</v>
      </c>
      <c r="BE167">
        <v>0</v>
      </c>
      <c r="BF167" t="s">
        <v>1063</v>
      </c>
      <c r="BG167" t="s">
        <v>4130</v>
      </c>
      <c r="BH167">
        <v>38</v>
      </c>
      <c r="BI167" t="s">
        <v>1247</v>
      </c>
      <c r="BK167">
        <v>1886141</v>
      </c>
    </row>
    <row r="168" spans="1:64">
      <c r="A168" s="1">
        <f>HYPERLINK("https://lsnyc.legalserver.org/matter/dynamic-profile/view/1885516","18-1885516")</f>
        <v>0</v>
      </c>
      <c r="B168" t="s">
        <v>3597</v>
      </c>
      <c r="C168" t="s">
        <v>3679</v>
      </c>
      <c r="D168" t="s">
        <v>257</v>
      </c>
      <c r="E168" t="s">
        <v>3684</v>
      </c>
      <c r="F168" t="s">
        <v>273</v>
      </c>
      <c r="G168" t="s">
        <v>275</v>
      </c>
      <c r="H168">
        <v>113.94</v>
      </c>
      <c r="I168" t="s">
        <v>275</v>
      </c>
      <c r="K168" t="s">
        <v>2990</v>
      </c>
      <c r="P168" t="s">
        <v>496</v>
      </c>
      <c r="Q168" t="s">
        <v>502</v>
      </c>
      <c r="S168" t="s">
        <v>503</v>
      </c>
      <c r="T168" t="s">
        <v>507</v>
      </c>
      <c r="U168" t="s">
        <v>511</v>
      </c>
      <c r="V168">
        <v>10451</v>
      </c>
      <c r="W168" t="s">
        <v>529</v>
      </c>
      <c r="X168" t="s">
        <v>548</v>
      </c>
      <c r="Y168" t="s">
        <v>275</v>
      </c>
      <c r="Z168" t="s">
        <v>1934</v>
      </c>
      <c r="AA168" t="s">
        <v>3994</v>
      </c>
      <c r="AB168" t="s">
        <v>902</v>
      </c>
      <c r="AC168" t="s">
        <v>908</v>
      </c>
      <c r="AF168" t="s">
        <v>924</v>
      </c>
      <c r="AI168">
        <v>1.05</v>
      </c>
      <c r="AK168" t="s">
        <v>934</v>
      </c>
      <c r="AL168" t="s">
        <v>275</v>
      </c>
      <c r="AM168" t="s">
        <v>973</v>
      </c>
      <c r="AN168" t="s">
        <v>4061</v>
      </c>
      <c r="AT168">
        <v>2</v>
      </c>
      <c r="AU168">
        <v>2</v>
      </c>
      <c r="AV168" t="s">
        <v>273</v>
      </c>
      <c r="AY168" t="s">
        <v>273</v>
      </c>
      <c r="BB168">
        <v>0</v>
      </c>
      <c r="BC168">
        <v>0</v>
      </c>
      <c r="BD168">
        <v>0</v>
      </c>
      <c r="BE168">
        <v>0</v>
      </c>
      <c r="BF168" t="s">
        <v>1063</v>
      </c>
      <c r="BG168" t="s">
        <v>4185</v>
      </c>
      <c r="BH168">
        <v>14</v>
      </c>
      <c r="BI168" t="s">
        <v>4265</v>
      </c>
      <c r="BK168">
        <v>1861311</v>
      </c>
      <c r="BL168" t="s">
        <v>274</v>
      </c>
    </row>
    <row r="169" spans="1:64">
      <c r="A169" s="1">
        <f>HYPERLINK("https://lsnyc.legalserver.org/matter/dynamic-profile/view/1885518","18-1885518")</f>
        <v>0</v>
      </c>
      <c r="B169" t="s">
        <v>3597</v>
      </c>
      <c r="C169" t="s">
        <v>3679</v>
      </c>
      <c r="D169" t="s">
        <v>257</v>
      </c>
      <c r="E169" t="s">
        <v>3684</v>
      </c>
      <c r="F169" t="s">
        <v>273</v>
      </c>
      <c r="G169" t="s">
        <v>275</v>
      </c>
      <c r="H169">
        <v>113.94</v>
      </c>
      <c r="I169" t="s">
        <v>275</v>
      </c>
      <c r="K169" t="s">
        <v>2990</v>
      </c>
      <c r="P169" t="s">
        <v>495</v>
      </c>
      <c r="Q169" t="s">
        <v>502</v>
      </c>
      <c r="S169" t="s">
        <v>503</v>
      </c>
      <c r="T169" t="s">
        <v>507</v>
      </c>
      <c r="U169" t="s">
        <v>511</v>
      </c>
      <c r="V169">
        <v>10451</v>
      </c>
      <c r="W169" t="s">
        <v>520</v>
      </c>
      <c r="X169" t="s">
        <v>548</v>
      </c>
      <c r="Y169" t="s">
        <v>275</v>
      </c>
      <c r="Z169" t="s">
        <v>1934</v>
      </c>
      <c r="AA169" t="s">
        <v>3994</v>
      </c>
      <c r="AB169" t="s">
        <v>902</v>
      </c>
      <c r="AC169" t="s">
        <v>908</v>
      </c>
      <c r="AF169" t="s">
        <v>923</v>
      </c>
      <c r="AI169">
        <v>1.25</v>
      </c>
      <c r="AJ169" t="s">
        <v>558</v>
      </c>
      <c r="AK169" t="s">
        <v>934</v>
      </c>
      <c r="AL169" t="s">
        <v>275</v>
      </c>
      <c r="AM169" t="s">
        <v>973</v>
      </c>
      <c r="AN169" t="s">
        <v>1018</v>
      </c>
      <c r="AT169">
        <v>2</v>
      </c>
      <c r="AU169">
        <v>2</v>
      </c>
      <c r="AV169" t="s">
        <v>273</v>
      </c>
      <c r="AY169" t="s">
        <v>273</v>
      </c>
      <c r="BB169">
        <v>0</v>
      </c>
      <c r="BC169">
        <v>0</v>
      </c>
      <c r="BD169">
        <v>0</v>
      </c>
      <c r="BE169">
        <v>0</v>
      </c>
      <c r="BF169" t="s">
        <v>1063</v>
      </c>
      <c r="BG169" t="s">
        <v>4185</v>
      </c>
      <c r="BH169">
        <v>14</v>
      </c>
      <c r="BI169" t="s">
        <v>4265</v>
      </c>
      <c r="BK169">
        <v>1861311</v>
      </c>
      <c r="BL169" t="s">
        <v>274</v>
      </c>
    </row>
    <row r="170" spans="1:64">
      <c r="A170" s="1">
        <f>HYPERLINK("https://lsnyc.legalserver.org/matter/dynamic-profile/view/1885389","18-1885389")</f>
        <v>0</v>
      </c>
      <c r="B170" t="s">
        <v>3598</v>
      </c>
      <c r="C170" t="s">
        <v>3679</v>
      </c>
      <c r="D170" t="s">
        <v>3681</v>
      </c>
      <c r="E170" t="s">
        <v>3684</v>
      </c>
      <c r="F170" t="s">
        <v>273</v>
      </c>
      <c r="G170" t="s">
        <v>275</v>
      </c>
      <c r="H170">
        <v>195.96</v>
      </c>
      <c r="I170" t="s">
        <v>275</v>
      </c>
      <c r="K170" t="s">
        <v>359</v>
      </c>
      <c r="P170" t="s">
        <v>495</v>
      </c>
      <c r="Q170" t="s">
        <v>501</v>
      </c>
      <c r="S170" t="s">
        <v>503</v>
      </c>
      <c r="T170" t="s">
        <v>507</v>
      </c>
      <c r="U170" t="s">
        <v>511</v>
      </c>
      <c r="V170">
        <v>10553</v>
      </c>
      <c r="W170" t="s">
        <v>522</v>
      </c>
      <c r="X170" t="s">
        <v>549</v>
      </c>
      <c r="Y170" t="s">
        <v>275</v>
      </c>
      <c r="Z170" t="s">
        <v>3844</v>
      </c>
      <c r="AA170" t="s">
        <v>3995</v>
      </c>
      <c r="AB170" t="s">
        <v>902</v>
      </c>
      <c r="AC170" t="s">
        <v>904</v>
      </c>
      <c r="AF170" t="s">
        <v>923</v>
      </c>
      <c r="AI170">
        <v>3.45</v>
      </c>
      <c r="AJ170" t="s">
        <v>558</v>
      </c>
      <c r="AK170" t="s">
        <v>939</v>
      </c>
      <c r="AL170" t="s">
        <v>275</v>
      </c>
      <c r="AM170" t="s">
        <v>973</v>
      </c>
      <c r="AN170" t="s">
        <v>1707</v>
      </c>
      <c r="AT170">
        <v>0</v>
      </c>
      <c r="AU170">
        <v>1</v>
      </c>
      <c r="AV170" t="s">
        <v>273</v>
      </c>
      <c r="AY170" t="s">
        <v>273</v>
      </c>
      <c r="BB170">
        <v>0</v>
      </c>
      <c r="BC170">
        <v>0</v>
      </c>
      <c r="BD170">
        <v>0</v>
      </c>
      <c r="BE170">
        <v>0</v>
      </c>
      <c r="BF170" t="s">
        <v>1063</v>
      </c>
      <c r="BG170" t="s">
        <v>4186</v>
      </c>
      <c r="BH170">
        <v>27</v>
      </c>
      <c r="BI170" t="s">
        <v>4266</v>
      </c>
      <c r="BK170">
        <v>1884324</v>
      </c>
      <c r="BL170" t="s">
        <v>275</v>
      </c>
    </row>
    <row r="171" spans="1:64">
      <c r="A171" s="1">
        <f>HYPERLINK("https://lsnyc.legalserver.org/matter/dynamic-profile/view/1884949","18-1884949")</f>
        <v>0</v>
      </c>
      <c r="B171" t="s">
        <v>3599</v>
      </c>
      <c r="C171" t="s">
        <v>3679</v>
      </c>
      <c r="D171" t="s">
        <v>257</v>
      </c>
      <c r="E171" t="s">
        <v>3685</v>
      </c>
      <c r="F171" t="s">
        <v>273</v>
      </c>
      <c r="G171" t="s">
        <v>275</v>
      </c>
      <c r="H171">
        <v>0</v>
      </c>
      <c r="I171" t="s">
        <v>274</v>
      </c>
      <c r="K171" t="s">
        <v>1718</v>
      </c>
      <c r="P171" t="s">
        <v>492</v>
      </c>
      <c r="Q171" t="s">
        <v>502</v>
      </c>
      <c r="S171" t="s">
        <v>503</v>
      </c>
      <c r="T171" t="s">
        <v>507</v>
      </c>
      <c r="U171" t="s">
        <v>511</v>
      </c>
      <c r="V171">
        <v>0</v>
      </c>
      <c r="W171" t="s">
        <v>529</v>
      </c>
      <c r="X171" t="s">
        <v>548</v>
      </c>
      <c r="Y171" t="s">
        <v>275</v>
      </c>
      <c r="Z171" t="s">
        <v>3845</v>
      </c>
      <c r="AA171" t="s">
        <v>3996</v>
      </c>
      <c r="AB171" t="s">
        <v>902</v>
      </c>
      <c r="AC171" t="s">
        <v>905</v>
      </c>
      <c r="AF171" t="s">
        <v>923</v>
      </c>
      <c r="AI171">
        <v>0.45</v>
      </c>
      <c r="AJ171" t="s">
        <v>558</v>
      </c>
      <c r="AK171" t="s">
        <v>934</v>
      </c>
      <c r="AL171" t="s">
        <v>274</v>
      </c>
      <c r="AT171">
        <v>1</v>
      </c>
      <c r="AU171">
        <v>1</v>
      </c>
      <c r="AV171" t="s">
        <v>273</v>
      </c>
      <c r="AY171" t="s">
        <v>273</v>
      </c>
      <c r="BB171">
        <v>0</v>
      </c>
      <c r="BC171">
        <v>0</v>
      </c>
      <c r="BD171">
        <v>0</v>
      </c>
      <c r="BE171">
        <v>0</v>
      </c>
      <c r="BF171" t="s">
        <v>1063</v>
      </c>
      <c r="BG171" t="s">
        <v>4187</v>
      </c>
      <c r="BH171">
        <v>3</v>
      </c>
      <c r="BI171" t="s">
        <v>1247</v>
      </c>
      <c r="BK171">
        <v>1884461</v>
      </c>
    </row>
    <row r="172" spans="1:64">
      <c r="A172" s="1">
        <f>HYPERLINK("https://lsnyc.legalserver.org/matter/dynamic-profile/view/1884817","18-1884817")</f>
        <v>0</v>
      </c>
      <c r="B172" t="s">
        <v>3588</v>
      </c>
      <c r="C172" t="s">
        <v>3679</v>
      </c>
      <c r="D172" t="s">
        <v>257</v>
      </c>
      <c r="E172" t="s">
        <v>3685</v>
      </c>
      <c r="F172" t="s">
        <v>273</v>
      </c>
      <c r="G172" t="s">
        <v>275</v>
      </c>
      <c r="H172">
        <v>82.87</v>
      </c>
      <c r="I172" t="s">
        <v>274</v>
      </c>
      <c r="K172" t="s">
        <v>1719</v>
      </c>
      <c r="M172" t="s">
        <v>473</v>
      </c>
      <c r="P172" t="s">
        <v>492</v>
      </c>
      <c r="Q172" t="s">
        <v>502</v>
      </c>
      <c r="S172" t="s">
        <v>503</v>
      </c>
      <c r="T172" t="s">
        <v>508</v>
      </c>
      <c r="U172" t="s">
        <v>511</v>
      </c>
      <c r="V172">
        <v>10460</v>
      </c>
      <c r="W172" t="s">
        <v>529</v>
      </c>
      <c r="X172" t="s">
        <v>548</v>
      </c>
      <c r="Y172" t="s">
        <v>275</v>
      </c>
      <c r="Z172" t="s">
        <v>3838</v>
      </c>
      <c r="AA172" t="s">
        <v>3985</v>
      </c>
      <c r="AB172" t="s">
        <v>902</v>
      </c>
      <c r="AC172" t="s">
        <v>905</v>
      </c>
      <c r="AF172" t="s">
        <v>923</v>
      </c>
      <c r="AI172">
        <v>52.8</v>
      </c>
      <c r="AJ172" t="s">
        <v>558</v>
      </c>
      <c r="AK172" t="s">
        <v>941</v>
      </c>
      <c r="AL172" t="s">
        <v>274</v>
      </c>
      <c r="AM172" t="s">
        <v>973</v>
      </c>
      <c r="AN172" t="s">
        <v>1713</v>
      </c>
      <c r="AT172">
        <v>2</v>
      </c>
      <c r="AU172">
        <v>2</v>
      </c>
      <c r="AV172" t="s">
        <v>273</v>
      </c>
      <c r="AY172" t="s">
        <v>273</v>
      </c>
      <c r="BB172">
        <v>0</v>
      </c>
      <c r="BC172">
        <v>0</v>
      </c>
      <c r="BD172">
        <v>0</v>
      </c>
      <c r="BE172">
        <v>0</v>
      </c>
      <c r="BF172" t="s">
        <v>1063</v>
      </c>
      <c r="BG172" t="s">
        <v>4177</v>
      </c>
      <c r="BH172">
        <v>17</v>
      </c>
      <c r="BI172" t="s">
        <v>1261</v>
      </c>
      <c r="BK172">
        <v>1885443</v>
      </c>
      <c r="BL172" t="s">
        <v>274</v>
      </c>
    </row>
    <row r="173" spans="1:64">
      <c r="A173" s="1">
        <f>HYPERLINK("https://lsnyc.legalserver.org/matter/dynamic-profile/view/1884496","18-1884496")</f>
        <v>0</v>
      </c>
      <c r="B173" t="s">
        <v>3600</v>
      </c>
      <c r="C173" t="s">
        <v>3679</v>
      </c>
      <c r="D173" t="s">
        <v>257</v>
      </c>
      <c r="E173" t="s">
        <v>3683</v>
      </c>
      <c r="F173" t="s">
        <v>275</v>
      </c>
      <c r="G173" t="s">
        <v>275</v>
      </c>
      <c r="H173">
        <v>63.06</v>
      </c>
      <c r="I173" t="s">
        <v>274</v>
      </c>
      <c r="K173" t="s">
        <v>3701</v>
      </c>
      <c r="L173" t="s">
        <v>462</v>
      </c>
      <c r="M173" t="s">
        <v>472</v>
      </c>
      <c r="N173" t="s">
        <v>1689</v>
      </c>
      <c r="O173" t="s">
        <v>274</v>
      </c>
      <c r="P173" t="s">
        <v>493</v>
      </c>
      <c r="Q173" t="s">
        <v>501</v>
      </c>
      <c r="S173" t="s">
        <v>503</v>
      </c>
      <c r="T173" t="s">
        <v>508</v>
      </c>
      <c r="U173" t="s">
        <v>511</v>
      </c>
      <c r="V173">
        <v>10460</v>
      </c>
      <c r="W173" t="s">
        <v>538</v>
      </c>
      <c r="X173" t="s">
        <v>558</v>
      </c>
      <c r="Y173" t="s">
        <v>275</v>
      </c>
      <c r="Z173" t="s">
        <v>3846</v>
      </c>
      <c r="AA173" t="s">
        <v>3806</v>
      </c>
      <c r="AB173" t="s">
        <v>902</v>
      </c>
      <c r="AC173" t="s">
        <v>905</v>
      </c>
      <c r="AD173" t="s">
        <v>275</v>
      </c>
      <c r="AE173" t="s">
        <v>920</v>
      </c>
      <c r="AF173" t="s">
        <v>923</v>
      </c>
      <c r="AI173">
        <v>0.75</v>
      </c>
      <c r="AK173" t="s">
        <v>962</v>
      </c>
      <c r="AL173" t="s">
        <v>274</v>
      </c>
      <c r="AM173" t="s">
        <v>973</v>
      </c>
      <c r="AN173" t="s">
        <v>3700</v>
      </c>
      <c r="AQ173" t="s">
        <v>1048</v>
      </c>
      <c r="AR173" t="s">
        <v>1052</v>
      </c>
      <c r="AT173">
        <v>5</v>
      </c>
      <c r="AU173">
        <v>2</v>
      </c>
      <c r="AV173" t="s">
        <v>273</v>
      </c>
      <c r="AY173" t="s">
        <v>273</v>
      </c>
      <c r="BB173">
        <v>0</v>
      </c>
      <c r="BC173">
        <v>0</v>
      </c>
      <c r="BD173">
        <v>0</v>
      </c>
      <c r="BE173">
        <v>0</v>
      </c>
      <c r="BF173" t="s">
        <v>493</v>
      </c>
      <c r="BG173" t="s">
        <v>4133</v>
      </c>
      <c r="BH173">
        <v>42</v>
      </c>
      <c r="BI173" t="s">
        <v>1259</v>
      </c>
      <c r="BK173">
        <v>796397</v>
      </c>
    </row>
    <row r="174" spans="1:64">
      <c r="A174" s="1">
        <f>HYPERLINK("https://lsnyc.legalserver.org/matter/dynamic-profile/view/1884077","18-1884077")</f>
        <v>0</v>
      </c>
      <c r="B174" t="s">
        <v>3601</v>
      </c>
      <c r="C174" t="s">
        <v>3679</v>
      </c>
      <c r="D174" t="s">
        <v>257</v>
      </c>
      <c r="E174" t="s">
        <v>3683</v>
      </c>
      <c r="F174" t="s">
        <v>275</v>
      </c>
      <c r="G174" t="s">
        <v>275</v>
      </c>
      <c r="H174">
        <v>63.06</v>
      </c>
      <c r="I174" t="s">
        <v>274</v>
      </c>
      <c r="K174" t="s">
        <v>360</v>
      </c>
      <c r="L174" t="s">
        <v>455</v>
      </c>
      <c r="M174" t="s">
        <v>472</v>
      </c>
      <c r="N174" t="s">
        <v>1689</v>
      </c>
      <c r="P174" t="s">
        <v>493</v>
      </c>
      <c r="Q174" t="s">
        <v>501</v>
      </c>
      <c r="S174" t="s">
        <v>503</v>
      </c>
      <c r="T174" t="s">
        <v>507</v>
      </c>
      <c r="U174" t="s">
        <v>511</v>
      </c>
      <c r="V174">
        <v>10462</v>
      </c>
      <c r="W174" t="s">
        <v>532</v>
      </c>
      <c r="X174" t="s">
        <v>549</v>
      </c>
      <c r="Z174" t="s">
        <v>3847</v>
      </c>
      <c r="AA174" t="s">
        <v>3997</v>
      </c>
      <c r="AB174" t="s">
        <v>902</v>
      </c>
      <c r="AC174" t="s">
        <v>911</v>
      </c>
      <c r="AD174" t="s">
        <v>274</v>
      </c>
      <c r="AE174" t="s">
        <v>920</v>
      </c>
      <c r="AF174" t="s">
        <v>923</v>
      </c>
      <c r="AI174">
        <v>10.3</v>
      </c>
      <c r="AK174" t="s">
        <v>962</v>
      </c>
      <c r="AL174" t="s">
        <v>274</v>
      </c>
      <c r="AM174" t="s">
        <v>973</v>
      </c>
      <c r="AN174" t="s">
        <v>3699</v>
      </c>
      <c r="AQ174" t="s">
        <v>1048</v>
      </c>
      <c r="AR174" t="s">
        <v>1052</v>
      </c>
      <c r="AT174">
        <v>5</v>
      </c>
      <c r="AU174">
        <v>2</v>
      </c>
      <c r="AV174" t="s">
        <v>273</v>
      </c>
      <c r="AY174" t="s">
        <v>273</v>
      </c>
      <c r="BB174">
        <v>0</v>
      </c>
      <c r="BC174">
        <v>0</v>
      </c>
      <c r="BD174">
        <v>0</v>
      </c>
      <c r="BE174">
        <v>0</v>
      </c>
      <c r="BF174" t="s">
        <v>493</v>
      </c>
      <c r="BG174" t="s">
        <v>4188</v>
      </c>
      <c r="BH174">
        <v>48</v>
      </c>
      <c r="BI174" t="s">
        <v>1259</v>
      </c>
      <c r="BK174">
        <v>796397</v>
      </c>
    </row>
    <row r="175" spans="1:64">
      <c r="A175" s="1">
        <f>HYPERLINK("https://lsnyc.legalserver.org/matter/dynamic-profile/view/1883835","18-1883835")</f>
        <v>0</v>
      </c>
      <c r="B175" t="s">
        <v>3584</v>
      </c>
      <c r="C175" t="s">
        <v>3679</v>
      </c>
      <c r="D175" t="s">
        <v>257</v>
      </c>
      <c r="E175" t="s">
        <v>3685</v>
      </c>
      <c r="F175" t="s">
        <v>273</v>
      </c>
      <c r="G175" t="s">
        <v>275</v>
      </c>
      <c r="H175">
        <v>0</v>
      </c>
      <c r="I175" t="s">
        <v>274</v>
      </c>
      <c r="K175" t="s">
        <v>1724</v>
      </c>
      <c r="P175" t="s">
        <v>492</v>
      </c>
      <c r="Q175" t="s">
        <v>501</v>
      </c>
      <c r="S175" t="s">
        <v>503</v>
      </c>
      <c r="T175" t="s">
        <v>508</v>
      </c>
      <c r="U175" t="s">
        <v>511</v>
      </c>
      <c r="V175">
        <v>10455</v>
      </c>
      <c r="W175" t="s">
        <v>519</v>
      </c>
      <c r="X175" t="s">
        <v>548</v>
      </c>
      <c r="Y175" t="s">
        <v>275</v>
      </c>
      <c r="Z175" t="s">
        <v>3836</v>
      </c>
      <c r="AA175" t="s">
        <v>3982</v>
      </c>
      <c r="AB175" t="s">
        <v>902</v>
      </c>
      <c r="AC175" t="s">
        <v>905</v>
      </c>
      <c r="AF175" t="s">
        <v>926</v>
      </c>
      <c r="AI175">
        <v>54.05</v>
      </c>
      <c r="AJ175" t="s">
        <v>558</v>
      </c>
      <c r="AK175" t="s">
        <v>934</v>
      </c>
      <c r="AL175" t="s">
        <v>274</v>
      </c>
      <c r="AT175">
        <v>1</v>
      </c>
      <c r="AU175">
        <v>1</v>
      </c>
      <c r="AV175" t="s">
        <v>273</v>
      </c>
      <c r="AY175" t="s">
        <v>273</v>
      </c>
      <c r="BB175">
        <v>0</v>
      </c>
      <c r="BC175">
        <v>0</v>
      </c>
      <c r="BD175">
        <v>0</v>
      </c>
      <c r="BE175">
        <v>0</v>
      </c>
      <c r="BF175" t="s">
        <v>1063</v>
      </c>
      <c r="BG175" t="s">
        <v>4173</v>
      </c>
      <c r="BH175">
        <v>30</v>
      </c>
      <c r="BI175" t="s">
        <v>1247</v>
      </c>
      <c r="BK175">
        <v>1884461</v>
      </c>
    </row>
    <row r="176" spans="1:64">
      <c r="A176" s="1">
        <f>HYPERLINK("https://lsnyc.legalserver.org/matter/dynamic-profile/view/1883836","18-1883836")</f>
        <v>0</v>
      </c>
      <c r="B176" t="s">
        <v>3599</v>
      </c>
      <c r="C176" t="s">
        <v>3679</v>
      </c>
      <c r="D176" t="s">
        <v>257</v>
      </c>
      <c r="E176" t="s">
        <v>3685</v>
      </c>
      <c r="F176" t="s">
        <v>273</v>
      </c>
      <c r="G176" t="s">
        <v>275</v>
      </c>
      <c r="H176">
        <v>0</v>
      </c>
      <c r="I176" t="s">
        <v>274</v>
      </c>
      <c r="K176" t="s">
        <v>1724</v>
      </c>
      <c r="P176" t="s">
        <v>492</v>
      </c>
      <c r="Q176" t="s">
        <v>502</v>
      </c>
      <c r="S176" t="s">
        <v>503</v>
      </c>
      <c r="T176" t="s">
        <v>507</v>
      </c>
      <c r="U176" t="s">
        <v>511</v>
      </c>
      <c r="V176">
        <v>0</v>
      </c>
      <c r="W176" t="s">
        <v>518</v>
      </c>
      <c r="Y176" t="s">
        <v>275</v>
      </c>
      <c r="Z176" t="s">
        <v>3845</v>
      </c>
      <c r="AA176" t="s">
        <v>3996</v>
      </c>
      <c r="AB176" t="s">
        <v>902</v>
      </c>
      <c r="AC176" t="s">
        <v>905</v>
      </c>
      <c r="AF176" t="s">
        <v>926</v>
      </c>
      <c r="AI176">
        <v>0.5</v>
      </c>
      <c r="AJ176" t="s">
        <v>558</v>
      </c>
      <c r="AK176" t="s">
        <v>934</v>
      </c>
      <c r="AL176" t="s">
        <v>274</v>
      </c>
      <c r="AT176">
        <v>1</v>
      </c>
      <c r="AU176">
        <v>1</v>
      </c>
      <c r="AV176" t="s">
        <v>273</v>
      </c>
      <c r="AY176" t="s">
        <v>273</v>
      </c>
      <c r="BB176">
        <v>0</v>
      </c>
      <c r="BC176">
        <v>0</v>
      </c>
      <c r="BD176">
        <v>0</v>
      </c>
      <c r="BE176">
        <v>0</v>
      </c>
      <c r="BF176" t="s">
        <v>1063</v>
      </c>
      <c r="BG176" t="s">
        <v>4187</v>
      </c>
      <c r="BH176">
        <v>2</v>
      </c>
      <c r="BI176" t="s">
        <v>1247</v>
      </c>
      <c r="BK176">
        <v>1884461</v>
      </c>
    </row>
    <row r="177" spans="1:64">
      <c r="A177" s="1">
        <f>HYPERLINK("https://lsnyc.legalserver.org/matter/dynamic-profile/view/1883840","18-1883840")</f>
        <v>0</v>
      </c>
      <c r="B177" t="s">
        <v>3602</v>
      </c>
      <c r="C177" t="s">
        <v>3679</v>
      </c>
      <c r="D177" t="s">
        <v>257</v>
      </c>
      <c r="E177" t="s">
        <v>3685</v>
      </c>
      <c r="F177" t="s">
        <v>273</v>
      </c>
      <c r="G177" t="s">
        <v>275</v>
      </c>
      <c r="H177">
        <v>0</v>
      </c>
      <c r="I177" t="s">
        <v>274</v>
      </c>
      <c r="K177" t="s">
        <v>1724</v>
      </c>
      <c r="M177" t="s">
        <v>473</v>
      </c>
      <c r="P177" t="s">
        <v>492</v>
      </c>
      <c r="Q177" t="s">
        <v>501</v>
      </c>
      <c r="S177" t="s">
        <v>503</v>
      </c>
      <c r="T177" t="s">
        <v>508</v>
      </c>
      <c r="U177" t="s">
        <v>511</v>
      </c>
      <c r="V177">
        <v>10460</v>
      </c>
      <c r="W177" t="s">
        <v>518</v>
      </c>
      <c r="X177" t="s">
        <v>548</v>
      </c>
      <c r="Y177" t="s">
        <v>275</v>
      </c>
      <c r="Z177" t="s">
        <v>3848</v>
      </c>
      <c r="AA177" t="s">
        <v>3998</v>
      </c>
      <c r="AB177" t="s">
        <v>902</v>
      </c>
      <c r="AC177" t="s">
        <v>905</v>
      </c>
      <c r="AF177" t="s">
        <v>926</v>
      </c>
      <c r="AI177">
        <v>6.2</v>
      </c>
      <c r="AK177" t="s">
        <v>934</v>
      </c>
      <c r="AL177" t="s">
        <v>274</v>
      </c>
      <c r="AT177">
        <v>3</v>
      </c>
      <c r="AU177">
        <v>5</v>
      </c>
      <c r="AV177" t="s">
        <v>273</v>
      </c>
      <c r="AY177" t="s">
        <v>273</v>
      </c>
      <c r="BB177">
        <v>0</v>
      </c>
      <c r="BC177">
        <v>0</v>
      </c>
      <c r="BD177">
        <v>0</v>
      </c>
      <c r="BE177">
        <v>0</v>
      </c>
      <c r="BF177" t="s">
        <v>1063</v>
      </c>
      <c r="BG177" t="s">
        <v>4189</v>
      </c>
      <c r="BH177">
        <v>33</v>
      </c>
      <c r="BI177" t="s">
        <v>1247</v>
      </c>
      <c r="BK177">
        <v>764681</v>
      </c>
      <c r="BL177" t="s">
        <v>274</v>
      </c>
    </row>
    <row r="178" spans="1:64">
      <c r="A178" s="1">
        <f>HYPERLINK("https://lsnyc.legalserver.org/matter/dynamic-profile/view/1883846","18-1883846")</f>
        <v>0</v>
      </c>
      <c r="B178" t="s">
        <v>3603</v>
      </c>
      <c r="C178" t="s">
        <v>3679</v>
      </c>
      <c r="D178" t="s">
        <v>257</v>
      </c>
      <c r="E178" t="s">
        <v>3685</v>
      </c>
      <c r="F178" t="s">
        <v>273</v>
      </c>
      <c r="G178" t="s">
        <v>275</v>
      </c>
      <c r="H178">
        <v>0</v>
      </c>
      <c r="I178" t="s">
        <v>274</v>
      </c>
      <c r="K178" t="s">
        <v>1724</v>
      </c>
      <c r="M178" t="s">
        <v>473</v>
      </c>
      <c r="P178" t="s">
        <v>492</v>
      </c>
      <c r="Q178" t="s">
        <v>502</v>
      </c>
      <c r="S178" t="s">
        <v>503</v>
      </c>
      <c r="T178" t="s">
        <v>507</v>
      </c>
      <c r="U178" t="s">
        <v>511</v>
      </c>
      <c r="V178">
        <v>10460</v>
      </c>
      <c r="W178" t="s">
        <v>518</v>
      </c>
      <c r="X178" t="s">
        <v>548</v>
      </c>
      <c r="Y178" t="s">
        <v>275</v>
      </c>
      <c r="Z178" t="s">
        <v>3849</v>
      </c>
      <c r="AA178" t="s">
        <v>3999</v>
      </c>
      <c r="AB178" t="s">
        <v>902</v>
      </c>
      <c r="AC178" t="s">
        <v>905</v>
      </c>
      <c r="AF178" t="s">
        <v>926</v>
      </c>
      <c r="AI178">
        <v>1.5</v>
      </c>
      <c r="AK178" t="s">
        <v>934</v>
      </c>
      <c r="AL178" t="s">
        <v>274</v>
      </c>
      <c r="AT178">
        <v>3</v>
      </c>
      <c r="AU178">
        <v>5</v>
      </c>
      <c r="AV178" t="s">
        <v>273</v>
      </c>
      <c r="AY178" t="s">
        <v>273</v>
      </c>
      <c r="BB178">
        <v>0</v>
      </c>
      <c r="BC178">
        <v>0</v>
      </c>
      <c r="BD178">
        <v>0</v>
      </c>
      <c r="BE178">
        <v>0</v>
      </c>
      <c r="BF178" t="s">
        <v>1063</v>
      </c>
      <c r="BG178" t="s">
        <v>4190</v>
      </c>
      <c r="BH178">
        <v>7</v>
      </c>
      <c r="BI178" t="s">
        <v>1247</v>
      </c>
      <c r="BK178">
        <v>764681</v>
      </c>
      <c r="BL178" t="s">
        <v>274</v>
      </c>
    </row>
    <row r="179" spans="1:64">
      <c r="A179" s="1">
        <f>HYPERLINK("https://lsnyc.legalserver.org/matter/dynamic-profile/view/1883883","18-1883883")</f>
        <v>0</v>
      </c>
      <c r="B179" t="s">
        <v>3537</v>
      </c>
      <c r="C179" t="s">
        <v>3679</v>
      </c>
      <c r="D179" t="s">
        <v>257</v>
      </c>
      <c r="E179" t="s">
        <v>3685</v>
      </c>
      <c r="F179" t="s">
        <v>273</v>
      </c>
      <c r="G179" t="s">
        <v>275</v>
      </c>
      <c r="H179">
        <v>0</v>
      </c>
      <c r="I179" t="s">
        <v>274</v>
      </c>
      <c r="K179" t="s">
        <v>1724</v>
      </c>
      <c r="M179" t="s">
        <v>471</v>
      </c>
      <c r="O179" t="s">
        <v>275</v>
      </c>
      <c r="Q179" t="s">
        <v>501</v>
      </c>
      <c r="S179" t="s">
        <v>503</v>
      </c>
      <c r="T179" t="s">
        <v>508</v>
      </c>
      <c r="U179" t="s">
        <v>511</v>
      </c>
      <c r="V179">
        <v>10455</v>
      </c>
      <c r="W179" t="s">
        <v>518</v>
      </c>
      <c r="X179" t="s">
        <v>548</v>
      </c>
      <c r="Y179" t="s">
        <v>275</v>
      </c>
      <c r="Z179" t="s">
        <v>3801</v>
      </c>
      <c r="AA179" t="s">
        <v>3943</v>
      </c>
      <c r="AB179" t="s">
        <v>902</v>
      </c>
      <c r="AC179" t="s">
        <v>905</v>
      </c>
      <c r="AF179" t="s">
        <v>926</v>
      </c>
      <c r="AI179">
        <v>25.4</v>
      </c>
      <c r="AJ179" t="s">
        <v>558</v>
      </c>
      <c r="AK179" t="s">
        <v>934</v>
      </c>
      <c r="AL179" t="s">
        <v>274</v>
      </c>
      <c r="AT179">
        <v>3</v>
      </c>
      <c r="AU179">
        <v>1</v>
      </c>
      <c r="AV179" t="s">
        <v>273</v>
      </c>
      <c r="AY179" t="s">
        <v>273</v>
      </c>
      <c r="BB179">
        <v>0</v>
      </c>
      <c r="BC179">
        <v>0</v>
      </c>
      <c r="BD179">
        <v>0</v>
      </c>
      <c r="BE179">
        <v>0</v>
      </c>
      <c r="BF179" t="s">
        <v>1063</v>
      </c>
      <c r="BG179" t="s">
        <v>1188</v>
      </c>
      <c r="BH179">
        <v>35</v>
      </c>
      <c r="BI179" t="s">
        <v>1247</v>
      </c>
      <c r="BK179">
        <v>1888445</v>
      </c>
    </row>
    <row r="180" spans="1:64">
      <c r="A180" s="1">
        <f>HYPERLINK("https://lsnyc.legalserver.org/matter/dynamic-profile/view/1883699","18-1883699")</f>
        <v>0</v>
      </c>
      <c r="B180" t="s">
        <v>3598</v>
      </c>
      <c r="C180" t="s">
        <v>3679</v>
      </c>
      <c r="D180" t="s">
        <v>3681</v>
      </c>
      <c r="E180" t="s">
        <v>3684</v>
      </c>
      <c r="F180" t="s">
        <v>273</v>
      </c>
      <c r="G180" t="s">
        <v>275</v>
      </c>
      <c r="H180">
        <v>195.96</v>
      </c>
      <c r="I180" t="s">
        <v>275</v>
      </c>
      <c r="K180" t="s">
        <v>1725</v>
      </c>
      <c r="P180" t="s">
        <v>492</v>
      </c>
      <c r="Q180" t="s">
        <v>501</v>
      </c>
      <c r="S180" t="s">
        <v>503</v>
      </c>
      <c r="T180" t="s">
        <v>507</v>
      </c>
      <c r="U180" t="s">
        <v>511</v>
      </c>
      <c r="V180">
        <v>10553</v>
      </c>
      <c r="W180" t="s">
        <v>517</v>
      </c>
      <c r="X180" t="s">
        <v>549</v>
      </c>
      <c r="Y180" t="s">
        <v>275</v>
      </c>
      <c r="Z180" t="s">
        <v>3844</v>
      </c>
      <c r="AA180" t="s">
        <v>3995</v>
      </c>
      <c r="AB180" t="s">
        <v>902</v>
      </c>
      <c r="AC180" t="s">
        <v>904</v>
      </c>
      <c r="AF180" t="s">
        <v>923</v>
      </c>
      <c r="AI180">
        <v>3.5</v>
      </c>
      <c r="AJ180" t="s">
        <v>558</v>
      </c>
      <c r="AK180" t="s">
        <v>939</v>
      </c>
      <c r="AL180" t="s">
        <v>275</v>
      </c>
      <c r="AT180">
        <v>0</v>
      </c>
      <c r="AU180">
        <v>1</v>
      </c>
      <c r="AV180" t="s">
        <v>273</v>
      </c>
      <c r="AY180" t="s">
        <v>273</v>
      </c>
      <c r="BB180">
        <v>0</v>
      </c>
      <c r="BC180">
        <v>0</v>
      </c>
      <c r="BD180">
        <v>0</v>
      </c>
      <c r="BE180">
        <v>0</v>
      </c>
      <c r="BF180" t="s">
        <v>1063</v>
      </c>
      <c r="BG180" t="s">
        <v>4186</v>
      </c>
      <c r="BH180">
        <v>27</v>
      </c>
      <c r="BI180" t="s">
        <v>4266</v>
      </c>
      <c r="BK180">
        <v>1884324</v>
      </c>
      <c r="BL180" t="s">
        <v>275</v>
      </c>
    </row>
    <row r="181" spans="1:64">
      <c r="A181" s="1">
        <f>HYPERLINK("https://lsnyc.legalserver.org/matter/dynamic-profile/view/1883751","18-1883751")</f>
        <v>0</v>
      </c>
      <c r="B181" t="s">
        <v>3484</v>
      </c>
      <c r="C181" t="s">
        <v>3679</v>
      </c>
      <c r="D181" t="s">
        <v>257</v>
      </c>
      <c r="E181" t="s">
        <v>3685</v>
      </c>
      <c r="F181" t="s">
        <v>273</v>
      </c>
      <c r="G181" t="s">
        <v>275</v>
      </c>
      <c r="H181">
        <v>0</v>
      </c>
      <c r="I181" t="s">
        <v>274</v>
      </c>
      <c r="K181" t="s">
        <v>1725</v>
      </c>
      <c r="P181" t="s">
        <v>492</v>
      </c>
      <c r="Q181" t="s">
        <v>502</v>
      </c>
      <c r="S181" t="s">
        <v>503</v>
      </c>
      <c r="T181" t="s">
        <v>508</v>
      </c>
      <c r="U181" t="s">
        <v>511</v>
      </c>
      <c r="V181">
        <v>10460</v>
      </c>
      <c r="W181" t="s">
        <v>529</v>
      </c>
      <c r="X181" t="s">
        <v>548</v>
      </c>
      <c r="Y181" t="s">
        <v>275</v>
      </c>
      <c r="Z181" t="s">
        <v>3760</v>
      </c>
      <c r="AA181" t="s">
        <v>3903</v>
      </c>
      <c r="AB181" t="s">
        <v>902</v>
      </c>
      <c r="AC181" t="s">
        <v>905</v>
      </c>
      <c r="AF181" t="s">
        <v>924</v>
      </c>
      <c r="AI181">
        <v>0.6</v>
      </c>
      <c r="AJ181" t="s">
        <v>558</v>
      </c>
      <c r="AK181" t="s">
        <v>934</v>
      </c>
      <c r="AL181" t="s">
        <v>274</v>
      </c>
      <c r="AT181">
        <v>1</v>
      </c>
      <c r="AU181">
        <v>1</v>
      </c>
      <c r="AV181" t="s">
        <v>273</v>
      </c>
      <c r="AY181" t="s">
        <v>273</v>
      </c>
      <c r="BB181">
        <v>0</v>
      </c>
      <c r="BC181">
        <v>0</v>
      </c>
      <c r="BD181">
        <v>0</v>
      </c>
      <c r="BE181">
        <v>0</v>
      </c>
      <c r="BF181" t="s">
        <v>1063</v>
      </c>
      <c r="BG181" t="s">
        <v>4078</v>
      </c>
      <c r="BH181">
        <v>1</v>
      </c>
      <c r="BI181" t="s">
        <v>1247</v>
      </c>
      <c r="BK181">
        <v>1884376</v>
      </c>
    </row>
    <row r="182" spans="1:64">
      <c r="A182" s="1">
        <f>HYPERLINK("https://lsnyc.legalserver.org/matter/dynamic-profile/view/1883754","18-1883754")</f>
        <v>0</v>
      </c>
      <c r="B182" t="s">
        <v>3484</v>
      </c>
      <c r="C182" t="s">
        <v>3679</v>
      </c>
      <c r="D182" t="s">
        <v>257</v>
      </c>
      <c r="E182" t="s">
        <v>3685</v>
      </c>
      <c r="F182" t="s">
        <v>273</v>
      </c>
      <c r="G182" t="s">
        <v>275</v>
      </c>
      <c r="H182">
        <v>110.57</v>
      </c>
      <c r="I182" t="s">
        <v>274</v>
      </c>
      <c r="K182" t="s">
        <v>1725</v>
      </c>
      <c r="M182" t="s">
        <v>471</v>
      </c>
      <c r="P182" t="s">
        <v>492</v>
      </c>
      <c r="Q182" t="s">
        <v>502</v>
      </c>
      <c r="S182" t="s">
        <v>506</v>
      </c>
      <c r="T182" t="s">
        <v>508</v>
      </c>
      <c r="U182" t="s">
        <v>1821</v>
      </c>
      <c r="V182">
        <v>10460</v>
      </c>
      <c r="W182" t="s">
        <v>1828</v>
      </c>
      <c r="X182" t="s">
        <v>548</v>
      </c>
      <c r="Y182" t="s">
        <v>275</v>
      </c>
      <c r="Z182" t="s">
        <v>3760</v>
      </c>
      <c r="AA182" t="s">
        <v>3903</v>
      </c>
      <c r="AB182" t="s">
        <v>902</v>
      </c>
      <c r="AC182" t="s">
        <v>905</v>
      </c>
      <c r="AF182" t="s">
        <v>924</v>
      </c>
      <c r="AI182">
        <v>34.35</v>
      </c>
      <c r="AJ182" t="s">
        <v>558</v>
      </c>
      <c r="AK182" t="s">
        <v>934</v>
      </c>
      <c r="AL182" t="s">
        <v>274</v>
      </c>
      <c r="AT182">
        <v>1</v>
      </c>
      <c r="AU182">
        <v>1</v>
      </c>
      <c r="AV182" t="s">
        <v>273</v>
      </c>
      <c r="AY182" t="s">
        <v>273</v>
      </c>
      <c r="BB182">
        <v>0</v>
      </c>
      <c r="BC182">
        <v>0</v>
      </c>
      <c r="BD182">
        <v>0</v>
      </c>
      <c r="BE182">
        <v>0</v>
      </c>
      <c r="BF182" t="s">
        <v>1063</v>
      </c>
      <c r="BG182" t="s">
        <v>4078</v>
      </c>
      <c r="BH182">
        <v>1</v>
      </c>
      <c r="BI182" t="s">
        <v>1260</v>
      </c>
      <c r="BK182">
        <v>1884376</v>
      </c>
    </row>
    <row r="183" spans="1:64">
      <c r="A183" s="1">
        <f>HYPERLINK("https://lsnyc.legalserver.org/matter/dynamic-profile/view/1883764","18-1883764")</f>
        <v>0</v>
      </c>
      <c r="B183" t="s">
        <v>3484</v>
      </c>
      <c r="C183" t="s">
        <v>3679</v>
      </c>
      <c r="D183" t="s">
        <v>257</v>
      </c>
      <c r="E183" t="s">
        <v>3685</v>
      </c>
      <c r="F183" t="s">
        <v>273</v>
      </c>
      <c r="G183" t="s">
        <v>275</v>
      </c>
      <c r="H183">
        <v>110.57</v>
      </c>
      <c r="I183" t="s">
        <v>274</v>
      </c>
      <c r="K183" t="s">
        <v>1725</v>
      </c>
      <c r="M183" t="s">
        <v>471</v>
      </c>
      <c r="P183" t="s">
        <v>492</v>
      </c>
      <c r="Q183" t="s">
        <v>502</v>
      </c>
      <c r="S183" t="s">
        <v>503</v>
      </c>
      <c r="T183" t="s">
        <v>508</v>
      </c>
      <c r="U183" t="s">
        <v>511</v>
      </c>
      <c r="V183">
        <v>10460</v>
      </c>
      <c r="W183" t="s">
        <v>518</v>
      </c>
      <c r="X183" t="s">
        <v>548</v>
      </c>
      <c r="Y183" t="s">
        <v>275</v>
      </c>
      <c r="Z183" t="s">
        <v>3760</v>
      </c>
      <c r="AA183" t="s">
        <v>3903</v>
      </c>
      <c r="AB183" t="s">
        <v>902</v>
      </c>
      <c r="AC183" t="s">
        <v>905</v>
      </c>
      <c r="AF183" t="s">
        <v>926</v>
      </c>
      <c r="AI183">
        <v>32.55</v>
      </c>
      <c r="AJ183" t="s">
        <v>558</v>
      </c>
      <c r="AK183" t="s">
        <v>934</v>
      </c>
      <c r="AL183" t="s">
        <v>274</v>
      </c>
      <c r="AT183">
        <v>1</v>
      </c>
      <c r="AU183">
        <v>1</v>
      </c>
      <c r="AV183" t="s">
        <v>273</v>
      </c>
      <c r="AY183" t="s">
        <v>273</v>
      </c>
      <c r="BB183">
        <v>0</v>
      </c>
      <c r="BC183">
        <v>0</v>
      </c>
      <c r="BD183">
        <v>0</v>
      </c>
      <c r="BE183">
        <v>0</v>
      </c>
      <c r="BF183" t="s">
        <v>1063</v>
      </c>
      <c r="BG183" t="s">
        <v>4078</v>
      </c>
      <c r="BH183">
        <v>1</v>
      </c>
      <c r="BI183" t="s">
        <v>1260</v>
      </c>
      <c r="BK183">
        <v>1884376</v>
      </c>
    </row>
    <row r="184" spans="1:64">
      <c r="A184" s="1">
        <f>HYPERLINK("https://lsnyc.legalserver.org/matter/dynamic-profile/view/1883579","18-1883579")</f>
        <v>0</v>
      </c>
      <c r="B184" t="s">
        <v>3535</v>
      </c>
      <c r="C184" t="s">
        <v>3679</v>
      </c>
      <c r="D184" t="s">
        <v>257</v>
      </c>
      <c r="E184" t="s">
        <v>3685</v>
      </c>
      <c r="F184" t="s">
        <v>273</v>
      </c>
      <c r="G184" t="s">
        <v>275</v>
      </c>
      <c r="H184">
        <v>0</v>
      </c>
      <c r="I184" t="s">
        <v>274</v>
      </c>
      <c r="K184" t="s">
        <v>361</v>
      </c>
      <c r="M184" t="s">
        <v>473</v>
      </c>
      <c r="P184" t="s">
        <v>492</v>
      </c>
      <c r="Q184" t="s">
        <v>501</v>
      </c>
      <c r="S184" t="s">
        <v>506</v>
      </c>
      <c r="T184" t="s">
        <v>508</v>
      </c>
      <c r="U184" t="s">
        <v>1821</v>
      </c>
      <c r="V184">
        <v>10455</v>
      </c>
      <c r="W184" t="s">
        <v>1828</v>
      </c>
      <c r="X184" t="s">
        <v>548</v>
      </c>
      <c r="Y184" t="s">
        <v>275</v>
      </c>
      <c r="Z184" t="s">
        <v>3799</v>
      </c>
      <c r="AA184" t="s">
        <v>3941</v>
      </c>
      <c r="AB184" t="s">
        <v>902</v>
      </c>
      <c r="AC184" t="s">
        <v>905</v>
      </c>
      <c r="AF184" t="s">
        <v>924</v>
      </c>
      <c r="AI184">
        <v>0.6</v>
      </c>
      <c r="AJ184" t="s">
        <v>2361</v>
      </c>
      <c r="AK184" t="s">
        <v>934</v>
      </c>
      <c r="AL184" t="s">
        <v>274</v>
      </c>
      <c r="AT184">
        <v>1</v>
      </c>
      <c r="AU184">
        <v>1</v>
      </c>
      <c r="AV184" t="s">
        <v>273</v>
      </c>
      <c r="AY184" t="s">
        <v>273</v>
      </c>
      <c r="BB184">
        <v>0</v>
      </c>
      <c r="BC184">
        <v>0</v>
      </c>
      <c r="BD184">
        <v>0</v>
      </c>
      <c r="BE184">
        <v>0</v>
      </c>
      <c r="BF184" t="s">
        <v>1063</v>
      </c>
      <c r="BG184" t="s">
        <v>4128</v>
      </c>
      <c r="BH184">
        <v>31</v>
      </c>
      <c r="BI184" t="s">
        <v>1247</v>
      </c>
      <c r="BK184">
        <v>1881199</v>
      </c>
    </row>
    <row r="185" spans="1:64">
      <c r="A185" s="1">
        <f>HYPERLINK("https://lsnyc.legalserver.org/matter/dynamic-profile/view/1883605","18-1883605")</f>
        <v>0</v>
      </c>
      <c r="B185" t="s">
        <v>3604</v>
      </c>
      <c r="C185" t="s">
        <v>3679</v>
      </c>
      <c r="D185" t="s">
        <v>257</v>
      </c>
      <c r="E185" t="s">
        <v>3685</v>
      </c>
      <c r="F185" t="s">
        <v>273</v>
      </c>
      <c r="G185" t="s">
        <v>275</v>
      </c>
      <c r="H185">
        <v>0</v>
      </c>
      <c r="I185" t="s">
        <v>274</v>
      </c>
      <c r="K185" t="s">
        <v>361</v>
      </c>
      <c r="M185" t="s">
        <v>473</v>
      </c>
      <c r="P185" t="s">
        <v>492</v>
      </c>
      <c r="Q185" t="s">
        <v>502</v>
      </c>
      <c r="S185" t="s">
        <v>503</v>
      </c>
      <c r="T185" t="s">
        <v>507</v>
      </c>
      <c r="U185" t="s">
        <v>511</v>
      </c>
      <c r="V185">
        <v>10455</v>
      </c>
      <c r="W185" t="s">
        <v>519</v>
      </c>
      <c r="X185" t="s">
        <v>548</v>
      </c>
      <c r="Y185" t="s">
        <v>275</v>
      </c>
      <c r="Z185" t="s">
        <v>3850</v>
      </c>
      <c r="AA185" t="s">
        <v>4000</v>
      </c>
      <c r="AB185" t="s">
        <v>902</v>
      </c>
      <c r="AC185" t="s">
        <v>905</v>
      </c>
      <c r="AF185" t="s">
        <v>926</v>
      </c>
      <c r="AI185">
        <v>0.5</v>
      </c>
      <c r="AJ185" t="s">
        <v>558</v>
      </c>
      <c r="AK185" t="s">
        <v>934</v>
      </c>
      <c r="AL185" t="s">
        <v>274</v>
      </c>
      <c r="AT185">
        <v>1</v>
      </c>
      <c r="AU185">
        <v>1</v>
      </c>
      <c r="AV185" t="s">
        <v>273</v>
      </c>
      <c r="AY185" t="s">
        <v>273</v>
      </c>
      <c r="BB185">
        <v>0</v>
      </c>
      <c r="BC185">
        <v>0</v>
      </c>
      <c r="BD185">
        <v>0</v>
      </c>
      <c r="BE185">
        <v>0</v>
      </c>
      <c r="BF185" t="s">
        <v>1063</v>
      </c>
      <c r="BG185" t="s">
        <v>4191</v>
      </c>
      <c r="BH185">
        <v>3</v>
      </c>
      <c r="BI185" t="s">
        <v>1247</v>
      </c>
      <c r="BK185">
        <v>1881199</v>
      </c>
    </row>
    <row r="186" spans="1:64">
      <c r="A186" s="1">
        <f>HYPERLINK("https://lsnyc.legalserver.org/matter/dynamic-profile/view/1883611","18-1883611")</f>
        <v>0</v>
      </c>
      <c r="B186" t="s">
        <v>3604</v>
      </c>
      <c r="C186" t="s">
        <v>3679</v>
      </c>
      <c r="D186" t="s">
        <v>257</v>
      </c>
      <c r="E186" t="s">
        <v>3685</v>
      </c>
      <c r="F186" t="s">
        <v>273</v>
      </c>
      <c r="G186" t="s">
        <v>275</v>
      </c>
      <c r="H186">
        <v>0</v>
      </c>
      <c r="I186" t="s">
        <v>274</v>
      </c>
      <c r="K186" t="s">
        <v>361</v>
      </c>
      <c r="P186" t="s">
        <v>492</v>
      </c>
      <c r="Q186" t="s">
        <v>502</v>
      </c>
      <c r="S186" t="s">
        <v>503</v>
      </c>
      <c r="T186" t="s">
        <v>507</v>
      </c>
      <c r="U186" t="s">
        <v>511</v>
      </c>
      <c r="V186">
        <v>10455</v>
      </c>
      <c r="W186" t="s">
        <v>529</v>
      </c>
      <c r="X186" t="s">
        <v>548</v>
      </c>
      <c r="Y186" t="s">
        <v>275</v>
      </c>
      <c r="Z186" t="s">
        <v>3850</v>
      </c>
      <c r="AA186" t="s">
        <v>4000</v>
      </c>
      <c r="AB186" t="s">
        <v>902</v>
      </c>
      <c r="AC186" t="s">
        <v>905</v>
      </c>
      <c r="AF186" t="s">
        <v>923</v>
      </c>
      <c r="AI186">
        <v>0.5</v>
      </c>
      <c r="AJ186" t="s">
        <v>558</v>
      </c>
      <c r="AK186" t="s">
        <v>934</v>
      </c>
      <c r="AL186" t="s">
        <v>274</v>
      </c>
      <c r="AT186">
        <v>1</v>
      </c>
      <c r="AU186">
        <v>1</v>
      </c>
      <c r="AV186" t="s">
        <v>273</v>
      </c>
      <c r="AY186" t="s">
        <v>273</v>
      </c>
      <c r="BB186">
        <v>0</v>
      </c>
      <c r="BC186">
        <v>0</v>
      </c>
      <c r="BD186">
        <v>0</v>
      </c>
      <c r="BE186">
        <v>0</v>
      </c>
      <c r="BF186" t="s">
        <v>1063</v>
      </c>
      <c r="BG186" t="s">
        <v>4191</v>
      </c>
      <c r="BH186">
        <v>3</v>
      </c>
      <c r="BI186" t="s">
        <v>1247</v>
      </c>
      <c r="BK186">
        <v>1881199</v>
      </c>
    </row>
    <row r="187" spans="1:64">
      <c r="A187" s="1">
        <f>HYPERLINK("https://lsnyc.legalserver.org/matter/dynamic-profile/view/1883676","18-1883676")</f>
        <v>0</v>
      </c>
      <c r="B187" t="s">
        <v>3605</v>
      </c>
      <c r="C187" t="s">
        <v>3679</v>
      </c>
      <c r="D187" t="s">
        <v>257</v>
      </c>
      <c r="E187" t="s">
        <v>3684</v>
      </c>
      <c r="F187" t="s">
        <v>273</v>
      </c>
      <c r="G187" t="s">
        <v>275</v>
      </c>
      <c r="H187">
        <v>0</v>
      </c>
      <c r="I187" t="s">
        <v>274</v>
      </c>
      <c r="K187" t="s">
        <v>361</v>
      </c>
      <c r="P187" t="s">
        <v>495</v>
      </c>
      <c r="Q187" t="s">
        <v>501</v>
      </c>
      <c r="S187" t="s">
        <v>503</v>
      </c>
      <c r="T187" t="s">
        <v>508</v>
      </c>
      <c r="U187" t="s">
        <v>511</v>
      </c>
      <c r="V187">
        <v>10457</v>
      </c>
      <c r="W187" t="s">
        <v>520</v>
      </c>
      <c r="Y187" t="s">
        <v>275</v>
      </c>
      <c r="Z187" t="s">
        <v>3763</v>
      </c>
      <c r="AA187" t="s">
        <v>4001</v>
      </c>
      <c r="AB187" t="s">
        <v>902</v>
      </c>
      <c r="AC187" t="s">
        <v>905</v>
      </c>
      <c r="AF187" t="s">
        <v>923</v>
      </c>
      <c r="AI187">
        <v>5.05</v>
      </c>
      <c r="AJ187" t="s">
        <v>558</v>
      </c>
      <c r="AK187" t="s">
        <v>934</v>
      </c>
      <c r="AL187" t="s">
        <v>274</v>
      </c>
      <c r="AM187" t="s">
        <v>976</v>
      </c>
      <c r="AN187" t="s">
        <v>1710</v>
      </c>
      <c r="AT187">
        <v>2</v>
      </c>
      <c r="AU187">
        <v>1</v>
      </c>
      <c r="AV187" t="s">
        <v>273</v>
      </c>
      <c r="AY187" t="s">
        <v>273</v>
      </c>
      <c r="BB187">
        <v>0</v>
      </c>
      <c r="BC187">
        <v>0</v>
      </c>
      <c r="BD187">
        <v>0</v>
      </c>
      <c r="BE187">
        <v>0</v>
      </c>
      <c r="BF187" t="s">
        <v>1063</v>
      </c>
      <c r="BG187" t="s">
        <v>4192</v>
      </c>
      <c r="BH187">
        <v>29</v>
      </c>
      <c r="BI187" t="s">
        <v>1247</v>
      </c>
      <c r="BK187">
        <v>1863646</v>
      </c>
      <c r="BL187" t="s">
        <v>274</v>
      </c>
    </row>
    <row r="188" spans="1:64">
      <c r="A188" s="1">
        <f>HYPERLINK("https://lsnyc.legalserver.org/matter/dynamic-profile/view/1883406","18-1883406")</f>
        <v>0</v>
      </c>
      <c r="B188" t="s">
        <v>3606</v>
      </c>
      <c r="C188" t="s">
        <v>3679</v>
      </c>
      <c r="D188" t="s">
        <v>253</v>
      </c>
      <c r="E188" t="s">
        <v>3685</v>
      </c>
      <c r="F188" t="s">
        <v>273</v>
      </c>
      <c r="G188" t="s">
        <v>275</v>
      </c>
      <c r="H188">
        <v>115.5</v>
      </c>
      <c r="I188" t="s">
        <v>274</v>
      </c>
      <c r="K188" t="s">
        <v>3702</v>
      </c>
      <c r="M188" t="s">
        <v>473</v>
      </c>
      <c r="P188" t="s">
        <v>492</v>
      </c>
      <c r="Q188" t="s">
        <v>501</v>
      </c>
      <c r="S188" t="s">
        <v>503</v>
      </c>
      <c r="T188" t="s">
        <v>507</v>
      </c>
      <c r="U188" t="s">
        <v>511</v>
      </c>
      <c r="V188">
        <v>11103</v>
      </c>
      <c r="W188" t="s">
        <v>532</v>
      </c>
      <c r="X188" t="s">
        <v>548</v>
      </c>
      <c r="Y188" t="s">
        <v>275</v>
      </c>
      <c r="Z188" t="s">
        <v>3851</v>
      </c>
      <c r="AA188" t="s">
        <v>2162</v>
      </c>
      <c r="AB188" t="s">
        <v>902</v>
      </c>
      <c r="AC188" t="s">
        <v>906</v>
      </c>
      <c r="AF188" t="s">
        <v>923</v>
      </c>
      <c r="AI188">
        <v>32.75</v>
      </c>
      <c r="AJ188" t="s">
        <v>558</v>
      </c>
      <c r="AK188" t="s">
        <v>933</v>
      </c>
      <c r="AL188" t="s">
        <v>274</v>
      </c>
      <c r="AT188">
        <v>0</v>
      </c>
      <c r="AU188">
        <v>3</v>
      </c>
      <c r="AV188" t="s">
        <v>273</v>
      </c>
      <c r="AY188" t="s">
        <v>273</v>
      </c>
      <c r="BB188">
        <v>0</v>
      </c>
      <c r="BC188">
        <v>0</v>
      </c>
      <c r="BD188">
        <v>0</v>
      </c>
      <c r="BE188">
        <v>0</v>
      </c>
      <c r="BF188" t="s">
        <v>1063</v>
      </c>
      <c r="BG188" t="s">
        <v>4193</v>
      </c>
      <c r="BH188">
        <v>51</v>
      </c>
      <c r="BI188" t="s">
        <v>1259</v>
      </c>
      <c r="BK188">
        <v>1884031</v>
      </c>
    </row>
    <row r="189" spans="1:64">
      <c r="A189" s="1">
        <f>HYPERLINK("https://lsnyc.legalserver.org/matter/dynamic-profile/view/1883293","18-1883293")</f>
        <v>0</v>
      </c>
      <c r="B189" t="s">
        <v>3515</v>
      </c>
      <c r="C189" t="s">
        <v>3679</v>
      </c>
      <c r="D189" t="s">
        <v>257</v>
      </c>
      <c r="E189" t="s">
        <v>3685</v>
      </c>
      <c r="F189" t="s">
        <v>273</v>
      </c>
      <c r="G189" t="s">
        <v>275</v>
      </c>
      <c r="H189">
        <v>137.74</v>
      </c>
      <c r="I189" t="s">
        <v>274</v>
      </c>
      <c r="K189" t="s">
        <v>363</v>
      </c>
      <c r="M189" t="s">
        <v>473</v>
      </c>
      <c r="O189" t="s">
        <v>275</v>
      </c>
      <c r="P189" t="s">
        <v>492</v>
      </c>
      <c r="Q189" t="s">
        <v>502</v>
      </c>
      <c r="S189" t="s">
        <v>503</v>
      </c>
      <c r="T189" t="s">
        <v>508</v>
      </c>
      <c r="U189" t="s">
        <v>511</v>
      </c>
      <c r="V189">
        <v>10457</v>
      </c>
      <c r="W189" t="s">
        <v>529</v>
      </c>
      <c r="X189" t="s">
        <v>548</v>
      </c>
      <c r="Y189" t="s">
        <v>275</v>
      </c>
      <c r="Z189" t="s">
        <v>3785</v>
      </c>
      <c r="AA189" t="s">
        <v>3926</v>
      </c>
      <c r="AB189" t="s">
        <v>902</v>
      </c>
      <c r="AC189" t="s">
        <v>2359</v>
      </c>
      <c r="AF189" t="s">
        <v>923</v>
      </c>
      <c r="AI189">
        <v>58.93</v>
      </c>
      <c r="AJ189" t="s">
        <v>558</v>
      </c>
      <c r="AK189" t="s">
        <v>934</v>
      </c>
      <c r="AL189" t="s">
        <v>274</v>
      </c>
      <c r="AT189">
        <v>1</v>
      </c>
      <c r="AU189">
        <v>1</v>
      </c>
      <c r="AV189" t="s">
        <v>273</v>
      </c>
      <c r="AY189" t="s">
        <v>273</v>
      </c>
      <c r="BB189">
        <v>0</v>
      </c>
      <c r="BC189">
        <v>0</v>
      </c>
      <c r="BD189">
        <v>0</v>
      </c>
      <c r="BE189">
        <v>0</v>
      </c>
      <c r="BF189" t="s">
        <v>1063</v>
      </c>
      <c r="BG189" t="s">
        <v>4108</v>
      </c>
      <c r="BH189">
        <v>17</v>
      </c>
      <c r="BI189" t="s">
        <v>4259</v>
      </c>
      <c r="BK189">
        <v>1883918</v>
      </c>
    </row>
    <row r="190" spans="1:64">
      <c r="A190" s="1">
        <f>HYPERLINK("https://lsnyc.legalserver.org/matter/dynamic-profile/view/1882795","18-1882795")</f>
        <v>0</v>
      </c>
      <c r="B190" t="s">
        <v>3534</v>
      </c>
      <c r="C190" t="s">
        <v>3679</v>
      </c>
      <c r="D190" t="s">
        <v>257</v>
      </c>
      <c r="E190" t="s">
        <v>3685</v>
      </c>
      <c r="F190" t="s">
        <v>273</v>
      </c>
      <c r="G190" t="s">
        <v>275</v>
      </c>
      <c r="H190">
        <v>0.4</v>
      </c>
      <c r="I190" t="s">
        <v>274</v>
      </c>
      <c r="K190" t="s">
        <v>2991</v>
      </c>
      <c r="M190" t="s">
        <v>473</v>
      </c>
      <c r="O190" t="s">
        <v>275</v>
      </c>
      <c r="Q190" t="s">
        <v>501</v>
      </c>
      <c r="S190" t="s">
        <v>503</v>
      </c>
      <c r="T190" t="s">
        <v>508</v>
      </c>
      <c r="U190" t="s">
        <v>511</v>
      </c>
      <c r="V190">
        <v>10451</v>
      </c>
      <c r="W190" t="s">
        <v>519</v>
      </c>
      <c r="X190" t="s">
        <v>548</v>
      </c>
      <c r="Z190" t="s">
        <v>2088</v>
      </c>
      <c r="AA190" t="s">
        <v>3940</v>
      </c>
      <c r="AB190" t="s">
        <v>902</v>
      </c>
      <c r="AC190" t="s">
        <v>905</v>
      </c>
      <c r="AF190" t="s">
        <v>926</v>
      </c>
      <c r="AI190">
        <v>16.3</v>
      </c>
      <c r="AJ190" t="s">
        <v>558</v>
      </c>
      <c r="AK190" t="s">
        <v>934</v>
      </c>
      <c r="AL190" t="s">
        <v>274</v>
      </c>
      <c r="AT190">
        <v>3</v>
      </c>
      <c r="AU190">
        <v>1</v>
      </c>
      <c r="AV190" t="s">
        <v>273</v>
      </c>
      <c r="AY190" t="s">
        <v>273</v>
      </c>
      <c r="BB190">
        <v>0</v>
      </c>
      <c r="BC190">
        <v>0</v>
      </c>
      <c r="BD190">
        <v>0</v>
      </c>
      <c r="BE190">
        <v>0</v>
      </c>
      <c r="BF190" t="s">
        <v>1063</v>
      </c>
      <c r="BG190" t="s">
        <v>4127</v>
      </c>
      <c r="BH190">
        <v>36</v>
      </c>
      <c r="BI190" t="s">
        <v>2743</v>
      </c>
      <c r="BK190">
        <v>1883420</v>
      </c>
    </row>
    <row r="191" spans="1:64">
      <c r="A191" s="1">
        <f>HYPERLINK("https://lsnyc.legalserver.org/matter/dynamic-profile/view/1882454","18-1882454")</f>
        <v>0</v>
      </c>
      <c r="B191" t="s">
        <v>3596</v>
      </c>
      <c r="C191" t="s">
        <v>3679</v>
      </c>
      <c r="D191" t="s">
        <v>257</v>
      </c>
      <c r="E191" t="s">
        <v>3683</v>
      </c>
      <c r="F191" t="s">
        <v>275</v>
      </c>
      <c r="G191" t="s">
        <v>275</v>
      </c>
      <c r="H191">
        <v>123.73</v>
      </c>
      <c r="I191" t="s">
        <v>274</v>
      </c>
      <c r="K191" t="s">
        <v>3703</v>
      </c>
      <c r="L191" t="s">
        <v>1666</v>
      </c>
      <c r="M191" t="s">
        <v>473</v>
      </c>
      <c r="N191" t="s">
        <v>464</v>
      </c>
      <c r="O191" t="s">
        <v>275</v>
      </c>
      <c r="P191" t="s">
        <v>493</v>
      </c>
      <c r="Q191" t="s">
        <v>501</v>
      </c>
      <c r="S191" t="s">
        <v>503</v>
      </c>
      <c r="T191" t="s">
        <v>508</v>
      </c>
      <c r="U191" t="s">
        <v>511</v>
      </c>
      <c r="V191">
        <v>10454</v>
      </c>
      <c r="W191" t="s">
        <v>532</v>
      </c>
      <c r="X191" t="s">
        <v>548</v>
      </c>
      <c r="Z191" t="s">
        <v>3843</v>
      </c>
      <c r="AA191" t="s">
        <v>3993</v>
      </c>
      <c r="AB191" t="s">
        <v>902</v>
      </c>
      <c r="AC191" t="s">
        <v>906</v>
      </c>
      <c r="AD191" t="s">
        <v>275</v>
      </c>
      <c r="AE191" t="s">
        <v>919</v>
      </c>
      <c r="AF191" t="s">
        <v>923</v>
      </c>
      <c r="AI191">
        <v>10.5</v>
      </c>
      <c r="AK191" t="s">
        <v>933</v>
      </c>
      <c r="AL191" t="s">
        <v>274</v>
      </c>
      <c r="AM191" t="s">
        <v>973</v>
      </c>
      <c r="AN191" t="s">
        <v>464</v>
      </c>
      <c r="AO191" t="s">
        <v>2403</v>
      </c>
      <c r="AP191" t="s">
        <v>1666</v>
      </c>
      <c r="AQ191" t="s">
        <v>1037</v>
      </c>
      <c r="AR191" t="s">
        <v>1054</v>
      </c>
      <c r="AT191">
        <v>3</v>
      </c>
      <c r="AU191">
        <v>2</v>
      </c>
      <c r="AV191" t="s">
        <v>273</v>
      </c>
      <c r="AY191" t="s">
        <v>273</v>
      </c>
      <c r="BB191">
        <v>0</v>
      </c>
      <c r="BC191">
        <v>0</v>
      </c>
      <c r="BD191">
        <v>0</v>
      </c>
      <c r="BE191">
        <v>0</v>
      </c>
      <c r="BF191" t="s">
        <v>493</v>
      </c>
      <c r="BG191" t="s">
        <v>4184</v>
      </c>
      <c r="BH191">
        <v>36</v>
      </c>
      <c r="BI191" t="s">
        <v>1317</v>
      </c>
      <c r="BK191">
        <v>1871259</v>
      </c>
    </row>
    <row r="192" spans="1:64">
      <c r="A192" s="1">
        <f>HYPERLINK("https://lsnyc.legalserver.org/matter/dynamic-profile/view/1882268","18-1882268")</f>
        <v>0</v>
      </c>
      <c r="B192" t="s">
        <v>3607</v>
      </c>
      <c r="C192" t="s">
        <v>3679</v>
      </c>
      <c r="D192" t="s">
        <v>257</v>
      </c>
      <c r="E192" t="s">
        <v>3683</v>
      </c>
      <c r="F192" t="s">
        <v>275</v>
      </c>
      <c r="G192" t="s">
        <v>275</v>
      </c>
      <c r="H192">
        <v>100.1</v>
      </c>
      <c r="K192" t="s">
        <v>3704</v>
      </c>
      <c r="L192" t="s">
        <v>278</v>
      </c>
      <c r="O192" t="s">
        <v>275</v>
      </c>
      <c r="P192" t="s">
        <v>493</v>
      </c>
      <c r="Q192" t="s">
        <v>501</v>
      </c>
      <c r="S192" t="s">
        <v>503</v>
      </c>
      <c r="T192" t="s">
        <v>507</v>
      </c>
      <c r="U192" t="s">
        <v>511</v>
      </c>
      <c r="V192">
        <v>10460</v>
      </c>
      <c r="W192" t="s">
        <v>524</v>
      </c>
      <c r="X192" t="s">
        <v>549</v>
      </c>
      <c r="Y192" t="s">
        <v>274</v>
      </c>
      <c r="Z192" t="s">
        <v>3852</v>
      </c>
      <c r="AA192" t="s">
        <v>4002</v>
      </c>
      <c r="AB192" t="s">
        <v>902</v>
      </c>
      <c r="AC192" t="s">
        <v>909</v>
      </c>
      <c r="AD192" t="s">
        <v>916</v>
      </c>
      <c r="AE192" t="s">
        <v>920</v>
      </c>
      <c r="AF192" t="s">
        <v>927</v>
      </c>
      <c r="AI192">
        <v>6.15</v>
      </c>
      <c r="AJ192" t="s">
        <v>558</v>
      </c>
      <c r="AK192" t="s">
        <v>2383</v>
      </c>
      <c r="AQ192" t="s">
        <v>1033</v>
      </c>
      <c r="AR192" t="s">
        <v>1053</v>
      </c>
      <c r="AT192">
        <v>1</v>
      </c>
      <c r="AU192">
        <v>2</v>
      </c>
      <c r="AV192" t="s">
        <v>273</v>
      </c>
      <c r="AY192" t="s">
        <v>273</v>
      </c>
      <c r="BB192">
        <v>0</v>
      </c>
      <c r="BC192">
        <v>0</v>
      </c>
      <c r="BD192">
        <v>0</v>
      </c>
      <c r="BE192">
        <v>0</v>
      </c>
      <c r="BF192" t="s">
        <v>493</v>
      </c>
      <c r="BG192" t="s">
        <v>4194</v>
      </c>
      <c r="BH192">
        <v>46</v>
      </c>
      <c r="BI192" t="s">
        <v>1261</v>
      </c>
      <c r="BK192">
        <v>1882891</v>
      </c>
    </row>
    <row r="193" spans="1:64">
      <c r="A193" s="1">
        <f>HYPERLINK("https://lsnyc.legalserver.org/matter/dynamic-profile/view/1881527","18-1881527")</f>
        <v>0</v>
      </c>
      <c r="B193" t="s">
        <v>3608</v>
      </c>
      <c r="C193" t="s">
        <v>3679</v>
      </c>
      <c r="D193" t="s">
        <v>257</v>
      </c>
      <c r="E193" t="s">
        <v>3683</v>
      </c>
      <c r="F193" t="s">
        <v>275</v>
      </c>
      <c r="G193" t="s">
        <v>275</v>
      </c>
      <c r="H193">
        <v>0</v>
      </c>
      <c r="I193" t="s">
        <v>274</v>
      </c>
      <c r="K193" t="s">
        <v>3705</v>
      </c>
      <c r="L193" t="s">
        <v>455</v>
      </c>
      <c r="M193" t="s">
        <v>473</v>
      </c>
      <c r="N193" t="s">
        <v>3749</v>
      </c>
      <c r="O193" t="s">
        <v>275</v>
      </c>
      <c r="P193" t="s">
        <v>493</v>
      </c>
      <c r="Q193" t="s">
        <v>502</v>
      </c>
      <c r="S193" t="s">
        <v>503</v>
      </c>
      <c r="T193" t="s">
        <v>508</v>
      </c>
      <c r="U193" t="s">
        <v>511</v>
      </c>
      <c r="V193">
        <v>10474</v>
      </c>
      <c r="W193" t="s">
        <v>529</v>
      </c>
      <c r="X193" t="s">
        <v>548</v>
      </c>
      <c r="Y193" t="s">
        <v>275</v>
      </c>
      <c r="Z193" t="s">
        <v>3853</v>
      </c>
      <c r="AA193" t="s">
        <v>4003</v>
      </c>
      <c r="AB193" t="s">
        <v>902</v>
      </c>
      <c r="AC193" t="s">
        <v>905</v>
      </c>
      <c r="AD193" t="s">
        <v>274</v>
      </c>
      <c r="AE193" t="s">
        <v>919</v>
      </c>
      <c r="AF193" t="s">
        <v>923</v>
      </c>
      <c r="AI193">
        <v>2.7</v>
      </c>
      <c r="AJ193" t="s">
        <v>558</v>
      </c>
      <c r="AK193" t="s">
        <v>934</v>
      </c>
      <c r="AL193" t="s">
        <v>274</v>
      </c>
      <c r="AM193" t="s">
        <v>973</v>
      </c>
      <c r="AN193" t="s">
        <v>3749</v>
      </c>
      <c r="AO193" t="s">
        <v>978</v>
      </c>
      <c r="AP193" t="s">
        <v>292</v>
      </c>
      <c r="AQ193" t="s">
        <v>1041</v>
      </c>
      <c r="AR193" t="s">
        <v>1051</v>
      </c>
      <c r="AT193">
        <v>4</v>
      </c>
      <c r="AU193">
        <v>1</v>
      </c>
      <c r="AV193" t="s">
        <v>273</v>
      </c>
      <c r="AY193" t="s">
        <v>273</v>
      </c>
      <c r="BB193">
        <v>0</v>
      </c>
      <c r="BC193">
        <v>0</v>
      </c>
      <c r="BD193">
        <v>0</v>
      </c>
      <c r="BE193">
        <v>0</v>
      </c>
      <c r="BF193" t="s">
        <v>493</v>
      </c>
      <c r="BG193" t="s">
        <v>4195</v>
      </c>
      <c r="BH193">
        <v>16</v>
      </c>
      <c r="BI193" t="s">
        <v>1247</v>
      </c>
      <c r="BK193">
        <v>807054</v>
      </c>
    </row>
    <row r="194" spans="1:64">
      <c r="A194" s="1">
        <f>HYPERLINK("https://lsnyc.legalserver.org/matter/dynamic-profile/view/1881159","18-1881159")</f>
        <v>0</v>
      </c>
      <c r="B194" t="s">
        <v>3495</v>
      </c>
      <c r="C194" t="s">
        <v>3679</v>
      </c>
      <c r="D194" t="s">
        <v>257</v>
      </c>
      <c r="E194" t="s">
        <v>3685</v>
      </c>
      <c r="F194" t="s">
        <v>273</v>
      </c>
      <c r="G194" t="s">
        <v>275</v>
      </c>
      <c r="H194">
        <v>0</v>
      </c>
      <c r="I194" t="s">
        <v>274</v>
      </c>
      <c r="K194" t="s">
        <v>366</v>
      </c>
      <c r="M194" t="s">
        <v>473</v>
      </c>
      <c r="P194" t="s">
        <v>492</v>
      </c>
      <c r="Q194" t="s">
        <v>502</v>
      </c>
      <c r="S194" t="s">
        <v>503</v>
      </c>
      <c r="T194" t="s">
        <v>508</v>
      </c>
      <c r="U194" t="s">
        <v>511</v>
      </c>
      <c r="V194">
        <v>10460</v>
      </c>
      <c r="W194" t="s">
        <v>518</v>
      </c>
      <c r="X194" t="s">
        <v>548</v>
      </c>
      <c r="Y194" t="s">
        <v>275</v>
      </c>
      <c r="Z194" t="s">
        <v>3769</v>
      </c>
      <c r="AA194" t="s">
        <v>3910</v>
      </c>
      <c r="AB194" t="s">
        <v>902</v>
      </c>
      <c r="AC194" t="s">
        <v>905</v>
      </c>
      <c r="AD194" t="s">
        <v>274</v>
      </c>
      <c r="AF194" t="s">
        <v>926</v>
      </c>
      <c r="AI194">
        <v>66.84999999999999</v>
      </c>
      <c r="AJ194" t="s">
        <v>558</v>
      </c>
      <c r="AK194" t="s">
        <v>934</v>
      </c>
      <c r="AL194" t="s">
        <v>274</v>
      </c>
      <c r="AT194">
        <v>1</v>
      </c>
      <c r="AU194">
        <v>1</v>
      </c>
      <c r="AV194" t="s">
        <v>273</v>
      </c>
      <c r="AY194" t="s">
        <v>273</v>
      </c>
      <c r="BB194">
        <v>0</v>
      </c>
      <c r="BC194">
        <v>0</v>
      </c>
      <c r="BD194">
        <v>0</v>
      </c>
      <c r="BE194">
        <v>0</v>
      </c>
      <c r="BF194" t="s">
        <v>1063</v>
      </c>
      <c r="BG194" t="s">
        <v>4089</v>
      </c>
      <c r="BH194">
        <v>11</v>
      </c>
      <c r="BI194" t="s">
        <v>1247</v>
      </c>
      <c r="BK194">
        <v>1880681</v>
      </c>
    </row>
    <row r="195" spans="1:64">
      <c r="A195" s="1">
        <f>HYPERLINK("https://lsnyc.legalserver.org/matter/dynamic-profile/view/1880907","18-1880907")</f>
        <v>0</v>
      </c>
      <c r="B195" t="s">
        <v>3540</v>
      </c>
      <c r="C195" t="s">
        <v>3679</v>
      </c>
      <c r="D195" t="s">
        <v>257</v>
      </c>
      <c r="E195" t="s">
        <v>3685</v>
      </c>
      <c r="F195" t="s">
        <v>273</v>
      </c>
      <c r="G195" t="s">
        <v>275</v>
      </c>
      <c r="H195">
        <v>162.66</v>
      </c>
      <c r="I195" t="s">
        <v>274</v>
      </c>
      <c r="K195" t="s">
        <v>3706</v>
      </c>
      <c r="M195" t="s">
        <v>473</v>
      </c>
      <c r="P195" t="s">
        <v>492</v>
      </c>
      <c r="Q195" t="s">
        <v>501</v>
      </c>
      <c r="S195" t="s">
        <v>503</v>
      </c>
      <c r="T195" t="s">
        <v>508</v>
      </c>
      <c r="U195" t="s">
        <v>511</v>
      </c>
      <c r="V195">
        <v>10454</v>
      </c>
      <c r="W195" t="s">
        <v>519</v>
      </c>
      <c r="X195" t="s">
        <v>548</v>
      </c>
      <c r="Y195" t="s">
        <v>275</v>
      </c>
      <c r="Z195" t="s">
        <v>3804</v>
      </c>
      <c r="AA195" t="s">
        <v>3946</v>
      </c>
      <c r="AB195" t="s">
        <v>902</v>
      </c>
      <c r="AC195" t="s">
        <v>905</v>
      </c>
      <c r="AF195" t="s">
        <v>926</v>
      </c>
      <c r="AI195">
        <v>20.45</v>
      </c>
      <c r="AJ195" t="s">
        <v>558</v>
      </c>
      <c r="AK195" t="s">
        <v>941</v>
      </c>
      <c r="AL195" t="s">
        <v>274</v>
      </c>
      <c r="AT195">
        <v>1</v>
      </c>
      <c r="AU195">
        <v>2</v>
      </c>
      <c r="AV195" t="s">
        <v>273</v>
      </c>
      <c r="AY195" t="s">
        <v>273</v>
      </c>
      <c r="BB195">
        <v>0</v>
      </c>
      <c r="BC195">
        <v>0</v>
      </c>
      <c r="BD195">
        <v>0</v>
      </c>
      <c r="BE195">
        <v>0</v>
      </c>
      <c r="BF195" t="s">
        <v>1063</v>
      </c>
      <c r="BG195" t="s">
        <v>4131</v>
      </c>
      <c r="BH195">
        <v>37</v>
      </c>
      <c r="BI195" t="s">
        <v>4260</v>
      </c>
      <c r="BK195">
        <v>1881526</v>
      </c>
    </row>
    <row r="196" spans="1:64">
      <c r="A196" s="1">
        <f>HYPERLINK("https://lsnyc.legalserver.org/matter/dynamic-profile/view/1880828","18-1880828")</f>
        <v>0</v>
      </c>
      <c r="B196" t="s">
        <v>3527</v>
      </c>
      <c r="C196" t="s">
        <v>3679</v>
      </c>
      <c r="D196" t="s">
        <v>257</v>
      </c>
      <c r="E196" t="s">
        <v>3684</v>
      </c>
      <c r="F196" t="s">
        <v>273</v>
      </c>
      <c r="G196" t="s">
        <v>275</v>
      </c>
      <c r="H196">
        <v>44.19</v>
      </c>
      <c r="I196" t="s">
        <v>274</v>
      </c>
      <c r="K196" t="s">
        <v>367</v>
      </c>
      <c r="P196" t="s">
        <v>496</v>
      </c>
      <c r="Q196" t="s">
        <v>502</v>
      </c>
      <c r="S196" t="s">
        <v>503</v>
      </c>
      <c r="T196" t="s">
        <v>508</v>
      </c>
      <c r="U196" t="s">
        <v>511</v>
      </c>
      <c r="V196">
        <v>10454</v>
      </c>
      <c r="W196" t="s">
        <v>529</v>
      </c>
      <c r="Y196" t="s">
        <v>274</v>
      </c>
      <c r="Z196" t="s">
        <v>3793</v>
      </c>
      <c r="AA196" t="s">
        <v>3935</v>
      </c>
      <c r="AB196" t="s">
        <v>902</v>
      </c>
      <c r="AC196" t="s">
        <v>905</v>
      </c>
      <c r="AF196" t="s">
        <v>923</v>
      </c>
      <c r="AI196">
        <v>2.95</v>
      </c>
      <c r="AK196" t="s">
        <v>934</v>
      </c>
      <c r="AL196" t="s">
        <v>274</v>
      </c>
      <c r="AM196" t="s">
        <v>973</v>
      </c>
      <c r="AN196" t="s">
        <v>3707</v>
      </c>
      <c r="AT196">
        <v>2</v>
      </c>
      <c r="AU196">
        <v>3</v>
      </c>
      <c r="AV196" t="s">
        <v>273</v>
      </c>
      <c r="AY196" t="s">
        <v>273</v>
      </c>
      <c r="BB196">
        <v>0</v>
      </c>
      <c r="BC196">
        <v>0</v>
      </c>
      <c r="BD196">
        <v>0</v>
      </c>
      <c r="BE196">
        <v>0</v>
      </c>
      <c r="BF196" t="s">
        <v>1063</v>
      </c>
      <c r="BG196" t="s">
        <v>4120</v>
      </c>
      <c r="BH196">
        <v>17</v>
      </c>
      <c r="BI196" t="s">
        <v>1264</v>
      </c>
      <c r="BK196">
        <v>1850381</v>
      </c>
      <c r="BL196" t="s">
        <v>274</v>
      </c>
    </row>
    <row r="197" spans="1:64">
      <c r="A197" s="1">
        <f>HYPERLINK("https://lsnyc.legalserver.org/matter/dynamic-profile/view/1880581","18-1880581")</f>
        <v>0</v>
      </c>
      <c r="B197" t="s">
        <v>3535</v>
      </c>
      <c r="C197" t="s">
        <v>3679</v>
      </c>
      <c r="D197" t="s">
        <v>257</v>
      </c>
      <c r="E197" t="s">
        <v>3685</v>
      </c>
      <c r="F197" t="s">
        <v>273</v>
      </c>
      <c r="G197" t="s">
        <v>275</v>
      </c>
      <c r="H197">
        <v>0</v>
      </c>
      <c r="I197" t="s">
        <v>274</v>
      </c>
      <c r="K197" t="s">
        <v>3707</v>
      </c>
      <c r="M197" t="s">
        <v>471</v>
      </c>
      <c r="O197" t="s">
        <v>275</v>
      </c>
      <c r="P197" t="s">
        <v>492</v>
      </c>
      <c r="Q197" t="s">
        <v>501</v>
      </c>
      <c r="S197" t="s">
        <v>503</v>
      </c>
      <c r="T197" t="s">
        <v>508</v>
      </c>
      <c r="U197" t="s">
        <v>511</v>
      </c>
      <c r="V197">
        <v>10455</v>
      </c>
      <c r="W197" t="s">
        <v>519</v>
      </c>
      <c r="X197" t="s">
        <v>548</v>
      </c>
      <c r="Y197" t="s">
        <v>275</v>
      </c>
      <c r="Z197" t="s">
        <v>3799</v>
      </c>
      <c r="AA197" t="s">
        <v>3941</v>
      </c>
      <c r="AB197" t="s">
        <v>902</v>
      </c>
      <c r="AC197" t="s">
        <v>905</v>
      </c>
      <c r="AF197" t="s">
        <v>926</v>
      </c>
      <c r="AI197">
        <v>21.9</v>
      </c>
      <c r="AJ197" t="s">
        <v>558</v>
      </c>
      <c r="AK197" t="s">
        <v>934</v>
      </c>
      <c r="AL197" t="s">
        <v>274</v>
      </c>
      <c r="AT197">
        <v>1</v>
      </c>
      <c r="AU197">
        <v>1</v>
      </c>
      <c r="AV197" t="s">
        <v>273</v>
      </c>
      <c r="AY197" t="s">
        <v>273</v>
      </c>
      <c r="BB197">
        <v>0</v>
      </c>
      <c r="BC197">
        <v>0</v>
      </c>
      <c r="BD197">
        <v>0</v>
      </c>
      <c r="BE197">
        <v>0</v>
      </c>
      <c r="BF197" t="s">
        <v>1063</v>
      </c>
      <c r="BG197" t="s">
        <v>4128</v>
      </c>
      <c r="BH197">
        <v>31</v>
      </c>
      <c r="BI197" t="s">
        <v>1247</v>
      </c>
      <c r="BK197">
        <v>1881199</v>
      </c>
    </row>
    <row r="198" spans="1:64">
      <c r="A198" s="1">
        <f>HYPERLINK("https://lsnyc.legalserver.org/matter/dynamic-profile/view/1880170","18-1880170")</f>
        <v>0</v>
      </c>
      <c r="B198" t="s">
        <v>3609</v>
      </c>
      <c r="C198" t="s">
        <v>3679</v>
      </c>
      <c r="D198" t="s">
        <v>257</v>
      </c>
      <c r="E198" t="s">
        <v>3685</v>
      </c>
      <c r="F198" t="s">
        <v>273</v>
      </c>
      <c r="G198" t="s">
        <v>275</v>
      </c>
      <c r="H198">
        <v>149.92</v>
      </c>
      <c r="I198" t="s">
        <v>274</v>
      </c>
      <c r="K198" t="s">
        <v>1728</v>
      </c>
      <c r="M198" t="s">
        <v>473</v>
      </c>
      <c r="O198" t="s">
        <v>275</v>
      </c>
      <c r="P198" t="s">
        <v>499</v>
      </c>
      <c r="Q198" t="s">
        <v>501</v>
      </c>
      <c r="S198" t="s">
        <v>503</v>
      </c>
      <c r="T198" t="s">
        <v>507</v>
      </c>
      <c r="U198" t="s">
        <v>511</v>
      </c>
      <c r="V198">
        <v>10460</v>
      </c>
      <c r="W198" t="s">
        <v>518</v>
      </c>
      <c r="X198" t="s">
        <v>548</v>
      </c>
      <c r="Y198" t="s">
        <v>275</v>
      </c>
      <c r="Z198" t="s">
        <v>3854</v>
      </c>
      <c r="AA198" t="s">
        <v>4004</v>
      </c>
      <c r="AB198" t="s">
        <v>902</v>
      </c>
      <c r="AC198" t="s">
        <v>905</v>
      </c>
      <c r="AF198" t="s">
        <v>923</v>
      </c>
      <c r="AI198">
        <v>30.4</v>
      </c>
      <c r="AJ198" t="s">
        <v>558</v>
      </c>
      <c r="AK198" t="s">
        <v>934</v>
      </c>
      <c r="AL198" t="s">
        <v>274</v>
      </c>
      <c r="AT198">
        <v>0</v>
      </c>
      <c r="AU198">
        <v>1</v>
      </c>
      <c r="AV198" t="s">
        <v>273</v>
      </c>
      <c r="AY198" t="s">
        <v>273</v>
      </c>
      <c r="BB198">
        <v>0</v>
      </c>
      <c r="BC198">
        <v>0</v>
      </c>
      <c r="BD198">
        <v>0</v>
      </c>
      <c r="BE198">
        <v>0</v>
      </c>
      <c r="BF198" t="s">
        <v>1063</v>
      </c>
      <c r="BG198" t="s">
        <v>4196</v>
      </c>
      <c r="BH198">
        <v>28</v>
      </c>
      <c r="BI198" t="s">
        <v>1260</v>
      </c>
      <c r="BK198">
        <v>1884376</v>
      </c>
    </row>
    <row r="199" spans="1:64">
      <c r="A199" s="1">
        <f>HYPERLINK("https://lsnyc.legalserver.org/matter/dynamic-profile/view/1880066","18-1880066")</f>
        <v>0</v>
      </c>
      <c r="B199" t="s">
        <v>3578</v>
      </c>
      <c r="C199" t="s">
        <v>3679</v>
      </c>
      <c r="D199" t="s">
        <v>257</v>
      </c>
      <c r="E199" t="s">
        <v>3685</v>
      </c>
      <c r="F199" t="s">
        <v>273</v>
      </c>
      <c r="G199" t="s">
        <v>275</v>
      </c>
      <c r="H199">
        <v>0</v>
      </c>
      <c r="I199" t="s">
        <v>274</v>
      </c>
      <c r="K199" t="s">
        <v>1729</v>
      </c>
      <c r="M199" t="s">
        <v>471</v>
      </c>
      <c r="O199" t="s">
        <v>275</v>
      </c>
      <c r="P199" t="s">
        <v>499</v>
      </c>
      <c r="Q199" t="s">
        <v>501</v>
      </c>
      <c r="S199" t="s">
        <v>503</v>
      </c>
      <c r="T199" t="s">
        <v>508</v>
      </c>
      <c r="U199" t="s">
        <v>511</v>
      </c>
      <c r="V199">
        <v>10460</v>
      </c>
      <c r="W199" t="s">
        <v>518</v>
      </c>
      <c r="X199" t="s">
        <v>548</v>
      </c>
      <c r="Y199" t="s">
        <v>275</v>
      </c>
      <c r="Z199" t="s">
        <v>3832</v>
      </c>
      <c r="AA199" t="s">
        <v>3977</v>
      </c>
      <c r="AB199" t="s">
        <v>902</v>
      </c>
      <c r="AC199" t="s">
        <v>905</v>
      </c>
      <c r="AF199" t="s">
        <v>926</v>
      </c>
      <c r="AI199">
        <v>27.75</v>
      </c>
      <c r="AJ199" t="s">
        <v>931</v>
      </c>
      <c r="AK199" t="s">
        <v>934</v>
      </c>
      <c r="AL199" t="s">
        <v>274</v>
      </c>
      <c r="AT199">
        <v>1</v>
      </c>
      <c r="AU199">
        <v>1</v>
      </c>
      <c r="AV199" t="s">
        <v>273</v>
      </c>
      <c r="AY199" t="s">
        <v>273</v>
      </c>
      <c r="BB199">
        <v>0</v>
      </c>
      <c r="BC199">
        <v>0</v>
      </c>
      <c r="BD199">
        <v>0</v>
      </c>
      <c r="BE199">
        <v>0</v>
      </c>
      <c r="BF199" t="s">
        <v>1063</v>
      </c>
      <c r="BG199" t="s">
        <v>4167</v>
      </c>
      <c r="BH199">
        <v>33</v>
      </c>
      <c r="BI199" t="s">
        <v>1247</v>
      </c>
      <c r="BK199">
        <v>1880681</v>
      </c>
    </row>
    <row r="200" spans="1:64">
      <c r="A200" s="1">
        <f>HYPERLINK("https://lsnyc.legalserver.org/matter/dynamic-profile/view/1879797","18-1879797")</f>
        <v>0</v>
      </c>
      <c r="B200" t="s">
        <v>3610</v>
      </c>
      <c r="C200" t="s">
        <v>3679</v>
      </c>
      <c r="D200" t="s">
        <v>257</v>
      </c>
      <c r="E200" t="s">
        <v>3684</v>
      </c>
      <c r="F200" t="s">
        <v>273</v>
      </c>
      <c r="G200" t="s">
        <v>275</v>
      </c>
      <c r="H200">
        <v>92.47</v>
      </c>
      <c r="I200" t="s">
        <v>275</v>
      </c>
      <c r="K200" t="s">
        <v>1731</v>
      </c>
      <c r="P200" t="s">
        <v>496</v>
      </c>
      <c r="Q200" t="s">
        <v>501</v>
      </c>
      <c r="S200" t="s">
        <v>503</v>
      </c>
      <c r="T200" t="s">
        <v>507</v>
      </c>
      <c r="U200" t="s">
        <v>511</v>
      </c>
      <c r="V200">
        <v>10457</v>
      </c>
      <c r="W200" t="s">
        <v>1831</v>
      </c>
      <c r="X200" t="s">
        <v>548</v>
      </c>
      <c r="Y200" t="s">
        <v>275</v>
      </c>
      <c r="Z200" t="s">
        <v>3855</v>
      </c>
      <c r="AA200" t="s">
        <v>4005</v>
      </c>
      <c r="AB200" t="s">
        <v>902</v>
      </c>
      <c r="AC200" t="s">
        <v>904</v>
      </c>
      <c r="AF200" t="s">
        <v>923</v>
      </c>
      <c r="AI200">
        <v>6.35</v>
      </c>
      <c r="AJ200" t="s">
        <v>558</v>
      </c>
      <c r="AK200" t="s">
        <v>950</v>
      </c>
      <c r="AL200" t="s">
        <v>275</v>
      </c>
      <c r="AM200" t="s">
        <v>973</v>
      </c>
      <c r="AN200" t="s">
        <v>3750</v>
      </c>
      <c r="AT200">
        <v>4</v>
      </c>
      <c r="AU200">
        <v>2</v>
      </c>
      <c r="AV200" t="s">
        <v>273</v>
      </c>
      <c r="AY200" t="s">
        <v>273</v>
      </c>
      <c r="BB200">
        <v>0</v>
      </c>
      <c r="BC200">
        <v>0</v>
      </c>
      <c r="BD200">
        <v>0</v>
      </c>
      <c r="BE200">
        <v>0</v>
      </c>
      <c r="BF200" t="s">
        <v>1063</v>
      </c>
      <c r="BG200" t="s">
        <v>4197</v>
      </c>
      <c r="BH200">
        <v>17</v>
      </c>
      <c r="BI200" t="s">
        <v>1254</v>
      </c>
      <c r="BK200">
        <v>1880412</v>
      </c>
      <c r="BL200" t="s">
        <v>275</v>
      </c>
    </row>
    <row r="201" spans="1:64">
      <c r="A201" s="1">
        <f>HYPERLINK("https://lsnyc.legalserver.org/matter/dynamic-profile/view/1879798","18-1879798")</f>
        <v>0</v>
      </c>
      <c r="B201" t="s">
        <v>3611</v>
      </c>
      <c r="C201" t="s">
        <v>3679</v>
      </c>
      <c r="D201" t="s">
        <v>257</v>
      </c>
      <c r="E201" t="s">
        <v>3684</v>
      </c>
      <c r="F201" t="s">
        <v>273</v>
      </c>
      <c r="G201" t="s">
        <v>275</v>
      </c>
      <c r="H201">
        <v>92.47</v>
      </c>
      <c r="I201" t="s">
        <v>275</v>
      </c>
      <c r="K201" t="s">
        <v>1731</v>
      </c>
      <c r="P201" t="s">
        <v>496</v>
      </c>
      <c r="Q201" t="s">
        <v>501</v>
      </c>
      <c r="S201" t="s">
        <v>503</v>
      </c>
      <c r="T201" t="s">
        <v>507</v>
      </c>
      <c r="U201" t="s">
        <v>511</v>
      </c>
      <c r="V201">
        <v>10457</v>
      </c>
      <c r="W201" t="s">
        <v>1831</v>
      </c>
      <c r="X201" t="s">
        <v>548</v>
      </c>
      <c r="Y201" t="s">
        <v>275</v>
      </c>
      <c r="Z201" t="s">
        <v>3856</v>
      </c>
      <c r="AA201" t="s">
        <v>4005</v>
      </c>
      <c r="AB201" t="s">
        <v>902</v>
      </c>
      <c r="AC201" t="s">
        <v>904</v>
      </c>
      <c r="AF201" t="s">
        <v>923</v>
      </c>
      <c r="AI201">
        <v>6.35</v>
      </c>
      <c r="AJ201" t="s">
        <v>558</v>
      </c>
      <c r="AK201" t="s">
        <v>950</v>
      </c>
      <c r="AL201" t="s">
        <v>275</v>
      </c>
      <c r="AM201" t="s">
        <v>973</v>
      </c>
      <c r="AN201" t="s">
        <v>3750</v>
      </c>
      <c r="AT201">
        <v>4</v>
      </c>
      <c r="AU201">
        <v>2</v>
      </c>
      <c r="AV201" t="s">
        <v>273</v>
      </c>
      <c r="AY201" t="s">
        <v>273</v>
      </c>
      <c r="BB201">
        <v>0</v>
      </c>
      <c r="BC201">
        <v>0</v>
      </c>
      <c r="BD201">
        <v>0</v>
      </c>
      <c r="BE201">
        <v>0</v>
      </c>
      <c r="BF201" t="s">
        <v>1063</v>
      </c>
      <c r="BG201" t="s">
        <v>4198</v>
      </c>
      <c r="BH201">
        <v>15</v>
      </c>
      <c r="BI201" t="s">
        <v>1254</v>
      </c>
      <c r="BK201">
        <v>1880412</v>
      </c>
      <c r="BL201" t="s">
        <v>275</v>
      </c>
    </row>
    <row r="202" spans="1:64">
      <c r="A202" s="1">
        <f>HYPERLINK("https://lsnyc.legalserver.org/matter/dynamic-profile/view/1879688","18-1879688")</f>
        <v>0</v>
      </c>
      <c r="B202" t="s">
        <v>3512</v>
      </c>
      <c r="C202" t="s">
        <v>3679</v>
      </c>
      <c r="D202" t="s">
        <v>257</v>
      </c>
      <c r="E202" t="s">
        <v>3685</v>
      </c>
      <c r="F202" t="s">
        <v>273</v>
      </c>
      <c r="G202" t="s">
        <v>275</v>
      </c>
      <c r="H202">
        <v>157.96</v>
      </c>
      <c r="I202" t="s">
        <v>274</v>
      </c>
      <c r="K202" t="s">
        <v>370</v>
      </c>
      <c r="O202" t="s">
        <v>275</v>
      </c>
      <c r="Q202" t="s">
        <v>502</v>
      </c>
      <c r="S202" t="s">
        <v>503</v>
      </c>
      <c r="T202" t="s">
        <v>507</v>
      </c>
      <c r="U202" t="s">
        <v>511</v>
      </c>
      <c r="V202">
        <v>10458</v>
      </c>
      <c r="W202" t="s">
        <v>529</v>
      </c>
      <c r="X202" t="s">
        <v>548</v>
      </c>
      <c r="Y202" t="s">
        <v>275</v>
      </c>
      <c r="Z202" t="s">
        <v>657</v>
      </c>
      <c r="AA202" t="s">
        <v>3923</v>
      </c>
      <c r="AB202" t="s">
        <v>902</v>
      </c>
      <c r="AC202" t="s">
        <v>905</v>
      </c>
      <c r="AF202" t="s">
        <v>923</v>
      </c>
      <c r="AI202">
        <v>14.45</v>
      </c>
      <c r="AK202" t="s">
        <v>949</v>
      </c>
      <c r="AL202" t="s">
        <v>274</v>
      </c>
      <c r="AT202">
        <v>1</v>
      </c>
      <c r="AU202">
        <v>1</v>
      </c>
      <c r="AV202" t="s">
        <v>273</v>
      </c>
      <c r="AY202" t="s">
        <v>273</v>
      </c>
      <c r="BB202">
        <v>0</v>
      </c>
      <c r="BC202">
        <v>0</v>
      </c>
      <c r="BD202">
        <v>0</v>
      </c>
      <c r="BE202">
        <v>0</v>
      </c>
      <c r="BF202" t="s">
        <v>1063</v>
      </c>
      <c r="BG202" t="s">
        <v>4106</v>
      </c>
      <c r="BH202">
        <v>19</v>
      </c>
      <c r="BI202" t="s">
        <v>1279</v>
      </c>
      <c r="BK202">
        <v>1880303</v>
      </c>
      <c r="BL202" t="s">
        <v>275</v>
      </c>
    </row>
    <row r="203" spans="1:64">
      <c r="A203" s="1">
        <f>HYPERLINK("https://lsnyc.legalserver.org/matter/dynamic-profile/view/1878576","18-1878576")</f>
        <v>0</v>
      </c>
      <c r="B203" t="s">
        <v>3612</v>
      </c>
      <c r="C203" t="s">
        <v>3679</v>
      </c>
      <c r="D203" t="s">
        <v>255</v>
      </c>
      <c r="E203" t="s">
        <v>3685</v>
      </c>
      <c r="F203" t="s">
        <v>273</v>
      </c>
      <c r="G203" t="s">
        <v>275</v>
      </c>
      <c r="H203">
        <v>273.39</v>
      </c>
      <c r="K203" t="s">
        <v>3708</v>
      </c>
      <c r="P203" t="s">
        <v>496</v>
      </c>
      <c r="Q203" t="s">
        <v>501</v>
      </c>
      <c r="S203" t="s">
        <v>503</v>
      </c>
      <c r="T203" t="s">
        <v>507</v>
      </c>
      <c r="U203" t="s">
        <v>511</v>
      </c>
      <c r="V203">
        <v>10031</v>
      </c>
      <c r="W203" t="s">
        <v>517</v>
      </c>
      <c r="X203" t="s">
        <v>548</v>
      </c>
      <c r="Z203" t="s">
        <v>3857</v>
      </c>
      <c r="AA203" t="s">
        <v>4006</v>
      </c>
      <c r="AB203" t="s">
        <v>902</v>
      </c>
      <c r="AC203" t="s">
        <v>904</v>
      </c>
      <c r="AI203">
        <v>22.5</v>
      </c>
      <c r="AJ203" t="s">
        <v>558</v>
      </c>
      <c r="AK203" t="s">
        <v>949</v>
      </c>
      <c r="AT203">
        <v>0</v>
      </c>
      <c r="AU203">
        <v>2</v>
      </c>
      <c r="AV203" t="s">
        <v>273</v>
      </c>
      <c r="AY203" t="s">
        <v>273</v>
      </c>
      <c r="BB203">
        <v>0</v>
      </c>
      <c r="BC203">
        <v>0</v>
      </c>
      <c r="BD203">
        <v>0</v>
      </c>
      <c r="BE203">
        <v>0</v>
      </c>
      <c r="BF203" t="s">
        <v>1063</v>
      </c>
      <c r="BG203" t="s">
        <v>4199</v>
      </c>
      <c r="BH203">
        <v>39</v>
      </c>
      <c r="BI203" t="s">
        <v>2809</v>
      </c>
      <c r="BK203">
        <v>780936</v>
      </c>
    </row>
    <row r="204" spans="1:64">
      <c r="A204" s="1">
        <f>HYPERLINK("https://lsnyc.legalserver.org/matter/dynamic-profile/view/1878581","18-1878581")</f>
        <v>0</v>
      </c>
      <c r="B204" t="s">
        <v>3557</v>
      </c>
      <c r="C204" t="s">
        <v>3679</v>
      </c>
      <c r="D204" t="s">
        <v>257</v>
      </c>
      <c r="E204" t="s">
        <v>3683</v>
      </c>
      <c r="F204" t="s">
        <v>273</v>
      </c>
      <c r="G204" t="s">
        <v>275</v>
      </c>
      <c r="H204">
        <v>0</v>
      </c>
      <c r="I204" t="s">
        <v>274</v>
      </c>
      <c r="K204" t="s">
        <v>3708</v>
      </c>
      <c r="M204" t="s">
        <v>471</v>
      </c>
      <c r="N204" t="s">
        <v>325</v>
      </c>
      <c r="O204" t="s">
        <v>275</v>
      </c>
      <c r="P204" t="s">
        <v>492</v>
      </c>
      <c r="Q204" t="s">
        <v>501</v>
      </c>
      <c r="S204" t="s">
        <v>503</v>
      </c>
      <c r="T204" t="s">
        <v>507</v>
      </c>
      <c r="U204" t="s">
        <v>511</v>
      </c>
      <c r="V204">
        <v>10452</v>
      </c>
      <c r="W204" t="s">
        <v>518</v>
      </c>
      <c r="X204" t="s">
        <v>548</v>
      </c>
      <c r="Y204" t="s">
        <v>275</v>
      </c>
      <c r="Z204" t="s">
        <v>3816</v>
      </c>
      <c r="AA204" t="s">
        <v>3961</v>
      </c>
      <c r="AB204" t="s">
        <v>902</v>
      </c>
      <c r="AC204" t="s">
        <v>905</v>
      </c>
      <c r="AF204" t="s">
        <v>926</v>
      </c>
      <c r="AI204">
        <v>2.8</v>
      </c>
      <c r="AJ204" t="s">
        <v>558</v>
      </c>
      <c r="AK204" t="s">
        <v>934</v>
      </c>
      <c r="AL204" t="s">
        <v>274</v>
      </c>
      <c r="AM204" t="s">
        <v>973</v>
      </c>
      <c r="AN204" t="s">
        <v>1721</v>
      </c>
      <c r="AT204">
        <v>2</v>
      </c>
      <c r="AU204">
        <v>1</v>
      </c>
      <c r="AV204" t="s">
        <v>273</v>
      </c>
      <c r="AY204" t="s">
        <v>273</v>
      </c>
      <c r="BB204">
        <v>0</v>
      </c>
      <c r="BC204">
        <v>0</v>
      </c>
      <c r="BD204">
        <v>0</v>
      </c>
      <c r="BE204">
        <v>0</v>
      </c>
      <c r="BF204" t="s">
        <v>1063</v>
      </c>
      <c r="BG204" t="s">
        <v>4148</v>
      </c>
      <c r="BH204">
        <v>8</v>
      </c>
      <c r="BI204" t="s">
        <v>1247</v>
      </c>
      <c r="BK204">
        <v>1869937</v>
      </c>
    </row>
    <row r="205" spans="1:64">
      <c r="A205" s="1">
        <f>HYPERLINK("https://lsnyc.legalserver.org/matter/dynamic-profile/view/1878582","18-1878582")</f>
        <v>0</v>
      </c>
      <c r="B205" t="s">
        <v>3556</v>
      </c>
      <c r="C205" t="s">
        <v>3679</v>
      </c>
      <c r="D205" t="s">
        <v>257</v>
      </c>
      <c r="E205" t="s">
        <v>3683</v>
      </c>
      <c r="F205" t="s">
        <v>273</v>
      </c>
      <c r="G205" t="s">
        <v>275</v>
      </c>
      <c r="H205">
        <v>0</v>
      </c>
      <c r="I205" t="s">
        <v>274</v>
      </c>
      <c r="K205" t="s">
        <v>3708</v>
      </c>
      <c r="M205" t="s">
        <v>471</v>
      </c>
      <c r="N205" t="s">
        <v>325</v>
      </c>
      <c r="P205" t="s">
        <v>492</v>
      </c>
      <c r="Q205" t="s">
        <v>501</v>
      </c>
      <c r="S205" t="s">
        <v>503</v>
      </c>
      <c r="T205" t="s">
        <v>508</v>
      </c>
      <c r="U205" t="s">
        <v>511</v>
      </c>
      <c r="V205">
        <v>10452</v>
      </c>
      <c r="W205" t="s">
        <v>518</v>
      </c>
      <c r="X205" t="s">
        <v>548</v>
      </c>
      <c r="Y205" t="s">
        <v>275</v>
      </c>
      <c r="Z205" t="s">
        <v>3815</v>
      </c>
      <c r="AA205" t="s">
        <v>3960</v>
      </c>
      <c r="AB205" t="s">
        <v>902</v>
      </c>
      <c r="AC205" t="s">
        <v>905</v>
      </c>
      <c r="AF205" t="s">
        <v>926</v>
      </c>
      <c r="AI205">
        <v>2.7</v>
      </c>
      <c r="AJ205" t="s">
        <v>931</v>
      </c>
      <c r="AK205" t="s">
        <v>934</v>
      </c>
      <c r="AL205" t="s">
        <v>274</v>
      </c>
      <c r="AM205" t="s">
        <v>973</v>
      </c>
      <c r="AN205" t="s">
        <v>1721</v>
      </c>
      <c r="AT205">
        <v>2</v>
      </c>
      <c r="AU205">
        <v>1</v>
      </c>
      <c r="AV205" t="s">
        <v>273</v>
      </c>
      <c r="AY205" t="s">
        <v>273</v>
      </c>
      <c r="BB205">
        <v>0</v>
      </c>
      <c r="BC205">
        <v>0</v>
      </c>
      <c r="BD205">
        <v>0</v>
      </c>
      <c r="BE205">
        <v>0</v>
      </c>
      <c r="BF205" t="s">
        <v>1063</v>
      </c>
      <c r="BG205" t="s">
        <v>4147</v>
      </c>
      <c r="BH205">
        <v>13</v>
      </c>
      <c r="BI205" t="s">
        <v>1247</v>
      </c>
      <c r="BK205">
        <v>1869937</v>
      </c>
    </row>
    <row r="206" spans="1:64">
      <c r="A206" s="1">
        <f>HYPERLINK("https://lsnyc.legalserver.org/matter/dynamic-profile/view/1878330","18-1878330")</f>
        <v>0</v>
      </c>
      <c r="B206" t="s">
        <v>3543</v>
      </c>
      <c r="C206" t="s">
        <v>3679</v>
      </c>
      <c r="D206" t="s">
        <v>257</v>
      </c>
      <c r="E206" t="s">
        <v>3685</v>
      </c>
      <c r="F206" t="s">
        <v>273</v>
      </c>
      <c r="G206" t="s">
        <v>275</v>
      </c>
      <c r="H206">
        <v>14.58</v>
      </c>
      <c r="I206" t="s">
        <v>274</v>
      </c>
      <c r="K206" t="s">
        <v>3709</v>
      </c>
      <c r="M206" t="s">
        <v>474</v>
      </c>
      <c r="O206" t="s">
        <v>275</v>
      </c>
      <c r="P206" t="s">
        <v>492</v>
      </c>
      <c r="Q206" t="s">
        <v>501</v>
      </c>
      <c r="S206" t="s">
        <v>503</v>
      </c>
      <c r="T206" t="s">
        <v>508</v>
      </c>
      <c r="U206" t="s">
        <v>511</v>
      </c>
      <c r="V206">
        <v>10454</v>
      </c>
      <c r="W206" t="s">
        <v>519</v>
      </c>
      <c r="X206" t="s">
        <v>548</v>
      </c>
      <c r="Y206" t="s">
        <v>275</v>
      </c>
      <c r="Z206" t="s">
        <v>3807</v>
      </c>
      <c r="AA206" t="s">
        <v>3948</v>
      </c>
      <c r="AB206" t="s">
        <v>902</v>
      </c>
      <c r="AC206" t="s">
        <v>905</v>
      </c>
      <c r="AF206" t="s">
        <v>926</v>
      </c>
      <c r="AI206">
        <v>25.71</v>
      </c>
      <c r="AJ206" t="s">
        <v>558</v>
      </c>
      <c r="AK206" t="s">
        <v>934</v>
      </c>
      <c r="AL206" t="s">
        <v>274</v>
      </c>
      <c r="AT206">
        <v>1</v>
      </c>
      <c r="AU206">
        <v>1</v>
      </c>
      <c r="AV206" t="s">
        <v>273</v>
      </c>
      <c r="AY206" t="s">
        <v>273</v>
      </c>
      <c r="BB206">
        <v>0</v>
      </c>
      <c r="BC206">
        <v>0</v>
      </c>
      <c r="BD206">
        <v>0</v>
      </c>
      <c r="BE206">
        <v>0</v>
      </c>
      <c r="BF206" t="s">
        <v>1063</v>
      </c>
      <c r="BG206" t="s">
        <v>4134</v>
      </c>
      <c r="BH206">
        <v>32</v>
      </c>
      <c r="BI206" t="s">
        <v>1291</v>
      </c>
      <c r="BK206">
        <v>1878945</v>
      </c>
    </row>
    <row r="207" spans="1:64">
      <c r="A207" s="1">
        <f>HYPERLINK("https://lsnyc.legalserver.org/matter/dynamic-profile/view/1877942","18-1877942")</f>
        <v>0</v>
      </c>
      <c r="B207" t="s">
        <v>3613</v>
      </c>
      <c r="C207" t="s">
        <v>3679</v>
      </c>
      <c r="D207" t="s">
        <v>257</v>
      </c>
      <c r="E207" t="s">
        <v>3686</v>
      </c>
      <c r="F207" t="s">
        <v>273</v>
      </c>
      <c r="G207" t="s">
        <v>275</v>
      </c>
      <c r="H207">
        <v>0</v>
      </c>
      <c r="K207" t="s">
        <v>3278</v>
      </c>
      <c r="P207" t="s">
        <v>492</v>
      </c>
      <c r="Q207" t="s">
        <v>501</v>
      </c>
      <c r="S207" t="s">
        <v>503</v>
      </c>
      <c r="T207" t="s">
        <v>507</v>
      </c>
      <c r="U207" t="s">
        <v>511</v>
      </c>
      <c r="V207">
        <v>10459</v>
      </c>
      <c r="W207" t="s">
        <v>519</v>
      </c>
      <c r="X207" t="s">
        <v>1838</v>
      </c>
      <c r="Z207" t="s">
        <v>3858</v>
      </c>
      <c r="AA207" t="s">
        <v>3095</v>
      </c>
      <c r="AB207" t="s">
        <v>902</v>
      </c>
      <c r="AC207" t="s">
        <v>905</v>
      </c>
      <c r="AF207" t="s">
        <v>926</v>
      </c>
      <c r="AI207">
        <v>15.5</v>
      </c>
      <c r="AJ207" t="s">
        <v>558</v>
      </c>
      <c r="AK207" t="s">
        <v>4059</v>
      </c>
      <c r="AT207">
        <v>0</v>
      </c>
      <c r="AU207">
        <v>1</v>
      </c>
      <c r="AV207" t="s">
        <v>273</v>
      </c>
      <c r="AY207" t="s">
        <v>273</v>
      </c>
      <c r="BB207">
        <v>0</v>
      </c>
      <c r="BC207">
        <v>0</v>
      </c>
      <c r="BD207">
        <v>0</v>
      </c>
      <c r="BE207">
        <v>0</v>
      </c>
      <c r="BF207" t="s">
        <v>1063</v>
      </c>
      <c r="BG207" t="s">
        <v>4200</v>
      </c>
      <c r="BH207">
        <v>22</v>
      </c>
      <c r="BI207" t="s">
        <v>1247</v>
      </c>
      <c r="BK207">
        <v>1878556</v>
      </c>
    </row>
    <row r="208" spans="1:64">
      <c r="A208" s="1">
        <f>HYPERLINK("https://lsnyc.legalserver.org/matter/dynamic-profile/view/1876874","18-1876874")</f>
        <v>0</v>
      </c>
      <c r="B208" t="s">
        <v>3614</v>
      </c>
      <c r="C208" t="s">
        <v>3679</v>
      </c>
      <c r="D208" t="s">
        <v>257</v>
      </c>
      <c r="E208" t="s">
        <v>3684</v>
      </c>
      <c r="F208" t="s">
        <v>273</v>
      </c>
      <c r="G208" t="s">
        <v>275</v>
      </c>
      <c r="H208">
        <v>99.93000000000001</v>
      </c>
      <c r="I208" t="s">
        <v>274</v>
      </c>
      <c r="K208" t="s">
        <v>1006</v>
      </c>
      <c r="P208" t="s">
        <v>492</v>
      </c>
      <c r="Q208" t="s">
        <v>501</v>
      </c>
      <c r="S208" t="s">
        <v>503</v>
      </c>
      <c r="T208" t="s">
        <v>508</v>
      </c>
      <c r="U208" t="s">
        <v>511</v>
      </c>
      <c r="V208">
        <v>10472</v>
      </c>
      <c r="W208" t="s">
        <v>542</v>
      </c>
      <c r="X208" t="s">
        <v>548</v>
      </c>
      <c r="Y208" t="s">
        <v>275</v>
      </c>
      <c r="Z208" t="s">
        <v>584</v>
      </c>
      <c r="AA208" t="s">
        <v>4007</v>
      </c>
      <c r="AB208" t="s">
        <v>902</v>
      </c>
      <c r="AC208" t="s">
        <v>906</v>
      </c>
      <c r="AF208" t="s">
        <v>923</v>
      </c>
      <c r="AI208">
        <v>9.17</v>
      </c>
      <c r="AJ208" t="s">
        <v>558</v>
      </c>
      <c r="AK208" t="s">
        <v>949</v>
      </c>
      <c r="AL208" t="s">
        <v>274</v>
      </c>
      <c r="AM208" t="s">
        <v>973</v>
      </c>
      <c r="AN208" t="s">
        <v>1031</v>
      </c>
      <c r="AT208">
        <v>4</v>
      </c>
      <c r="AU208">
        <v>1</v>
      </c>
      <c r="AV208" t="s">
        <v>273</v>
      </c>
      <c r="AY208" t="s">
        <v>273</v>
      </c>
      <c r="BB208">
        <v>0</v>
      </c>
      <c r="BC208">
        <v>0</v>
      </c>
      <c r="BD208">
        <v>0</v>
      </c>
      <c r="BE208">
        <v>0</v>
      </c>
      <c r="BF208" t="s">
        <v>1063</v>
      </c>
      <c r="BG208" t="s">
        <v>4201</v>
      </c>
      <c r="BH208">
        <v>35</v>
      </c>
      <c r="BI208" t="s">
        <v>4267</v>
      </c>
      <c r="BK208">
        <v>749555</v>
      </c>
      <c r="BL208" t="s">
        <v>275</v>
      </c>
    </row>
    <row r="209" spans="1:64">
      <c r="A209" s="1">
        <f>HYPERLINK("https://lsnyc.legalserver.org/matter/dynamic-profile/view/1874967","18-1874967")</f>
        <v>0</v>
      </c>
      <c r="B209" t="s">
        <v>3596</v>
      </c>
      <c r="C209" t="s">
        <v>3679</v>
      </c>
      <c r="D209" t="s">
        <v>257</v>
      </c>
      <c r="E209" t="s">
        <v>3683</v>
      </c>
      <c r="F209" t="s">
        <v>273</v>
      </c>
      <c r="G209" t="s">
        <v>275</v>
      </c>
      <c r="H209">
        <v>123.73</v>
      </c>
      <c r="I209" t="s">
        <v>274</v>
      </c>
      <c r="K209" t="s">
        <v>382</v>
      </c>
      <c r="M209" t="s">
        <v>473</v>
      </c>
      <c r="N209" t="s">
        <v>2985</v>
      </c>
      <c r="O209" t="s">
        <v>274</v>
      </c>
      <c r="P209" t="s">
        <v>492</v>
      </c>
      <c r="Q209" t="s">
        <v>501</v>
      </c>
      <c r="S209" t="s">
        <v>503</v>
      </c>
      <c r="T209" t="s">
        <v>508</v>
      </c>
      <c r="U209" t="s">
        <v>511</v>
      </c>
      <c r="V209">
        <v>10454</v>
      </c>
      <c r="W209" t="s">
        <v>1832</v>
      </c>
      <c r="X209" t="s">
        <v>548</v>
      </c>
      <c r="Y209" t="s">
        <v>275</v>
      </c>
      <c r="Z209" t="s">
        <v>3843</v>
      </c>
      <c r="AA209" t="s">
        <v>3993</v>
      </c>
      <c r="AB209" t="s">
        <v>902</v>
      </c>
      <c r="AC209" t="s">
        <v>906</v>
      </c>
      <c r="AD209" t="s">
        <v>275</v>
      </c>
      <c r="AF209" t="s">
        <v>926</v>
      </c>
      <c r="AI209">
        <v>21.35</v>
      </c>
      <c r="AJ209" t="s">
        <v>558</v>
      </c>
      <c r="AK209" t="s">
        <v>933</v>
      </c>
      <c r="AL209" t="s">
        <v>274</v>
      </c>
      <c r="AM209" t="s">
        <v>973</v>
      </c>
      <c r="AN209" t="s">
        <v>3274</v>
      </c>
      <c r="AT209">
        <v>3</v>
      </c>
      <c r="AU209">
        <v>2</v>
      </c>
      <c r="AV209" t="s">
        <v>273</v>
      </c>
      <c r="AY209" t="s">
        <v>273</v>
      </c>
      <c r="BB209">
        <v>0</v>
      </c>
      <c r="BC209">
        <v>0</v>
      </c>
      <c r="BD209">
        <v>0</v>
      </c>
      <c r="BE209">
        <v>0</v>
      </c>
      <c r="BF209" t="s">
        <v>1063</v>
      </c>
      <c r="BG209" t="s">
        <v>4184</v>
      </c>
      <c r="BH209">
        <v>36</v>
      </c>
      <c r="BI209" t="s">
        <v>1317</v>
      </c>
      <c r="BK209">
        <v>1871259</v>
      </c>
    </row>
    <row r="210" spans="1:64">
      <c r="A210" s="1">
        <f>HYPERLINK("https://lsnyc.legalserver.org/matter/dynamic-profile/view/1874959","18-1874959")</f>
        <v>0</v>
      </c>
      <c r="B210" t="s">
        <v>3615</v>
      </c>
      <c r="C210" t="s">
        <v>3679</v>
      </c>
      <c r="D210" t="s">
        <v>257</v>
      </c>
      <c r="E210" t="s">
        <v>3685</v>
      </c>
      <c r="F210" t="s">
        <v>273</v>
      </c>
      <c r="G210" t="s">
        <v>275</v>
      </c>
      <c r="H210">
        <v>100.1</v>
      </c>
      <c r="I210" t="s">
        <v>274</v>
      </c>
      <c r="K210" t="s">
        <v>383</v>
      </c>
      <c r="P210" t="s">
        <v>496</v>
      </c>
      <c r="Q210" t="s">
        <v>501</v>
      </c>
      <c r="S210" t="s">
        <v>503</v>
      </c>
      <c r="T210" t="s">
        <v>508</v>
      </c>
      <c r="U210" t="s">
        <v>511</v>
      </c>
      <c r="V210">
        <v>10453</v>
      </c>
      <c r="W210" t="s">
        <v>516</v>
      </c>
      <c r="X210" t="s">
        <v>549</v>
      </c>
      <c r="Z210" t="s">
        <v>3859</v>
      </c>
      <c r="AA210" t="s">
        <v>4008</v>
      </c>
      <c r="AB210" t="s">
        <v>902</v>
      </c>
      <c r="AC210" t="s">
        <v>905</v>
      </c>
      <c r="AF210" t="s">
        <v>923</v>
      </c>
      <c r="AI210">
        <v>15.75</v>
      </c>
      <c r="AK210" t="s">
        <v>939</v>
      </c>
      <c r="AT210">
        <v>1</v>
      </c>
      <c r="AU210">
        <v>2</v>
      </c>
      <c r="AV210" t="s">
        <v>273</v>
      </c>
      <c r="AY210" t="s">
        <v>273</v>
      </c>
      <c r="BB210">
        <v>0</v>
      </c>
      <c r="BC210">
        <v>0</v>
      </c>
      <c r="BD210">
        <v>0</v>
      </c>
      <c r="BE210">
        <v>0</v>
      </c>
      <c r="BF210" t="s">
        <v>1063</v>
      </c>
      <c r="BG210" t="s">
        <v>2705</v>
      </c>
      <c r="BH210">
        <v>35</v>
      </c>
      <c r="BI210" t="s">
        <v>1261</v>
      </c>
      <c r="BK210">
        <v>1868557</v>
      </c>
    </row>
    <row r="211" spans="1:64">
      <c r="A211" s="1">
        <f>HYPERLINK("https://lsnyc.legalserver.org/matter/dynamic-profile/view/1874772","18-1874772")</f>
        <v>0</v>
      </c>
      <c r="B211" t="s">
        <v>3616</v>
      </c>
      <c r="C211" t="s">
        <v>3679</v>
      </c>
      <c r="D211" t="s">
        <v>257</v>
      </c>
      <c r="E211" t="s">
        <v>3684</v>
      </c>
      <c r="F211" t="s">
        <v>273</v>
      </c>
      <c r="G211" t="s">
        <v>275</v>
      </c>
      <c r="H211">
        <v>84.02</v>
      </c>
      <c r="I211" t="s">
        <v>275</v>
      </c>
      <c r="K211" t="s">
        <v>2996</v>
      </c>
      <c r="O211" t="s">
        <v>274</v>
      </c>
      <c r="P211" t="s">
        <v>495</v>
      </c>
      <c r="Q211" t="s">
        <v>501</v>
      </c>
      <c r="S211" t="s">
        <v>503</v>
      </c>
      <c r="T211" t="s">
        <v>508</v>
      </c>
      <c r="U211" t="s">
        <v>511</v>
      </c>
      <c r="V211">
        <v>10453</v>
      </c>
      <c r="W211" t="s">
        <v>524</v>
      </c>
      <c r="X211" t="s">
        <v>548</v>
      </c>
      <c r="Y211" t="s">
        <v>275</v>
      </c>
      <c r="Z211" t="s">
        <v>3860</v>
      </c>
      <c r="AA211" t="s">
        <v>875</v>
      </c>
      <c r="AB211" t="s">
        <v>902</v>
      </c>
      <c r="AC211" t="s">
        <v>909</v>
      </c>
      <c r="AF211" t="s">
        <v>923</v>
      </c>
      <c r="AI211">
        <v>12.35</v>
      </c>
      <c r="AK211" t="s">
        <v>950</v>
      </c>
      <c r="AL211" t="s">
        <v>275</v>
      </c>
      <c r="AM211" t="s">
        <v>976</v>
      </c>
      <c r="AN211" t="s">
        <v>1021</v>
      </c>
      <c r="AT211">
        <v>2</v>
      </c>
      <c r="AU211">
        <v>3</v>
      </c>
      <c r="AV211" t="s">
        <v>273</v>
      </c>
      <c r="AY211" t="s">
        <v>273</v>
      </c>
      <c r="BB211">
        <v>0</v>
      </c>
      <c r="BC211">
        <v>0</v>
      </c>
      <c r="BD211">
        <v>0</v>
      </c>
      <c r="BE211">
        <v>0</v>
      </c>
      <c r="BF211" t="s">
        <v>1063</v>
      </c>
      <c r="BG211" t="s">
        <v>4202</v>
      </c>
      <c r="BH211">
        <v>48</v>
      </c>
      <c r="BI211" t="s">
        <v>4268</v>
      </c>
      <c r="BK211">
        <v>799597</v>
      </c>
      <c r="BL211" t="s">
        <v>275</v>
      </c>
    </row>
    <row r="212" spans="1:64">
      <c r="A212" s="1">
        <f>HYPERLINK("https://lsnyc.legalserver.org/matter/dynamic-profile/view/1875958","18-1875958")</f>
        <v>0</v>
      </c>
      <c r="B212" t="s">
        <v>3617</v>
      </c>
      <c r="C212" t="s">
        <v>3679</v>
      </c>
      <c r="D212" t="s">
        <v>257</v>
      </c>
      <c r="E212" t="s">
        <v>3687</v>
      </c>
      <c r="F212" t="s">
        <v>273</v>
      </c>
      <c r="G212" t="s">
        <v>275</v>
      </c>
      <c r="H212">
        <v>9.75</v>
      </c>
      <c r="I212" t="s">
        <v>274</v>
      </c>
      <c r="K212" t="s">
        <v>2394</v>
      </c>
      <c r="O212" t="s">
        <v>274</v>
      </c>
      <c r="P212" t="s">
        <v>496</v>
      </c>
      <c r="Q212" t="s">
        <v>501</v>
      </c>
      <c r="S212" t="s">
        <v>503</v>
      </c>
      <c r="T212" t="s">
        <v>508</v>
      </c>
      <c r="U212" t="s">
        <v>511</v>
      </c>
      <c r="V212">
        <v>10473</v>
      </c>
      <c r="W212" t="s">
        <v>1831</v>
      </c>
      <c r="X212" t="s">
        <v>549</v>
      </c>
      <c r="Y212" t="s">
        <v>275</v>
      </c>
      <c r="Z212" t="s">
        <v>3861</v>
      </c>
      <c r="AA212" t="s">
        <v>2350</v>
      </c>
      <c r="AB212" t="s">
        <v>903</v>
      </c>
      <c r="AF212" t="s">
        <v>923</v>
      </c>
      <c r="AI212">
        <v>3.5</v>
      </c>
      <c r="AJ212" t="s">
        <v>558</v>
      </c>
      <c r="AK212" t="s">
        <v>960</v>
      </c>
      <c r="AT212">
        <v>3</v>
      </c>
      <c r="AU212">
        <v>1</v>
      </c>
      <c r="AV212" t="s">
        <v>273</v>
      </c>
      <c r="AY212" t="s">
        <v>273</v>
      </c>
      <c r="BB212">
        <v>0</v>
      </c>
      <c r="BC212">
        <v>0</v>
      </c>
      <c r="BD212">
        <v>0</v>
      </c>
      <c r="BE212">
        <v>0</v>
      </c>
      <c r="BF212" t="s">
        <v>1063</v>
      </c>
      <c r="BG212" t="s">
        <v>2446</v>
      </c>
      <c r="BH212">
        <v>47</v>
      </c>
      <c r="BI212" t="s">
        <v>4269</v>
      </c>
      <c r="BK212">
        <v>1860387</v>
      </c>
    </row>
    <row r="213" spans="1:64">
      <c r="A213" s="1">
        <f>HYPERLINK("https://lsnyc.legalserver.org/matter/dynamic-profile/view/1874268","18-1874268")</f>
        <v>0</v>
      </c>
      <c r="B213" t="s">
        <v>3618</v>
      </c>
      <c r="C213" t="s">
        <v>3679</v>
      </c>
      <c r="D213" t="s">
        <v>257</v>
      </c>
      <c r="E213" t="s">
        <v>3683</v>
      </c>
      <c r="F213" t="s">
        <v>273</v>
      </c>
      <c r="G213" t="s">
        <v>275</v>
      </c>
      <c r="H213">
        <v>120.05</v>
      </c>
      <c r="I213" t="s">
        <v>274</v>
      </c>
      <c r="K213" t="s">
        <v>1736</v>
      </c>
      <c r="O213" t="s">
        <v>274</v>
      </c>
      <c r="P213" t="s">
        <v>492</v>
      </c>
      <c r="Q213" t="s">
        <v>501</v>
      </c>
      <c r="S213" t="s">
        <v>503</v>
      </c>
      <c r="T213" t="s">
        <v>508</v>
      </c>
      <c r="U213" t="s">
        <v>511</v>
      </c>
      <c r="V213">
        <v>10457</v>
      </c>
      <c r="W213" t="s">
        <v>3754</v>
      </c>
      <c r="X213" t="s">
        <v>548</v>
      </c>
      <c r="Y213" t="s">
        <v>275</v>
      </c>
      <c r="Z213" t="s">
        <v>3862</v>
      </c>
      <c r="AA213" t="s">
        <v>4009</v>
      </c>
      <c r="AB213" t="s">
        <v>902</v>
      </c>
      <c r="AC213" t="s">
        <v>905</v>
      </c>
      <c r="AD213" t="s">
        <v>274</v>
      </c>
      <c r="AF213" t="s">
        <v>923</v>
      </c>
      <c r="AI213">
        <v>20.85</v>
      </c>
      <c r="AJ213" t="s">
        <v>558</v>
      </c>
      <c r="AK213" t="s">
        <v>933</v>
      </c>
      <c r="AL213" t="s">
        <v>274</v>
      </c>
      <c r="AT213">
        <v>1</v>
      </c>
      <c r="AU213">
        <v>1</v>
      </c>
      <c r="AV213" t="s">
        <v>273</v>
      </c>
      <c r="AY213" t="s">
        <v>273</v>
      </c>
      <c r="BB213">
        <v>0</v>
      </c>
      <c r="BC213">
        <v>0</v>
      </c>
      <c r="BD213">
        <v>0</v>
      </c>
      <c r="BE213">
        <v>0</v>
      </c>
      <c r="BF213" t="s">
        <v>1063</v>
      </c>
      <c r="BG213" t="s">
        <v>4203</v>
      </c>
      <c r="BH213">
        <v>26</v>
      </c>
      <c r="BI213" t="s">
        <v>4270</v>
      </c>
      <c r="BK213">
        <v>1874872</v>
      </c>
    </row>
    <row r="214" spans="1:64">
      <c r="A214" s="1">
        <f>HYPERLINK("https://lsnyc.legalserver.org/matter/dynamic-profile/view/1873756","18-1873756")</f>
        <v>0</v>
      </c>
      <c r="B214" t="s">
        <v>3564</v>
      </c>
      <c r="C214" t="s">
        <v>3679</v>
      </c>
      <c r="D214" t="s">
        <v>257</v>
      </c>
      <c r="E214" t="s">
        <v>3686</v>
      </c>
      <c r="F214" t="s">
        <v>273</v>
      </c>
      <c r="G214" t="s">
        <v>275</v>
      </c>
      <c r="H214">
        <v>51.97</v>
      </c>
      <c r="I214" t="s">
        <v>274</v>
      </c>
      <c r="K214" t="s">
        <v>3710</v>
      </c>
      <c r="P214" t="s">
        <v>492</v>
      </c>
      <c r="Q214" t="s">
        <v>501</v>
      </c>
      <c r="S214" t="s">
        <v>503</v>
      </c>
      <c r="T214" t="s">
        <v>508</v>
      </c>
      <c r="U214" t="s">
        <v>511</v>
      </c>
      <c r="V214">
        <v>10451</v>
      </c>
      <c r="W214" t="s">
        <v>521</v>
      </c>
      <c r="X214" t="s">
        <v>548</v>
      </c>
      <c r="Z214" t="s">
        <v>3822</v>
      </c>
      <c r="AA214" t="s">
        <v>3966</v>
      </c>
      <c r="AB214" t="s">
        <v>902</v>
      </c>
      <c r="AC214" t="s">
        <v>910</v>
      </c>
      <c r="AF214" t="s">
        <v>923</v>
      </c>
      <c r="AI214">
        <v>38.6</v>
      </c>
      <c r="AK214" t="s">
        <v>934</v>
      </c>
      <c r="AL214" t="s">
        <v>274</v>
      </c>
      <c r="AT214">
        <v>2</v>
      </c>
      <c r="AU214">
        <v>1</v>
      </c>
      <c r="AV214" t="s">
        <v>273</v>
      </c>
      <c r="AY214" t="s">
        <v>273</v>
      </c>
      <c r="BB214">
        <v>0</v>
      </c>
      <c r="BC214">
        <v>0</v>
      </c>
      <c r="BD214">
        <v>0</v>
      </c>
      <c r="BE214">
        <v>0</v>
      </c>
      <c r="BF214" t="s">
        <v>1063</v>
      </c>
      <c r="BG214" t="s">
        <v>4153</v>
      </c>
      <c r="BH214">
        <v>26</v>
      </c>
      <c r="BI214" t="s">
        <v>2730</v>
      </c>
      <c r="BK214">
        <v>789401</v>
      </c>
    </row>
    <row r="215" spans="1:64">
      <c r="A215" s="1">
        <f>HYPERLINK("https://lsnyc.legalserver.org/matter/dynamic-profile/view/1873490","18-1873490")</f>
        <v>0</v>
      </c>
      <c r="B215" t="s">
        <v>3619</v>
      </c>
      <c r="C215" t="s">
        <v>3679</v>
      </c>
      <c r="D215" t="s">
        <v>257</v>
      </c>
      <c r="E215" t="s">
        <v>3686</v>
      </c>
      <c r="F215" t="s">
        <v>273</v>
      </c>
      <c r="G215" t="s">
        <v>275</v>
      </c>
      <c r="H215">
        <v>0</v>
      </c>
      <c r="K215" t="s">
        <v>388</v>
      </c>
      <c r="O215" t="s">
        <v>274</v>
      </c>
      <c r="P215" t="s">
        <v>492</v>
      </c>
      <c r="Q215" t="s">
        <v>501</v>
      </c>
      <c r="S215" t="s">
        <v>506</v>
      </c>
      <c r="T215" t="s">
        <v>508</v>
      </c>
      <c r="U215" t="s">
        <v>1821</v>
      </c>
      <c r="V215">
        <v>10453</v>
      </c>
      <c r="W215" t="s">
        <v>1828</v>
      </c>
      <c r="X215" t="s">
        <v>548</v>
      </c>
      <c r="Z215" t="s">
        <v>3781</v>
      </c>
      <c r="AA215" t="s">
        <v>4010</v>
      </c>
      <c r="AB215" t="s">
        <v>902</v>
      </c>
      <c r="AC215" t="s">
        <v>905</v>
      </c>
      <c r="AF215" t="s">
        <v>924</v>
      </c>
      <c r="AI215">
        <v>23</v>
      </c>
      <c r="AK215" t="s">
        <v>934</v>
      </c>
      <c r="AT215">
        <v>1</v>
      </c>
      <c r="AU215">
        <v>1</v>
      </c>
      <c r="AV215" t="s">
        <v>273</v>
      </c>
      <c r="AY215" t="s">
        <v>273</v>
      </c>
      <c r="BB215">
        <v>0</v>
      </c>
      <c r="BC215">
        <v>0</v>
      </c>
      <c r="BD215">
        <v>0</v>
      </c>
      <c r="BE215">
        <v>0</v>
      </c>
      <c r="BF215" t="s">
        <v>1063</v>
      </c>
      <c r="BG215" t="s">
        <v>4204</v>
      </c>
      <c r="BH215">
        <v>35</v>
      </c>
      <c r="BI215" t="s">
        <v>1247</v>
      </c>
      <c r="BK215">
        <v>831371</v>
      </c>
    </row>
    <row r="216" spans="1:64">
      <c r="A216" s="1">
        <f>HYPERLINK("https://lsnyc.legalserver.org/matter/dynamic-profile/view/1872512","18-1872512")</f>
        <v>0</v>
      </c>
      <c r="B216" t="s">
        <v>3620</v>
      </c>
      <c r="C216" t="s">
        <v>3679</v>
      </c>
      <c r="D216" t="s">
        <v>257</v>
      </c>
      <c r="E216" t="s">
        <v>3686</v>
      </c>
      <c r="F216" t="s">
        <v>275</v>
      </c>
      <c r="G216" t="s">
        <v>275</v>
      </c>
      <c r="H216">
        <v>0</v>
      </c>
      <c r="K216" t="s">
        <v>392</v>
      </c>
      <c r="L216" t="s">
        <v>278</v>
      </c>
      <c r="P216" t="s">
        <v>493</v>
      </c>
      <c r="Q216" t="s">
        <v>501</v>
      </c>
      <c r="S216" t="s">
        <v>503</v>
      </c>
      <c r="T216" t="s">
        <v>508</v>
      </c>
      <c r="U216" t="s">
        <v>511</v>
      </c>
      <c r="V216">
        <v>10466</v>
      </c>
      <c r="W216" t="s">
        <v>532</v>
      </c>
      <c r="X216" t="s">
        <v>549</v>
      </c>
      <c r="Z216" t="s">
        <v>3863</v>
      </c>
      <c r="AA216" t="s">
        <v>4011</v>
      </c>
      <c r="AB216" t="s">
        <v>902</v>
      </c>
      <c r="AC216" t="s">
        <v>906</v>
      </c>
      <c r="AD216" t="s">
        <v>275</v>
      </c>
      <c r="AE216" t="s">
        <v>920</v>
      </c>
      <c r="AI216">
        <v>4.7</v>
      </c>
      <c r="AQ216" t="s">
        <v>1033</v>
      </c>
      <c r="AR216" t="s">
        <v>1051</v>
      </c>
      <c r="AT216">
        <v>0</v>
      </c>
      <c r="AU216">
        <v>3</v>
      </c>
      <c r="AV216" t="s">
        <v>273</v>
      </c>
      <c r="AY216" t="s">
        <v>273</v>
      </c>
      <c r="BB216">
        <v>0</v>
      </c>
      <c r="BC216">
        <v>0</v>
      </c>
      <c r="BD216">
        <v>0</v>
      </c>
      <c r="BE216">
        <v>0</v>
      </c>
      <c r="BF216" t="s">
        <v>493</v>
      </c>
      <c r="BG216" t="s">
        <v>4205</v>
      </c>
      <c r="BH216">
        <v>24</v>
      </c>
      <c r="BI216" t="s">
        <v>1247</v>
      </c>
      <c r="BK216">
        <v>1873114</v>
      </c>
    </row>
    <row r="217" spans="1:64">
      <c r="A217" s="1">
        <f>HYPERLINK("https://lsnyc.legalserver.org/matter/dynamic-profile/view/1872541","18-1872541")</f>
        <v>0</v>
      </c>
      <c r="B217" t="s">
        <v>3527</v>
      </c>
      <c r="C217" t="s">
        <v>3679</v>
      </c>
      <c r="D217" t="s">
        <v>257</v>
      </c>
      <c r="E217" t="s">
        <v>3684</v>
      </c>
      <c r="F217" t="s">
        <v>273</v>
      </c>
      <c r="G217" t="s">
        <v>275</v>
      </c>
      <c r="H217">
        <v>44.19</v>
      </c>
      <c r="I217" t="s">
        <v>274</v>
      </c>
      <c r="K217" t="s">
        <v>392</v>
      </c>
      <c r="P217" t="s">
        <v>495</v>
      </c>
      <c r="Q217" t="s">
        <v>501</v>
      </c>
      <c r="S217" t="s">
        <v>506</v>
      </c>
      <c r="T217" t="s">
        <v>508</v>
      </c>
      <c r="U217" t="s">
        <v>1821</v>
      </c>
      <c r="V217">
        <v>10454</v>
      </c>
      <c r="W217" t="s">
        <v>1828</v>
      </c>
      <c r="Y217" t="s">
        <v>275</v>
      </c>
      <c r="Z217" t="s">
        <v>3793</v>
      </c>
      <c r="AA217" t="s">
        <v>3935</v>
      </c>
      <c r="AB217" t="s">
        <v>902</v>
      </c>
      <c r="AC217" t="s">
        <v>905</v>
      </c>
      <c r="AF217" t="s">
        <v>924</v>
      </c>
      <c r="AI217">
        <v>15.75</v>
      </c>
      <c r="AK217" t="s">
        <v>934</v>
      </c>
      <c r="AL217" t="s">
        <v>274</v>
      </c>
      <c r="AM217" t="s">
        <v>978</v>
      </c>
      <c r="AN217" t="s">
        <v>2993</v>
      </c>
      <c r="AT217">
        <v>2</v>
      </c>
      <c r="AU217">
        <v>3</v>
      </c>
      <c r="AV217" t="s">
        <v>273</v>
      </c>
      <c r="AY217" t="s">
        <v>273</v>
      </c>
      <c r="BB217">
        <v>0</v>
      </c>
      <c r="BC217">
        <v>0</v>
      </c>
      <c r="BD217">
        <v>0</v>
      </c>
      <c r="BE217">
        <v>0</v>
      </c>
      <c r="BF217" t="s">
        <v>1063</v>
      </c>
      <c r="BG217" t="s">
        <v>4120</v>
      </c>
      <c r="BH217">
        <v>17</v>
      </c>
      <c r="BI217" t="s">
        <v>1264</v>
      </c>
      <c r="BK217">
        <v>1850381</v>
      </c>
      <c r="BL217" t="s">
        <v>274</v>
      </c>
    </row>
    <row r="218" spans="1:64">
      <c r="A218" s="1">
        <f>HYPERLINK("https://lsnyc.legalserver.org/matter/dynamic-profile/view/1872560","18-1872560")</f>
        <v>0</v>
      </c>
      <c r="B218" t="s">
        <v>3524</v>
      </c>
      <c r="C218" t="s">
        <v>3679</v>
      </c>
      <c r="D218" t="s">
        <v>257</v>
      </c>
      <c r="E218" t="s">
        <v>3684</v>
      </c>
      <c r="F218" t="s">
        <v>273</v>
      </c>
      <c r="G218" t="s">
        <v>275</v>
      </c>
      <c r="H218">
        <v>88.38</v>
      </c>
      <c r="I218" t="s">
        <v>274</v>
      </c>
      <c r="K218" t="s">
        <v>392</v>
      </c>
      <c r="P218" t="s">
        <v>495</v>
      </c>
      <c r="Q218" t="s">
        <v>501</v>
      </c>
      <c r="S218" t="s">
        <v>506</v>
      </c>
      <c r="T218" t="s">
        <v>508</v>
      </c>
      <c r="U218" t="s">
        <v>1821</v>
      </c>
      <c r="V218">
        <v>10454</v>
      </c>
      <c r="W218" t="s">
        <v>1828</v>
      </c>
      <c r="Y218" t="s">
        <v>275</v>
      </c>
      <c r="Z218" t="s">
        <v>3791</v>
      </c>
      <c r="AA218" t="s">
        <v>3932</v>
      </c>
      <c r="AB218" t="s">
        <v>902</v>
      </c>
      <c r="AC218" t="s">
        <v>2358</v>
      </c>
      <c r="AF218" t="s">
        <v>924</v>
      </c>
      <c r="AI218">
        <v>17.15</v>
      </c>
      <c r="AJ218" t="s">
        <v>558</v>
      </c>
      <c r="AK218" t="s">
        <v>934</v>
      </c>
      <c r="AL218" t="s">
        <v>274</v>
      </c>
      <c r="AM218" t="s">
        <v>978</v>
      </c>
      <c r="AN218" t="s">
        <v>2992</v>
      </c>
      <c r="AT218">
        <v>2</v>
      </c>
      <c r="AU218">
        <v>3</v>
      </c>
      <c r="AV218" t="s">
        <v>273</v>
      </c>
      <c r="AY218" t="s">
        <v>273</v>
      </c>
      <c r="BB218">
        <v>0</v>
      </c>
      <c r="BC218">
        <v>0</v>
      </c>
      <c r="BD218">
        <v>0</v>
      </c>
      <c r="BE218">
        <v>0</v>
      </c>
      <c r="BF218" t="s">
        <v>1063</v>
      </c>
      <c r="BG218" t="s">
        <v>4117</v>
      </c>
      <c r="BH218">
        <v>4</v>
      </c>
      <c r="BI218" t="s">
        <v>1279</v>
      </c>
      <c r="BK218">
        <v>1850381</v>
      </c>
      <c r="BL218" t="s">
        <v>274</v>
      </c>
    </row>
    <row r="219" spans="1:64">
      <c r="A219" s="1">
        <f>HYPERLINK("https://lsnyc.legalserver.org/matter/dynamic-profile/view/1872564","18-1872564")</f>
        <v>0</v>
      </c>
      <c r="B219" t="s">
        <v>3526</v>
      </c>
      <c r="C219" t="s">
        <v>3679</v>
      </c>
      <c r="D219" t="s">
        <v>257</v>
      </c>
      <c r="E219" t="s">
        <v>3684</v>
      </c>
      <c r="F219" t="s">
        <v>273</v>
      </c>
      <c r="G219" t="s">
        <v>275</v>
      </c>
      <c r="H219">
        <v>44.19</v>
      </c>
      <c r="I219" t="s">
        <v>274</v>
      </c>
      <c r="K219" t="s">
        <v>392</v>
      </c>
      <c r="P219" t="s">
        <v>495</v>
      </c>
      <c r="Q219" t="s">
        <v>501</v>
      </c>
      <c r="S219" t="s">
        <v>506</v>
      </c>
      <c r="T219" t="s">
        <v>508</v>
      </c>
      <c r="U219" t="s">
        <v>1821</v>
      </c>
      <c r="V219">
        <v>10454</v>
      </c>
      <c r="W219" t="s">
        <v>1828</v>
      </c>
      <c r="Y219" t="s">
        <v>275</v>
      </c>
      <c r="Z219" t="s">
        <v>3792</v>
      </c>
      <c r="AA219" t="s">
        <v>3934</v>
      </c>
      <c r="AB219" t="s">
        <v>902</v>
      </c>
      <c r="AC219" t="s">
        <v>905</v>
      </c>
      <c r="AF219" t="s">
        <v>924</v>
      </c>
      <c r="AI219">
        <v>24.05</v>
      </c>
      <c r="AJ219" t="s">
        <v>558</v>
      </c>
      <c r="AK219" t="s">
        <v>934</v>
      </c>
      <c r="AL219" t="s">
        <v>274</v>
      </c>
      <c r="AM219" t="s">
        <v>978</v>
      </c>
      <c r="AN219" t="s">
        <v>2992</v>
      </c>
      <c r="AT219">
        <v>2</v>
      </c>
      <c r="AU219">
        <v>3</v>
      </c>
      <c r="AV219" t="s">
        <v>273</v>
      </c>
      <c r="AY219" t="s">
        <v>273</v>
      </c>
      <c r="BB219">
        <v>0</v>
      </c>
      <c r="BC219">
        <v>0</v>
      </c>
      <c r="BD219">
        <v>0</v>
      </c>
      <c r="BE219">
        <v>0</v>
      </c>
      <c r="BF219" t="s">
        <v>1063</v>
      </c>
      <c r="BG219" t="s">
        <v>4119</v>
      </c>
      <c r="BH219">
        <v>15</v>
      </c>
      <c r="BI219" t="s">
        <v>1264</v>
      </c>
      <c r="BK219">
        <v>1850381</v>
      </c>
      <c r="BL219" t="s">
        <v>274</v>
      </c>
    </row>
    <row r="220" spans="1:64">
      <c r="A220" s="1">
        <f>HYPERLINK("https://lsnyc.legalserver.org/matter/dynamic-profile/view/1871415","18-1871415")</f>
        <v>0</v>
      </c>
      <c r="B220" t="s">
        <v>3621</v>
      </c>
      <c r="C220" t="s">
        <v>3679</v>
      </c>
      <c r="D220" t="s">
        <v>257</v>
      </c>
      <c r="E220" t="s">
        <v>3683</v>
      </c>
      <c r="F220" t="s">
        <v>273</v>
      </c>
      <c r="G220" t="s">
        <v>275</v>
      </c>
      <c r="H220">
        <v>0</v>
      </c>
      <c r="I220" t="s">
        <v>274</v>
      </c>
      <c r="K220" t="s">
        <v>3711</v>
      </c>
      <c r="M220" t="s">
        <v>472</v>
      </c>
      <c r="N220" t="s">
        <v>487</v>
      </c>
      <c r="P220" t="s">
        <v>496</v>
      </c>
      <c r="Q220" t="s">
        <v>501</v>
      </c>
      <c r="S220" t="s">
        <v>503</v>
      </c>
      <c r="T220" t="s">
        <v>508</v>
      </c>
      <c r="U220" t="s">
        <v>511</v>
      </c>
      <c r="V220">
        <v>10455</v>
      </c>
      <c r="W220" t="s">
        <v>541</v>
      </c>
      <c r="X220" t="s">
        <v>548</v>
      </c>
      <c r="Y220" t="s">
        <v>275</v>
      </c>
      <c r="Z220" t="s">
        <v>3864</v>
      </c>
      <c r="AA220" t="s">
        <v>2351</v>
      </c>
      <c r="AB220" t="s">
        <v>902</v>
      </c>
      <c r="AC220" t="s">
        <v>910</v>
      </c>
      <c r="AF220" t="s">
        <v>923</v>
      </c>
      <c r="AI220">
        <v>7.5</v>
      </c>
      <c r="AJ220" t="s">
        <v>558</v>
      </c>
      <c r="AK220" t="s">
        <v>934</v>
      </c>
      <c r="AL220" t="s">
        <v>274</v>
      </c>
      <c r="AM220" t="s">
        <v>973</v>
      </c>
      <c r="AN220" t="s">
        <v>4062</v>
      </c>
      <c r="AT220">
        <v>1</v>
      </c>
      <c r="AU220">
        <v>1</v>
      </c>
      <c r="AV220" t="s">
        <v>273</v>
      </c>
      <c r="AY220" t="s">
        <v>273</v>
      </c>
      <c r="BB220">
        <v>0</v>
      </c>
      <c r="BC220">
        <v>0</v>
      </c>
      <c r="BD220">
        <v>0</v>
      </c>
      <c r="BE220">
        <v>0</v>
      </c>
      <c r="BF220" t="s">
        <v>1063</v>
      </c>
      <c r="BG220" t="s">
        <v>2618</v>
      </c>
      <c r="BH220">
        <v>29</v>
      </c>
      <c r="BI220" t="s">
        <v>1247</v>
      </c>
      <c r="BK220">
        <v>827580</v>
      </c>
    </row>
    <row r="221" spans="1:64">
      <c r="A221" s="1">
        <f>HYPERLINK("https://lsnyc.legalserver.org/matter/dynamic-profile/view/1870082","18-1870082")</f>
        <v>0</v>
      </c>
      <c r="B221" t="s">
        <v>3622</v>
      </c>
      <c r="C221" t="s">
        <v>3679</v>
      </c>
      <c r="D221" t="s">
        <v>257</v>
      </c>
      <c r="E221" t="s">
        <v>3686</v>
      </c>
      <c r="F221" t="s">
        <v>273</v>
      </c>
      <c r="G221" t="s">
        <v>275</v>
      </c>
      <c r="H221">
        <v>0</v>
      </c>
      <c r="K221" t="s">
        <v>395</v>
      </c>
      <c r="P221" t="s">
        <v>492</v>
      </c>
      <c r="Q221" t="s">
        <v>501</v>
      </c>
      <c r="S221" t="s">
        <v>503</v>
      </c>
      <c r="T221" t="s">
        <v>508</v>
      </c>
      <c r="U221" t="s">
        <v>511</v>
      </c>
      <c r="V221">
        <v>10459</v>
      </c>
      <c r="W221" t="s">
        <v>1829</v>
      </c>
      <c r="Y221" t="s">
        <v>275</v>
      </c>
      <c r="Z221" t="s">
        <v>3865</v>
      </c>
      <c r="AA221" t="s">
        <v>4012</v>
      </c>
      <c r="AB221" t="s">
        <v>902</v>
      </c>
      <c r="AC221" t="s">
        <v>905</v>
      </c>
      <c r="AF221" t="s">
        <v>923</v>
      </c>
      <c r="AI221">
        <v>61</v>
      </c>
      <c r="AJ221" t="s">
        <v>558</v>
      </c>
      <c r="AK221" t="s">
        <v>950</v>
      </c>
      <c r="AL221" t="s">
        <v>275</v>
      </c>
      <c r="AM221" t="s">
        <v>975</v>
      </c>
      <c r="AO221" t="s">
        <v>973</v>
      </c>
      <c r="AT221">
        <v>0</v>
      </c>
      <c r="AU221">
        <v>1</v>
      </c>
      <c r="AV221" t="s">
        <v>273</v>
      </c>
      <c r="AY221" t="s">
        <v>273</v>
      </c>
      <c r="BB221">
        <v>0</v>
      </c>
      <c r="BC221">
        <v>0</v>
      </c>
      <c r="BD221">
        <v>0</v>
      </c>
      <c r="BE221">
        <v>0</v>
      </c>
      <c r="BF221" t="s">
        <v>1063</v>
      </c>
      <c r="BG221" t="s">
        <v>4206</v>
      </c>
      <c r="BH221">
        <v>57</v>
      </c>
      <c r="BI221" t="s">
        <v>1247</v>
      </c>
      <c r="BK221">
        <v>1870682</v>
      </c>
    </row>
    <row r="222" spans="1:64">
      <c r="A222" s="1">
        <f>HYPERLINK("https://lsnyc.legalserver.org/matter/dynamic-profile/view/1869338","18-1869338")</f>
        <v>0</v>
      </c>
      <c r="B222" t="s">
        <v>3623</v>
      </c>
      <c r="C222" t="s">
        <v>3679</v>
      </c>
      <c r="D222" t="s">
        <v>257</v>
      </c>
      <c r="E222" t="s">
        <v>3683</v>
      </c>
      <c r="F222" t="s">
        <v>273</v>
      </c>
      <c r="G222" t="s">
        <v>275</v>
      </c>
      <c r="H222">
        <v>0</v>
      </c>
      <c r="I222" t="s">
        <v>274</v>
      </c>
      <c r="K222" t="s">
        <v>396</v>
      </c>
      <c r="O222" t="s">
        <v>274</v>
      </c>
      <c r="P222" t="s">
        <v>492</v>
      </c>
      <c r="Q222" t="s">
        <v>501</v>
      </c>
      <c r="S222" t="s">
        <v>503</v>
      </c>
      <c r="T222" t="s">
        <v>508</v>
      </c>
      <c r="U222" t="s">
        <v>511</v>
      </c>
      <c r="V222">
        <v>10452</v>
      </c>
      <c r="W222" t="s">
        <v>518</v>
      </c>
      <c r="X222" t="s">
        <v>548</v>
      </c>
      <c r="Y222" t="s">
        <v>275</v>
      </c>
      <c r="Z222" t="s">
        <v>1937</v>
      </c>
      <c r="AA222" t="s">
        <v>4013</v>
      </c>
      <c r="AB222" t="s">
        <v>902</v>
      </c>
      <c r="AC222" t="s">
        <v>905</v>
      </c>
      <c r="AD222" t="s">
        <v>274</v>
      </c>
      <c r="AF222" t="s">
        <v>926</v>
      </c>
      <c r="AI222">
        <v>28.9</v>
      </c>
      <c r="AJ222" t="s">
        <v>558</v>
      </c>
      <c r="AK222" t="s">
        <v>934</v>
      </c>
      <c r="AL222" t="s">
        <v>274</v>
      </c>
      <c r="AM222" t="s">
        <v>973</v>
      </c>
      <c r="AN222" t="s">
        <v>1721</v>
      </c>
      <c r="AT222">
        <v>2</v>
      </c>
      <c r="AU222">
        <v>1</v>
      </c>
      <c r="AV222" t="s">
        <v>273</v>
      </c>
      <c r="AY222" t="s">
        <v>273</v>
      </c>
      <c r="BB222">
        <v>0</v>
      </c>
      <c r="BC222">
        <v>0</v>
      </c>
      <c r="BD222">
        <v>0</v>
      </c>
      <c r="BE222">
        <v>0</v>
      </c>
      <c r="BF222" t="s">
        <v>1063</v>
      </c>
      <c r="BG222" t="s">
        <v>4207</v>
      </c>
      <c r="BH222">
        <v>41</v>
      </c>
      <c r="BI222" t="s">
        <v>1247</v>
      </c>
      <c r="BK222">
        <v>1869937</v>
      </c>
    </row>
    <row r="223" spans="1:64">
      <c r="A223" s="1">
        <f>HYPERLINK("https://lsnyc.legalserver.org/matter/dynamic-profile/view/1869419","18-1869419")</f>
        <v>0</v>
      </c>
      <c r="B223" t="s">
        <v>3624</v>
      </c>
      <c r="C223" t="s">
        <v>3679</v>
      </c>
      <c r="D223" t="s">
        <v>257</v>
      </c>
      <c r="E223" t="s">
        <v>3683</v>
      </c>
      <c r="F223" t="s">
        <v>273</v>
      </c>
      <c r="G223" t="s">
        <v>275</v>
      </c>
      <c r="H223">
        <v>0</v>
      </c>
      <c r="I223" t="s">
        <v>274</v>
      </c>
      <c r="K223" t="s">
        <v>396</v>
      </c>
      <c r="M223" t="s">
        <v>473</v>
      </c>
      <c r="N223" t="s">
        <v>478</v>
      </c>
      <c r="P223" t="s">
        <v>492</v>
      </c>
      <c r="Q223" t="s">
        <v>501</v>
      </c>
      <c r="S223" t="s">
        <v>503</v>
      </c>
      <c r="T223" t="s">
        <v>507</v>
      </c>
      <c r="U223" t="s">
        <v>511</v>
      </c>
      <c r="V223">
        <v>10456</v>
      </c>
      <c r="W223" t="s">
        <v>519</v>
      </c>
      <c r="X223" t="s">
        <v>557</v>
      </c>
      <c r="Y223" t="s">
        <v>275</v>
      </c>
      <c r="Z223" t="s">
        <v>3866</v>
      </c>
      <c r="AA223" t="s">
        <v>4014</v>
      </c>
      <c r="AB223" t="s">
        <v>902</v>
      </c>
      <c r="AC223" t="s">
        <v>905</v>
      </c>
      <c r="AF223" t="s">
        <v>923</v>
      </c>
      <c r="AI223">
        <v>105.8</v>
      </c>
      <c r="AK223" t="s">
        <v>970</v>
      </c>
      <c r="AL223" t="s">
        <v>274</v>
      </c>
      <c r="AM223" t="s">
        <v>973</v>
      </c>
      <c r="AN223" t="s">
        <v>2393</v>
      </c>
      <c r="AT223">
        <v>0</v>
      </c>
      <c r="AU223">
        <v>1</v>
      </c>
      <c r="AV223" t="s">
        <v>273</v>
      </c>
      <c r="AY223" t="s">
        <v>273</v>
      </c>
      <c r="BB223">
        <v>0</v>
      </c>
      <c r="BC223">
        <v>0</v>
      </c>
      <c r="BD223">
        <v>0</v>
      </c>
      <c r="BE223">
        <v>0</v>
      </c>
      <c r="BF223" t="s">
        <v>1063</v>
      </c>
      <c r="BG223" t="s">
        <v>4178</v>
      </c>
      <c r="BH223">
        <v>31</v>
      </c>
      <c r="BI223" t="s">
        <v>1247</v>
      </c>
      <c r="BK223">
        <v>1870018</v>
      </c>
    </row>
    <row r="224" spans="1:64">
      <c r="A224" s="1">
        <f>HYPERLINK("https://lsnyc.legalserver.org/matter/dynamic-profile/view/1869261","18-1869261")</f>
        <v>0</v>
      </c>
      <c r="B224" t="s">
        <v>3625</v>
      </c>
      <c r="C224" t="s">
        <v>3679</v>
      </c>
      <c r="D224" t="s">
        <v>257</v>
      </c>
      <c r="E224" t="s">
        <v>3693</v>
      </c>
      <c r="F224" t="s">
        <v>273</v>
      </c>
      <c r="G224" t="s">
        <v>275</v>
      </c>
      <c r="H224">
        <v>0</v>
      </c>
      <c r="K224" t="s">
        <v>2400</v>
      </c>
      <c r="P224" t="s">
        <v>496</v>
      </c>
      <c r="Q224" t="s">
        <v>501</v>
      </c>
      <c r="S224" t="s">
        <v>503</v>
      </c>
      <c r="T224" t="s">
        <v>508</v>
      </c>
      <c r="U224" t="s">
        <v>511</v>
      </c>
      <c r="V224">
        <v>10471</v>
      </c>
      <c r="W224" t="s">
        <v>517</v>
      </c>
      <c r="X224" t="s">
        <v>549</v>
      </c>
      <c r="Z224" t="s">
        <v>3867</v>
      </c>
      <c r="AA224" t="s">
        <v>4015</v>
      </c>
      <c r="AB224" t="s">
        <v>902</v>
      </c>
      <c r="AC224" t="s">
        <v>904</v>
      </c>
      <c r="AF224" t="s">
        <v>923</v>
      </c>
      <c r="AI224">
        <v>11.9</v>
      </c>
      <c r="AK224" t="s">
        <v>939</v>
      </c>
      <c r="AT224">
        <v>0</v>
      </c>
      <c r="AU224">
        <v>1</v>
      </c>
      <c r="AV224" t="s">
        <v>273</v>
      </c>
      <c r="AY224" t="s">
        <v>273</v>
      </c>
      <c r="BB224">
        <v>0</v>
      </c>
      <c r="BC224">
        <v>0</v>
      </c>
      <c r="BD224">
        <v>0</v>
      </c>
      <c r="BE224">
        <v>0</v>
      </c>
      <c r="BF224" t="s">
        <v>1063</v>
      </c>
      <c r="BG224" t="s">
        <v>4208</v>
      </c>
      <c r="BH224">
        <v>22</v>
      </c>
      <c r="BI224" t="s">
        <v>1247</v>
      </c>
      <c r="BK224">
        <v>830341</v>
      </c>
    </row>
    <row r="225" spans="1:64">
      <c r="A225" s="1">
        <f>HYPERLINK("https://lsnyc.legalserver.org/matter/dynamic-profile/view/1868771","18-1868771")</f>
        <v>0</v>
      </c>
      <c r="B225" t="s">
        <v>3626</v>
      </c>
      <c r="C225" t="s">
        <v>3679</v>
      </c>
      <c r="D225" t="s">
        <v>257</v>
      </c>
      <c r="E225" t="s">
        <v>3683</v>
      </c>
      <c r="F225" t="s">
        <v>273</v>
      </c>
      <c r="G225" t="s">
        <v>275</v>
      </c>
      <c r="H225">
        <v>112.61</v>
      </c>
      <c r="I225" t="s">
        <v>274</v>
      </c>
      <c r="K225" t="s">
        <v>1741</v>
      </c>
      <c r="O225" t="s">
        <v>274</v>
      </c>
      <c r="P225" t="s">
        <v>492</v>
      </c>
      <c r="Q225" t="s">
        <v>501</v>
      </c>
      <c r="S225" t="s">
        <v>503</v>
      </c>
      <c r="T225" t="s">
        <v>507</v>
      </c>
      <c r="U225" t="s">
        <v>511</v>
      </c>
      <c r="V225">
        <v>10475</v>
      </c>
      <c r="W225" t="s">
        <v>523</v>
      </c>
      <c r="X225" t="s">
        <v>548</v>
      </c>
      <c r="Y225" t="s">
        <v>275</v>
      </c>
      <c r="Z225" t="s">
        <v>3773</v>
      </c>
      <c r="AA225" t="s">
        <v>2256</v>
      </c>
      <c r="AB225" t="s">
        <v>902</v>
      </c>
      <c r="AC225" t="s">
        <v>904</v>
      </c>
      <c r="AD225" t="s">
        <v>275</v>
      </c>
      <c r="AF225" t="s">
        <v>923</v>
      </c>
      <c r="AI225">
        <v>4.9</v>
      </c>
      <c r="AJ225" t="s">
        <v>558</v>
      </c>
      <c r="AK225" t="s">
        <v>934</v>
      </c>
      <c r="AM225" t="s">
        <v>973</v>
      </c>
      <c r="AN225" t="s">
        <v>4063</v>
      </c>
      <c r="AT225">
        <v>0</v>
      </c>
      <c r="AU225">
        <v>3</v>
      </c>
      <c r="AV225" t="s">
        <v>273</v>
      </c>
      <c r="AY225" t="s">
        <v>273</v>
      </c>
      <c r="BB225">
        <v>0</v>
      </c>
      <c r="BC225">
        <v>0</v>
      </c>
      <c r="BD225">
        <v>0</v>
      </c>
      <c r="BE225">
        <v>0</v>
      </c>
      <c r="BF225" t="s">
        <v>1063</v>
      </c>
      <c r="BG225" t="s">
        <v>3416</v>
      </c>
      <c r="BH225">
        <v>45</v>
      </c>
      <c r="BI225" t="s">
        <v>1248</v>
      </c>
      <c r="BK225">
        <v>1858149</v>
      </c>
    </row>
    <row r="226" spans="1:64">
      <c r="A226" s="1">
        <f>HYPERLINK("https://lsnyc.legalserver.org/matter/dynamic-profile/view/1868637","18-1868637")</f>
        <v>0</v>
      </c>
      <c r="B226" t="s">
        <v>3627</v>
      </c>
      <c r="C226" t="s">
        <v>3679</v>
      </c>
      <c r="D226" t="s">
        <v>257</v>
      </c>
      <c r="E226" t="s">
        <v>3684</v>
      </c>
      <c r="F226" t="s">
        <v>273</v>
      </c>
      <c r="G226" t="s">
        <v>275</v>
      </c>
      <c r="H226">
        <v>74.23999999999999</v>
      </c>
      <c r="I226" t="s">
        <v>274</v>
      </c>
      <c r="K226" t="s">
        <v>398</v>
      </c>
      <c r="P226" t="s">
        <v>496</v>
      </c>
      <c r="Q226" t="s">
        <v>501</v>
      </c>
      <c r="S226" t="s">
        <v>503</v>
      </c>
      <c r="T226" t="s">
        <v>508</v>
      </c>
      <c r="U226" t="s">
        <v>511</v>
      </c>
      <c r="V226">
        <v>10453</v>
      </c>
      <c r="W226" t="s">
        <v>524</v>
      </c>
      <c r="X226" t="s">
        <v>548</v>
      </c>
      <c r="Y226" t="s">
        <v>275</v>
      </c>
      <c r="Z226" t="s">
        <v>3868</v>
      </c>
      <c r="AA226" t="s">
        <v>4016</v>
      </c>
      <c r="AB226" t="s">
        <v>902</v>
      </c>
      <c r="AC226" t="s">
        <v>2359</v>
      </c>
      <c r="AF226" t="s">
        <v>923</v>
      </c>
      <c r="AI226">
        <v>4.5</v>
      </c>
      <c r="AJ226" t="s">
        <v>558</v>
      </c>
      <c r="AK226" t="s">
        <v>950</v>
      </c>
      <c r="AL226" t="s">
        <v>274</v>
      </c>
      <c r="AM226" t="s">
        <v>973</v>
      </c>
      <c r="AN226" t="s">
        <v>1738</v>
      </c>
      <c r="AT226">
        <v>2</v>
      </c>
      <c r="AU226">
        <v>3</v>
      </c>
      <c r="AV226" t="s">
        <v>273</v>
      </c>
      <c r="AY226" t="s">
        <v>273</v>
      </c>
      <c r="BB226">
        <v>0</v>
      </c>
      <c r="BC226">
        <v>0</v>
      </c>
      <c r="BD226">
        <v>0</v>
      </c>
      <c r="BE226">
        <v>0</v>
      </c>
      <c r="BF226" t="s">
        <v>1063</v>
      </c>
      <c r="BG226" t="s">
        <v>4209</v>
      </c>
      <c r="BH226">
        <v>16</v>
      </c>
      <c r="BI226" t="s">
        <v>4271</v>
      </c>
      <c r="BK226">
        <v>799597</v>
      </c>
      <c r="BL226" t="s">
        <v>275</v>
      </c>
    </row>
    <row r="227" spans="1:64">
      <c r="A227" s="1">
        <f>HYPERLINK("https://lsnyc.legalserver.org/matter/dynamic-profile/view/1868639","18-1868639")</f>
        <v>0</v>
      </c>
      <c r="B227" t="s">
        <v>3597</v>
      </c>
      <c r="C227" t="s">
        <v>3679</v>
      </c>
      <c r="D227" t="s">
        <v>257</v>
      </c>
      <c r="E227" t="s">
        <v>3684</v>
      </c>
      <c r="F227" t="s">
        <v>273</v>
      </c>
      <c r="G227" t="s">
        <v>275</v>
      </c>
      <c r="H227">
        <v>113.94</v>
      </c>
      <c r="I227" t="s">
        <v>274</v>
      </c>
      <c r="K227" t="s">
        <v>398</v>
      </c>
      <c r="M227" t="s">
        <v>473</v>
      </c>
      <c r="N227" t="s">
        <v>992</v>
      </c>
      <c r="P227" t="s">
        <v>492</v>
      </c>
      <c r="Q227" t="s">
        <v>501</v>
      </c>
      <c r="S227" t="s">
        <v>503</v>
      </c>
      <c r="T227" t="s">
        <v>507</v>
      </c>
      <c r="U227" t="s">
        <v>511</v>
      </c>
      <c r="V227">
        <v>10451</v>
      </c>
      <c r="W227" t="s">
        <v>518</v>
      </c>
      <c r="X227" t="s">
        <v>548</v>
      </c>
      <c r="Y227" t="s">
        <v>275</v>
      </c>
      <c r="Z227" t="s">
        <v>1934</v>
      </c>
      <c r="AA227" t="s">
        <v>3994</v>
      </c>
      <c r="AB227" t="s">
        <v>902</v>
      </c>
      <c r="AC227" t="s">
        <v>910</v>
      </c>
      <c r="AF227" t="s">
        <v>926</v>
      </c>
      <c r="AI227">
        <v>26.95</v>
      </c>
      <c r="AJ227" t="s">
        <v>558</v>
      </c>
      <c r="AK227" t="s">
        <v>934</v>
      </c>
      <c r="AL227" t="s">
        <v>274</v>
      </c>
      <c r="AT227">
        <v>2</v>
      </c>
      <c r="AU227">
        <v>2</v>
      </c>
      <c r="AV227" t="s">
        <v>273</v>
      </c>
      <c r="AY227" t="s">
        <v>273</v>
      </c>
      <c r="BB227">
        <v>0</v>
      </c>
      <c r="BC227">
        <v>0</v>
      </c>
      <c r="BD227">
        <v>0</v>
      </c>
      <c r="BE227">
        <v>0</v>
      </c>
      <c r="BF227" t="s">
        <v>1063</v>
      </c>
      <c r="BG227" t="s">
        <v>4185</v>
      </c>
      <c r="BH227">
        <v>14</v>
      </c>
      <c r="BI227" t="s">
        <v>4265</v>
      </c>
      <c r="BK227">
        <v>1861311</v>
      </c>
      <c r="BL227" t="s">
        <v>274</v>
      </c>
    </row>
    <row r="228" spans="1:64">
      <c r="A228" s="1">
        <f>HYPERLINK("https://lsnyc.legalserver.org/matter/dynamic-profile/view/1868266","18-1868266")</f>
        <v>0</v>
      </c>
      <c r="B228" t="s">
        <v>3628</v>
      </c>
      <c r="C228" t="s">
        <v>3679</v>
      </c>
      <c r="D228" t="s">
        <v>257</v>
      </c>
      <c r="E228" t="s">
        <v>3688</v>
      </c>
      <c r="F228" t="s">
        <v>273</v>
      </c>
      <c r="G228" t="s">
        <v>275</v>
      </c>
      <c r="H228">
        <v>42.83</v>
      </c>
      <c r="I228" t="s">
        <v>274</v>
      </c>
      <c r="K228" t="s">
        <v>1010</v>
      </c>
      <c r="P228" t="s">
        <v>496</v>
      </c>
      <c r="Q228" t="s">
        <v>501</v>
      </c>
      <c r="S228" t="s">
        <v>503</v>
      </c>
      <c r="T228" t="s">
        <v>508</v>
      </c>
      <c r="U228" t="s">
        <v>511</v>
      </c>
      <c r="V228">
        <v>10453</v>
      </c>
      <c r="W228" t="s">
        <v>517</v>
      </c>
      <c r="X228" t="s">
        <v>548</v>
      </c>
      <c r="Y228" t="s">
        <v>275</v>
      </c>
      <c r="Z228" t="s">
        <v>3869</v>
      </c>
      <c r="AA228" t="s">
        <v>4017</v>
      </c>
      <c r="AB228" t="s">
        <v>902</v>
      </c>
      <c r="AC228" t="s">
        <v>904</v>
      </c>
      <c r="AF228" t="s">
        <v>923</v>
      </c>
      <c r="AI228">
        <v>11.2</v>
      </c>
      <c r="AK228" t="s">
        <v>934</v>
      </c>
      <c r="AM228" t="s">
        <v>973</v>
      </c>
      <c r="AN228" t="s">
        <v>321</v>
      </c>
      <c r="AT228">
        <v>0</v>
      </c>
      <c r="AU228">
        <v>1</v>
      </c>
      <c r="AV228" t="s">
        <v>273</v>
      </c>
      <c r="AY228" t="s">
        <v>273</v>
      </c>
      <c r="BB228">
        <v>0</v>
      </c>
      <c r="BC228">
        <v>0</v>
      </c>
      <c r="BD228">
        <v>0</v>
      </c>
      <c r="BE228">
        <v>0</v>
      </c>
      <c r="BF228" t="s">
        <v>1063</v>
      </c>
      <c r="BG228" t="s">
        <v>4210</v>
      </c>
      <c r="BH228">
        <v>51</v>
      </c>
      <c r="BI228" t="s">
        <v>1258</v>
      </c>
      <c r="BK228">
        <v>743148</v>
      </c>
    </row>
    <row r="229" spans="1:64">
      <c r="A229" s="1">
        <f>HYPERLINK("https://lsnyc.legalserver.org/matter/dynamic-profile/view/1867964","18-1867964")</f>
        <v>0</v>
      </c>
      <c r="B229" t="s">
        <v>3615</v>
      </c>
      <c r="C229" t="s">
        <v>3679</v>
      </c>
      <c r="D229" t="s">
        <v>257</v>
      </c>
      <c r="E229" t="s">
        <v>3685</v>
      </c>
      <c r="F229" t="s">
        <v>273</v>
      </c>
      <c r="G229" t="s">
        <v>275</v>
      </c>
      <c r="H229">
        <v>100.1</v>
      </c>
      <c r="I229" t="s">
        <v>274</v>
      </c>
      <c r="K229" t="s">
        <v>1744</v>
      </c>
      <c r="M229" t="s">
        <v>472</v>
      </c>
      <c r="O229" t="s">
        <v>275</v>
      </c>
      <c r="P229" t="s">
        <v>492</v>
      </c>
      <c r="Q229" t="s">
        <v>501</v>
      </c>
      <c r="S229" t="s">
        <v>503</v>
      </c>
      <c r="T229" t="s">
        <v>508</v>
      </c>
      <c r="U229" t="s">
        <v>511</v>
      </c>
      <c r="V229">
        <v>10453</v>
      </c>
      <c r="W229" t="s">
        <v>518</v>
      </c>
      <c r="X229" t="s">
        <v>549</v>
      </c>
      <c r="Z229" t="s">
        <v>3859</v>
      </c>
      <c r="AA229" t="s">
        <v>4008</v>
      </c>
      <c r="AB229" t="s">
        <v>902</v>
      </c>
      <c r="AC229" t="s">
        <v>905</v>
      </c>
      <c r="AF229" t="s">
        <v>926</v>
      </c>
      <c r="AI229">
        <v>29.75</v>
      </c>
      <c r="AJ229" t="s">
        <v>558</v>
      </c>
      <c r="AK229" t="s">
        <v>939</v>
      </c>
      <c r="AT229">
        <v>1</v>
      </c>
      <c r="AU229">
        <v>2</v>
      </c>
      <c r="AV229" t="s">
        <v>273</v>
      </c>
      <c r="AY229" t="s">
        <v>273</v>
      </c>
      <c r="BB229">
        <v>0</v>
      </c>
      <c r="BC229">
        <v>0</v>
      </c>
      <c r="BD229">
        <v>0</v>
      </c>
      <c r="BE229">
        <v>0</v>
      </c>
      <c r="BF229" t="s">
        <v>1063</v>
      </c>
      <c r="BG229" t="s">
        <v>2705</v>
      </c>
      <c r="BH229">
        <v>35</v>
      </c>
      <c r="BI229" t="s">
        <v>1261</v>
      </c>
      <c r="BK229">
        <v>1868557</v>
      </c>
    </row>
    <row r="230" spans="1:64">
      <c r="A230" s="1">
        <f>HYPERLINK("https://lsnyc.legalserver.org/matter/dynamic-profile/view/1867546","18-1867546")</f>
        <v>0</v>
      </c>
      <c r="B230" t="s">
        <v>3629</v>
      </c>
      <c r="C230" t="s">
        <v>3679</v>
      </c>
      <c r="D230" t="s">
        <v>257</v>
      </c>
      <c r="E230" t="s">
        <v>3686</v>
      </c>
      <c r="F230" t="s">
        <v>273</v>
      </c>
      <c r="G230" t="s">
        <v>275</v>
      </c>
      <c r="H230">
        <v>0</v>
      </c>
      <c r="K230" t="s">
        <v>3712</v>
      </c>
      <c r="P230" t="s">
        <v>492</v>
      </c>
      <c r="Q230" t="s">
        <v>501</v>
      </c>
      <c r="S230" t="s">
        <v>503</v>
      </c>
      <c r="T230" t="s">
        <v>508</v>
      </c>
      <c r="U230" t="s">
        <v>511</v>
      </c>
      <c r="V230">
        <v>10466</v>
      </c>
      <c r="W230" t="s">
        <v>520</v>
      </c>
      <c r="X230" t="s">
        <v>549</v>
      </c>
      <c r="Z230" t="s">
        <v>3870</v>
      </c>
      <c r="AA230" t="s">
        <v>4011</v>
      </c>
      <c r="AB230" t="s">
        <v>902</v>
      </c>
      <c r="AC230" t="s">
        <v>909</v>
      </c>
      <c r="AF230" t="s">
        <v>923</v>
      </c>
      <c r="AI230">
        <v>4.6</v>
      </c>
      <c r="AJ230" t="s">
        <v>558</v>
      </c>
      <c r="AK230" t="s">
        <v>939</v>
      </c>
      <c r="AT230">
        <v>1</v>
      </c>
      <c r="AU230">
        <v>4</v>
      </c>
      <c r="AV230" t="s">
        <v>273</v>
      </c>
      <c r="AY230" t="s">
        <v>273</v>
      </c>
      <c r="BB230">
        <v>0</v>
      </c>
      <c r="BC230">
        <v>0</v>
      </c>
      <c r="BD230">
        <v>0</v>
      </c>
      <c r="BE230">
        <v>0</v>
      </c>
      <c r="BF230" t="s">
        <v>1063</v>
      </c>
      <c r="BG230" t="s">
        <v>4211</v>
      </c>
      <c r="BH230">
        <v>42</v>
      </c>
      <c r="BI230" t="s">
        <v>1247</v>
      </c>
      <c r="BK230">
        <v>769046</v>
      </c>
    </row>
    <row r="231" spans="1:64">
      <c r="A231" s="1">
        <f>HYPERLINK("https://lsnyc.legalserver.org/matter/dynamic-profile/view/1867547","18-1867547")</f>
        <v>0</v>
      </c>
      <c r="B231" t="s">
        <v>3629</v>
      </c>
      <c r="C231" t="s">
        <v>3679</v>
      </c>
      <c r="D231" t="s">
        <v>257</v>
      </c>
      <c r="E231" t="s">
        <v>3686</v>
      </c>
      <c r="F231" t="s">
        <v>273</v>
      </c>
      <c r="G231" t="s">
        <v>275</v>
      </c>
      <c r="H231">
        <v>0</v>
      </c>
      <c r="K231" t="s">
        <v>399</v>
      </c>
      <c r="P231" t="s">
        <v>492</v>
      </c>
      <c r="Q231" t="s">
        <v>501</v>
      </c>
      <c r="S231" t="s">
        <v>503</v>
      </c>
      <c r="T231" t="s">
        <v>508</v>
      </c>
      <c r="U231" t="s">
        <v>511</v>
      </c>
      <c r="V231">
        <v>10466</v>
      </c>
      <c r="W231" t="s">
        <v>524</v>
      </c>
      <c r="X231" t="s">
        <v>549</v>
      </c>
      <c r="Z231" t="s">
        <v>3870</v>
      </c>
      <c r="AA231" t="s">
        <v>4011</v>
      </c>
      <c r="AB231" t="s">
        <v>902</v>
      </c>
      <c r="AC231" t="s">
        <v>909</v>
      </c>
      <c r="AF231" t="s">
        <v>923</v>
      </c>
      <c r="AI231">
        <v>60.7</v>
      </c>
      <c r="AJ231" t="s">
        <v>558</v>
      </c>
      <c r="AK231" t="s">
        <v>939</v>
      </c>
      <c r="AT231">
        <v>1</v>
      </c>
      <c r="AU231">
        <v>4</v>
      </c>
      <c r="AV231" t="s">
        <v>273</v>
      </c>
      <c r="AY231" t="s">
        <v>273</v>
      </c>
      <c r="BB231">
        <v>0</v>
      </c>
      <c r="BC231">
        <v>0</v>
      </c>
      <c r="BD231">
        <v>0</v>
      </c>
      <c r="BE231">
        <v>0</v>
      </c>
      <c r="BF231" t="s">
        <v>1063</v>
      </c>
      <c r="BG231" t="s">
        <v>4211</v>
      </c>
      <c r="BH231">
        <v>42</v>
      </c>
      <c r="BI231" t="s">
        <v>1247</v>
      </c>
      <c r="BK231">
        <v>769046</v>
      </c>
    </row>
    <row r="232" spans="1:64">
      <c r="A232" s="1">
        <f>HYPERLINK("https://lsnyc.legalserver.org/matter/dynamic-profile/view/1867450","18-1867450")</f>
        <v>0</v>
      </c>
      <c r="B232" t="s">
        <v>3630</v>
      </c>
      <c r="C232" t="s">
        <v>3679</v>
      </c>
      <c r="D232" t="s">
        <v>257</v>
      </c>
      <c r="E232" t="s">
        <v>3688</v>
      </c>
      <c r="F232" t="s">
        <v>273</v>
      </c>
      <c r="G232" t="s">
        <v>275</v>
      </c>
      <c r="H232">
        <v>0</v>
      </c>
      <c r="I232" t="s">
        <v>274</v>
      </c>
      <c r="K232" t="s">
        <v>1745</v>
      </c>
      <c r="L232" t="s">
        <v>1677</v>
      </c>
      <c r="O232" t="s">
        <v>275</v>
      </c>
      <c r="P232" t="s">
        <v>493</v>
      </c>
      <c r="Q232" t="s">
        <v>501</v>
      </c>
      <c r="S232" t="s">
        <v>503</v>
      </c>
      <c r="T232" t="s">
        <v>508</v>
      </c>
      <c r="U232" t="s">
        <v>511</v>
      </c>
      <c r="V232">
        <v>10469</v>
      </c>
      <c r="W232" t="s">
        <v>525</v>
      </c>
      <c r="X232" t="s">
        <v>549</v>
      </c>
      <c r="Y232" t="s">
        <v>275</v>
      </c>
      <c r="Z232" t="s">
        <v>3871</v>
      </c>
      <c r="AA232" t="s">
        <v>4018</v>
      </c>
      <c r="AB232" t="s">
        <v>902</v>
      </c>
      <c r="AC232" t="s">
        <v>904</v>
      </c>
      <c r="AD232" t="s">
        <v>275</v>
      </c>
      <c r="AE232" t="s">
        <v>922</v>
      </c>
      <c r="AF232" t="s">
        <v>929</v>
      </c>
      <c r="AI232">
        <v>10.75</v>
      </c>
      <c r="AJ232" t="s">
        <v>558</v>
      </c>
      <c r="AK232" t="s">
        <v>3268</v>
      </c>
      <c r="AM232" t="s">
        <v>978</v>
      </c>
      <c r="AN232" t="s">
        <v>992</v>
      </c>
      <c r="AQ232" t="s">
        <v>1038</v>
      </c>
      <c r="AR232" t="s">
        <v>1051</v>
      </c>
      <c r="AT232">
        <v>1</v>
      </c>
      <c r="AU232">
        <v>1</v>
      </c>
      <c r="AV232" t="s">
        <v>273</v>
      </c>
      <c r="AY232" t="s">
        <v>273</v>
      </c>
      <c r="BB232">
        <v>0</v>
      </c>
      <c r="BC232">
        <v>0</v>
      </c>
      <c r="BD232">
        <v>540</v>
      </c>
      <c r="BE232">
        <v>0</v>
      </c>
      <c r="BF232" t="s">
        <v>493</v>
      </c>
      <c r="BG232" t="s">
        <v>4212</v>
      </c>
      <c r="BH232">
        <v>44</v>
      </c>
      <c r="BI232" t="s">
        <v>1247</v>
      </c>
      <c r="BK232">
        <v>1868042</v>
      </c>
    </row>
    <row r="233" spans="1:64">
      <c r="A233" s="1">
        <f>HYPERLINK("https://lsnyc.legalserver.org/matter/dynamic-profile/view/1867279","18-1867279")</f>
        <v>0</v>
      </c>
      <c r="B233" t="s">
        <v>3565</v>
      </c>
      <c r="C233" t="s">
        <v>3679</v>
      </c>
      <c r="D233" t="s">
        <v>257</v>
      </c>
      <c r="E233" t="s">
        <v>3686</v>
      </c>
      <c r="F233" t="s">
        <v>273</v>
      </c>
      <c r="G233" t="s">
        <v>275</v>
      </c>
      <c r="H233">
        <v>31.08</v>
      </c>
      <c r="I233" t="s">
        <v>274</v>
      </c>
      <c r="K233" t="s">
        <v>3713</v>
      </c>
      <c r="P233" t="s">
        <v>492</v>
      </c>
      <c r="Q233" t="s">
        <v>501</v>
      </c>
      <c r="S233" t="s">
        <v>503</v>
      </c>
      <c r="T233" t="s">
        <v>508</v>
      </c>
      <c r="U233" t="s">
        <v>511</v>
      </c>
      <c r="V233">
        <v>10451</v>
      </c>
      <c r="W233" t="s">
        <v>519</v>
      </c>
      <c r="Y233" t="s">
        <v>275</v>
      </c>
      <c r="Z233" t="s">
        <v>3069</v>
      </c>
      <c r="AA233" t="s">
        <v>3178</v>
      </c>
      <c r="AB233" t="s">
        <v>902</v>
      </c>
      <c r="AC233" t="s">
        <v>905</v>
      </c>
      <c r="AF233" t="s">
        <v>926</v>
      </c>
      <c r="AI233">
        <v>34.7</v>
      </c>
      <c r="AJ233" t="s">
        <v>558</v>
      </c>
      <c r="AK233" t="s">
        <v>934</v>
      </c>
      <c r="AM233" t="s">
        <v>973</v>
      </c>
      <c r="AT233">
        <v>2</v>
      </c>
      <c r="AU233">
        <v>2</v>
      </c>
      <c r="AV233" t="s">
        <v>273</v>
      </c>
      <c r="AY233" t="s">
        <v>273</v>
      </c>
      <c r="BB233">
        <v>0</v>
      </c>
      <c r="BC233">
        <v>0</v>
      </c>
      <c r="BD233">
        <v>0</v>
      </c>
      <c r="BE233">
        <v>0</v>
      </c>
      <c r="BF233" t="s">
        <v>1063</v>
      </c>
      <c r="BG233" t="s">
        <v>4155</v>
      </c>
      <c r="BH233">
        <v>22</v>
      </c>
      <c r="BI233" t="s">
        <v>2771</v>
      </c>
      <c r="BK233">
        <v>1867871</v>
      </c>
    </row>
    <row r="234" spans="1:64">
      <c r="A234" s="1">
        <f>HYPERLINK("https://lsnyc.legalserver.org/matter/dynamic-profile/view/1867206","18-1867206")</f>
        <v>0</v>
      </c>
      <c r="B234" t="s">
        <v>3523</v>
      </c>
      <c r="C234" t="s">
        <v>3679</v>
      </c>
      <c r="D234" t="s">
        <v>257</v>
      </c>
      <c r="E234" t="s">
        <v>3684</v>
      </c>
      <c r="F234" t="s">
        <v>273</v>
      </c>
      <c r="G234" t="s">
        <v>275</v>
      </c>
      <c r="H234">
        <v>220.51</v>
      </c>
      <c r="I234" t="s">
        <v>274</v>
      </c>
      <c r="K234" t="s">
        <v>1746</v>
      </c>
      <c r="P234" t="s">
        <v>492</v>
      </c>
      <c r="Q234" t="s">
        <v>501</v>
      </c>
      <c r="S234" t="s">
        <v>503</v>
      </c>
      <c r="T234" t="s">
        <v>507</v>
      </c>
      <c r="U234" t="s">
        <v>511</v>
      </c>
      <c r="V234">
        <v>10456</v>
      </c>
      <c r="W234" t="s">
        <v>519</v>
      </c>
      <c r="X234" t="s">
        <v>548</v>
      </c>
      <c r="Y234" t="s">
        <v>275</v>
      </c>
      <c r="Z234" t="s">
        <v>564</v>
      </c>
      <c r="AA234" t="s">
        <v>3931</v>
      </c>
      <c r="AB234" t="s">
        <v>902</v>
      </c>
      <c r="AC234" t="s">
        <v>905</v>
      </c>
      <c r="AF234" t="s">
        <v>926</v>
      </c>
      <c r="AI234">
        <v>34.2</v>
      </c>
      <c r="AJ234" t="s">
        <v>558</v>
      </c>
      <c r="AK234" t="s">
        <v>934</v>
      </c>
      <c r="AL234" t="s">
        <v>274</v>
      </c>
      <c r="AM234" t="s">
        <v>973</v>
      </c>
      <c r="AN234" t="s">
        <v>347</v>
      </c>
      <c r="AT234">
        <v>2</v>
      </c>
      <c r="AU234">
        <v>4</v>
      </c>
      <c r="AV234" t="s">
        <v>273</v>
      </c>
      <c r="AY234" t="s">
        <v>273</v>
      </c>
      <c r="BB234">
        <v>0</v>
      </c>
      <c r="BC234">
        <v>0</v>
      </c>
      <c r="BD234">
        <v>0</v>
      </c>
      <c r="BE234">
        <v>0</v>
      </c>
      <c r="BF234" t="s">
        <v>1063</v>
      </c>
      <c r="BG234" t="s">
        <v>4116</v>
      </c>
      <c r="BH234">
        <v>24</v>
      </c>
      <c r="BI234" t="s">
        <v>4272</v>
      </c>
      <c r="BK234">
        <v>1867798</v>
      </c>
      <c r="BL234" t="s">
        <v>274</v>
      </c>
    </row>
    <row r="235" spans="1:64">
      <c r="A235" s="1">
        <f>HYPERLINK("https://lsnyc.legalserver.org/matter/dynamic-profile/view/1866625","18-1866625")</f>
        <v>0</v>
      </c>
      <c r="B235" t="s">
        <v>3631</v>
      </c>
      <c r="C235" t="s">
        <v>3679</v>
      </c>
      <c r="D235" t="s">
        <v>252</v>
      </c>
      <c r="E235" t="s">
        <v>3683</v>
      </c>
      <c r="F235" t="s">
        <v>275</v>
      </c>
      <c r="G235" t="s">
        <v>275</v>
      </c>
      <c r="H235">
        <v>0</v>
      </c>
      <c r="I235" t="s">
        <v>274</v>
      </c>
      <c r="K235" t="s">
        <v>1009</v>
      </c>
      <c r="L235" t="s">
        <v>1666</v>
      </c>
      <c r="O235" t="s">
        <v>275</v>
      </c>
      <c r="P235" t="s">
        <v>493</v>
      </c>
      <c r="Q235" t="s">
        <v>501</v>
      </c>
      <c r="S235" t="s">
        <v>503</v>
      </c>
      <c r="T235" t="s">
        <v>508</v>
      </c>
      <c r="U235" t="s">
        <v>511</v>
      </c>
      <c r="V235">
        <v>11237</v>
      </c>
      <c r="W235" t="s">
        <v>536</v>
      </c>
      <c r="X235" t="s">
        <v>548</v>
      </c>
      <c r="Y235" t="s">
        <v>275</v>
      </c>
      <c r="Z235" t="s">
        <v>3872</v>
      </c>
      <c r="AA235" t="s">
        <v>4019</v>
      </c>
      <c r="AB235" t="s">
        <v>902</v>
      </c>
      <c r="AC235" t="s">
        <v>906</v>
      </c>
      <c r="AD235" t="s">
        <v>274</v>
      </c>
      <c r="AE235" t="s">
        <v>920</v>
      </c>
      <c r="AF235" t="s">
        <v>923</v>
      </c>
      <c r="AI235">
        <v>4.8</v>
      </c>
      <c r="AJ235" t="s">
        <v>558</v>
      </c>
      <c r="AK235" t="s">
        <v>950</v>
      </c>
      <c r="AL235" t="s">
        <v>274</v>
      </c>
      <c r="AQ235" t="s">
        <v>1033</v>
      </c>
      <c r="AR235" t="s">
        <v>1053</v>
      </c>
      <c r="AT235">
        <v>0</v>
      </c>
      <c r="AU235">
        <v>1</v>
      </c>
      <c r="AV235" t="s">
        <v>273</v>
      </c>
      <c r="AY235" t="s">
        <v>273</v>
      </c>
      <c r="BB235">
        <v>0</v>
      </c>
      <c r="BC235">
        <v>0</v>
      </c>
      <c r="BD235">
        <v>0</v>
      </c>
      <c r="BE235">
        <v>0</v>
      </c>
      <c r="BF235" t="s">
        <v>493</v>
      </c>
      <c r="BG235" t="s">
        <v>4213</v>
      </c>
      <c r="BH235">
        <v>51</v>
      </c>
      <c r="BI235" t="s">
        <v>1247</v>
      </c>
      <c r="BK235">
        <v>749640</v>
      </c>
    </row>
    <row r="236" spans="1:64">
      <c r="A236" s="1">
        <f>HYPERLINK("https://lsnyc.legalserver.org/matter/dynamic-profile/view/1866470","18-1866470")</f>
        <v>0</v>
      </c>
      <c r="B236" t="s">
        <v>3632</v>
      </c>
      <c r="C236" t="s">
        <v>3679</v>
      </c>
      <c r="D236" t="s">
        <v>257</v>
      </c>
      <c r="E236" t="s">
        <v>3687</v>
      </c>
      <c r="F236" t="s">
        <v>273</v>
      </c>
      <c r="G236" t="s">
        <v>275</v>
      </c>
      <c r="H236">
        <v>82.87</v>
      </c>
      <c r="I236" t="s">
        <v>274</v>
      </c>
      <c r="K236" t="s">
        <v>1750</v>
      </c>
      <c r="P236" t="s">
        <v>496</v>
      </c>
      <c r="Q236" t="s">
        <v>501</v>
      </c>
      <c r="S236" t="s">
        <v>503</v>
      </c>
      <c r="T236" t="s">
        <v>507</v>
      </c>
      <c r="U236" t="s">
        <v>511</v>
      </c>
      <c r="V236">
        <v>10451</v>
      </c>
      <c r="W236" t="s">
        <v>524</v>
      </c>
      <c r="X236" t="s">
        <v>549</v>
      </c>
      <c r="Y236" t="s">
        <v>275</v>
      </c>
      <c r="Z236" t="s">
        <v>657</v>
      </c>
      <c r="AA236" t="s">
        <v>2143</v>
      </c>
      <c r="AB236" t="s">
        <v>903</v>
      </c>
      <c r="AF236" t="s">
        <v>923</v>
      </c>
      <c r="AI236">
        <v>17.95</v>
      </c>
      <c r="AJ236" t="s">
        <v>558</v>
      </c>
      <c r="AK236" t="s">
        <v>936</v>
      </c>
      <c r="AT236">
        <v>3</v>
      </c>
      <c r="AU236">
        <v>1</v>
      </c>
      <c r="AV236" t="s">
        <v>273</v>
      </c>
      <c r="AY236" t="s">
        <v>273</v>
      </c>
      <c r="BB236">
        <v>0</v>
      </c>
      <c r="BC236">
        <v>0</v>
      </c>
      <c r="BD236">
        <v>0</v>
      </c>
      <c r="BE236">
        <v>0</v>
      </c>
      <c r="BF236" t="s">
        <v>1063</v>
      </c>
      <c r="BG236" t="s">
        <v>4214</v>
      </c>
      <c r="BH236">
        <v>65</v>
      </c>
      <c r="BI236" t="s">
        <v>1261</v>
      </c>
      <c r="BK236">
        <v>1857992</v>
      </c>
    </row>
    <row r="237" spans="1:64">
      <c r="A237" s="1">
        <f>HYPERLINK("https://lsnyc.legalserver.org/matter/dynamic-profile/view/1866515","18-1866515")</f>
        <v>0</v>
      </c>
      <c r="B237" t="s">
        <v>3633</v>
      </c>
      <c r="C237" t="s">
        <v>3679</v>
      </c>
      <c r="D237" t="s">
        <v>257</v>
      </c>
      <c r="E237" t="s">
        <v>3694</v>
      </c>
      <c r="F237" t="s">
        <v>274</v>
      </c>
      <c r="G237" t="s">
        <v>274</v>
      </c>
      <c r="H237">
        <v>14.83</v>
      </c>
      <c r="K237" t="s">
        <v>1750</v>
      </c>
      <c r="O237" t="s">
        <v>274</v>
      </c>
      <c r="Q237" t="s">
        <v>501</v>
      </c>
      <c r="S237" t="s">
        <v>503</v>
      </c>
      <c r="T237" t="s">
        <v>508</v>
      </c>
      <c r="U237" t="s">
        <v>511</v>
      </c>
      <c r="V237">
        <v>10458</v>
      </c>
      <c r="W237" t="s">
        <v>517</v>
      </c>
      <c r="X237" t="s">
        <v>548</v>
      </c>
      <c r="Y237" t="s">
        <v>275</v>
      </c>
      <c r="Z237" t="s">
        <v>1936</v>
      </c>
      <c r="AA237" t="s">
        <v>4020</v>
      </c>
      <c r="AB237" t="s">
        <v>902</v>
      </c>
      <c r="AC237" t="s">
        <v>904</v>
      </c>
      <c r="AF237" t="s">
        <v>923</v>
      </c>
      <c r="AI237">
        <v>2.85</v>
      </c>
      <c r="AJ237" t="s">
        <v>558</v>
      </c>
      <c r="AK237" t="s">
        <v>947</v>
      </c>
      <c r="AT237">
        <v>0</v>
      </c>
      <c r="AU237">
        <v>1</v>
      </c>
      <c r="AV237" t="s">
        <v>273</v>
      </c>
      <c r="AY237" t="s">
        <v>273</v>
      </c>
      <c r="BB237">
        <v>0</v>
      </c>
      <c r="BC237">
        <v>0</v>
      </c>
      <c r="BD237">
        <v>0</v>
      </c>
      <c r="BE237">
        <v>0</v>
      </c>
      <c r="BF237" t="s">
        <v>1063</v>
      </c>
      <c r="BG237" t="s">
        <v>4215</v>
      </c>
      <c r="BH237">
        <v>79</v>
      </c>
      <c r="BI237" t="s">
        <v>4262</v>
      </c>
      <c r="BK237">
        <v>1867106</v>
      </c>
    </row>
    <row r="238" spans="1:64">
      <c r="A238" s="1">
        <f>HYPERLINK("https://lsnyc.legalserver.org/matter/dynamic-profile/view/1866521","18-1866521")</f>
        <v>0</v>
      </c>
      <c r="B238" t="s">
        <v>3634</v>
      </c>
      <c r="C238" t="s">
        <v>3679</v>
      </c>
      <c r="D238" t="s">
        <v>257</v>
      </c>
      <c r="E238" t="s">
        <v>3687</v>
      </c>
      <c r="F238" t="s">
        <v>273</v>
      </c>
      <c r="G238" t="s">
        <v>275</v>
      </c>
      <c r="H238">
        <v>142.16</v>
      </c>
      <c r="I238" t="s">
        <v>275</v>
      </c>
      <c r="K238" t="s">
        <v>1750</v>
      </c>
      <c r="P238" t="s">
        <v>492</v>
      </c>
      <c r="Q238" t="s">
        <v>501</v>
      </c>
      <c r="S238" t="s">
        <v>503</v>
      </c>
      <c r="T238" t="s">
        <v>507</v>
      </c>
      <c r="U238" t="s">
        <v>511</v>
      </c>
      <c r="V238">
        <v>10455</v>
      </c>
      <c r="W238" t="s">
        <v>524</v>
      </c>
      <c r="X238" t="s">
        <v>549</v>
      </c>
      <c r="Y238" t="s">
        <v>275</v>
      </c>
      <c r="Z238" t="s">
        <v>3873</v>
      </c>
      <c r="AA238" t="s">
        <v>4021</v>
      </c>
      <c r="AB238" t="s">
        <v>903</v>
      </c>
      <c r="AF238" t="s">
        <v>923</v>
      </c>
      <c r="AI238">
        <v>0.5</v>
      </c>
      <c r="AJ238" t="s">
        <v>558</v>
      </c>
      <c r="AK238" t="s">
        <v>960</v>
      </c>
      <c r="AT238">
        <v>0</v>
      </c>
      <c r="AU238">
        <v>2</v>
      </c>
      <c r="AV238" t="s">
        <v>273</v>
      </c>
      <c r="AY238" t="s">
        <v>273</v>
      </c>
      <c r="BB238">
        <v>0</v>
      </c>
      <c r="BC238">
        <v>0</v>
      </c>
      <c r="BD238">
        <v>0</v>
      </c>
      <c r="BE238">
        <v>0</v>
      </c>
      <c r="BF238" t="s">
        <v>1063</v>
      </c>
      <c r="BG238" t="s">
        <v>4216</v>
      </c>
      <c r="BH238">
        <v>26</v>
      </c>
      <c r="BI238" t="s">
        <v>1248</v>
      </c>
      <c r="BK238">
        <v>1843178</v>
      </c>
    </row>
    <row r="239" spans="1:64">
      <c r="A239" s="1">
        <f>HYPERLINK("https://lsnyc.legalserver.org/matter/dynamic-profile/view/1865677","18-1865677")</f>
        <v>0</v>
      </c>
      <c r="B239" t="s">
        <v>3635</v>
      </c>
      <c r="C239" t="s">
        <v>3679</v>
      </c>
      <c r="D239" t="s">
        <v>257</v>
      </c>
      <c r="E239" t="s">
        <v>3683</v>
      </c>
      <c r="F239" t="s">
        <v>275</v>
      </c>
      <c r="G239" t="s">
        <v>275</v>
      </c>
      <c r="H239">
        <v>0</v>
      </c>
      <c r="I239" t="s">
        <v>274</v>
      </c>
      <c r="K239" t="s">
        <v>3714</v>
      </c>
      <c r="L239" t="s">
        <v>1666</v>
      </c>
      <c r="M239" t="s">
        <v>475</v>
      </c>
      <c r="N239" t="s">
        <v>1673</v>
      </c>
      <c r="O239" t="s">
        <v>274</v>
      </c>
      <c r="P239" t="s">
        <v>493</v>
      </c>
      <c r="Q239" t="s">
        <v>501</v>
      </c>
      <c r="S239" t="s">
        <v>503</v>
      </c>
      <c r="T239" t="s">
        <v>508</v>
      </c>
      <c r="U239" t="s">
        <v>511</v>
      </c>
      <c r="V239">
        <v>10458</v>
      </c>
      <c r="W239" t="s">
        <v>529</v>
      </c>
      <c r="X239" t="s">
        <v>548</v>
      </c>
      <c r="Y239" t="s">
        <v>275</v>
      </c>
      <c r="Z239" t="s">
        <v>3874</v>
      </c>
      <c r="AA239" t="s">
        <v>4022</v>
      </c>
      <c r="AB239" t="s">
        <v>902</v>
      </c>
      <c r="AC239" t="s">
        <v>906</v>
      </c>
      <c r="AD239" t="s">
        <v>275</v>
      </c>
      <c r="AE239" t="s">
        <v>919</v>
      </c>
      <c r="AF239" t="s">
        <v>923</v>
      </c>
      <c r="AI239">
        <v>6.65</v>
      </c>
      <c r="AJ239" t="s">
        <v>558</v>
      </c>
      <c r="AK239" t="s">
        <v>934</v>
      </c>
      <c r="AL239" t="s">
        <v>274</v>
      </c>
      <c r="AM239" t="s">
        <v>973</v>
      </c>
      <c r="AN239" t="s">
        <v>3714</v>
      </c>
      <c r="AO239" t="s">
        <v>978</v>
      </c>
      <c r="AP239" t="s">
        <v>290</v>
      </c>
      <c r="AQ239" t="s">
        <v>1041</v>
      </c>
      <c r="AR239" t="s">
        <v>1051</v>
      </c>
      <c r="AT239">
        <v>1</v>
      </c>
      <c r="AU239">
        <v>1</v>
      </c>
      <c r="AV239" t="s">
        <v>274</v>
      </c>
      <c r="AY239" t="s">
        <v>273</v>
      </c>
      <c r="BB239">
        <v>0</v>
      </c>
      <c r="BC239">
        <v>0</v>
      </c>
      <c r="BD239">
        <v>0</v>
      </c>
      <c r="BE239">
        <v>0</v>
      </c>
      <c r="BF239" t="s">
        <v>493</v>
      </c>
      <c r="BG239" t="s">
        <v>4217</v>
      </c>
      <c r="BH239">
        <v>13</v>
      </c>
      <c r="BI239" t="s">
        <v>1247</v>
      </c>
      <c r="BK239">
        <v>814911</v>
      </c>
    </row>
    <row r="240" spans="1:64">
      <c r="A240" s="1">
        <f>HYPERLINK("https://lsnyc.legalserver.org/matter/dynamic-profile/view/1864746","18-1864746")</f>
        <v>0</v>
      </c>
      <c r="B240" t="s">
        <v>3636</v>
      </c>
      <c r="C240" t="s">
        <v>3679</v>
      </c>
      <c r="D240" t="s">
        <v>257</v>
      </c>
      <c r="E240" t="s">
        <v>3683</v>
      </c>
      <c r="F240" t="s">
        <v>274</v>
      </c>
      <c r="G240" t="s">
        <v>274</v>
      </c>
      <c r="H240">
        <v>221.14</v>
      </c>
      <c r="I240" t="s">
        <v>274</v>
      </c>
      <c r="J240" t="s">
        <v>3696</v>
      </c>
      <c r="K240" t="s">
        <v>1011</v>
      </c>
      <c r="M240" t="s">
        <v>472</v>
      </c>
      <c r="N240" t="s">
        <v>287</v>
      </c>
      <c r="O240" t="s">
        <v>274</v>
      </c>
      <c r="P240" t="s">
        <v>492</v>
      </c>
      <c r="Q240" t="s">
        <v>501</v>
      </c>
      <c r="S240" t="s">
        <v>503</v>
      </c>
      <c r="T240" t="s">
        <v>508</v>
      </c>
      <c r="U240" t="s">
        <v>511</v>
      </c>
      <c r="V240">
        <v>10458</v>
      </c>
      <c r="W240" t="s">
        <v>532</v>
      </c>
      <c r="X240" t="s">
        <v>548</v>
      </c>
      <c r="Y240" t="s">
        <v>275</v>
      </c>
      <c r="Z240" t="s">
        <v>3875</v>
      </c>
      <c r="AA240" t="s">
        <v>4023</v>
      </c>
      <c r="AB240" t="s">
        <v>902</v>
      </c>
      <c r="AC240" t="s">
        <v>905</v>
      </c>
      <c r="AF240" t="s">
        <v>923</v>
      </c>
      <c r="AI240">
        <v>26.55</v>
      </c>
      <c r="AJ240" t="s">
        <v>558</v>
      </c>
      <c r="AK240" t="s">
        <v>934</v>
      </c>
      <c r="AL240" t="s">
        <v>274</v>
      </c>
      <c r="AM240" t="s">
        <v>973</v>
      </c>
      <c r="AN240" t="s">
        <v>997</v>
      </c>
      <c r="AO240" t="s">
        <v>2403</v>
      </c>
      <c r="AP240" t="s">
        <v>4073</v>
      </c>
      <c r="AT240">
        <v>0</v>
      </c>
      <c r="AU240">
        <v>2</v>
      </c>
      <c r="AV240" t="s">
        <v>273</v>
      </c>
      <c r="AY240" t="s">
        <v>273</v>
      </c>
      <c r="BB240">
        <v>0</v>
      </c>
      <c r="BC240">
        <v>0</v>
      </c>
      <c r="BD240">
        <v>0</v>
      </c>
      <c r="BE240">
        <v>0</v>
      </c>
      <c r="BF240" t="s">
        <v>1063</v>
      </c>
      <c r="BG240" t="s">
        <v>4218</v>
      </c>
      <c r="BH240">
        <v>58</v>
      </c>
      <c r="BI240" t="s">
        <v>1317</v>
      </c>
      <c r="BK240">
        <v>1865333</v>
      </c>
    </row>
    <row r="241" spans="1:64">
      <c r="A241" s="1">
        <f>HYPERLINK("https://lsnyc.legalserver.org/matter/dynamic-profile/view/1864798","18-1864798")</f>
        <v>0</v>
      </c>
      <c r="B241" t="s">
        <v>3637</v>
      </c>
      <c r="C241" t="s">
        <v>3679</v>
      </c>
      <c r="D241" t="s">
        <v>257</v>
      </c>
      <c r="E241" t="s">
        <v>3688</v>
      </c>
      <c r="F241" t="s">
        <v>273</v>
      </c>
      <c r="G241" t="s">
        <v>275</v>
      </c>
      <c r="H241">
        <v>0</v>
      </c>
      <c r="I241" t="s">
        <v>275</v>
      </c>
      <c r="K241" t="s">
        <v>1011</v>
      </c>
      <c r="P241" t="s">
        <v>496</v>
      </c>
      <c r="Q241" t="s">
        <v>501</v>
      </c>
      <c r="S241" t="s">
        <v>503</v>
      </c>
      <c r="T241" t="s">
        <v>507</v>
      </c>
      <c r="U241" t="s">
        <v>511</v>
      </c>
      <c r="V241">
        <v>10455</v>
      </c>
      <c r="W241" t="s">
        <v>525</v>
      </c>
      <c r="X241" t="s">
        <v>548</v>
      </c>
      <c r="Z241" t="s">
        <v>564</v>
      </c>
      <c r="AA241" t="s">
        <v>3149</v>
      </c>
      <c r="AB241" t="s">
        <v>902</v>
      </c>
      <c r="AC241" t="s">
        <v>904</v>
      </c>
      <c r="AF241" t="s">
        <v>923</v>
      </c>
      <c r="AI241">
        <v>18.5</v>
      </c>
      <c r="AK241" t="s">
        <v>950</v>
      </c>
      <c r="AM241" t="s">
        <v>973</v>
      </c>
      <c r="AN241" t="s">
        <v>479</v>
      </c>
      <c r="AT241">
        <v>0</v>
      </c>
      <c r="AU241">
        <v>2</v>
      </c>
      <c r="AV241" t="s">
        <v>273</v>
      </c>
      <c r="AY241" t="s">
        <v>273</v>
      </c>
      <c r="BB241">
        <v>0</v>
      </c>
      <c r="BC241">
        <v>0</v>
      </c>
      <c r="BD241">
        <v>0</v>
      </c>
      <c r="BE241">
        <v>0</v>
      </c>
      <c r="BF241" t="s">
        <v>1063</v>
      </c>
      <c r="BH241">
        <v>0</v>
      </c>
      <c r="BI241" t="s">
        <v>1247</v>
      </c>
      <c r="BK241">
        <v>1865385</v>
      </c>
    </row>
    <row r="242" spans="1:64">
      <c r="A242" s="1">
        <f>HYPERLINK("https://lsnyc.legalserver.org/matter/dynamic-profile/view/1864534","18-1864534")</f>
        <v>0</v>
      </c>
      <c r="B242" t="s">
        <v>3546</v>
      </c>
      <c r="C242" t="s">
        <v>3679</v>
      </c>
      <c r="D242" t="s">
        <v>257</v>
      </c>
      <c r="E242" t="s">
        <v>3684</v>
      </c>
      <c r="F242" t="s">
        <v>273</v>
      </c>
      <c r="G242" t="s">
        <v>275</v>
      </c>
      <c r="H242">
        <v>0</v>
      </c>
      <c r="I242" t="s">
        <v>274</v>
      </c>
      <c r="K242" t="s">
        <v>3715</v>
      </c>
      <c r="O242" t="s">
        <v>274</v>
      </c>
      <c r="P242" t="s">
        <v>496</v>
      </c>
      <c r="Q242" t="s">
        <v>502</v>
      </c>
      <c r="S242" t="s">
        <v>503</v>
      </c>
      <c r="T242" t="s">
        <v>508</v>
      </c>
      <c r="U242" t="s">
        <v>511</v>
      </c>
      <c r="V242">
        <v>10455</v>
      </c>
      <c r="W242" t="s">
        <v>529</v>
      </c>
      <c r="X242" t="s">
        <v>548</v>
      </c>
      <c r="Y242" t="s">
        <v>275</v>
      </c>
      <c r="Z242" t="s">
        <v>3809</v>
      </c>
      <c r="AA242" t="s">
        <v>3951</v>
      </c>
      <c r="AB242" t="s">
        <v>902</v>
      </c>
      <c r="AC242" t="s">
        <v>905</v>
      </c>
      <c r="AF242" t="s">
        <v>923</v>
      </c>
      <c r="AI242">
        <v>56.1</v>
      </c>
      <c r="AJ242" t="s">
        <v>558</v>
      </c>
      <c r="AK242" t="s">
        <v>934</v>
      </c>
      <c r="AL242" t="s">
        <v>274</v>
      </c>
      <c r="AM242" t="s">
        <v>973</v>
      </c>
      <c r="AN242" t="s">
        <v>3702</v>
      </c>
      <c r="AT242">
        <v>4</v>
      </c>
      <c r="AU242">
        <v>3</v>
      </c>
      <c r="AV242" t="s">
        <v>273</v>
      </c>
      <c r="AY242" t="s">
        <v>273</v>
      </c>
      <c r="BB242">
        <v>0</v>
      </c>
      <c r="BC242">
        <v>0</v>
      </c>
      <c r="BD242">
        <v>0</v>
      </c>
      <c r="BE242">
        <v>0</v>
      </c>
      <c r="BF242" t="s">
        <v>1063</v>
      </c>
      <c r="BG242" t="s">
        <v>4137</v>
      </c>
      <c r="BH242">
        <v>17</v>
      </c>
      <c r="BI242" t="s">
        <v>1247</v>
      </c>
      <c r="BK242">
        <v>1865117</v>
      </c>
      <c r="BL242" t="s">
        <v>274</v>
      </c>
    </row>
    <row r="243" spans="1:64">
      <c r="A243" s="1">
        <f>HYPERLINK("https://lsnyc.legalserver.org/matter/dynamic-profile/view/1862913","18-1862913")</f>
        <v>0</v>
      </c>
      <c r="B243" t="s">
        <v>3516</v>
      </c>
      <c r="C243" t="s">
        <v>3679</v>
      </c>
      <c r="D243" t="s">
        <v>257</v>
      </c>
      <c r="E243" t="s">
        <v>3684</v>
      </c>
      <c r="F243" t="s">
        <v>273</v>
      </c>
      <c r="G243" t="s">
        <v>275</v>
      </c>
      <c r="H243">
        <v>0</v>
      </c>
      <c r="I243" t="s">
        <v>274</v>
      </c>
      <c r="K243" t="s">
        <v>404</v>
      </c>
      <c r="M243" t="s">
        <v>471</v>
      </c>
      <c r="N243" t="s">
        <v>1737</v>
      </c>
      <c r="O243" t="s">
        <v>275</v>
      </c>
      <c r="P243" t="s">
        <v>496</v>
      </c>
      <c r="Q243" t="s">
        <v>501</v>
      </c>
      <c r="S243" t="s">
        <v>503</v>
      </c>
      <c r="T243" t="s">
        <v>507</v>
      </c>
      <c r="U243" t="s">
        <v>511</v>
      </c>
      <c r="V243">
        <v>10457</v>
      </c>
      <c r="W243" t="s">
        <v>518</v>
      </c>
      <c r="X243" t="s">
        <v>557</v>
      </c>
      <c r="Y243" t="s">
        <v>275</v>
      </c>
      <c r="Z243" t="s">
        <v>3786</v>
      </c>
      <c r="AA243" t="s">
        <v>3927</v>
      </c>
      <c r="AB243" t="s">
        <v>902</v>
      </c>
      <c r="AC243" t="s">
        <v>905</v>
      </c>
      <c r="AF243" t="s">
        <v>926</v>
      </c>
      <c r="AI243">
        <v>16.6</v>
      </c>
      <c r="AJ243" t="s">
        <v>558</v>
      </c>
      <c r="AK243" t="s">
        <v>970</v>
      </c>
      <c r="AL243" t="s">
        <v>274</v>
      </c>
      <c r="AT243">
        <v>0</v>
      </c>
      <c r="AU243">
        <v>1</v>
      </c>
      <c r="AV243" t="s">
        <v>273</v>
      </c>
      <c r="AY243" t="s">
        <v>273</v>
      </c>
      <c r="BB243">
        <v>0</v>
      </c>
      <c r="BC243">
        <v>0</v>
      </c>
      <c r="BD243">
        <v>0</v>
      </c>
      <c r="BE243">
        <v>0</v>
      </c>
      <c r="BF243" t="s">
        <v>1063</v>
      </c>
      <c r="BG243" t="s">
        <v>4109</v>
      </c>
      <c r="BH243">
        <v>33</v>
      </c>
      <c r="BI243" t="s">
        <v>1247</v>
      </c>
      <c r="BK243">
        <v>1863493</v>
      </c>
      <c r="BL243" t="s">
        <v>275</v>
      </c>
    </row>
    <row r="244" spans="1:64">
      <c r="A244" s="1">
        <f>HYPERLINK("https://lsnyc.legalserver.org/matter/dynamic-profile/view/1862393","18-1862393")</f>
        <v>0</v>
      </c>
      <c r="B244" t="s">
        <v>3638</v>
      </c>
      <c r="C244" t="s">
        <v>3679</v>
      </c>
      <c r="D244" t="s">
        <v>257</v>
      </c>
      <c r="E244" t="s">
        <v>3684</v>
      </c>
      <c r="F244" t="s">
        <v>273</v>
      </c>
      <c r="G244" t="s">
        <v>275</v>
      </c>
      <c r="H244">
        <v>150.14</v>
      </c>
      <c r="I244" t="s">
        <v>274</v>
      </c>
      <c r="K244" t="s">
        <v>1755</v>
      </c>
      <c r="M244" t="s">
        <v>472</v>
      </c>
      <c r="N244" t="s">
        <v>1668</v>
      </c>
      <c r="P244" t="s">
        <v>496</v>
      </c>
      <c r="Q244" t="s">
        <v>501</v>
      </c>
      <c r="S244" t="s">
        <v>503</v>
      </c>
      <c r="T244" t="s">
        <v>508</v>
      </c>
      <c r="U244" t="s">
        <v>511</v>
      </c>
      <c r="V244">
        <v>10472</v>
      </c>
      <c r="W244" t="s">
        <v>541</v>
      </c>
      <c r="X244" t="s">
        <v>548</v>
      </c>
      <c r="Y244" t="s">
        <v>275</v>
      </c>
      <c r="Z244" t="s">
        <v>3876</v>
      </c>
      <c r="AA244" t="s">
        <v>4024</v>
      </c>
      <c r="AB244" t="s">
        <v>902</v>
      </c>
      <c r="AC244" t="s">
        <v>910</v>
      </c>
      <c r="AF244" t="s">
        <v>923</v>
      </c>
      <c r="AI244">
        <v>6.8</v>
      </c>
      <c r="AJ244" t="s">
        <v>558</v>
      </c>
      <c r="AK244" t="s">
        <v>949</v>
      </c>
      <c r="AL244" t="s">
        <v>274</v>
      </c>
      <c r="AM244" t="s">
        <v>973</v>
      </c>
      <c r="AN244" t="s">
        <v>1745</v>
      </c>
      <c r="AT244">
        <v>1</v>
      </c>
      <c r="AU244">
        <v>2</v>
      </c>
      <c r="AV244" t="s">
        <v>273</v>
      </c>
      <c r="AY244" t="s">
        <v>273</v>
      </c>
      <c r="BB244">
        <v>0</v>
      </c>
      <c r="BC244">
        <v>0</v>
      </c>
      <c r="BD244">
        <v>0</v>
      </c>
      <c r="BE244">
        <v>0</v>
      </c>
      <c r="BF244" t="s">
        <v>1063</v>
      </c>
      <c r="BG244" t="s">
        <v>4219</v>
      </c>
      <c r="BH244">
        <v>23</v>
      </c>
      <c r="BI244" t="s">
        <v>1254</v>
      </c>
      <c r="BK244">
        <v>798294</v>
      </c>
      <c r="BL244" t="s">
        <v>274</v>
      </c>
    </row>
    <row r="245" spans="1:64">
      <c r="A245" s="1">
        <f>HYPERLINK("https://lsnyc.legalserver.org/matter/dynamic-profile/view/1861653","18-1861653")</f>
        <v>0</v>
      </c>
      <c r="B245" t="s">
        <v>3639</v>
      </c>
      <c r="C245" t="s">
        <v>3679</v>
      </c>
      <c r="D245" t="s">
        <v>257</v>
      </c>
      <c r="E245" t="s">
        <v>3687</v>
      </c>
      <c r="F245" t="s">
        <v>273</v>
      </c>
      <c r="G245" t="s">
        <v>275</v>
      </c>
      <c r="H245">
        <v>72.51000000000001</v>
      </c>
      <c r="I245" t="s">
        <v>274</v>
      </c>
      <c r="K245" t="s">
        <v>405</v>
      </c>
      <c r="L245" t="s">
        <v>453</v>
      </c>
      <c r="O245" t="s">
        <v>274</v>
      </c>
      <c r="P245" t="s">
        <v>493</v>
      </c>
      <c r="Q245" t="s">
        <v>501</v>
      </c>
      <c r="S245" t="s">
        <v>503</v>
      </c>
      <c r="T245" t="s">
        <v>508</v>
      </c>
      <c r="U245" t="s">
        <v>511</v>
      </c>
      <c r="V245">
        <v>10459</v>
      </c>
      <c r="W245" t="s">
        <v>523</v>
      </c>
      <c r="X245" t="s">
        <v>548</v>
      </c>
      <c r="Y245" t="s">
        <v>275</v>
      </c>
      <c r="Z245" t="s">
        <v>606</v>
      </c>
      <c r="AA245" t="s">
        <v>4025</v>
      </c>
      <c r="AB245" t="s">
        <v>902</v>
      </c>
      <c r="AC245" t="s">
        <v>904</v>
      </c>
      <c r="AD245" t="s">
        <v>275</v>
      </c>
      <c r="AE245" t="s">
        <v>919</v>
      </c>
      <c r="AI245">
        <v>3.25</v>
      </c>
      <c r="AJ245" t="s">
        <v>558</v>
      </c>
      <c r="AK245" t="s">
        <v>949</v>
      </c>
      <c r="AM245" t="s">
        <v>973</v>
      </c>
      <c r="AN245" t="s">
        <v>405</v>
      </c>
      <c r="AQ245" t="s">
        <v>1048</v>
      </c>
      <c r="AR245" t="s">
        <v>1051</v>
      </c>
      <c r="AT245">
        <v>2</v>
      </c>
      <c r="AU245">
        <v>2</v>
      </c>
      <c r="AV245" t="s">
        <v>273</v>
      </c>
      <c r="AY245" t="s">
        <v>273</v>
      </c>
      <c r="BB245">
        <v>0</v>
      </c>
      <c r="BC245">
        <v>0</v>
      </c>
      <c r="BD245">
        <v>0</v>
      </c>
      <c r="BE245">
        <v>0</v>
      </c>
      <c r="BF245" t="s">
        <v>493</v>
      </c>
      <c r="BG245" t="s">
        <v>4220</v>
      </c>
      <c r="BH245">
        <v>44</v>
      </c>
      <c r="BI245" t="s">
        <v>1260</v>
      </c>
      <c r="BK245">
        <v>826856</v>
      </c>
    </row>
    <row r="246" spans="1:64">
      <c r="A246" s="1">
        <f>HYPERLINK("https://lsnyc.legalserver.org/matter/dynamic-profile/view/1861334","18-1861334")</f>
        <v>0</v>
      </c>
      <c r="B246" t="s">
        <v>3640</v>
      </c>
      <c r="C246" t="s">
        <v>3679</v>
      </c>
      <c r="D246" t="s">
        <v>257</v>
      </c>
      <c r="E246" t="s">
        <v>3685</v>
      </c>
      <c r="F246" t="s">
        <v>273</v>
      </c>
      <c r="G246" t="s">
        <v>275</v>
      </c>
      <c r="H246">
        <v>0</v>
      </c>
      <c r="K246" t="s">
        <v>1756</v>
      </c>
      <c r="P246" t="s">
        <v>492</v>
      </c>
      <c r="Q246" t="s">
        <v>501</v>
      </c>
      <c r="S246" t="s">
        <v>503</v>
      </c>
      <c r="T246" t="s">
        <v>507</v>
      </c>
      <c r="U246" t="s">
        <v>511</v>
      </c>
      <c r="V246">
        <v>10458</v>
      </c>
      <c r="W246" t="s">
        <v>532</v>
      </c>
      <c r="X246" t="s">
        <v>548</v>
      </c>
      <c r="Y246" t="s">
        <v>275</v>
      </c>
      <c r="Z246" t="s">
        <v>3095</v>
      </c>
      <c r="AA246" t="s">
        <v>4026</v>
      </c>
      <c r="AB246" t="s">
        <v>902</v>
      </c>
      <c r="AC246" t="s">
        <v>909</v>
      </c>
      <c r="AF246" t="s">
        <v>923</v>
      </c>
      <c r="AI246">
        <v>18.45</v>
      </c>
      <c r="AK246" t="s">
        <v>950</v>
      </c>
      <c r="AT246">
        <v>0</v>
      </c>
      <c r="AU246">
        <v>1</v>
      </c>
      <c r="AV246" t="s">
        <v>273</v>
      </c>
      <c r="AY246" t="s">
        <v>273</v>
      </c>
      <c r="BB246">
        <v>0</v>
      </c>
      <c r="BC246">
        <v>0</v>
      </c>
      <c r="BD246">
        <v>0</v>
      </c>
      <c r="BE246">
        <v>0</v>
      </c>
      <c r="BF246" t="s">
        <v>1063</v>
      </c>
      <c r="BG246" t="s">
        <v>4221</v>
      </c>
      <c r="BH246">
        <v>33</v>
      </c>
      <c r="BI246" t="s">
        <v>1247</v>
      </c>
      <c r="BK246">
        <v>797799</v>
      </c>
      <c r="BL246" t="s">
        <v>275</v>
      </c>
    </row>
    <row r="247" spans="1:64">
      <c r="A247" s="1">
        <f>HYPERLINK("https://lsnyc.legalserver.org/matter/dynamic-profile/view/1860734","18-1860734")</f>
        <v>0</v>
      </c>
      <c r="B247" t="s">
        <v>3641</v>
      </c>
      <c r="C247" t="s">
        <v>3679</v>
      </c>
      <c r="D247" t="s">
        <v>257</v>
      </c>
      <c r="E247" t="s">
        <v>3684</v>
      </c>
      <c r="F247" t="s">
        <v>273</v>
      </c>
      <c r="G247" t="s">
        <v>275</v>
      </c>
      <c r="H247">
        <v>113.94</v>
      </c>
      <c r="I247" t="s">
        <v>274</v>
      </c>
      <c r="K247" t="s">
        <v>3716</v>
      </c>
      <c r="O247" t="s">
        <v>274</v>
      </c>
      <c r="P247" t="s">
        <v>496</v>
      </c>
      <c r="Q247" t="s">
        <v>501</v>
      </c>
      <c r="S247" t="s">
        <v>503</v>
      </c>
      <c r="T247" t="s">
        <v>508</v>
      </c>
      <c r="U247" t="s">
        <v>511</v>
      </c>
      <c r="V247">
        <v>10451</v>
      </c>
      <c r="W247" t="s">
        <v>519</v>
      </c>
      <c r="X247" t="s">
        <v>548</v>
      </c>
      <c r="Y247" t="s">
        <v>275</v>
      </c>
      <c r="Z247" t="s">
        <v>3877</v>
      </c>
      <c r="AA247" t="s">
        <v>4027</v>
      </c>
      <c r="AB247" t="s">
        <v>902</v>
      </c>
      <c r="AC247" t="s">
        <v>905</v>
      </c>
      <c r="AF247" t="s">
        <v>926</v>
      </c>
      <c r="AI247">
        <v>23.75</v>
      </c>
      <c r="AJ247" t="s">
        <v>558</v>
      </c>
      <c r="AK247" t="s">
        <v>934</v>
      </c>
      <c r="AL247" t="s">
        <v>274</v>
      </c>
      <c r="AM247" t="s">
        <v>973</v>
      </c>
      <c r="AN247" t="s">
        <v>1017</v>
      </c>
      <c r="AT247">
        <v>2</v>
      </c>
      <c r="AU247">
        <v>2</v>
      </c>
      <c r="AV247" t="s">
        <v>273</v>
      </c>
      <c r="AY247" t="s">
        <v>273</v>
      </c>
      <c r="BB247">
        <v>0</v>
      </c>
      <c r="BC247">
        <v>0</v>
      </c>
      <c r="BD247">
        <v>0</v>
      </c>
      <c r="BE247">
        <v>0</v>
      </c>
      <c r="BF247" t="s">
        <v>1063</v>
      </c>
      <c r="BG247" t="s">
        <v>4222</v>
      </c>
      <c r="BH247">
        <v>33</v>
      </c>
      <c r="BI247" t="s">
        <v>4265</v>
      </c>
      <c r="BK247">
        <v>1861311</v>
      </c>
      <c r="BL247" t="s">
        <v>274</v>
      </c>
    </row>
    <row r="248" spans="1:64">
      <c r="A248" s="1">
        <f>HYPERLINK("https://lsnyc.legalserver.org/matter/dynamic-profile/view/1860786","18-1860786")</f>
        <v>0</v>
      </c>
      <c r="B248" t="s">
        <v>3642</v>
      </c>
      <c r="C248" t="s">
        <v>3679</v>
      </c>
      <c r="D248" t="s">
        <v>257</v>
      </c>
      <c r="E248" t="s">
        <v>3684</v>
      </c>
      <c r="F248" t="s">
        <v>273</v>
      </c>
      <c r="G248" t="s">
        <v>275</v>
      </c>
      <c r="H248">
        <v>40.68</v>
      </c>
      <c r="I248" t="s">
        <v>274</v>
      </c>
      <c r="K248" t="s">
        <v>3716</v>
      </c>
      <c r="P248" t="s">
        <v>495</v>
      </c>
      <c r="Q248" t="s">
        <v>501</v>
      </c>
      <c r="S248" t="s">
        <v>503</v>
      </c>
      <c r="T248" t="s">
        <v>508</v>
      </c>
      <c r="U248" t="s">
        <v>511</v>
      </c>
      <c r="V248">
        <v>10467</v>
      </c>
      <c r="W248" t="s">
        <v>522</v>
      </c>
      <c r="X248" t="s">
        <v>548</v>
      </c>
      <c r="Y248" t="s">
        <v>275</v>
      </c>
      <c r="Z248" t="s">
        <v>3878</v>
      </c>
      <c r="AA248" t="s">
        <v>4028</v>
      </c>
      <c r="AB248" t="s">
        <v>902</v>
      </c>
      <c r="AC248" t="s">
        <v>904</v>
      </c>
      <c r="AF248" t="s">
        <v>923</v>
      </c>
      <c r="AI248">
        <v>1.2</v>
      </c>
      <c r="AJ248" t="s">
        <v>558</v>
      </c>
      <c r="AK248" t="s">
        <v>950</v>
      </c>
      <c r="AL248" t="s">
        <v>274</v>
      </c>
      <c r="AM248" t="s">
        <v>979</v>
      </c>
      <c r="AN248" t="s">
        <v>4064</v>
      </c>
      <c r="AT248">
        <v>4</v>
      </c>
      <c r="AU248">
        <v>1</v>
      </c>
      <c r="AV248" t="s">
        <v>273</v>
      </c>
      <c r="AY248" t="s">
        <v>273</v>
      </c>
      <c r="BB248">
        <v>0</v>
      </c>
      <c r="BC248">
        <v>0</v>
      </c>
      <c r="BD248">
        <v>0</v>
      </c>
      <c r="BE248">
        <v>0</v>
      </c>
      <c r="BF248" t="s">
        <v>1063</v>
      </c>
      <c r="BG248" t="s">
        <v>4223</v>
      </c>
      <c r="BH248">
        <v>33</v>
      </c>
      <c r="BI248" t="s">
        <v>4273</v>
      </c>
      <c r="BK248">
        <v>1850207</v>
      </c>
      <c r="BL248" t="s">
        <v>275</v>
      </c>
    </row>
    <row r="249" spans="1:64">
      <c r="A249" s="1">
        <f>HYPERLINK("https://lsnyc.legalserver.org/matter/dynamic-profile/view/1860414","18-1860414")</f>
        <v>0</v>
      </c>
      <c r="B249" t="s">
        <v>3643</v>
      </c>
      <c r="C249" t="s">
        <v>3679</v>
      </c>
      <c r="D249" t="s">
        <v>257</v>
      </c>
      <c r="E249" t="s">
        <v>3686</v>
      </c>
      <c r="F249" t="s">
        <v>273</v>
      </c>
      <c r="G249" t="s">
        <v>275</v>
      </c>
      <c r="H249">
        <v>0</v>
      </c>
      <c r="I249" t="s">
        <v>274</v>
      </c>
      <c r="K249" t="s">
        <v>3007</v>
      </c>
      <c r="O249" t="s">
        <v>274</v>
      </c>
      <c r="P249" t="s">
        <v>492</v>
      </c>
      <c r="Q249" t="s">
        <v>501</v>
      </c>
      <c r="S249" t="s">
        <v>503</v>
      </c>
      <c r="T249" t="s">
        <v>508</v>
      </c>
      <c r="U249" t="s">
        <v>511</v>
      </c>
      <c r="V249">
        <v>10453</v>
      </c>
      <c r="W249" t="s">
        <v>518</v>
      </c>
      <c r="X249" t="s">
        <v>548</v>
      </c>
      <c r="Z249" t="s">
        <v>3879</v>
      </c>
      <c r="AA249" t="s">
        <v>4029</v>
      </c>
      <c r="AB249" t="s">
        <v>902</v>
      </c>
      <c r="AC249" t="s">
        <v>905</v>
      </c>
      <c r="AF249" t="s">
        <v>926</v>
      </c>
      <c r="AI249">
        <v>23.3</v>
      </c>
      <c r="AJ249" t="s">
        <v>558</v>
      </c>
      <c r="AK249" t="s">
        <v>934</v>
      </c>
      <c r="AM249" t="s">
        <v>973</v>
      </c>
      <c r="AN249" t="s">
        <v>399</v>
      </c>
      <c r="AT249">
        <v>1</v>
      </c>
      <c r="AU249">
        <v>1</v>
      </c>
      <c r="AV249" t="s">
        <v>273</v>
      </c>
      <c r="AY249" t="s">
        <v>273</v>
      </c>
      <c r="BB249">
        <v>0</v>
      </c>
      <c r="BC249">
        <v>0</v>
      </c>
      <c r="BD249">
        <v>0</v>
      </c>
      <c r="BE249">
        <v>0</v>
      </c>
      <c r="BF249" t="s">
        <v>1063</v>
      </c>
      <c r="BG249" t="s">
        <v>4224</v>
      </c>
      <c r="BH249">
        <v>7</v>
      </c>
      <c r="BI249" t="s">
        <v>1247</v>
      </c>
      <c r="BK249">
        <v>831371</v>
      </c>
    </row>
    <row r="250" spans="1:64">
      <c r="A250" s="1">
        <f>HYPERLINK("https://lsnyc.legalserver.org/matter/dynamic-profile/view/1859811","18-1859811")</f>
        <v>0</v>
      </c>
      <c r="B250" t="s">
        <v>3617</v>
      </c>
      <c r="C250" t="s">
        <v>3679</v>
      </c>
      <c r="D250" t="s">
        <v>257</v>
      </c>
      <c r="E250" t="s">
        <v>3687</v>
      </c>
      <c r="F250" t="s">
        <v>273</v>
      </c>
      <c r="G250" t="s">
        <v>275</v>
      </c>
      <c r="H250">
        <v>8.779999999999999</v>
      </c>
      <c r="I250" t="s">
        <v>274</v>
      </c>
      <c r="K250" t="s">
        <v>3717</v>
      </c>
      <c r="P250" t="s">
        <v>496</v>
      </c>
      <c r="Q250" t="s">
        <v>501</v>
      </c>
      <c r="S250" t="s">
        <v>503</v>
      </c>
      <c r="T250" t="s">
        <v>508</v>
      </c>
      <c r="U250" t="s">
        <v>511</v>
      </c>
      <c r="V250">
        <v>10473</v>
      </c>
      <c r="W250" t="s">
        <v>1831</v>
      </c>
      <c r="X250" t="s">
        <v>549</v>
      </c>
      <c r="Y250" t="s">
        <v>275</v>
      </c>
      <c r="Z250" t="s">
        <v>3861</v>
      </c>
      <c r="AA250" t="s">
        <v>2350</v>
      </c>
      <c r="AB250" t="s">
        <v>903</v>
      </c>
      <c r="AF250" t="s">
        <v>923</v>
      </c>
      <c r="AI250">
        <v>20</v>
      </c>
      <c r="AJ250" t="s">
        <v>558</v>
      </c>
      <c r="AK250" t="s">
        <v>960</v>
      </c>
      <c r="AM250" t="s">
        <v>973</v>
      </c>
      <c r="AT250">
        <v>3</v>
      </c>
      <c r="AU250">
        <v>1</v>
      </c>
      <c r="AV250" t="s">
        <v>273</v>
      </c>
      <c r="AY250" t="s">
        <v>273</v>
      </c>
      <c r="BB250">
        <v>0</v>
      </c>
      <c r="BC250">
        <v>0</v>
      </c>
      <c r="BD250">
        <v>0</v>
      </c>
      <c r="BE250">
        <v>0</v>
      </c>
      <c r="BF250" t="s">
        <v>1063</v>
      </c>
      <c r="BG250" t="s">
        <v>2446</v>
      </c>
      <c r="BH250">
        <v>47</v>
      </c>
      <c r="BI250" t="s">
        <v>4274</v>
      </c>
      <c r="BK250">
        <v>1860387</v>
      </c>
    </row>
    <row r="251" spans="1:64">
      <c r="A251" s="1">
        <f>HYPERLINK("https://lsnyc.legalserver.org/matter/dynamic-profile/view/1859398","18-1859398")</f>
        <v>0</v>
      </c>
      <c r="B251" t="s">
        <v>3644</v>
      </c>
      <c r="C251" t="s">
        <v>3679</v>
      </c>
      <c r="D251" t="s">
        <v>257</v>
      </c>
      <c r="E251" t="s">
        <v>3683</v>
      </c>
      <c r="F251" t="s">
        <v>273</v>
      </c>
      <c r="G251" t="s">
        <v>275</v>
      </c>
      <c r="H251">
        <v>0</v>
      </c>
      <c r="I251" t="s">
        <v>274</v>
      </c>
      <c r="K251" t="s">
        <v>410</v>
      </c>
      <c r="M251" t="s">
        <v>471</v>
      </c>
      <c r="N251" t="s">
        <v>3750</v>
      </c>
      <c r="O251" t="s">
        <v>275</v>
      </c>
      <c r="P251" t="s">
        <v>496</v>
      </c>
      <c r="Q251" t="s">
        <v>501</v>
      </c>
      <c r="S251" t="s">
        <v>503</v>
      </c>
      <c r="T251" t="s">
        <v>507</v>
      </c>
      <c r="U251" t="s">
        <v>511</v>
      </c>
      <c r="V251">
        <v>10472</v>
      </c>
      <c r="W251" t="s">
        <v>519</v>
      </c>
      <c r="X251" t="s">
        <v>549</v>
      </c>
      <c r="Y251" t="s">
        <v>275</v>
      </c>
      <c r="Z251" t="s">
        <v>3222</v>
      </c>
      <c r="AA251" t="s">
        <v>4030</v>
      </c>
      <c r="AB251" t="s">
        <v>902</v>
      </c>
      <c r="AC251" t="s">
        <v>905</v>
      </c>
      <c r="AD251" t="s">
        <v>275</v>
      </c>
      <c r="AF251" t="s">
        <v>923</v>
      </c>
      <c r="AI251">
        <v>102.8</v>
      </c>
      <c r="AJ251" t="s">
        <v>558</v>
      </c>
      <c r="AK251" t="s">
        <v>3265</v>
      </c>
      <c r="AL251" t="s">
        <v>274</v>
      </c>
      <c r="AM251" t="s">
        <v>973</v>
      </c>
      <c r="AN251" t="s">
        <v>402</v>
      </c>
      <c r="AT251">
        <v>0</v>
      </c>
      <c r="AU251">
        <v>1</v>
      </c>
      <c r="AV251" t="s">
        <v>273</v>
      </c>
      <c r="AY251" t="s">
        <v>273</v>
      </c>
      <c r="BB251">
        <v>0</v>
      </c>
      <c r="BC251">
        <v>0</v>
      </c>
      <c r="BD251">
        <v>0</v>
      </c>
      <c r="BE251">
        <v>0</v>
      </c>
      <c r="BF251" t="s">
        <v>1063</v>
      </c>
      <c r="BG251" t="s">
        <v>4225</v>
      </c>
      <c r="BH251">
        <v>34</v>
      </c>
      <c r="BI251" t="s">
        <v>1247</v>
      </c>
      <c r="BK251">
        <v>1859972</v>
      </c>
    </row>
    <row r="252" spans="1:64">
      <c r="A252" s="1">
        <f>HYPERLINK("https://lsnyc.legalserver.org/matter/dynamic-profile/view/1859037","18-1859037")</f>
        <v>0</v>
      </c>
      <c r="B252" t="s">
        <v>3645</v>
      </c>
      <c r="C252" t="s">
        <v>3679</v>
      </c>
      <c r="D252" t="s">
        <v>255</v>
      </c>
      <c r="E252" t="s">
        <v>3683</v>
      </c>
      <c r="F252" t="s">
        <v>273</v>
      </c>
      <c r="G252" t="s">
        <v>275</v>
      </c>
      <c r="H252">
        <v>49.95</v>
      </c>
      <c r="I252" t="s">
        <v>274</v>
      </c>
      <c r="K252" t="s">
        <v>3718</v>
      </c>
      <c r="M252" t="s">
        <v>472</v>
      </c>
      <c r="N252" t="s">
        <v>451</v>
      </c>
      <c r="O252" t="s">
        <v>274</v>
      </c>
      <c r="P252" t="s">
        <v>492</v>
      </c>
      <c r="Q252" t="s">
        <v>501</v>
      </c>
      <c r="S252" t="s">
        <v>503</v>
      </c>
      <c r="T252" t="s">
        <v>508</v>
      </c>
      <c r="U252" t="s">
        <v>511</v>
      </c>
      <c r="V252">
        <v>10453</v>
      </c>
      <c r="W252" t="s">
        <v>536</v>
      </c>
      <c r="X252" t="s">
        <v>548</v>
      </c>
      <c r="Y252" t="s">
        <v>275</v>
      </c>
      <c r="Z252" t="s">
        <v>2011</v>
      </c>
      <c r="AA252" t="s">
        <v>4031</v>
      </c>
      <c r="AB252" t="s">
        <v>902</v>
      </c>
      <c r="AC252" t="s">
        <v>905</v>
      </c>
      <c r="AD252" t="s">
        <v>274</v>
      </c>
      <c r="AF252" t="s">
        <v>923</v>
      </c>
      <c r="AI252">
        <v>49.35</v>
      </c>
      <c r="AJ252" t="s">
        <v>558</v>
      </c>
      <c r="AK252" t="s">
        <v>950</v>
      </c>
      <c r="AL252" t="s">
        <v>274</v>
      </c>
      <c r="AM252" t="s">
        <v>973</v>
      </c>
      <c r="AN252" t="s">
        <v>1756</v>
      </c>
      <c r="AS252" t="s">
        <v>4075</v>
      </c>
      <c r="AT252">
        <v>0</v>
      </c>
      <c r="AU252">
        <v>3</v>
      </c>
      <c r="AV252" t="s">
        <v>273</v>
      </c>
      <c r="AY252" t="s">
        <v>273</v>
      </c>
      <c r="BB252">
        <v>0</v>
      </c>
      <c r="BC252">
        <v>0</v>
      </c>
      <c r="BD252">
        <v>0</v>
      </c>
      <c r="BE252">
        <v>0</v>
      </c>
      <c r="BF252" t="s">
        <v>1063</v>
      </c>
      <c r="BG252" t="s">
        <v>4226</v>
      </c>
      <c r="BH252">
        <v>44</v>
      </c>
      <c r="BI252" t="s">
        <v>4275</v>
      </c>
      <c r="BK252">
        <v>1859611</v>
      </c>
    </row>
    <row r="253" spans="1:64">
      <c r="A253" s="1">
        <f>HYPERLINK("https://lsnyc.legalserver.org/matter/dynamic-profile/view/1859133","18-1859133")</f>
        <v>0</v>
      </c>
      <c r="B253" t="s">
        <v>3646</v>
      </c>
      <c r="C253" t="s">
        <v>3679</v>
      </c>
      <c r="D253" t="s">
        <v>257</v>
      </c>
      <c r="E253" t="s">
        <v>3683</v>
      </c>
      <c r="F253" t="s">
        <v>273</v>
      </c>
      <c r="G253" t="s">
        <v>275</v>
      </c>
      <c r="H253">
        <v>0</v>
      </c>
      <c r="I253" t="s">
        <v>274</v>
      </c>
      <c r="K253" t="s">
        <v>3718</v>
      </c>
      <c r="M253" t="s">
        <v>472</v>
      </c>
      <c r="N253" t="s">
        <v>1671</v>
      </c>
      <c r="O253" t="s">
        <v>274</v>
      </c>
      <c r="P253" t="s">
        <v>496</v>
      </c>
      <c r="Q253" t="s">
        <v>501</v>
      </c>
      <c r="S253" t="s">
        <v>503</v>
      </c>
      <c r="T253" t="s">
        <v>507</v>
      </c>
      <c r="U253" t="s">
        <v>511</v>
      </c>
      <c r="V253">
        <v>10453</v>
      </c>
      <c r="W253" t="s">
        <v>529</v>
      </c>
      <c r="X253" t="s">
        <v>557</v>
      </c>
      <c r="Y253" t="s">
        <v>275</v>
      </c>
      <c r="Z253" t="s">
        <v>3880</v>
      </c>
      <c r="AA253" t="s">
        <v>4032</v>
      </c>
      <c r="AB253" t="s">
        <v>902</v>
      </c>
      <c r="AC253" t="s">
        <v>905</v>
      </c>
      <c r="AF253" t="s">
        <v>923</v>
      </c>
      <c r="AI253">
        <v>16.05</v>
      </c>
      <c r="AJ253" t="s">
        <v>558</v>
      </c>
      <c r="AK253" t="s">
        <v>3268</v>
      </c>
      <c r="AM253" t="s">
        <v>973</v>
      </c>
      <c r="AN253" t="s">
        <v>1759</v>
      </c>
      <c r="AT253">
        <v>0</v>
      </c>
      <c r="AU253">
        <v>2</v>
      </c>
      <c r="AV253" t="s">
        <v>275</v>
      </c>
      <c r="AY253" t="s">
        <v>273</v>
      </c>
      <c r="BB253">
        <v>0</v>
      </c>
      <c r="BC253">
        <v>0</v>
      </c>
      <c r="BD253">
        <v>0</v>
      </c>
      <c r="BE253">
        <v>0</v>
      </c>
      <c r="BF253" t="s">
        <v>1063</v>
      </c>
      <c r="BG253" t="s">
        <v>4227</v>
      </c>
      <c r="BH253">
        <v>19</v>
      </c>
      <c r="BI253" t="s">
        <v>1247</v>
      </c>
      <c r="BK253">
        <v>814952</v>
      </c>
    </row>
    <row r="254" spans="1:64">
      <c r="A254" s="1">
        <f>HYPERLINK("https://lsnyc.legalserver.org/matter/dynamic-profile/view/1858521","18-1858521")</f>
        <v>0</v>
      </c>
      <c r="B254" t="s">
        <v>3647</v>
      </c>
      <c r="C254" t="s">
        <v>3679</v>
      </c>
      <c r="D254" t="s">
        <v>257</v>
      </c>
      <c r="E254" t="s">
        <v>3686</v>
      </c>
      <c r="F254" t="s">
        <v>273</v>
      </c>
      <c r="G254" t="s">
        <v>275</v>
      </c>
      <c r="H254">
        <v>0</v>
      </c>
      <c r="I254" t="s">
        <v>274</v>
      </c>
      <c r="K254" t="s">
        <v>3719</v>
      </c>
      <c r="P254" t="s">
        <v>492</v>
      </c>
      <c r="Q254" t="s">
        <v>502</v>
      </c>
      <c r="S254" t="s">
        <v>503</v>
      </c>
      <c r="T254" t="s">
        <v>507</v>
      </c>
      <c r="U254" t="s">
        <v>511</v>
      </c>
      <c r="V254">
        <v>10454</v>
      </c>
      <c r="W254" t="s">
        <v>519</v>
      </c>
      <c r="X254" t="s">
        <v>548</v>
      </c>
      <c r="Y254" t="s">
        <v>275</v>
      </c>
      <c r="Z254" t="s">
        <v>1952</v>
      </c>
      <c r="AA254" t="s">
        <v>4033</v>
      </c>
      <c r="AB254" t="s">
        <v>902</v>
      </c>
      <c r="AC254" t="s">
        <v>906</v>
      </c>
      <c r="AF254" t="s">
        <v>926</v>
      </c>
      <c r="AI254">
        <v>0.85</v>
      </c>
      <c r="AK254" t="s">
        <v>934</v>
      </c>
      <c r="AM254" t="s">
        <v>973</v>
      </c>
      <c r="AN254" t="s">
        <v>425</v>
      </c>
      <c r="AT254">
        <v>2</v>
      </c>
      <c r="AU254">
        <v>1</v>
      </c>
      <c r="AV254" t="s">
        <v>273</v>
      </c>
      <c r="AY254" t="s">
        <v>273</v>
      </c>
      <c r="BB254">
        <v>0</v>
      </c>
      <c r="BC254">
        <v>0</v>
      </c>
      <c r="BD254">
        <v>0</v>
      </c>
      <c r="BE254">
        <v>0</v>
      </c>
      <c r="BF254" t="s">
        <v>1063</v>
      </c>
      <c r="BG254" t="s">
        <v>4228</v>
      </c>
      <c r="BH254">
        <v>7</v>
      </c>
      <c r="BI254" t="s">
        <v>1247</v>
      </c>
      <c r="BK254">
        <v>1835250</v>
      </c>
    </row>
    <row r="255" spans="1:64">
      <c r="A255" s="1">
        <f>HYPERLINK("https://lsnyc.legalserver.org/matter/dynamic-profile/view/1857573","18-1857573")</f>
        <v>0</v>
      </c>
      <c r="B255" t="s">
        <v>3648</v>
      </c>
      <c r="C255" t="s">
        <v>3679</v>
      </c>
      <c r="D255" t="s">
        <v>257</v>
      </c>
      <c r="E255" t="s">
        <v>3683</v>
      </c>
      <c r="F255" t="s">
        <v>273</v>
      </c>
      <c r="G255" t="s">
        <v>275</v>
      </c>
      <c r="H255">
        <v>178.06</v>
      </c>
      <c r="I255" t="s">
        <v>274</v>
      </c>
      <c r="K255" t="s">
        <v>412</v>
      </c>
      <c r="O255" t="s">
        <v>274</v>
      </c>
      <c r="P255" t="s">
        <v>496</v>
      </c>
      <c r="Q255" t="s">
        <v>501</v>
      </c>
      <c r="S255" t="s">
        <v>503</v>
      </c>
      <c r="T255" t="s">
        <v>507</v>
      </c>
      <c r="U255" t="s">
        <v>511</v>
      </c>
      <c r="V255">
        <v>10459</v>
      </c>
      <c r="W255" t="s">
        <v>523</v>
      </c>
      <c r="X255" t="s">
        <v>549</v>
      </c>
      <c r="Y255" t="s">
        <v>275</v>
      </c>
      <c r="Z255" t="s">
        <v>3881</v>
      </c>
      <c r="AA255" t="s">
        <v>4034</v>
      </c>
      <c r="AB255" t="s">
        <v>903</v>
      </c>
      <c r="AF255" t="s">
        <v>923</v>
      </c>
      <c r="AI255">
        <v>5.7</v>
      </c>
      <c r="AJ255" t="s">
        <v>558</v>
      </c>
      <c r="AK255" t="s">
        <v>936</v>
      </c>
      <c r="AM255" t="s">
        <v>973</v>
      </c>
      <c r="AN255" t="s">
        <v>4065</v>
      </c>
      <c r="AT255">
        <v>1</v>
      </c>
      <c r="AU255">
        <v>2</v>
      </c>
      <c r="AV255" t="s">
        <v>273</v>
      </c>
      <c r="AY255" t="s">
        <v>273</v>
      </c>
      <c r="BB255">
        <v>0</v>
      </c>
      <c r="BC255">
        <v>0</v>
      </c>
      <c r="BD255">
        <v>0</v>
      </c>
      <c r="BE255">
        <v>0</v>
      </c>
      <c r="BF255" t="s">
        <v>1063</v>
      </c>
      <c r="BG255" t="s">
        <v>4229</v>
      </c>
      <c r="BH255">
        <v>25</v>
      </c>
      <c r="BI255" t="s">
        <v>4276</v>
      </c>
      <c r="BK255">
        <v>1846946</v>
      </c>
    </row>
    <row r="256" spans="1:64">
      <c r="A256" s="1">
        <f>HYPERLINK("https://lsnyc.legalserver.org/matter/dynamic-profile/view/1857583","18-1857583")</f>
        <v>0</v>
      </c>
      <c r="B256" t="s">
        <v>3541</v>
      </c>
      <c r="C256" t="s">
        <v>3679</v>
      </c>
      <c r="D256" t="s">
        <v>257</v>
      </c>
      <c r="E256" t="s">
        <v>3683</v>
      </c>
      <c r="F256" t="s">
        <v>273</v>
      </c>
      <c r="G256" t="s">
        <v>275</v>
      </c>
      <c r="H256">
        <v>0</v>
      </c>
      <c r="I256" t="s">
        <v>274</v>
      </c>
      <c r="K256" t="s">
        <v>412</v>
      </c>
      <c r="M256" t="s">
        <v>473</v>
      </c>
      <c r="N256" t="s">
        <v>457</v>
      </c>
      <c r="O256" t="s">
        <v>274</v>
      </c>
      <c r="P256" t="s">
        <v>492</v>
      </c>
      <c r="Q256" t="s">
        <v>502</v>
      </c>
      <c r="S256" t="s">
        <v>503</v>
      </c>
      <c r="T256" t="s">
        <v>508</v>
      </c>
      <c r="U256" t="s">
        <v>511</v>
      </c>
      <c r="V256">
        <v>10454</v>
      </c>
      <c r="W256" t="s">
        <v>521</v>
      </c>
      <c r="X256" t="s">
        <v>548</v>
      </c>
      <c r="Z256" t="s">
        <v>3805</v>
      </c>
      <c r="AA256" t="s">
        <v>3947</v>
      </c>
      <c r="AB256" t="s">
        <v>902</v>
      </c>
      <c r="AC256" t="s">
        <v>905</v>
      </c>
      <c r="AD256" t="s">
        <v>274</v>
      </c>
      <c r="AF256" t="s">
        <v>926</v>
      </c>
      <c r="AI256">
        <v>40.6</v>
      </c>
      <c r="AK256" t="s">
        <v>934</v>
      </c>
      <c r="AL256" t="s">
        <v>274</v>
      </c>
      <c r="AM256" t="s">
        <v>973</v>
      </c>
      <c r="AN256" t="s">
        <v>364</v>
      </c>
      <c r="AT256">
        <v>0</v>
      </c>
      <c r="AU256">
        <v>2</v>
      </c>
      <c r="AV256" t="s">
        <v>273</v>
      </c>
      <c r="AY256" t="s">
        <v>273</v>
      </c>
      <c r="BB256">
        <v>0</v>
      </c>
      <c r="BC256">
        <v>0</v>
      </c>
      <c r="BD256">
        <v>0</v>
      </c>
      <c r="BE256">
        <v>0</v>
      </c>
      <c r="BF256" t="s">
        <v>1063</v>
      </c>
      <c r="BG256" t="s">
        <v>4132</v>
      </c>
      <c r="BH256">
        <v>18</v>
      </c>
      <c r="BI256" t="s">
        <v>1247</v>
      </c>
      <c r="BK256">
        <v>1858149</v>
      </c>
    </row>
    <row r="257" spans="1:64">
      <c r="A257" s="1">
        <f>HYPERLINK("https://lsnyc.legalserver.org/matter/dynamic-profile/view/1856886","18-1856886")</f>
        <v>0</v>
      </c>
      <c r="B257" t="s">
        <v>3649</v>
      </c>
      <c r="C257" t="s">
        <v>3679</v>
      </c>
      <c r="D257" t="s">
        <v>257</v>
      </c>
      <c r="E257" t="s">
        <v>3683</v>
      </c>
      <c r="F257" t="s">
        <v>275</v>
      </c>
      <c r="G257" t="s">
        <v>275</v>
      </c>
      <c r="H257">
        <v>0</v>
      </c>
      <c r="I257" t="s">
        <v>274</v>
      </c>
      <c r="K257" t="s">
        <v>1019</v>
      </c>
      <c r="L257" t="s">
        <v>1666</v>
      </c>
      <c r="P257" t="s">
        <v>493</v>
      </c>
      <c r="Q257" t="s">
        <v>501</v>
      </c>
      <c r="S257" t="s">
        <v>503</v>
      </c>
      <c r="T257" t="s">
        <v>508</v>
      </c>
      <c r="U257" t="s">
        <v>511</v>
      </c>
      <c r="V257">
        <v>10451</v>
      </c>
      <c r="W257" t="s">
        <v>542</v>
      </c>
      <c r="X257" t="s">
        <v>548</v>
      </c>
      <c r="Y257" t="s">
        <v>275</v>
      </c>
      <c r="Z257" t="s">
        <v>3882</v>
      </c>
      <c r="AA257" t="s">
        <v>4035</v>
      </c>
      <c r="AB257" t="s">
        <v>902</v>
      </c>
      <c r="AC257" t="s">
        <v>908</v>
      </c>
      <c r="AD257" t="s">
        <v>916</v>
      </c>
      <c r="AE257" t="s">
        <v>919</v>
      </c>
      <c r="AF257" t="s">
        <v>923</v>
      </c>
      <c r="AI257">
        <v>13.5</v>
      </c>
      <c r="AJ257" t="s">
        <v>558</v>
      </c>
      <c r="AK257" t="s">
        <v>933</v>
      </c>
      <c r="AM257" t="s">
        <v>973</v>
      </c>
      <c r="AN257" t="s">
        <v>405</v>
      </c>
      <c r="AQ257" t="s">
        <v>1050</v>
      </c>
      <c r="AR257" t="s">
        <v>1051</v>
      </c>
      <c r="AT257">
        <v>3</v>
      </c>
      <c r="AU257">
        <v>3</v>
      </c>
      <c r="AV257" t="s">
        <v>273</v>
      </c>
      <c r="AY257" t="s">
        <v>273</v>
      </c>
      <c r="BB257">
        <v>0</v>
      </c>
      <c r="BC257">
        <v>0</v>
      </c>
      <c r="BD257">
        <v>0</v>
      </c>
      <c r="BE257">
        <v>0</v>
      </c>
      <c r="BF257" t="s">
        <v>493</v>
      </c>
      <c r="BG257" t="s">
        <v>4230</v>
      </c>
      <c r="BH257">
        <v>19</v>
      </c>
      <c r="BI257" t="s">
        <v>1247</v>
      </c>
      <c r="BK257">
        <v>741876</v>
      </c>
    </row>
    <row r="258" spans="1:64">
      <c r="A258" s="1">
        <f>HYPERLINK("https://lsnyc.legalserver.org/matter/dynamic-profile/view/1856887","18-1856887")</f>
        <v>0</v>
      </c>
      <c r="B258" t="s">
        <v>3650</v>
      </c>
      <c r="C258" t="s">
        <v>3679</v>
      </c>
      <c r="D258" t="s">
        <v>257</v>
      </c>
      <c r="E258" t="s">
        <v>3683</v>
      </c>
      <c r="F258" t="s">
        <v>275</v>
      </c>
      <c r="G258" t="s">
        <v>275</v>
      </c>
      <c r="H258">
        <v>0</v>
      </c>
      <c r="I258" t="s">
        <v>274</v>
      </c>
      <c r="K258" t="s">
        <v>1019</v>
      </c>
      <c r="L258" t="s">
        <v>443</v>
      </c>
      <c r="O258" t="s">
        <v>275</v>
      </c>
      <c r="P258" t="s">
        <v>493</v>
      </c>
      <c r="Q258" t="s">
        <v>501</v>
      </c>
      <c r="S258" t="s">
        <v>503</v>
      </c>
      <c r="T258" t="s">
        <v>507</v>
      </c>
      <c r="U258" t="s">
        <v>511</v>
      </c>
      <c r="V258">
        <v>10451</v>
      </c>
      <c r="W258" t="s">
        <v>542</v>
      </c>
      <c r="X258" t="s">
        <v>548</v>
      </c>
      <c r="Z258" t="s">
        <v>602</v>
      </c>
      <c r="AA258" t="s">
        <v>4036</v>
      </c>
      <c r="AB258" t="s">
        <v>902</v>
      </c>
      <c r="AC258" t="s">
        <v>908</v>
      </c>
      <c r="AD258" t="s">
        <v>275</v>
      </c>
      <c r="AE258" t="s">
        <v>917</v>
      </c>
      <c r="AF258" t="s">
        <v>923</v>
      </c>
      <c r="AI258">
        <v>7.1</v>
      </c>
      <c r="AJ258" t="s">
        <v>558</v>
      </c>
      <c r="AK258" t="s">
        <v>934</v>
      </c>
      <c r="AL258" t="s">
        <v>275</v>
      </c>
      <c r="AM258" t="s">
        <v>978</v>
      </c>
      <c r="AN258" t="s">
        <v>398</v>
      </c>
      <c r="AO258" t="s">
        <v>973</v>
      </c>
      <c r="AP258" t="s">
        <v>3750</v>
      </c>
      <c r="AQ258" t="s">
        <v>1050</v>
      </c>
      <c r="AR258" t="s">
        <v>1051</v>
      </c>
      <c r="AT258">
        <v>3</v>
      </c>
      <c r="AU258">
        <v>3</v>
      </c>
      <c r="AV258" t="s">
        <v>274</v>
      </c>
      <c r="AY258" t="s">
        <v>273</v>
      </c>
      <c r="BB258">
        <v>0</v>
      </c>
      <c r="BC258">
        <v>0</v>
      </c>
      <c r="BD258">
        <v>0</v>
      </c>
      <c r="BE258">
        <v>0</v>
      </c>
      <c r="BF258" t="s">
        <v>493</v>
      </c>
      <c r="BG258" t="s">
        <v>4231</v>
      </c>
      <c r="BH258">
        <v>23</v>
      </c>
      <c r="BI258" t="s">
        <v>1247</v>
      </c>
      <c r="BK258">
        <v>741876</v>
      </c>
    </row>
    <row r="259" spans="1:64">
      <c r="A259" s="1">
        <f>HYPERLINK("https://lsnyc.legalserver.org/matter/dynamic-profile/view/1856998","18-1856998")</f>
        <v>0</v>
      </c>
      <c r="B259" t="s">
        <v>3651</v>
      </c>
      <c r="C259" t="s">
        <v>3679</v>
      </c>
      <c r="D259" t="s">
        <v>257</v>
      </c>
      <c r="E259" t="s">
        <v>3686</v>
      </c>
      <c r="F259" t="s">
        <v>273</v>
      </c>
      <c r="G259" t="s">
        <v>275</v>
      </c>
      <c r="H259">
        <v>0</v>
      </c>
      <c r="I259" t="s">
        <v>274</v>
      </c>
      <c r="K259" t="s">
        <v>1019</v>
      </c>
      <c r="P259" t="s">
        <v>492</v>
      </c>
      <c r="Q259" t="s">
        <v>502</v>
      </c>
      <c r="S259" t="s">
        <v>503</v>
      </c>
      <c r="T259" t="s">
        <v>507</v>
      </c>
      <c r="U259" t="s">
        <v>511</v>
      </c>
      <c r="V259">
        <v>10454</v>
      </c>
      <c r="W259" t="s">
        <v>519</v>
      </c>
      <c r="X259" t="s">
        <v>548</v>
      </c>
      <c r="Z259" t="s">
        <v>3883</v>
      </c>
      <c r="AA259" t="s">
        <v>4037</v>
      </c>
      <c r="AB259" t="s">
        <v>902</v>
      </c>
      <c r="AC259" t="s">
        <v>906</v>
      </c>
      <c r="AF259" t="s">
        <v>926</v>
      </c>
      <c r="AI259">
        <v>0.95</v>
      </c>
      <c r="AK259" t="s">
        <v>934</v>
      </c>
      <c r="AM259" t="s">
        <v>973</v>
      </c>
      <c r="AN259" t="s">
        <v>425</v>
      </c>
      <c r="AT259">
        <v>2</v>
      </c>
      <c r="AU259">
        <v>1</v>
      </c>
      <c r="AV259" t="s">
        <v>273</v>
      </c>
      <c r="AY259" t="s">
        <v>273</v>
      </c>
      <c r="BB259">
        <v>0</v>
      </c>
      <c r="BC259">
        <v>0</v>
      </c>
      <c r="BD259">
        <v>0</v>
      </c>
      <c r="BE259">
        <v>0</v>
      </c>
      <c r="BF259" t="s">
        <v>1063</v>
      </c>
      <c r="BG259" t="s">
        <v>4232</v>
      </c>
      <c r="BH259">
        <v>2</v>
      </c>
      <c r="BI259" t="s">
        <v>1247</v>
      </c>
      <c r="BK259">
        <v>1835250</v>
      </c>
    </row>
    <row r="260" spans="1:64">
      <c r="A260" s="1">
        <f>HYPERLINK("https://lsnyc.legalserver.org/matter/dynamic-profile/view/1856548","18-1856548")</f>
        <v>0</v>
      </c>
      <c r="B260" t="s">
        <v>3652</v>
      </c>
      <c r="C260" t="s">
        <v>3679</v>
      </c>
      <c r="D260" t="s">
        <v>257</v>
      </c>
      <c r="E260" t="s">
        <v>3683</v>
      </c>
      <c r="F260" t="s">
        <v>275</v>
      </c>
      <c r="G260" t="s">
        <v>275</v>
      </c>
      <c r="H260">
        <v>147.97</v>
      </c>
      <c r="I260" t="s">
        <v>274</v>
      </c>
      <c r="K260" t="s">
        <v>414</v>
      </c>
      <c r="L260" t="s">
        <v>300</v>
      </c>
      <c r="M260" t="s">
        <v>471</v>
      </c>
      <c r="N260" t="s">
        <v>3274</v>
      </c>
      <c r="O260" t="s">
        <v>275</v>
      </c>
      <c r="P260" t="s">
        <v>493</v>
      </c>
      <c r="Q260" t="s">
        <v>501</v>
      </c>
      <c r="S260" t="s">
        <v>503</v>
      </c>
      <c r="T260" t="s">
        <v>508</v>
      </c>
      <c r="U260" t="s">
        <v>511</v>
      </c>
      <c r="V260">
        <v>10457</v>
      </c>
      <c r="W260" t="s">
        <v>519</v>
      </c>
      <c r="X260" t="s">
        <v>548</v>
      </c>
      <c r="Y260" t="s">
        <v>275</v>
      </c>
      <c r="Z260" t="s">
        <v>3810</v>
      </c>
      <c r="AA260" t="s">
        <v>4038</v>
      </c>
      <c r="AB260" t="s">
        <v>902</v>
      </c>
      <c r="AC260" t="s">
        <v>906</v>
      </c>
      <c r="AD260" t="s">
        <v>275</v>
      </c>
      <c r="AE260" t="s">
        <v>919</v>
      </c>
      <c r="AF260" t="s">
        <v>926</v>
      </c>
      <c r="AI260">
        <v>120.5</v>
      </c>
      <c r="AJ260" t="s">
        <v>558</v>
      </c>
      <c r="AK260" t="s">
        <v>934</v>
      </c>
      <c r="AL260" t="s">
        <v>274</v>
      </c>
      <c r="AM260" t="s">
        <v>973</v>
      </c>
      <c r="AN260" t="s">
        <v>3274</v>
      </c>
      <c r="AO260" t="s">
        <v>978</v>
      </c>
      <c r="AQ260" t="s">
        <v>1039</v>
      </c>
      <c r="AR260" t="s">
        <v>1051</v>
      </c>
      <c r="AT260">
        <v>2</v>
      </c>
      <c r="AU260">
        <v>2</v>
      </c>
      <c r="AV260" t="s">
        <v>273</v>
      </c>
      <c r="AY260" t="s">
        <v>273</v>
      </c>
      <c r="BB260">
        <v>0</v>
      </c>
      <c r="BC260">
        <v>0</v>
      </c>
      <c r="BD260">
        <v>0</v>
      </c>
      <c r="BE260">
        <v>0</v>
      </c>
      <c r="BF260" t="s">
        <v>493</v>
      </c>
      <c r="BG260" t="s">
        <v>4141</v>
      </c>
      <c r="BH260">
        <v>35</v>
      </c>
      <c r="BI260" t="s">
        <v>1317</v>
      </c>
      <c r="BK260">
        <v>1857111</v>
      </c>
    </row>
    <row r="261" spans="1:64">
      <c r="A261" s="1">
        <f>HYPERLINK("https://lsnyc.legalserver.org/matter/dynamic-profile/view/1856250","18-1856250")</f>
        <v>0</v>
      </c>
      <c r="B261" t="s">
        <v>3653</v>
      </c>
      <c r="C261" t="s">
        <v>3679</v>
      </c>
      <c r="D261" t="s">
        <v>257</v>
      </c>
      <c r="E261" t="s">
        <v>3683</v>
      </c>
      <c r="F261" t="s">
        <v>273</v>
      </c>
      <c r="G261" t="s">
        <v>275</v>
      </c>
      <c r="H261">
        <v>0</v>
      </c>
      <c r="I261" t="s">
        <v>274</v>
      </c>
      <c r="K261" t="s">
        <v>3720</v>
      </c>
      <c r="M261" t="s">
        <v>472</v>
      </c>
      <c r="N261" t="s">
        <v>299</v>
      </c>
      <c r="O261" t="s">
        <v>274</v>
      </c>
      <c r="P261" t="s">
        <v>496</v>
      </c>
      <c r="Q261" t="s">
        <v>501</v>
      </c>
      <c r="S261" t="s">
        <v>503</v>
      </c>
      <c r="T261" t="s">
        <v>507</v>
      </c>
      <c r="U261" t="s">
        <v>511</v>
      </c>
      <c r="V261">
        <v>10456</v>
      </c>
      <c r="W261" t="s">
        <v>529</v>
      </c>
      <c r="X261" t="s">
        <v>548</v>
      </c>
      <c r="Y261" t="s">
        <v>275</v>
      </c>
      <c r="Z261" t="s">
        <v>3884</v>
      </c>
      <c r="AA261" t="s">
        <v>4039</v>
      </c>
      <c r="AB261" t="s">
        <v>902</v>
      </c>
      <c r="AC261" t="s">
        <v>905</v>
      </c>
      <c r="AF261" t="s">
        <v>923</v>
      </c>
      <c r="AI261">
        <v>31.5</v>
      </c>
      <c r="AJ261" t="s">
        <v>558</v>
      </c>
      <c r="AK261" t="s">
        <v>934</v>
      </c>
      <c r="AM261" t="s">
        <v>973</v>
      </c>
      <c r="AN261" t="s">
        <v>364</v>
      </c>
      <c r="AT261">
        <v>0</v>
      </c>
      <c r="AU261">
        <v>2</v>
      </c>
      <c r="AV261" t="s">
        <v>273</v>
      </c>
      <c r="AY261" t="s">
        <v>273</v>
      </c>
      <c r="BB261">
        <v>0</v>
      </c>
      <c r="BC261">
        <v>0</v>
      </c>
      <c r="BD261">
        <v>0</v>
      </c>
      <c r="BE261">
        <v>0</v>
      </c>
      <c r="BF261" t="s">
        <v>1063</v>
      </c>
      <c r="BG261" t="s">
        <v>4233</v>
      </c>
      <c r="BH261">
        <v>18</v>
      </c>
      <c r="BI261" t="s">
        <v>1247</v>
      </c>
      <c r="BK261">
        <v>1846944</v>
      </c>
    </row>
    <row r="262" spans="1:64">
      <c r="A262" s="1">
        <f>HYPERLINK("https://lsnyc.legalserver.org/matter/dynamic-profile/view/1855706","18-1855706")</f>
        <v>0</v>
      </c>
      <c r="B262" t="s">
        <v>3654</v>
      </c>
      <c r="C262" t="s">
        <v>3679</v>
      </c>
      <c r="D262" t="s">
        <v>257</v>
      </c>
      <c r="E262" t="s">
        <v>3684</v>
      </c>
      <c r="F262" t="s">
        <v>273</v>
      </c>
      <c r="G262" t="s">
        <v>275</v>
      </c>
      <c r="H262">
        <v>20.27</v>
      </c>
      <c r="I262" t="s">
        <v>274</v>
      </c>
      <c r="K262" t="s">
        <v>3721</v>
      </c>
      <c r="O262" t="s">
        <v>274</v>
      </c>
      <c r="P262" t="s">
        <v>495</v>
      </c>
      <c r="Q262" t="s">
        <v>501</v>
      </c>
      <c r="S262" t="s">
        <v>503</v>
      </c>
      <c r="T262" t="s">
        <v>508</v>
      </c>
      <c r="U262" t="s">
        <v>511</v>
      </c>
      <c r="V262">
        <v>10467</v>
      </c>
      <c r="W262" t="s">
        <v>522</v>
      </c>
      <c r="X262" t="s">
        <v>549</v>
      </c>
      <c r="Y262" t="s">
        <v>275</v>
      </c>
      <c r="Z262" t="s">
        <v>3885</v>
      </c>
      <c r="AA262" t="s">
        <v>835</v>
      </c>
      <c r="AB262" t="s">
        <v>902</v>
      </c>
      <c r="AC262" t="s">
        <v>905</v>
      </c>
      <c r="AF262" t="s">
        <v>923</v>
      </c>
      <c r="AI262">
        <v>4.6</v>
      </c>
      <c r="AJ262" t="s">
        <v>558</v>
      </c>
      <c r="AK262" t="s">
        <v>939</v>
      </c>
      <c r="AL262" t="s">
        <v>275</v>
      </c>
      <c r="AM262" t="s">
        <v>973</v>
      </c>
      <c r="AN262" t="s">
        <v>1741</v>
      </c>
      <c r="AS262" t="s">
        <v>4075</v>
      </c>
      <c r="AT262">
        <v>0</v>
      </c>
      <c r="AU262">
        <v>3</v>
      </c>
      <c r="AV262" t="s">
        <v>273</v>
      </c>
      <c r="AY262" t="s">
        <v>273</v>
      </c>
      <c r="BB262">
        <v>0</v>
      </c>
      <c r="BC262">
        <v>0</v>
      </c>
      <c r="BD262">
        <v>0</v>
      </c>
      <c r="BE262">
        <v>0</v>
      </c>
      <c r="BF262" t="s">
        <v>1063</v>
      </c>
      <c r="BG262" t="s">
        <v>4234</v>
      </c>
      <c r="BH262">
        <v>58</v>
      </c>
      <c r="BI262" t="s">
        <v>4277</v>
      </c>
      <c r="BK262">
        <v>1852134</v>
      </c>
      <c r="BL262" t="s">
        <v>275</v>
      </c>
    </row>
    <row r="263" spans="1:64">
      <c r="A263" s="1">
        <f>HYPERLINK("https://lsnyc.legalserver.org/matter/dynamic-profile/view/1855082","18-1855082")</f>
        <v>0</v>
      </c>
      <c r="B263" t="s">
        <v>3655</v>
      </c>
      <c r="C263" t="s">
        <v>3679</v>
      </c>
      <c r="D263" t="s">
        <v>257</v>
      </c>
      <c r="E263" t="s">
        <v>3683</v>
      </c>
      <c r="F263" t="s">
        <v>273</v>
      </c>
      <c r="G263" t="s">
        <v>275</v>
      </c>
      <c r="H263">
        <v>0</v>
      </c>
      <c r="I263" t="s">
        <v>274</v>
      </c>
      <c r="K263" t="s">
        <v>3722</v>
      </c>
      <c r="O263" t="s">
        <v>274</v>
      </c>
      <c r="P263" t="s">
        <v>492</v>
      </c>
      <c r="Q263" t="s">
        <v>501</v>
      </c>
      <c r="R263" t="s">
        <v>501</v>
      </c>
      <c r="S263" t="s">
        <v>503</v>
      </c>
      <c r="T263" t="s">
        <v>507</v>
      </c>
      <c r="U263" t="s">
        <v>511</v>
      </c>
      <c r="V263">
        <v>10458</v>
      </c>
      <c r="W263" t="s">
        <v>519</v>
      </c>
      <c r="X263" t="s">
        <v>548</v>
      </c>
      <c r="Y263" t="s">
        <v>275</v>
      </c>
      <c r="Z263" t="s">
        <v>657</v>
      </c>
      <c r="AA263" t="s">
        <v>4040</v>
      </c>
      <c r="AB263" t="s">
        <v>902</v>
      </c>
      <c r="AC263" t="s">
        <v>905</v>
      </c>
      <c r="AF263" t="s">
        <v>926</v>
      </c>
      <c r="AI263">
        <v>30.38</v>
      </c>
      <c r="AJ263" t="s">
        <v>558</v>
      </c>
      <c r="AK263" t="s">
        <v>950</v>
      </c>
      <c r="AL263" t="s">
        <v>274</v>
      </c>
      <c r="AM263" t="s">
        <v>973</v>
      </c>
      <c r="AN263" t="s">
        <v>406</v>
      </c>
      <c r="AT263">
        <v>0</v>
      </c>
      <c r="AU263">
        <v>1</v>
      </c>
      <c r="AV263" t="s">
        <v>273</v>
      </c>
      <c r="AY263" t="s">
        <v>273</v>
      </c>
      <c r="BB263">
        <v>0</v>
      </c>
      <c r="BC263">
        <v>0</v>
      </c>
      <c r="BD263">
        <v>0</v>
      </c>
      <c r="BE263">
        <v>0</v>
      </c>
      <c r="BF263" t="s">
        <v>1063</v>
      </c>
      <c r="BG263" t="s">
        <v>4235</v>
      </c>
      <c r="BH263">
        <v>42</v>
      </c>
      <c r="BI263" t="s">
        <v>1247</v>
      </c>
      <c r="BK263">
        <v>1855639</v>
      </c>
    </row>
    <row r="264" spans="1:64">
      <c r="A264" s="1">
        <f>HYPERLINK("https://lsnyc.legalserver.org/matter/dynamic-profile/view/1854906","17-1854906")</f>
        <v>0</v>
      </c>
      <c r="B264" t="s">
        <v>3656</v>
      </c>
      <c r="C264" t="s">
        <v>3679</v>
      </c>
      <c r="D264" t="s">
        <v>257</v>
      </c>
      <c r="E264" t="s">
        <v>3687</v>
      </c>
      <c r="F264" t="s">
        <v>273</v>
      </c>
      <c r="G264" t="s">
        <v>275</v>
      </c>
      <c r="H264">
        <v>114.43</v>
      </c>
      <c r="I264" t="s">
        <v>274</v>
      </c>
      <c r="K264" t="s">
        <v>3723</v>
      </c>
      <c r="L264" t="s">
        <v>484</v>
      </c>
      <c r="P264" t="s">
        <v>493</v>
      </c>
      <c r="Q264" t="s">
        <v>501</v>
      </c>
      <c r="S264" t="s">
        <v>503</v>
      </c>
      <c r="T264" t="s">
        <v>507</v>
      </c>
      <c r="U264" t="s">
        <v>511</v>
      </c>
      <c r="V264">
        <v>10472</v>
      </c>
      <c r="W264" t="s">
        <v>523</v>
      </c>
      <c r="X264" t="s">
        <v>548</v>
      </c>
      <c r="Y264" t="s">
        <v>275</v>
      </c>
      <c r="Z264" t="s">
        <v>3130</v>
      </c>
      <c r="AA264" t="s">
        <v>4041</v>
      </c>
      <c r="AB264" t="s">
        <v>902</v>
      </c>
      <c r="AC264" t="s">
        <v>904</v>
      </c>
      <c r="AD264" t="s">
        <v>275</v>
      </c>
      <c r="AE264" t="s">
        <v>919</v>
      </c>
      <c r="AF264" t="s">
        <v>923</v>
      </c>
      <c r="AI264">
        <v>4.65</v>
      </c>
      <c r="AJ264" t="s">
        <v>558</v>
      </c>
      <c r="AK264" t="s">
        <v>950</v>
      </c>
      <c r="AL264" t="s">
        <v>274</v>
      </c>
      <c r="AM264" t="s">
        <v>973</v>
      </c>
      <c r="AN264" t="s">
        <v>414</v>
      </c>
      <c r="AO264" t="s">
        <v>976</v>
      </c>
      <c r="AP264" t="s">
        <v>484</v>
      </c>
      <c r="AQ264" t="s">
        <v>1046</v>
      </c>
      <c r="AR264" t="s">
        <v>1051</v>
      </c>
      <c r="AT264">
        <v>0</v>
      </c>
      <c r="AU264">
        <v>1</v>
      </c>
      <c r="AV264" t="s">
        <v>275</v>
      </c>
      <c r="AY264" t="s">
        <v>273</v>
      </c>
      <c r="BB264">
        <v>0</v>
      </c>
      <c r="BC264">
        <v>0</v>
      </c>
      <c r="BD264">
        <v>0</v>
      </c>
      <c r="BE264">
        <v>0</v>
      </c>
      <c r="BF264" t="s">
        <v>493</v>
      </c>
      <c r="BG264" t="s">
        <v>4236</v>
      </c>
      <c r="BH264">
        <v>61</v>
      </c>
      <c r="BI264" t="s">
        <v>4278</v>
      </c>
      <c r="BK264">
        <v>1849949</v>
      </c>
    </row>
    <row r="265" spans="1:64">
      <c r="A265" s="1">
        <f>HYPERLINK("https://lsnyc.legalserver.org/matter/dynamic-profile/view/1854907","17-1854907")</f>
        <v>0</v>
      </c>
      <c r="B265" t="s">
        <v>3656</v>
      </c>
      <c r="C265" t="s">
        <v>3679</v>
      </c>
      <c r="D265" t="s">
        <v>257</v>
      </c>
      <c r="E265" t="s">
        <v>3687</v>
      </c>
      <c r="F265" t="s">
        <v>273</v>
      </c>
      <c r="G265" t="s">
        <v>275</v>
      </c>
      <c r="H265">
        <v>114.43</v>
      </c>
      <c r="I265" t="s">
        <v>274</v>
      </c>
      <c r="K265" t="s">
        <v>3723</v>
      </c>
      <c r="L265" t="s">
        <v>484</v>
      </c>
      <c r="O265" t="s">
        <v>274</v>
      </c>
      <c r="P265" t="s">
        <v>493</v>
      </c>
      <c r="Q265" t="s">
        <v>501</v>
      </c>
      <c r="S265" t="s">
        <v>503</v>
      </c>
      <c r="T265" t="s">
        <v>507</v>
      </c>
      <c r="U265" t="s">
        <v>511</v>
      </c>
      <c r="V265">
        <v>10472</v>
      </c>
      <c r="W265" t="s">
        <v>523</v>
      </c>
      <c r="X265" t="s">
        <v>548</v>
      </c>
      <c r="Y265" t="s">
        <v>275</v>
      </c>
      <c r="Z265" t="s">
        <v>3130</v>
      </c>
      <c r="AA265" t="s">
        <v>4041</v>
      </c>
      <c r="AB265" t="s">
        <v>902</v>
      </c>
      <c r="AC265" t="s">
        <v>904</v>
      </c>
      <c r="AD265" t="s">
        <v>275</v>
      </c>
      <c r="AE265" t="s">
        <v>919</v>
      </c>
      <c r="AF265" t="s">
        <v>923</v>
      </c>
      <c r="AI265">
        <v>5.1</v>
      </c>
      <c r="AJ265" t="s">
        <v>558</v>
      </c>
      <c r="AK265" t="s">
        <v>950</v>
      </c>
      <c r="AL265" t="s">
        <v>274</v>
      </c>
      <c r="AM265" t="s">
        <v>973</v>
      </c>
      <c r="AN265" t="s">
        <v>414</v>
      </c>
      <c r="AO265" t="s">
        <v>976</v>
      </c>
      <c r="AP265" t="s">
        <v>484</v>
      </c>
      <c r="AQ265" t="s">
        <v>1046</v>
      </c>
      <c r="AR265" t="s">
        <v>1051</v>
      </c>
      <c r="AT265">
        <v>0</v>
      </c>
      <c r="AU265">
        <v>1</v>
      </c>
      <c r="AV265" t="s">
        <v>273</v>
      </c>
      <c r="AY265" t="s">
        <v>273</v>
      </c>
      <c r="BB265">
        <v>0</v>
      </c>
      <c r="BC265">
        <v>0</v>
      </c>
      <c r="BD265">
        <v>0</v>
      </c>
      <c r="BE265">
        <v>0</v>
      </c>
      <c r="BF265" t="s">
        <v>493</v>
      </c>
      <c r="BG265" t="s">
        <v>4236</v>
      </c>
      <c r="BH265">
        <v>61</v>
      </c>
      <c r="BI265" t="s">
        <v>4278</v>
      </c>
      <c r="BK265">
        <v>1849949</v>
      </c>
    </row>
    <row r="266" spans="1:64">
      <c r="A266" s="1">
        <f>HYPERLINK("https://lsnyc.legalserver.org/matter/dynamic-profile/view/1853528","17-1853528")</f>
        <v>0</v>
      </c>
      <c r="B266" t="s">
        <v>3657</v>
      </c>
      <c r="C266" t="s">
        <v>3679</v>
      </c>
      <c r="D266" t="s">
        <v>257</v>
      </c>
      <c r="E266" t="s">
        <v>3683</v>
      </c>
      <c r="F266" t="s">
        <v>273</v>
      </c>
      <c r="G266" t="s">
        <v>275</v>
      </c>
      <c r="H266">
        <v>63.66</v>
      </c>
      <c r="I266" t="s">
        <v>274</v>
      </c>
      <c r="K266" t="s">
        <v>3724</v>
      </c>
      <c r="P266" t="s">
        <v>492</v>
      </c>
      <c r="Q266" t="s">
        <v>501</v>
      </c>
      <c r="S266" t="s">
        <v>503</v>
      </c>
      <c r="T266" t="s">
        <v>508</v>
      </c>
      <c r="U266" t="s">
        <v>511</v>
      </c>
      <c r="V266">
        <v>10457</v>
      </c>
      <c r="W266" t="s">
        <v>532</v>
      </c>
      <c r="X266" t="s">
        <v>548</v>
      </c>
      <c r="Y266" t="s">
        <v>275</v>
      </c>
      <c r="Z266" t="s">
        <v>3886</v>
      </c>
      <c r="AA266" t="s">
        <v>2354</v>
      </c>
      <c r="AB266" t="s">
        <v>902</v>
      </c>
      <c r="AC266" t="s">
        <v>905</v>
      </c>
      <c r="AF266" t="s">
        <v>923</v>
      </c>
      <c r="AI266">
        <v>4.35</v>
      </c>
      <c r="AJ266" t="s">
        <v>558</v>
      </c>
      <c r="AK266" t="s">
        <v>941</v>
      </c>
      <c r="AT266">
        <v>1</v>
      </c>
      <c r="AU266">
        <v>2</v>
      </c>
      <c r="AV266" t="s">
        <v>273</v>
      </c>
      <c r="AY266" t="s">
        <v>273</v>
      </c>
      <c r="BB266">
        <v>0</v>
      </c>
      <c r="BC266">
        <v>0</v>
      </c>
      <c r="BD266">
        <v>0</v>
      </c>
      <c r="BE266">
        <v>0</v>
      </c>
      <c r="BF266" t="s">
        <v>1063</v>
      </c>
      <c r="BG266" t="s">
        <v>4237</v>
      </c>
      <c r="BH266">
        <v>48</v>
      </c>
      <c r="BI266" t="s">
        <v>1264</v>
      </c>
      <c r="BK266">
        <v>1852017</v>
      </c>
    </row>
    <row r="267" spans="1:64">
      <c r="A267" s="1">
        <f>HYPERLINK("https://lsnyc.legalserver.org/matter/dynamic-profile/view/1853380","17-1853380")</f>
        <v>0</v>
      </c>
      <c r="B267" t="s">
        <v>3658</v>
      </c>
      <c r="C267" t="s">
        <v>3679</v>
      </c>
      <c r="D267" t="s">
        <v>257</v>
      </c>
      <c r="E267" t="s">
        <v>3684</v>
      </c>
      <c r="F267" t="s">
        <v>273</v>
      </c>
      <c r="G267" t="s">
        <v>275</v>
      </c>
      <c r="H267">
        <v>8.289999999999999</v>
      </c>
      <c r="I267" t="s">
        <v>274</v>
      </c>
      <c r="K267" t="s">
        <v>3725</v>
      </c>
      <c r="P267" t="s">
        <v>495</v>
      </c>
      <c r="Q267" t="s">
        <v>501</v>
      </c>
      <c r="S267" t="s">
        <v>503</v>
      </c>
      <c r="T267" t="s">
        <v>508</v>
      </c>
      <c r="U267" t="s">
        <v>511</v>
      </c>
      <c r="V267">
        <v>10451</v>
      </c>
      <c r="W267" t="s">
        <v>524</v>
      </c>
      <c r="X267" t="s">
        <v>548</v>
      </c>
      <c r="Y267" t="s">
        <v>274</v>
      </c>
      <c r="Z267" t="s">
        <v>3887</v>
      </c>
      <c r="AA267" t="s">
        <v>4042</v>
      </c>
      <c r="AB267" t="s">
        <v>902</v>
      </c>
      <c r="AC267" t="s">
        <v>906</v>
      </c>
      <c r="AF267" t="s">
        <v>923</v>
      </c>
      <c r="AI267">
        <v>13.9</v>
      </c>
      <c r="AJ267" t="s">
        <v>558</v>
      </c>
      <c r="AK267" t="s">
        <v>933</v>
      </c>
      <c r="AM267" t="s">
        <v>973</v>
      </c>
      <c r="AN267" t="s">
        <v>4066</v>
      </c>
      <c r="AO267" t="s">
        <v>976</v>
      </c>
      <c r="AP267" t="s">
        <v>343</v>
      </c>
      <c r="AT267">
        <v>5</v>
      </c>
      <c r="AU267">
        <v>4</v>
      </c>
      <c r="AV267" t="s">
        <v>273</v>
      </c>
      <c r="AY267" t="s">
        <v>273</v>
      </c>
      <c r="BB267">
        <v>0</v>
      </c>
      <c r="BC267">
        <v>0</v>
      </c>
      <c r="BD267">
        <v>0</v>
      </c>
      <c r="BE267">
        <v>0</v>
      </c>
      <c r="BF267" t="s">
        <v>1063</v>
      </c>
      <c r="BG267" t="s">
        <v>4238</v>
      </c>
      <c r="BH267">
        <v>19</v>
      </c>
      <c r="BI267" t="s">
        <v>4279</v>
      </c>
      <c r="BK267">
        <v>100108</v>
      </c>
      <c r="BL267" t="s">
        <v>275</v>
      </c>
    </row>
    <row r="268" spans="1:64">
      <c r="A268" s="1">
        <f>HYPERLINK("https://lsnyc.legalserver.org/matter/dynamic-profile/view/1853381","17-1853381")</f>
        <v>0</v>
      </c>
      <c r="B268" t="s">
        <v>3659</v>
      </c>
      <c r="C268" t="s">
        <v>3679</v>
      </c>
      <c r="D268" t="s">
        <v>257</v>
      </c>
      <c r="E268" t="s">
        <v>3684</v>
      </c>
      <c r="F268" t="s">
        <v>273</v>
      </c>
      <c r="G268" t="s">
        <v>275</v>
      </c>
      <c r="H268">
        <v>3.82</v>
      </c>
      <c r="I268" t="s">
        <v>274</v>
      </c>
      <c r="K268" t="s">
        <v>3725</v>
      </c>
      <c r="P268" t="s">
        <v>495</v>
      </c>
      <c r="Q268" t="s">
        <v>501</v>
      </c>
      <c r="S268" t="s">
        <v>503</v>
      </c>
      <c r="T268" t="s">
        <v>507</v>
      </c>
      <c r="U268" t="s">
        <v>511</v>
      </c>
      <c r="V268">
        <v>10451</v>
      </c>
      <c r="W268" t="s">
        <v>524</v>
      </c>
      <c r="X268" t="s">
        <v>548</v>
      </c>
      <c r="Y268" t="s">
        <v>275</v>
      </c>
      <c r="Z268" t="s">
        <v>3888</v>
      </c>
      <c r="AA268" t="s">
        <v>4042</v>
      </c>
      <c r="AB268" t="s">
        <v>902</v>
      </c>
      <c r="AC268" t="s">
        <v>906</v>
      </c>
      <c r="AF268" t="s">
        <v>923</v>
      </c>
      <c r="AI268">
        <v>16.1</v>
      </c>
      <c r="AJ268" t="s">
        <v>558</v>
      </c>
      <c r="AK268" t="s">
        <v>933</v>
      </c>
      <c r="AM268" t="s">
        <v>973</v>
      </c>
      <c r="AN268" t="s">
        <v>4067</v>
      </c>
      <c r="AO268" t="s">
        <v>976</v>
      </c>
      <c r="AP268" t="s">
        <v>1701</v>
      </c>
      <c r="AT268">
        <v>5</v>
      </c>
      <c r="AU268">
        <v>4</v>
      </c>
      <c r="AV268" t="s">
        <v>273</v>
      </c>
      <c r="AY268" t="s">
        <v>273</v>
      </c>
      <c r="BB268">
        <v>0</v>
      </c>
      <c r="BC268">
        <v>0</v>
      </c>
      <c r="BD268">
        <v>0</v>
      </c>
      <c r="BE268">
        <v>0</v>
      </c>
      <c r="BF268" t="s">
        <v>1063</v>
      </c>
      <c r="BG268" t="s">
        <v>4239</v>
      </c>
      <c r="BH268">
        <v>22</v>
      </c>
      <c r="BI268" t="s">
        <v>4280</v>
      </c>
      <c r="BK268">
        <v>100108</v>
      </c>
      <c r="BL268" t="s">
        <v>275</v>
      </c>
    </row>
    <row r="269" spans="1:64">
      <c r="A269" s="1">
        <f>HYPERLINK("https://lsnyc.legalserver.org/matter/dynamic-profile/view/1853162","17-1853162")</f>
        <v>0</v>
      </c>
      <c r="B269" t="s">
        <v>3660</v>
      </c>
      <c r="C269" t="s">
        <v>3679</v>
      </c>
      <c r="D269" t="s">
        <v>257</v>
      </c>
      <c r="E269" t="s">
        <v>3683</v>
      </c>
      <c r="F269" t="s">
        <v>273</v>
      </c>
      <c r="G269" t="s">
        <v>275</v>
      </c>
      <c r="H269">
        <v>25.87</v>
      </c>
      <c r="I269" t="s">
        <v>274</v>
      </c>
      <c r="K269" t="s">
        <v>1768</v>
      </c>
      <c r="M269" t="s">
        <v>473</v>
      </c>
      <c r="N269" t="s">
        <v>452</v>
      </c>
      <c r="O269" t="s">
        <v>274</v>
      </c>
      <c r="P269" t="s">
        <v>492</v>
      </c>
      <c r="Q269" t="s">
        <v>501</v>
      </c>
      <c r="R269" t="s">
        <v>501</v>
      </c>
      <c r="S269" t="s">
        <v>503</v>
      </c>
      <c r="T269" t="s">
        <v>508</v>
      </c>
      <c r="U269" t="s">
        <v>511</v>
      </c>
      <c r="V269">
        <v>10461</v>
      </c>
      <c r="W269" t="s">
        <v>519</v>
      </c>
      <c r="X269" t="s">
        <v>548</v>
      </c>
      <c r="Y269" t="s">
        <v>275</v>
      </c>
      <c r="Z269" t="s">
        <v>3889</v>
      </c>
      <c r="AA269" t="s">
        <v>2111</v>
      </c>
      <c r="AB269" t="s">
        <v>902</v>
      </c>
      <c r="AC269" t="s">
        <v>905</v>
      </c>
      <c r="AF269" t="s">
        <v>926</v>
      </c>
      <c r="AI269">
        <v>70.34999999999999</v>
      </c>
      <c r="AJ269" t="s">
        <v>558</v>
      </c>
      <c r="AK269" t="s">
        <v>936</v>
      </c>
      <c r="AL269" t="s">
        <v>274</v>
      </c>
      <c r="AM269" t="s">
        <v>973</v>
      </c>
      <c r="AN269" t="s">
        <v>1027</v>
      </c>
      <c r="AT269">
        <v>0</v>
      </c>
      <c r="AU269">
        <v>1</v>
      </c>
      <c r="AV269" t="s">
        <v>273</v>
      </c>
      <c r="AY269" t="s">
        <v>273</v>
      </c>
      <c r="BB269">
        <v>0</v>
      </c>
      <c r="BC269">
        <v>0</v>
      </c>
      <c r="BD269">
        <v>0</v>
      </c>
      <c r="BE269">
        <v>0</v>
      </c>
      <c r="BF269" t="s">
        <v>1063</v>
      </c>
      <c r="BG269" t="s">
        <v>4240</v>
      </c>
      <c r="BH269">
        <v>62</v>
      </c>
      <c r="BI269" t="s">
        <v>1290</v>
      </c>
      <c r="BK269">
        <v>1853706</v>
      </c>
    </row>
    <row r="270" spans="1:64">
      <c r="A270" s="1">
        <f>HYPERLINK("https://lsnyc.legalserver.org/matter/dynamic-profile/view/1852481","17-1852481")</f>
        <v>0</v>
      </c>
      <c r="B270" t="s">
        <v>3499</v>
      </c>
      <c r="C270" t="s">
        <v>3679</v>
      </c>
      <c r="D270" t="s">
        <v>257</v>
      </c>
      <c r="E270" t="s">
        <v>3684</v>
      </c>
      <c r="F270" t="s">
        <v>273</v>
      </c>
      <c r="G270" t="s">
        <v>275</v>
      </c>
      <c r="H270">
        <v>47.01</v>
      </c>
      <c r="I270" t="s">
        <v>274</v>
      </c>
      <c r="K270" t="s">
        <v>3726</v>
      </c>
      <c r="P270" t="s">
        <v>495</v>
      </c>
      <c r="Q270" t="s">
        <v>501</v>
      </c>
      <c r="S270" t="s">
        <v>503</v>
      </c>
      <c r="T270" t="s">
        <v>507</v>
      </c>
      <c r="U270" t="s">
        <v>511</v>
      </c>
      <c r="V270">
        <v>10460</v>
      </c>
      <c r="W270" t="s">
        <v>542</v>
      </c>
      <c r="X270" t="s">
        <v>548</v>
      </c>
      <c r="Y270" t="s">
        <v>275</v>
      </c>
      <c r="Z270" t="s">
        <v>3772</v>
      </c>
      <c r="AA270" t="s">
        <v>3914</v>
      </c>
      <c r="AB270" t="s">
        <v>902</v>
      </c>
      <c r="AC270" t="s">
        <v>908</v>
      </c>
      <c r="AF270" t="s">
        <v>923</v>
      </c>
      <c r="AI270">
        <v>13.95</v>
      </c>
      <c r="AJ270" t="s">
        <v>558</v>
      </c>
      <c r="AK270" t="s">
        <v>934</v>
      </c>
      <c r="AM270" t="s">
        <v>978</v>
      </c>
      <c r="AN270" t="s">
        <v>307</v>
      </c>
      <c r="AT270">
        <v>1</v>
      </c>
      <c r="AU270">
        <v>2</v>
      </c>
      <c r="AV270" t="s">
        <v>273</v>
      </c>
      <c r="AY270" t="s">
        <v>273</v>
      </c>
      <c r="BB270">
        <v>0</v>
      </c>
      <c r="BC270">
        <v>0</v>
      </c>
      <c r="BD270">
        <v>0</v>
      </c>
      <c r="BE270">
        <v>0</v>
      </c>
      <c r="BF270" t="s">
        <v>1063</v>
      </c>
      <c r="BG270" t="s">
        <v>4093</v>
      </c>
      <c r="BH270">
        <v>16</v>
      </c>
      <c r="BI270" t="s">
        <v>1280</v>
      </c>
      <c r="BK270">
        <v>744807</v>
      </c>
      <c r="BL270" t="s">
        <v>275</v>
      </c>
    </row>
    <row r="271" spans="1:64">
      <c r="A271" s="1">
        <f>HYPERLINK("https://lsnyc.legalserver.org/matter/dynamic-profile/view/1852477","17-1852477")</f>
        <v>0</v>
      </c>
      <c r="B271" t="s">
        <v>3576</v>
      </c>
      <c r="C271" t="s">
        <v>3679</v>
      </c>
      <c r="D271" t="s">
        <v>257</v>
      </c>
      <c r="E271" t="s">
        <v>3683</v>
      </c>
      <c r="F271" t="s">
        <v>273</v>
      </c>
      <c r="G271" t="s">
        <v>275</v>
      </c>
      <c r="H271">
        <v>42.96</v>
      </c>
      <c r="I271" t="s">
        <v>275</v>
      </c>
      <c r="K271" t="s">
        <v>1769</v>
      </c>
      <c r="P271" t="s">
        <v>495</v>
      </c>
      <c r="Q271" t="s">
        <v>501</v>
      </c>
      <c r="S271" t="s">
        <v>503</v>
      </c>
      <c r="T271" t="s">
        <v>508</v>
      </c>
      <c r="U271" t="s">
        <v>511</v>
      </c>
      <c r="V271">
        <v>10458</v>
      </c>
      <c r="W271" t="s">
        <v>536</v>
      </c>
      <c r="X271" t="s">
        <v>548</v>
      </c>
      <c r="Y271" t="s">
        <v>275</v>
      </c>
      <c r="Z271" t="s">
        <v>3831</v>
      </c>
      <c r="AA271" t="s">
        <v>3975</v>
      </c>
      <c r="AB271" t="s">
        <v>902</v>
      </c>
      <c r="AC271" t="s">
        <v>905</v>
      </c>
      <c r="AF271" t="s">
        <v>923</v>
      </c>
      <c r="AI271">
        <v>11.35</v>
      </c>
      <c r="AJ271" t="s">
        <v>558</v>
      </c>
      <c r="AK271" t="s">
        <v>934</v>
      </c>
      <c r="AM271" t="s">
        <v>978</v>
      </c>
      <c r="AN271" t="s">
        <v>3742</v>
      </c>
      <c r="AT271">
        <v>2</v>
      </c>
      <c r="AU271">
        <v>1</v>
      </c>
      <c r="AV271" t="s">
        <v>273</v>
      </c>
      <c r="AY271" t="s">
        <v>273</v>
      </c>
      <c r="BB271">
        <v>0</v>
      </c>
      <c r="BC271">
        <v>0</v>
      </c>
      <c r="BD271">
        <v>0</v>
      </c>
      <c r="BE271">
        <v>0</v>
      </c>
      <c r="BF271" t="s">
        <v>1063</v>
      </c>
      <c r="BG271" t="s">
        <v>2590</v>
      </c>
      <c r="BH271">
        <v>33</v>
      </c>
      <c r="BI271" t="s">
        <v>4281</v>
      </c>
      <c r="BK271">
        <v>781803</v>
      </c>
    </row>
    <row r="272" spans="1:64">
      <c r="A272" s="1">
        <f>HYPERLINK("https://lsnyc.legalserver.org/matter/dynamic-profile/view/1851853","17-1851853")</f>
        <v>0</v>
      </c>
      <c r="B272" t="s">
        <v>3595</v>
      </c>
      <c r="C272" t="s">
        <v>3679</v>
      </c>
      <c r="D272" t="s">
        <v>257</v>
      </c>
      <c r="E272" t="s">
        <v>3683</v>
      </c>
      <c r="F272" t="s">
        <v>273</v>
      </c>
      <c r="G272" t="s">
        <v>275</v>
      </c>
      <c r="H272">
        <v>66.70999999999999</v>
      </c>
      <c r="K272" t="s">
        <v>3727</v>
      </c>
      <c r="P272" t="s">
        <v>492</v>
      </c>
      <c r="Q272" t="s">
        <v>501</v>
      </c>
      <c r="S272" t="s">
        <v>503</v>
      </c>
      <c r="T272" t="s">
        <v>508</v>
      </c>
      <c r="U272" t="s">
        <v>511</v>
      </c>
      <c r="V272">
        <v>10474</v>
      </c>
      <c r="W272" t="s">
        <v>518</v>
      </c>
      <c r="X272" t="s">
        <v>548</v>
      </c>
      <c r="Y272" t="s">
        <v>275</v>
      </c>
      <c r="Z272" t="s">
        <v>3842</v>
      </c>
      <c r="AA272" t="s">
        <v>3992</v>
      </c>
      <c r="AB272" t="s">
        <v>902</v>
      </c>
      <c r="AC272" t="s">
        <v>905</v>
      </c>
      <c r="AF272" t="s">
        <v>926</v>
      </c>
      <c r="AI272">
        <v>23.55</v>
      </c>
      <c r="AK272" t="s">
        <v>934</v>
      </c>
      <c r="AT272">
        <v>4</v>
      </c>
      <c r="AU272">
        <v>1</v>
      </c>
      <c r="AV272" t="s">
        <v>273</v>
      </c>
      <c r="AY272" t="s">
        <v>273</v>
      </c>
      <c r="BB272">
        <v>0</v>
      </c>
      <c r="BC272">
        <v>0</v>
      </c>
      <c r="BD272">
        <v>0</v>
      </c>
      <c r="BE272">
        <v>0</v>
      </c>
      <c r="BF272" t="s">
        <v>1063</v>
      </c>
      <c r="BG272" t="s">
        <v>4183</v>
      </c>
      <c r="BH272">
        <v>6</v>
      </c>
      <c r="BI272" t="s">
        <v>2720</v>
      </c>
      <c r="BK272">
        <v>807054</v>
      </c>
    </row>
    <row r="273" spans="1:64">
      <c r="A273" s="1">
        <f>HYPERLINK("https://lsnyc.legalserver.org/matter/dynamic-profile/view/1851854","17-1851854")</f>
        <v>0</v>
      </c>
      <c r="B273" t="s">
        <v>3661</v>
      </c>
      <c r="C273" t="s">
        <v>3679</v>
      </c>
      <c r="D273" t="s">
        <v>257</v>
      </c>
      <c r="E273" t="s">
        <v>3683</v>
      </c>
      <c r="F273" t="s">
        <v>273</v>
      </c>
      <c r="G273" t="s">
        <v>275</v>
      </c>
      <c r="H273">
        <v>66.70999999999999</v>
      </c>
      <c r="I273" t="s">
        <v>274</v>
      </c>
      <c r="K273" t="s">
        <v>3727</v>
      </c>
      <c r="M273" t="s">
        <v>473</v>
      </c>
      <c r="N273" t="s">
        <v>1694</v>
      </c>
      <c r="P273" t="s">
        <v>492</v>
      </c>
      <c r="Q273" t="s">
        <v>502</v>
      </c>
      <c r="S273" t="s">
        <v>503</v>
      </c>
      <c r="T273" t="s">
        <v>508</v>
      </c>
      <c r="U273" t="s">
        <v>511</v>
      </c>
      <c r="V273">
        <v>10474</v>
      </c>
      <c r="W273" t="s">
        <v>518</v>
      </c>
      <c r="X273" t="s">
        <v>548</v>
      </c>
      <c r="Y273" t="s">
        <v>275</v>
      </c>
      <c r="Z273" t="s">
        <v>3853</v>
      </c>
      <c r="AA273" t="s">
        <v>4043</v>
      </c>
      <c r="AB273" t="s">
        <v>902</v>
      </c>
      <c r="AC273" t="s">
        <v>905</v>
      </c>
      <c r="AF273" t="s">
        <v>926</v>
      </c>
      <c r="AI273">
        <v>96.95</v>
      </c>
      <c r="AJ273" t="s">
        <v>558</v>
      </c>
      <c r="AK273" t="s">
        <v>934</v>
      </c>
      <c r="AL273" t="s">
        <v>274</v>
      </c>
      <c r="AT273">
        <v>4</v>
      </c>
      <c r="AU273">
        <v>1</v>
      </c>
      <c r="AV273" t="s">
        <v>273</v>
      </c>
      <c r="AY273" t="s">
        <v>273</v>
      </c>
      <c r="BB273">
        <v>0</v>
      </c>
      <c r="BC273">
        <v>0</v>
      </c>
      <c r="BD273">
        <v>0</v>
      </c>
      <c r="BE273">
        <v>0</v>
      </c>
      <c r="BF273" t="s">
        <v>1063</v>
      </c>
      <c r="BG273" t="s">
        <v>4195</v>
      </c>
      <c r="BH273">
        <v>15</v>
      </c>
      <c r="BI273" t="s">
        <v>2720</v>
      </c>
      <c r="BK273">
        <v>807054</v>
      </c>
    </row>
    <row r="274" spans="1:64">
      <c r="A274" s="1">
        <f>HYPERLINK("https://lsnyc.legalserver.org/matter/dynamic-profile/view/1851659","17-1851659")</f>
        <v>0</v>
      </c>
      <c r="B274" t="s">
        <v>3662</v>
      </c>
      <c r="C274" t="s">
        <v>3679</v>
      </c>
      <c r="D274" t="s">
        <v>257</v>
      </c>
      <c r="E274" t="s">
        <v>3684</v>
      </c>
      <c r="F274" t="s">
        <v>274</v>
      </c>
      <c r="G274" t="s">
        <v>274</v>
      </c>
      <c r="H274">
        <v>8.289999999999999</v>
      </c>
      <c r="I274" t="s">
        <v>274</v>
      </c>
      <c r="K274" t="s">
        <v>1772</v>
      </c>
      <c r="P274" t="s">
        <v>495</v>
      </c>
      <c r="Q274" t="s">
        <v>501</v>
      </c>
      <c r="S274" t="s">
        <v>503</v>
      </c>
      <c r="T274" t="s">
        <v>508</v>
      </c>
      <c r="U274" t="s">
        <v>511</v>
      </c>
      <c r="V274">
        <v>10451</v>
      </c>
      <c r="W274" t="s">
        <v>524</v>
      </c>
      <c r="X274" t="s">
        <v>548</v>
      </c>
      <c r="Y274" t="s">
        <v>275</v>
      </c>
      <c r="Z274" t="s">
        <v>3890</v>
      </c>
      <c r="AA274" t="s">
        <v>4044</v>
      </c>
      <c r="AB274" t="s">
        <v>902</v>
      </c>
      <c r="AC274" t="s">
        <v>906</v>
      </c>
      <c r="AF274" t="s">
        <v>923</v>
      </c>
      <c r="AI274">
        <v>22.75</v>
      </c>
      <c r="AJ274" t="s">
        <v>558</v>
      </c>
      <c r="AK274" t="s">
        <v>933</v>
      </c>
      <c r="AM274" t="s">
        <v>973</v>
      </c>
      <c r="AN274" t="s">
        <v>1015</v>
      </c>
      <c r="AO274" t="s">
        <v>976</v>
      </c>
      <c r="AP274" t="s">
        <v>340</v>
      </c>
      <c r="AT274">
        <v>5</v>
      </c>
      <c r="AU274">
        <v>4</v>
      </c>
      <c r="AV274" t="s">
        <v>273</v>
      </c>
      <c r="AY274" t="s">
        <v>273</v>
      </c>
      <c r="BB274">
        <v>0</v>
      </c>
      <c r="BC274">
        <v>0</v>
      </c>
      <c r="BD274">
        <v>0</v>
      </c>
      <c r="BE274">
        <v>0</v>
      </c>
      <c r="BF274" t="s">
        <v>1063</v>
      </c>
      <c r="BG274" t="s">
        <v>4241</v>
      </c>
      <c r="BH274">
        <v>47</v>
      </c>
      <c r="BI274" t="s">
        <v>4279</v>
      </c>
      <c r="BK274">
        <v>100108</v>
      </c>
      <c r="BL274" t="s">
        <v>275</v>
      </c>
    </row>
    <row r="275" spans="1:64">
      <c r="A275" s="1">
        <f>HYPERLINK("https://lsnyc.legalserver.org/matter/dynamic-profile/view/1849433","17-1849433")</f>
        <v>0</v>
      </c>
      <c r="B275" t="s">
        <v>3600</v>
      </c>
      <c r="C275" t="s">
        <v>3679</v>
      </c>
      <c r="D275" t="s">
        <v>257</v>
      </c>
      <c r="E275" t="s">
        <v>3683</v>
      </c>
      <c r="F275" t="s">
        <v>275</v>
      </c>
      <c r="G275" t="s">
        <v>275</v>
      </c>
      <c r="H275">
        <v>64.62</v>
      </c>
      <c r="I275" t="s">
        <v>274</v>
      </c>
      <c r="K275" t="s">
        <v>3728</v>
      </c>
      <c r="L275" t="s">
        <v>455</v>
      </c>
      <c r="M275" t="s">
        <v>472</v>
      </c>
      <c r="N275" t="s">
        <v>2986</v>
      </c>
      <c r="O275" t="s">
        <v>275</v>
      </c>
      <c r="P275" t="s">
        <v>493</v>
      </c>
      <c r="Q275" t="s">
        <v>501</v>
      </c>
      <c r="S275" t="s">
        <v>503</v>
      </c>
      <c r="T275" t="s">
        <v>508</v>
      </c>
      <c r="U275" t="s">
        <v>511</v>
      </c>
      <c r="V275">
        <v>10462</v>
      </c>
      <c r="W275" t="s">
        <v>519</v>
      </c>
      <c r="X275" t="s">
        <v>558</v>
      </c>
      <c r="Y275" t="s">
        <v>275</v>
      </c>
      <c r="Z275" t="s">
        <v>3846</v>
      </c>
      <c r="AA275" t="s">
        <v>3806</v>
      </c>
      <c r="AB275" t="s">
        <v>902</v>
      </c>
      <c r="AC275" t="s">
        <v>905</v>
      </c>
      <c r="AD275" t="s">
        <v>274</v>
      </c>
      <c r="AE275" t="s">
        <v>919</v>
      </c>
      <c r="AF275" t="s">
        <v>926</v>
      </c>
      <c r="AI275">
        <v>100.85</v>
      </c>
      <c r="AJ275" t="s">
        <v>558</v>
      </c>
      <c r="AK275" t="s">
        <v>962</v>
      </c>
      <c r="AM275" t="s">
        <v>973</v>
      </c>
      <c r="AN275" t="s">
        <v>3742</v>
      </c>
      <c r="AQ275" t="s">
        <v>1043</v>
      </c>
      <c r="AR275" t="s">
        <v>1051</v>
      </c>
      <c r="AT275">
        <v>5</v>
      </c>
      <c r="AU275">
        <v>2</v>
      </c>
      <c r="AV275" t="s">
        <v>273</v>
      </c>
      <c r="AY275" t="s">
        <v>273</v>
      </c>
      <c r="BB275">
        <v>0</v>
      </c>
      <c r="BC275">
        <v>0</v>
      </c>
      <c r="BD275">
        <v>0</v>
      </c>
      <c r="BE275">
        <v>0</v>
      </c>
      <c r="BF275" t="s">
        <v>493</v>
      </c>
      <c r="BG275" t="s">
        <v>4133</v>
      </c>
      <c r="BH275">
        <v>40</v>
      </c>
      <c r="BI275" t="s">
        <v>1259</v>
      </c>
      <c r="BK275">
        <v>796397</v>
      </c>
    </row>
    <row r="276" spans="1:64">
      <c r="A276" s="1">
        <f>HYPERLINK("https://lsnyc.legalserver.org/matter/dynamic-profile/view/1848994","17-1848994")</f>
        <v>0</v>
      </c>
      <c r="B276" t="s">
        <v>3663</v>
      </c>
      <c r="C276" t="s">
        <v>3679</v>
      </c>
      <c r="D276" t="s">
        <v>257</v>
      </c>
      <c r="E276" t="s">
        <v>3695</v>
      </c>
      <c r="F276" t="s">
        <v>273</v>
      </c>
      <c r="G276" t="s">
        <v>275</v>
      </c>
      <c r="H276">
        <v>88.67</v>
      </c>
      <c r="I276" t="s">
        <v>275</v>
      </c>
      <c r="K276" t="s">
        <v>418</v>
      </c>
      <c r="O276" t="s">
        <v>275</v>
      </c>
      <c r="P276" t="s">
        <v>496</v>
      </c>
      <c r="Q276" t="s">
        <v>501</v>
      </c>
      <c r="S276" t="s">
        <v>503</v>
      </c>
      <c r="T276" t="s">
        <v>507</v>
      </c>
      <c r="U276" t="s">
        <v>511</v>
      </c>
      <c r="V276">
        <v>10455</v>
      </c>
      <c r="W276" t="s">
        <v>532</v>
      </c>
      <c r="X276" t="s">
        <v>548</v>
      </c>
      <c r="Z276" t="s">
        <v>3891</v>
      </c>
      <c r="AA276" t="s">
        <v>828</v>
      </c>
      <c r="AB276" t="s">
        <v>902</v>
      </c>
      <c r="AC276" t="s">
        <v>905</v>
      </c>
      <c r="AF276" t="s">
        <v>923</v>
      </c>
      <c r="AI276">
        <v>44.33</v>
      </c>
      <c r="AJ276" t="s">
        <v>558</v>
      </c>
      <c r="AK276" t="s">
        <v>933</v>
      </c>
      <c r="AM276" t="s">
        <v>973</v>
      </c>
      <c r="AN276" t="s">
        <v>1763</v>
      </c>
      <c r="AT276">
        <v>0</v>
      </c>
      <c r="AU276">
        <v>2</v>
      </c>
      <c r="AV276" t="s">
        <v>273</v>
      </c>
      <c r="AY276" t="s">
        <v>273</v>
      </c>
      <c r="BB276">
        <v>0</v>
      </c>
      <c r="BC276">
        <v>0</v>
      </c>
      <c r="BD276">
        <v>0</v>
      </c>
      <c r="BE276">
        <v>0</v>
      </c>
      <c r="BF276" t="s">
        <v>1063</v>
      </c>
      <c r="BG276" t="s">
        <v>4242</v>
      </c>
      <c r="BH276">
        <v>37</v>
      </c>
      <c r="BI276" t="s">
        <v>1253</v>
      </c>
      <c r="BK276">
        <v>1849521</v>
      </c>
    </row>
    <row r="277" spans="1:64">
      <c r="A277" s="1">
        <f>HYPERLINK("https://lsnyc.legalserver.org/matter/dynamic-profile/view/1847692","17-1847692")</f>
        <v>0</v>
      </c>
      <c r="B277" t="s">
        <v>3664</v>
      </c>
      <c r="C277" t="s">
        <v>3679</v>
      </c>
      <c r="D277" t="s">
        <v>257</v>
      </c>
      <c r="E277" t="s">
        <v>3687</v>
      </c>
      <c r="F277" t="s">
        <v>273</v>
      </c>
      <c r="G277" t="s">
        <v>275</v>
      </c>
      <c r="H277">
        <v>93.44</v>
      </c>
      <c r="I277" t="s">
        <v>275</v>
      </c>
      <c r="K277" t="s">
        <v>3729</v>
      </c>
      <c r="L277" t="s">
        <v>287</v>
      </c>
      <c r="O277" t="s">
        <v>274</v>
      </c>
      <c r="P277" t="s">
        <v>493</v>
      </c>
      <c r="Q277" t="s">
        <v>501</v>
      </c>
      <c r="S277" t="s">
        <v>503</v>
      </c>
      <c r="T277" t="s">
        <v>507</v>
      </c>
      <c r="U277" t="s">
        <v>511</v>
      </c>
      <c r="V277">
        <v>10451</v>
      </c>
      <c r="W277" t="s">
        <v>523</v>
      </c>
      <c r="X277" t="s">
        <v>549</v>
      </c>
      <c r="Y277" t="s">
        <v>275</v>
      </c>
      <c r="Z277" t="s">
        <v>3892</v>
      </c>
      <c r="AA277" t="s">
        <v>2102</v>
      </c>
      <c r="AB277" t="s">
        <v>903</v>
      </c>
      <c r="AD277" t="s">
        <v>916</v>
      </c>
      <c r="AE277" t="s">
        <v>919</v>
      </c>
      <c r="AF277" t="s">
        <v>923</v>
      </c>
      <c r="AI277">
        <v>28.3</v>
      </c>
      <c r="AJ277" t="s">
        <v>558</v>
      </c>
      <c r="AK277" t="s">
        <v>934</v>
      </c>
      <c r="AQ277" t="s">
        <v>1044</v>
      </c>
      <c r="AR277" t="s">
        <v>1051</v>
      </c>
      <c r="AT277">
        <v>0</v>
      </c>
      <c r="AU277">
        <v>3</v>
      </c>
      <c r="AV277" t="s">
        <v>273</v>
      </c>
      <c r="AY277" t="s">
        <v>273</v>
      </c>
      <c r="BB277">
        <v>0</v>
      </c>
      <c r="BC277">
        <v>0</v>
      </c>
      <c r="BD277">
        <v>0</v>
      </c>
      <c r="BE277">
        <v>0</v>
      </c>
      <c r="BF277" t="s">
        <v>493</v>
      </c>
      <c r="BG277" t="s">
        <v>4243</v>
      </c>
      <c r="BH277">
        <v>23</v>
      </c>
      <c r="BI277" t="s">
        <v>4282</v>
      </c>
      <c r="BK277">
        <v>790833</v>
      </c>
    </row>
    <row r="278" spans="1:64">
      <c r="A278" s="1">
        <f>HYPERLINK("https://lsnyc.legalserver.org/matter/dynamic-profile/view/1846422","17-1846422")</f>
        <v>0</v>
      </c>
      <c r="B278" t="s">
        <v>3665</v>
      </c>
      <c r="C278" t="s">
        <v>3679</v>
      </c>
      <c r="D278" t="s">
        <v>257</v>
      </c>
      <c r="E278" t="s">
        <v>3683</v>
      </c>
      <c r="F278" t="s">
        <v>273</v>
      </c>
      <c r="G278" t="s">
        <v>275</v>
      </c>
      <c r="H278">
        <v>0</v>
      </c>
      <c r="I278" t="s">
        <v>274</v>
      </c>
      <c r="K278" t="s">
        <v>3730</v>
      </c>
      <c r="M278" t="s">
        <v>473</v>
      </c>
      <c r="N278" t="s">
        <v>452</v>
      </c>
      <c r="O278" t="s">
        <v>275</v>
      </c>
      <c r="P278" t="s">
        <v>492</v>
      </c>
      <c r="Q278" t="s">
        <v>501</v>
      </c>
      <c r="S278" t="s">
        <v>503</v>
      </c>
      <c r="T278" t="s">
        <v>508</v>
      </c>
      <c r="U278" t="s">
        <v>511</v>
      </c>
      <c r="V278">
        <v>10456</v>
      </c>
      <c r="W278" t="s">
        <v>519</v>
      </c>
      <c r="X278" t="s">
        <v>548</v>
      </c>
      <c r="Y278" t="s">
        <v>275</v>
      </c>
      <c r="Z278" t="s">
        <v>3893</v>
      </c>
      <c r="AA278" t="s">
        <v>832</v>
      </c>
      <c r="AB278" t="s">
        <v>902</v>
      </c>
      <c r="AC278" t="s">
        <v>905</v>
      </c>
      <c r="AD278" t="s">
        <v>274</v>
      </c>
      <c r="AF278" t="s">
        <v>926</v>
      </c>
      <c r="AI278">
        <v>85.25</v>
      </c>
      <c r="AJ278" t="s">
        <v>558</v>
      </c>
      <c r="AK278" t="s">
        <v>934</v>
      </c>
      <c r="AM278" t="s">
        <v>973</v>
      </c>
      <c r="AN278" t="s">
        <v>4067</v>
      </c>
      <c r="AT278">
        <v>0</v>
      </c>
      <c r="AU278">
        <v>2</v>
      </c>
      <c r="AV278" t="s">
        <v>273</v>
      </c>
      <c r="AY278" t="s">
        <v>273</v>
      </c>
      <c r="BB278">
        <v>0</v>
      </c>
      <c r="BC278">
        <v>0</v>
      </c>
      <c r="BD278">
        <v>0</v>
      </c>
      <c r="BE278">
        <v>0</v>
      </c>
      <c r="BF278" t="s">
        <v>1063</v>
      </c>
      <c r="BG278" t="s">
        <v>1230</v>
      </c>
      <c r="BH278">
        <v>47</v>
      </c>
      <c r="BI278" t="s">
        <v>1247</v>
      </c>
      <c r="BK278">
        <v>1846944</v>
      </c>
    </row>
    <row r="279" spans="1:64">
      <c r="A279" s="1">
        <f>HYPERLINK("https://lsnyc.legalserver.org/matter/dynamic-profile/view/1846095","17-1846095")</f>
        <v>0</v>
      </c>
      <c r="B279" t="s">
        <v>3666</v>
      </c>
      <c r="C279" t="s">
        <v>3679</v>
      </c>
      <c r="D279" t="s">
        <v>257</v>
      </c>
      <c r="E279" t="s">
        <v>3683</v>
      </c>
      <c r="F279" t="s">
        <v>275</v>
      </c>
      <c r="G279" t="s">
        <v>275</v>
      </c>
      <c r="H279">
        <v>96.06</v>
      </c>
      <c r="I279" t="s">
        <v>274</v>
      </c>
      <c r="K279" t="s">
        <v>420</v>
      </c>
      <c r="L279" t="s">
        <v>1662</v>
      </c>
      <c r="M279" t="s">
        <v>471</v>
      </c>
      <c r="N279" t="s">
        <v>1668</v>
      </c>
      <c r="O279" t="s">
        <v>274</v>
      </c>
      <c r="P279" t="s">
        <v>493</v>
      </c>
      <c r="Q279" t="s">
        <v>501</v>
      </c>
      <c r="S279" t="s">
        <v>503</v>
      </c>
      <c r="T279" t="s">
        <v>507</v>
      </c>
      <c r="U279" t="s">
        <v>511</v>
      </c>
      <c r="V279">
        <v>10460</v>
      </c>
      <c r="W279" t="s">
        <v>523</v>
      </c>
      <c r="X279" t="s">
        <v>549</v>
      </c>
      <c r="Y279" t="s">
        <v>275</v>
      </c>
      <c r="Z279" t="s">
        <v>3894</v>
      </c>
      <c r="AA279" t="s">
        <v>4045</v>
      </c>
      <c r="AB279" t="s">
        <v>903</v>
      </c>
      <c r="AD279" t="s">
        <v>275</v>
      </c>
      <c r="AE279" t="s">
        <v>919</v>
      </c>
      <c r="AF279" t="s">
        <v>923</v>
      </c>
      <c r="AI279">
        <v>38.75</v>
      </c>
      <c r="AJ279" t="s">
        <v>558</v>
      </c>
      <c r="AK279" t="s">
        <v>934</v>
      </c>
      <c r="AL279" t="s">
        <v>274</v>
      </c>
      <c r="AM279" t="s">
        <v>973</v>
      </c>
      <c r="AN279" t="s">
        <v>1762</v>
      </c>
      <c r="AO279" t="s">
        <v>976</v>
      </c>
      <c r="AP279" t="s">
        <v>451</v>
      </c>
      <c r="AQ279" t="s">
        <v>1046</v>
      </c>
      <c r="AR279" t="s">
        <v>1051</v>
      </c>
      <c r="AT279">
        <v>1</v>
      </c>
      <c r="AU279">
        <v>1</v>
      </c>
      <c r="AV279" t="s">
        <v>273</v>
      </c>
      <c r="AY279" t="s">
        <v>273</v>
      </c>
      <c r="BB279">
        <v>0</v>
      </c>
      <c r="BC279">
        <v>0</v>
      </c>
      <c r="BD279">
        <v>0</v>
      </c>
      <c r="BE279">
        <v>0</v>
      </c>
      <c r="BF279" t="s">
        <v>493</v>
      </c>
      <c r="BG279" t="s">
        <v>4244</v>
      </c>
      <c r="BH279">
        <v>23</v>
      </c>
      <c r="BI279" t="s">
        <v>1270</v>
      </c>
      <c r="BK279">
        <v>1845391</v>
      </c>
      <c r="BL279" t="s">
        <v>275</v>
      </c>
    </row>
    <row r="280" spans="1:64">
      <c r="A280" s="1">
        <f>HYPERLINK("https://lsnyc.legalserver.org/matter/dynamic-profile/view/1843510","17-1843510")</f>
        <v>0</v>
      </c>
      <c r="B280" t="s">
        <v>3667</v>
      </c>
      <c r="C280" t="s">
        <v>3679</v>
      </c>
      <c r="D280" t="s">
        <v>257</v>
      </c>
      <c r="E280" t="s">
        <v>3687</v>
      </c>
      <c r="F280" t="s">
        <v>273</v>
      </c>
      <c r="G280" t="s">
        <v>275</v>
      </c>
      <c r="H280">
        <v>162.61</v>
      </c>
      <c r="I280" t="s">
        <v>274</v>
      </c>
      <c r="K280" t="s">
        <v>3731</v>
      </c>
      <c r="L280" t="s">
        <v>981</v>
      </c>
      <c r="O280" t="s">
        <v>275</v>
      </c>
      <c r="P280" t="s">
        <v>493</v>
      </c>
      <c r="Q280" t="s">
        <v>501</v>
      </c>
      <c r="S280" t="s">
        <v>503</v>
      </c>
      <c r="T280" t="s">
        <v>508</v>
      </c>
      <c r="U280" t="s">
        <v>511</v>
      </c>
      <c r="V280">
        <v>10457</v>
      </c>
      <c r="W280" t="s">
        <v>524</v>
      </c>
      <c r="X280" t="s">
        <v>549</v>
      </c>
      <c r="Y280" t="s">
        <v>275</v>
      </c>
      <c r="Z280" t="s">
        <v>3895</v>
      </c>
      <c r="AA280" t="s">
        <v>3243</v>
      </c>
      <c r="AB280" t="s">
        <v>902</v>
      </c>
      <c r="AC280" t="s">
        <v>904</v>
      </c>
      <c r="AD280" t="s">
        <v>275</v>
      </c>
      <c r="AE280" t="s">
        <v>919</v>
      </c>
      <c r="AF280" t="s">
        <v>923</v>
      </c>
      <c r="AI280">
        <v>6.05</v>
      </c>
      <c r="AJ280" t="s">
        <v>558</v>
      </c>
      <c r="AK280" t="s">
        <v>970</v>
      </c>
      <c r="AL280" t="s">
        <v>274</v>
      </c>
      <c r="AQ280" t="s">
        <v>1044</v>
      </c>
      <c r="AR280" t="s">
        <v>1051</v>
      </c>
      <c r="AT280">
        <v>4</v>
      </c>
      <c r="AU280">
        <v>1</v>
      </c>
      <c r="AV280" t="s">
        <v>273</v>
      </c>
      <c r="AY280" t="s">
        <v>273</v>
      </c>
      <c r="BB280">
        <v>0</v>
      </c>
      <c r="BC280">
        <v>0</v>
      </c>
      <c r="BD280">
        <v>0</v>
      </c>
      <c r="BE280">
        <v>0</v>
      </c>
      <c r="BF280" t="s">
        <v>493</v>
      </c>
      <c r="BG280" t="s">
        <v>4245</v>
      </c>
      <c r="BH280">
        <v>38</v>
      </c>
      <c r="BI280" t="s">
        <v>4258</v>
      </c>
      <c r="BK280">
        <v>770352</v>
      </c>
    </row>
    <row r="281" spans="1:64">
      <c r="A281" s="1">
        <f>HYPERLINK("https://lsnyc.legalserver.org/matter/dynamic-profile/view/1843524","17-1843524")</f>
        <v>0</v>
      </c>
      <c r="B281" t="s">
        <v>3667</v>
      </c>
      <c r="C281" t="s">
        <v>3679</v>
      </c>
      <c r="D281" t="s">
        <v>257</v>
      </c>
      <c r="E281" t="s">
        <v>3687</v>
      </c>
      <c r="F281" t="s">
        <v>273</v>
      </c>
      <c r="G281" t="s">
        <v>275</v>
      </c>
      <c r="H281">
        <v>97.69</v>
      </c>
      <c r="I281" t="s">
        <v>274</v>
      </c>
      <c r="K281" t="s">
        <v>3731</v>
      </c>
      <c r="L281" t="s">
        <v>981</v>
      </c>
      <c r="O281" t="s">
        <v>275</v>
      </c>
      <c r="P281" t="s">
        <v>493</v>
      </c>
      <c r="Q281" t="s">
        <v>501</v>
      </c>
      <c r="S281" t="s">
        <v>503</v>
      </c>
      <c r="T281" t="s">
        <v>508</v>
      </c>
      <c r="U281" t="s">
        <v>511</v>
      </c>
      <c r="V281">
        <v>10457</v>
      </c>
      <c r="W281" t="s">
        <v>524</v>
      </c>
      <c r="X281" t="s">
        <v>549</v>
      </c>
      <c r="Y281" t="s">
        <v>275</v>
      </c>
      <c r="Z281" t="s">
        <v>3895</v>
      </c>
      <c r="AA281" t="s">
        <v>3243</v>
      </c>
      <c r="AB281" t="s">
        <v>902</v>
      </c>
      <c r="AC281" t="s">
        <v>904</v>
      </c>
      <c r="AD281" t="s">
        <v>275</v>
      </c>
      <c r="AE281" t="s">
        <v>919</v>
      </c>
      <c r="AF281" t="s">
        <v>923</v>
      </c>
      <c r="AI281">
        <v>5.45</v>
      </c>
      <c r="AJ281" t="s">
        <v>558</v>
      </c>
      <c r="AK281" t="s">
        <v>970</v>
      </c>
      <c r="AL281" t="s">
        <v>274</v>
      </c>
      <c r="AQ281" t="s">
        <v>1044</v>
      </c>
      <c r="AR281" t="s">
        <v>1051</v>
      </c>
      <c r="AT281">
        <v>3</v>
      </c>
      <c r="AU281">
        <v>1</v>
      </c>
      <c r="AV281" t="s">
        <v>273</v>
      </c>
      <c r="AY281" t="s">
        <v>273</v>
      </c>
      <c r="BB281">
        <v>0</v>
      </c>
      <c r="BC281">
        <v>0</v>
      </c>
      <c r="BD281">
        <v>0</v>
      </c>
      <c r="BE281">
        <v>0</v>
      </c>
      <c r="BF281" t="s">
        <v>493</v>
      </c>
      <c r="BG281" t="s">
        <v>4245</v>
      </c>
      <c r="BH281">
        <v>38</v>
      </c>
      <c r="BI281" t="s">
        <v>4283</v>
      </c>
      <c r="BK281">
        <v>770352</v>
      </c>
    </row>
    <row r="282" spans="1:64">
      <c r="A282" s="1">
        <f>HYPERLINK("https://lsnyc.legalserver.org/matter/dynamic-profile/view/1843525","17-1843525")</f>
        <v>0</v>
      </c>
      <c r="B282" t="s">
        <v>3667</v>
      </c>
      <c r="C282" t="s">
        <v>3679</v>
      </c>
      <c r="D282" t="s">
        <v>257</v>
      </c>
      <c r="E282" t="s">
        <v>3687</v>
      </c>
      <c r="F282" t="s">
        <v>275</v>
      </c>
      <c r="G282" t="s">
        <v>275</v>
      </c>
      <c r="H282">
        <v>97.69</v>
      </c>
      <c r="I282" t="s">
        <v>274</v>
      </c>
      <c r="K282" t="s">
        <v>3731</v>
      </c>
      <c r="L282" t="s">
        <v>981</v>
      </c>
      <c r="O282" t="s">
        <v>275</v>
      </c>
      <c r="P282" t="s">
        <v>493</v>
      </c>
      <c r="Q282" t="s">
        <v>501</v>
      </c>
      <c r="S282" t="s">
        <v>503</v>
      </c>
      <c r="T282" t="s">
        <v>508</v>
      </c>
      <c r="U282" t="s">
        <v>511</v>
      </c>
      <c r="V282">
        <v>10457</v>
      </c>
      <c r="W282" t="s">
        <v>524</v>
      </c>
      <c r="X282" t="s">
        <v>549</v>
      </c>
      <c r="Y282" t="s">
        <v>275</v>
      </c>
      <c r="Z282" t="s">
        <v>3895</v>
      </c>
      <c r="AA282" t="s">
        <v>3243</v>
      </c>
      <c r="AB282" t="s">
        <v>902</v>
      </c>
      <c r="AC282" t="s">
        <v>904</v>
      </c>
      <c r="AD282" t="s">
        <v>275</v>
      </c>
      <c r="AE282" t="s">
        <v>919</v>
      </c>
      <c r="AF282" t="s">
        <v>923</v>
      </c>
      <c r="AI282">
        <v>5.7</v>
      </c>
      <c r="AJ282" t="s">
        <v>558</v>
      </c>
      <c r="AK282" t="s">
        <v>970</v>
      </c>
      <c r="AL282" t="s">
        <v>274</v>
      </c>
      <c r="AQ282" t="s">
        <v>1044</v>
      </c>
      <c r="AR282" t="s">
        <v>1051</v>
      </c>
      <c r="AT282">
        <v>3</v>
      </c>
      <c r="AU282">
        <v>1</v>
      </c>
      <c r="AV282" t="s">
        <v>273</v>
      </c>
      <c r="AY282" t="s">
        <v>273</v>
      </c>
      <c r="BB282">
        <v>0</v>
      </c>
      <c r="BC282">
        <v>0</v>
      </c>
      <c r="BD282">
        <v>0</v>
      </c>
      <c r="BE282">
        <v>0</v>
      </c>
      <c r="BF282" t="s">
        <v>493</v>
      </c>
      <c r="BG282" t="s">
        <v>4245</v>
      </c>
      <c r="BH282">
        <v>38</v>
      </c>
      <c r="BI282" t="s">
        <v>4283</v>
      </c>
      <c r="BK282">
        <v>770352</v>
      </c>
    </row>
    <row r="283" spans="1:64">
      <c r="A283" s="1">
        <f>HYPERLINK("https://lsnyc.legalserver.org/matter/dynamic-profile/view/1839996","17-1839996")</f>
        <v>0</v>
      </c>
      <c r="B283" t="s">
        <v>3668</v>
      </c>
      <c r="C283" t="s">
        <v>3679</v>
      </c>
      <c r="D283" t="s">
        <v>257</v>
      </c>
      <c r="E283" t="s">
        <v>3686</v>
      </c>
      <c r="F283" t="s">
        <v>273</v>
      </c>
      <c r="G283" t="s">
        <v>275</v>
      </c>
      <c r="H283">
        <v>72.59</v>
      </c>
      <c r="I283" t="s">
        <v>274</v>
      </c>
      <c r="K283" t="s">
        <v>3732</v>
      </c>
      <c r="O283" t="s">
        <v>275</v>
      </c>
      <c r="P283" t="s">
        <v>499</v>
      </c>
      <c r="Q283" t="s">
        <v>501</v>
      </c>
      <c r="S283" t="s">
        <v>503</v>
      </c>
      <c r="T283" t="s">
        <v>508</v>
      </c>
      <c r="U283" t="s">
        <v>511</v>
      </c>
      <c r="V283">
        <v>10467</v>
      </c>
      <c r="W283" t="s">
        <v>532</v>
      </c>
      <c r="X283" t="s">
        <v>548</v>
      </c>
      <c r="Y283" t="s">
        <v>275</v>
      </c>
      <c r="Z283" t="s">
        <v>3896</v>
      </c>
      <c r="AA283" t="s">
        <v>4046</v>
      </c>
      <c r="AB283" t="s">
        <v>902</v>
      </c>
      <c r="AC283" t="s">
        <v>906</v>
      </c>
      <c r="AF283" t="s">
        <v>923</v>
      </c>
      <c r="AI283">
        <v>15.85</v>
      </c>
      <c r="AJ283" t="s">
        <v>558</v>
      </c>
      <c r="AK283" t="s">
        <v>933</v>
      </c>
      <c r="AT283">
        <v>2</v>
      </c>
      <c r="AU283">
        <v>2</v>
      </c>
      <c r="AV283" t="s">
        <v>273</v>
      </c>
      <c r="AY283" t="s">
        <v>273</v>
      </c>
      <c r="BB283">
        <v>0</v>
      </c>
      <c r="BC283">
        <v>0</v>
      </c>
      <c r="BD283">
        <v>0</v>
      </c>
      <c r="BE283">
        <v>0</v>
      </c>
      <c r="BF283" t="s">
        <v>1063</v>
      </c>
      <c r="BG283" t="s">
        <v>4246</v>
      </c>
      <c r="BH283">
        <v>39</v>
      </c>
      <c r="BI283" t="s">
        <v>4284</v>
      </c>
      <c r="BK283">
        <v>1840488</v>
      </c>
    </row>
    <row r="284" spans="1:64">
      <c r="A284" s="1">
        <f>HYPERLINK("https://lsnyc.legalserver.org/matter/dynamic-profile/view/1837898","17-1837898")</f>
        <v>0</v>
      </c>
      <c r="B284" t="s">
        <v>3669</v>
      </c>
      <c r="C284" t="s">
        <v>3679</v>
      </c>
      <c r="D284" t="s">
        <v>257</v>
      </c>
      <c r="E284" t="s">
        <v>3687</v>
      </c>
      <c r="F284" t="s">
        <v>273</v>
      </c>
      <c r="G284" t="s">
        <v>275</v>
      </c>
      <c r="H284">
        <v>32.23</v>
      </c>
      <c r="I284" t="s">
        <v>274</v>
      </c>
      <c r="K284" t="s">
        <v>1797</v>
      </c>
      <c r="M284" t="s">
        <v>472</v>
      </c>
      <c r="N284" t="s">
        <v>341</v>
      </c>
      <c r="P284" t="s">
        <v>495</v>
      </c>
      <c r="Q284" t="s">
        <v>501</v>
      </c>
      <c r="S284" t="s">
        <v>503</v>
      </c>
      <c r="T284" t="s">
        <v>507</v>
      </c>
      <c r="U284" t="s">
        <v>511</v>
      </c>
      <c r="V284">
        <v>10467</v>
      </c>
      <c r="W284" t="s">
        <v>3755</v>
      </c>
      <c r="X284" t="s">
        <v>548</v>
      </c>
      <c r="Y284" t="s">
        <v>275</v>
      </c>
      <c r="Z284" t="s">
        <v>3897</v>
      </c>
      <c r="AA284" t="s">
        <v>4047</v>
      </c>
      <c r="AB284" t="s">
        <v>903</v>
      </c>
      <c r="AC284" t="s">
        <v>909</v>
      </c>
      <c r="AF284" t="s">
        <v>923</v>
      </c>
      <c r="AI284">
        <v>52.55</v>
      </c>
      <c r="AJ284" t="s">
        <v>558</v>
      </c>
      <c r="AK284" t="s">
        <v>933</v>
      </c>
      <c r="AL284" t="s">
        <v>274</v>
      </c>
      <c r="AM284" t="s">
        <v>973</v>
      </c>
      <c r="AN284" t="s">
        <v>2398</v>
      </c>
      <c r="AO284" t="s">
        <v>978</v>
      </c>
      <c r="AP284" t="s">
        <v>338</v>
      </c>
      <c r="AT284">
        <v>2</v>
      </c>
      <c r="AU284">
        <v>3</v>
      </c>
      <c r="AV284" t="s">
        <v>273</v>
      </c>
      <c r="AY284" t="s">
        <v>273</v>
      </c>
      <c r="BB284">
        <v>0</v>
      </c>
      <c r="BC284">
        <v>0</v>
      </c>
      <c r="BD284">
        <v>0</v>
      </c>
      <c r="BE284">
        <v>0</v>
      </c>
      <c r="BF284" t="s">
        <v>1063</v>
      </c>
      <c r="BG284" t="s">
        <v>4247</v>
      </c>
      <c r="BH284">
        <v>41</v>
      </c>
      <c r="BI284" t="s">
        <v>4285</v>
      </c>
      <c r="BK284">
        <v>804025</v>
      </c>
    </row>
    <row r="285" spans="1:64">
      <c r="A285" s="1">
        <f>HYPERLINK("https://lsnyc.legalserver.org/matter/dynamic-profile/view/1837744","17-1837744")</f>
        <v>0</v>
      </c>
      <c r="B285" t="s">
        <v>3670</v>
      </c>
      <c r="C285" t="s">
        <v>3679</v>
      </c>
      <c r="D285" t="s">
        <v>257</v>
      </c>
      <c r="E285" t="s">
        <v>3683</v>
      </c>
      <c r="F285" t="s">
        <v>273</v>
      </c>
      <c r="G285" t="s">
        <v>275</v>
      </c>
      <c r="H285">
        <v>99.17</v>
      </c>
      <c r="I285" t="s">
        <v>275</v>
      </c>
      <c r="K285" t="s">
        <v>3733</v>
      </c>
      <c r="P285" t="s">
        <v>494</v>
      </c>
      <c r="Q285" t="s">
        <v>501</v>
      </c>
      <c r="S285" t="s">
        <v>503</v>
      </c>
      <c r="T285" t="s">
        <v>507</v>
      </c>
      <c r="U285" t="s">
        <v>511</v>
      </c>
      <c r="V285">
        <v>10458</v>
      </c>
      <c r="W285" t="s">
        <v>532</v>
      </c>
      <c r="X285" t="s">
        <v>548</v>
      </c>
      <c r="Z285" t="s">
        <v>3898</v>
      </c>
      <c r="AA285" t="s">
        <v>4048</v>
      </c>
      <c r="AB285" t="s">
        <v>902</v>
      </c>
      <c r="AC285" t="s">
        <v>906</v>
      </c>
      <c r="AF285" t="s">
        <v>928</v>
      </c>
      <c r="AI285">
        <v>7.25</v>
      </c>
      <c r="AK285" t="s">
        <v>933</v>
      </c>
      <c r="AM285" t="s">
        <v>975</v>
      </c>
      <c r="AN285" t="s">
        <v>3009</v>
      </c>
      <c r="AT285">
        <v>0</v>
      </c>
      <c r="AU285">
        <v>1</v>
      </c>
      <c r="AV285" t="s">
        <v>273</v>
      </c>
      <c r="AY285" t="s">
        <v>273</v>
      </c>
      <c r="BB285">
        <v>0</v>
      </c>
      <c r="BC285">
        <v>0</v>
      </c>
      <c r="BD285">
        <v>0</v>
      </c>
      <c r="BE285">
        <v>0</v>
      </c>
      <c r="BF285" t="s">
        <v>1063</v>
      </c>
      <c r="BG285" t="s">
        <v>4248</v>
      </c>
      <c r="BH285">
        <v>31</v>
      </c>
      <c r="BI285" t="s">
        <v>4286</v>
      </c>
      <c r="BK285">
        <v>1838240</v>
      </c>
    </row>
    <row r="286" spans="1:64">
      <c r="A286" s="1">
        <f>HYPERLINK("https://lsnyc.legalserver.org/matter/dynamic-profile/view/1837504","17-1837504")</f>
        <v>0</v>
      </c>
      <c r="B286" t="s">
        <v>3671</v>
      </c>
      <c r="C286" t="s">
        <v>3679</v>
      </c>
      <c r="D286" t="s">
        <v>257</v>
      </c>
      <c r="E286" t="s">
        <v>3695</v>
      </c>
      <c r="F286" t="s">
        <v>274</v>
      </c>
      <c r="G286" t="s">
        <v>274</v>
      </c>
      <c r="H286">
        <v>66.72</v>
      </c>
      <c r="I286" t="s">
        <v>275</v>
      </c>
      <c r="K286" t="s">
        <v>429</v>
      </c>
      <c r="O286" t="s">
        <v>275</v>
      </c>
      <c r="P286" t="s">
        <v>497</v>
      </c>
      <c r="Q286" t="s">
        <v>501</v>
      </c>
      <c r="S286" t="s">
        <v>503</v>
      </c>
      <c r="T286" t="s">
        <v>508</v>
      </c>
      <c r="U286" t="s">
        <v>511</v>
      </c>
      <c r="V286">
        <v>10459</v>
      </c>
      <c r="W286" t="s">
        <v>517</v>
      </c>
      <c r="X286" t="s">
        <v>3758</v>
      </c>
      <c r="Z286" t="s">
        <v>601</v>
      </c>
      <c r="AA286" t="s">
        <v>4049</v>
      </c>
      <c r="AB286" t="s">
        <v>902</v>
      </c>
      <c r="AC286" t="s">
        <v>904</v>
      </c>
      <c r="AF286" t="s">
        <v>923</v>
      </c>
      <c r="AI286">
        <v>2.68</v>
      </c>
      <c r="AK286" t="s">
        <v>4060</v>
      </c>
      <c r="AM286" t="s">
        <v>973</v>
      </c>
      <c r="AN286" t="s">
        <v>4068</v>
      </c>
      <c r="AT286">
        <v>1</v>
      </c>
      <c r="AU286">
        <v>1</v>
      </c>
      <c r="AV286" t="s">
        <v>273</v>
      </c>
      <c r="AY286" t="s">
        <v>273</v>
      </c>
      <c r="BB286">
        <v>0</v>
      </c>
      <c r="BC286">
        <v>0</v>
      </c>
      <c r="BD286">
        <v>0</v>
      </c>
      <c r="BE286">
        <v>0</v>
      </c>
      <c r="BF286" t="s">
        <v>1063</v>
      </c>
      <c r="BG286" t="s">
        <v>4249</v>
      </c>
      <c r="BH286">
        <v>37</v>
      </c>
      <c r="BI286" t="s">
        <v>4287</v>
      </c>
      <c r="BK286">
        <v>273398</v>
      </c>
    </row>
    <row r="287" spans="1:64">
      <c r="A287" s="1">
        <f>HYPERLINK("https://lsnyc.legalserver.org/matter/dynamic-profile/view/1837006","17-1837006")</f>
        <v>0</v>
      </c>
      <c r="B287" t="s">
        <v>3672</v>
      </c>
      <c r="C287" t="s">
        <v>3679</v>
      </c>
      <c r="D287" t="s">
        <v>257</v>
      </c>
      <c r="E287" t="s">
        <v>3684</v>
      </c>
      <c r="F287" t="s">
        <v>273</v>
      </c>
      <c r="G287" t="s">
        <v>275</v>
      </c>
      <c r="H287">
        <v>50.93</v>
      </c>
      <c r="I287" t="s">
        <v>274</v>
      </c>
      <c r="K287" t="s">
        <v>3734</v>
      </c>
      <c r="P287" t="s">
        <v>492</v>
      </c>
      <c r="Q287" t="s">
        <v>501</v>
      </c>
      <c r="S287" t="s">
        <v>503</v>
      </c>
      <c r="T287" t="s">
        <v>508</v>
      </c>
      <c r="U287" t="s">
        <v>511</v>
      </c>
      <c r="V287">
        <v>10459</v>
      </c>
      <c r="W287" t="s">
        <v>1824</v>
      </c>
      <c r="X287" t="s">
        <v>548</v>
      </c>
      <c r="Y287" t="s">
        <v>275</v>
      </c>
      <c r="Z287" t="s">
        <v>3899</v>
      </c>
      <c r="AA287" t="s">
        <v>4050</v>
      </c>
      <c r="AB287" t="s">
        <v>902</v>
      </c>
      <c r="AC287" t="s">
        <v>904</v>
      </c>
      <c r="AF287" t="s">
        <v>923</v>
      </c>
      <c r="AI287">
        <v>30.25</v>
      </c>
      <c r="AJ287" t="s">
        <v>558</v>
      </c>
      <c r="AK287" t="s">
        <v>950</v>
      </c>
      <c r="AM287" t="s">
        <v>973</v>
      </c>
      <c r="AN287" t="s">
        <v>2991</v>
      </c>
      <c r="AT287">
        <v>0</v>
      </c>
      <c r="AU287">
        <v>3</v>
      </c>
      <c r="AV287" t="s">
        <v>273</v>
      </c>
      <c r="AY287" t="s">
        <v>273</v>
      </c>
      <c r="BB287">
        <v>0</v>
      </c>
      <c r="BC287">
        <v>0</v>
      </c>
      <c r="BD287">
        <v>0</v>
      </c>
      <c r="BE287">
        <v>0</v>
      </c>
      <c r="BF287" t="s">
        <v>1063</v>
      </c>
      <c r="BG287" t="s">
        <v>4250</v>
      </c>
      <c r="BH287">
        <v>33</v>
      </c>
      <c r="BI287" t="s">
        <v>1301</v>
      </c>
      <c r="BK287">
        <v>761453</v>
      </c>
    </row>
    <row r="288" spans="1:64">
      <c r="A288" s="1">
        <f>HYPERLINK("https://lsnyc.legalserver.org/matter/dynamic-profile/view/0830888","17-0830888")</f>
        <v>0</v>
      </c>
      <c r="B288" t="s">
        <v>3619</v>
      </c>
      <c r="C288" t="s">
        <v>3679</v>
      </c>
      <c r="D288" t="s">
        <v>257</v>
      </c>
      <c r="E288" t="s">
        <v>3686</v>
      </c>
      <c r="F288" t="s">
        <v>273</v>
      </c>
      <c r="G288" t="s">
        <v>275</v>
      </c>
      <c r="H288">
        <v>0</v>
      </c>
      <c r="I288" t="s">
        <v>274</v>
      </c>
      <c r="K288" t="s">
        <v>3735</v>
      </c>
      <c r="O288" t="s">
        <v>275</v>
      </c>
      <c r="P288" t="s">
        <v>492</v>
      </c>
      <c r="Q288" t="s">
        <v>501</v>
      </c>
      <c r="S288" t="s">
        <v>503</v>
      </c>
      <c r="T288" t="s">
        <v>508</v>
      </c>
      <c r="U288" t="s">
        <v>511</v>
      </c>
      <c r="V288">
        <v>10453</v>
      </c>
      <c r="W288" t="s">
        <v>519</v>
      </c>
      <c r="X288" t="s">
        <v>548</v>
      </c>
      <c r="Y288" t="s">
        <v>275</v>
      </c>
      <c r="Z288" t="s">
        <v>3781</v>
      </c>
      <c r="AA288" t="s">
        <v>4010</v>
      </c>
      <c r="AB288" t="s">
        <v>902</v>
      </c>
      <c r="AC288" t="s">
        <v>905</v>
      </c>
      <c r="AF288" t="s">
        <v>926</v>
      </c>
      <c r="AI288">
        <v>129.9</v>
      </c>
      <c r="AJ288" t="s">
        <v>558</v>
      </c>
      <c r="AK288" t="s">
        <v>934</v>
      </c>
      <c r="AM288" t="s">
        <v>973</v>
      </c>
      <c r="AN288" t="s">
        <v>3723</v>
      </c>
      <c r="AT288">
        <v>1</v>
      </c>
      <c r="AU288">
        <v>1</v>
      </c>
      <c r="AV288" t="s">
        <v>273</v>
      </c>
      <c r="AY288" t="s">
        <v>273</v>
      </c>
      <c r="BB288">
        <v>0</v>
      </c>
      <c r="BC288">
        <v>0</v>
      </c>
      <c r="BD288">
        <v>0</v>
      </c>
      <c r="BE288">
        <v>0</v>
      </c>
      <c r="BF288" t="s">
        <v>1063</v>
      </c>
      <c r="BG288" t="s">
        <v>4204</v>
      </c>
      <c r="BH288">
        <v>33</v>
      </c>
      <c r="BI288" t="s">
        <v>1247</v>
      </c>
      <c r="BK288">
        <v>831371</v>
      </c>
    </row>
    <row r="289" spans="1:64">
      <c r="A289" s="1">
        <f>HYPERLINK("https://lsnyc.legalserver.org/matter/dynamic-profile/view/0830359","17-0830359")</f>
        <v>0</v>
      </c>
      <c r="B289" t="s">
        <v>3507</v>
      </c>
      <c r="C289" t="s">
        <v>3679</v>
      </c>
      <c r="D289" t="s">
        <v>257</v>
      </c>
      <c r="E289" t="s">
        <v>3683</v>
      </c>
      <c r="F289" t="s">
        <v>275</v>
      </c>
      <c r="G289" t="s">
        <v>275</v>
      </c>
      <c r="H289">
        <v>0</v>
      </c>
      <c r="I289" t="s">
        <v>274</v>
      </c>
      <c r="K289" t="s">
        <v>3736</v>
      </c>
      <c r="L289" t="s">
        <v>1656</v>
      </c>
      <c r="M289" t="s">
        <v>472</v>
      </c>
      <c r="N289" t="s">
        <v>289</v>
      </c>
      <c r="O289" t="s">
        <v>274</v>
      </c>
      <c r="P289" t="s">
        <v>493</v>
      </c>
      <c r="Q289" t="s">
        <v>501</v>
      </c>
      <c r="R289" t="s">
        <v>501</v>
      </c>
      <c r="S289" t="s">
        <v>503</v>
      </c>
      <c r="T289" t="s">
        <v>508</v>
      </c>
      <c r="U289" t="s">
        <v>511</v>
      </c>
      <c r="V289">
        <v>10455</v>
      </c>
      <c r="W289" t="s">
        <v>519</v>
      </c>
      <c r="X289" t="s">
        <v>548</v>
      </c>
      <c r="Y289" t="s">
        <v>275</v>
      </c>
      <c r="Z289" t="s">
        <v>3779</v>
      </c>
      <c r="AA289" t="s">
        <v>3920</v>
      </c>
      <c r="AB289" t="s">
        <v>902</v>
      </c>
      <c r="AC289" t="s">
        <v>905</v>
      </c>
      <c r="AD289" t="s">
        <v>274</v>
      </c>
      <c r="AE289" t="s">
        <v>919</v>
      </c>
      <c r="AF289" t="s">
        <v>926</v>
      </c>
      <c r="AI289">
        <v>157.9</v>
      </c>
      <c r="AJ289" t="s">
        <v>558</v>
      </c>
      <c r="AK289" t="s">
        <v>934</v>
      </c>
      <c r="AL289" t="s">
        <v>274</v>
      </c>
      <c r="AM289" t="s">
        <v>973</v>
      </c>
      <c r="AN289" t="s">
        <v>1757</v>
      </c>
      <c r="AO289" t="s">
        <v>976</v>
      </c>
      <c r="AP289" t="s">
        <v>992</v>
      </c>
      <c r="AQ289" t="s">
        <v>1035</v>
      </c>
      <c r="AR289" t="s">
        <v>1051</v>
      </c>
      <c r="AT289">
        <v>1</v>
      </c>
      <c r="AU289">
        <v>1</v>
      </c>
      <c r="AV289" t="s">
        <v>273</v>
      </c>
      <c r="AY289" t="s">
        <v>273</v>
      </c>
      <c r="BB289">
        <v>0</v>
      </c>
      <c r="BC289">
        <v>0</v>
      </c>
      <c r="BD289">
        <v>0</v>
      </c>
      <c r="BE289">
        <v>0</v>
      </c>
      <c r="BF289" t="s">
        <v>493</v>
      </c>
      <c r="BG289" t="s">
        <v>4101</v>
      </c>
      <c r="BH289">
        <v>24</v>
      </c>
      <c r="BI289" t="s">
        <v>1247</v>
      </c>
      <c r="BK289">
        <v>830838</v>
      </c>
    </row>
    <row r="290" spans="1:64">
      <c r="A290" s="1">
        <f>HYPERLINK("https://lsnyc.legalserver.org/matter/dynamic-profile/view/0828115","17-0828115")</f>
        <v>0</v>
      </c>
      <c r="B290" t="s">
        <v>3673</v>
      </c>
      <c r="C290" t="s">
        <v>3679</v>
      </c>
      <c r="D290" t="s">
        <v>257</v>
      </c>
      <c r="E290" t="s">
        <v>3685</v>
      </c>
      <c r="F290" t="s">
        <v>273</v>
      </c>
      <c r="G290" t="s">
        <v>275</v>
      </c>
      <c r="H290">
        <v>127.33</v>
      </c>
      <c r="K290" t="s">
        <v>3737</v>
      </c>
      <c r="O290" t="s">
        <v>275</v>
      </c>
      <c r="P290" t="s">
        <v>492</v>
      </c>
      <c r="Q290" t="s">
        <v>501</v>
      </c>
      <c r="S290" t="s">
        <v>503</v>
      </c>
      <c r="T290" t="s">
        <v>507</v>
      </c>
      <c r="U290" t="s">
        <v>511</v>
      </c>
      <c r="V290">
        <v>10455</v>
      </c>
      <c r="W290" t="s">
        <v>532</v>
      </c>
      <c r="X290" t="s">
        <v>548</v>
      </c>
      <c r="Y290" t="s">
        <v>275</v>
      </c>
      <c r="Z290" t="s">
        <v>3900</v>
      </c>
      <c r="AA290" t="s">
        <v>4051</v>
      </c>
      <c r="AB290" t="s">
        <v>902</v>
      </c>
      <c r="AC290" t="s">
        <v>906</v>
      </c>
      <c r="AF290" t="s">
        <v>923</v>
      </c>
      <c r="AI290">
        <v>26.75</v>
      </c>
      <c r="AK290" t="s">
        <v>933</v>
      </c>
      <c r="AT290">
        <v>0</v>
      </c>
      <c r="AU290">
        <v>3</v>
      </c>
      <c r="AV290" t="s">
        <v>273</v>
      </c>
      <c r="AY290" t="s">
        <v>273</v>
      </c>
      <c r="BB290">
        <v>0</v>
      </c>
      <c r="BC290">
        <v>0</v>
      </c>
      <c r="BD290">
        <v>0</v>
      </c>
      <c r="BE290">
        <v>0</v>
      </c>
      <c r="BF290" t="s">
        <v>1063</v>
      </c>
      <c r="BG290" t="s">
        <v>4251</v>
      </c>
      <c r="BH290">
        <v>38</v>
      </c>
      <c r="BI290" t="s">
        <v>1279</v>
      </c>
      <c r="BK290">
        <v>828590</v>
      </c>
      <c r="BL290" t="s">
        <v>275</v>
      </c>
    </row>
    <row r="291" spans="1:64">
      <c r="A291" s="1">
        <f>HYPERLINK("https://lsnyc.legalserver.org/matter/dynamic-profile/view/0824366","17-0824366")</f>
        <v>0</v>
      </c>
      <c r="B291" t="s">
        <v>3503</v>
      </c>
      <c r="C291" t="s">
        <v>3679</v>
      </c>
      <c r="D291" t="s">
        <v>257</v>
      </c>
      <c r="E291" t="s">
        <v>3684</v>
      </c>
      <c r="F291" t="s">
        <v>273</v>
      </c>
      <c r="G291" t="s">
        <v>275</v>
      </c>
      <c r="H291">
        <v>22.47</v>
      </c>
      <c r="K291" t="s">
        <v>3738</v>
      </c>
      <c r="P291" t="s">
        <v>492</v>
      </c>
      <c r="Q291" t="s">
        <v>501</v>
      </c>
      <c r="S291" t="s">
        <v>503</v>
      </c>
      <c r="T291" t="s">
        <v>508</v>
      </c>
      <c r="U291" t="s">
        <v>511</v>
      </c>
      <c r="V291">
        <v>10460</v>
      </c>
      <c r="W291" t="s">
        <v>518</v>
      </c>
      <c r="X291" t="s">
        <v>548</v>
      </c>
      <c r="Y291" t="s">
        <v>275</v>
      </c>
      <c r="Z291" t="s">
        <v>3775</v>
      </c>
      <c r="AA291" t="s">
        <v>2191</v>
      </c>
      <c r="AB291" t="s">
        <v>902</v>
      </c>
      <c r="AC291" t="s">
        <v>910</v>
      </c>
      <c r="AF291" t="s">
        <v>926</v>
      </c>
      <c r="AI291">
        <v>12.5</v>
      </c>
      <c r="AM291" t="s">
        <v>973</v>
      </c>
      <c r="AN291" t="s">
        <v>4069</v>
      </c>
      <c r="AT291">
        <v>1</v>
      </c>
      <c r="AU291">
        <v>1</v>
      </c>
      <c r="AV291" t="s">
        <v>273</v>
      </c>
      <c r="AY291" t="s">
        <v>273</v>
      </c>
      <c r="BB291">
        <v>0</v>
      </c>
      <c r="BC291">
        <v>0</v>
      </c>
      <c r="BD291">
        <v>0</v>
      </c>
      <c r="BE291">
        <v>0</v>
      </c>
      <c r="BF291" t="s">
        <v>1063</v>
      </c>
      <c r="BG291" t="s">
        <v>4097</v>
      </c>
      <c r="BH291">
        <v>36</v>
      </c>
      <c r="BI291" t="s">
        <v>2731</v>
      </c>
      <c r="BK291">
        <v>804416</v>
      </c>
      <c r="BL291" t="s">
        <v>274</v>
      </c>
    </row>
    <row r="292" spans="1:64">
      <c r="A292" s="1">
        <f>HYPERLINK("https://lsnyc.legalserver.org/matter/dynamic-profile/view/0824374","17-0824374")</f>
        <v>0</v>
      </c>
      <c r="B292" t="s">
        <v>3504</v>
      </c>
      <c r="C292" t="s">
        <v>3679</v>
      </c>
      <c r="D292" t="s">
        <v>257</v>
      </c>
      <c r="E292" t="s">
        <v>3684</v>
      </c>
      <c r="F292" t="s">
        <v>273</v>
      </c>
      <c r="G292" t="s">
        <v>275</v>
      </c>
      <c r="H292">
        <v>30.3</v>
      </c>
      <c r="K292" t="s">
        <v>3738</v>
      </c>
      <c r="P292" t="s">
        <v>492</v>
      </c>
      <c r="Q292" t="s">
        <v>502</v>
      </c>
      <c r="S292" t="s">
        <v>503</v>
      </c>
      <c r="T292" t="s">
        <v>508</v>
      </c>
      <c r="U292" t="s">
        <v>511</v>
      </c>
      <c r="V292">
        <v>10460</v>
      </c>
      <c r="W292" t="s">
        <v>531</v>
      </c>
      <c r="X292" t="s">
        <v>548</v>
      </c>
      <c r="Z292" t="s">
        <v>3776</v>
      </c>
      <c r="AA292" t="s">
        <v>3918</v>
      </c>
      <c r="AB292" t="s">
        <v>902</v>
      </c>
      <c r="AC292" t="s">
        <v>910</v>
      </c>
      <c r="AF292" t="s">
        <v>923</v>
      </c>
      <c r="AI292">
        <v>1.05</v>
      </c>
      <c r="AT292">
        <v>0</v>
      </c>
      <c r="AU292">
        <v>1</v>
      </c>
      <c r="AV292" t="s">
        <v>273</v>
      </c>
      <c r="AY292" t="s">
        <v>273</v>
      </c>
      <c r="BB292">
        <v>0</v>
      </c>
      <c r="BC292">
        <v>0</v>
      </c>
      <c r="BD292">
        <v>0</v>
      </c>
      <c r="BE292">
        <v>0</v>
      </c>
      <c r="BF292" t="s">
        <v>1063</v>
      </c>
      <c r="BG292" t="s">
        <v>4098</v>
      </c>
      <c r="BH292">
        <v>17</v>
      </c>
      <c r="BI292" t="s">
        <v>2731</v>
      </c>
      <c r="BK292">
        <v>804416</v>
      </c>
    </row>
    <row r="293" spans="1:64">
      <c r="A293" s="1">
        <f>HYPERLINK("https://lsnyc.legalserver.org/matter/dynamic-profile/view/0821879","16-0821879")</f>
        <v>0</v>
      </c>
      <c r="B293" t="s">
        <v>3674</v>
      </c>
      <c r="C293" t="s">
        <v>3679</v>
      </c>
      <c r="D293" t="s">
        <v>257</v>
      </c>
      <c r="E293" t="s">
        <v>3683</v>
      </c>
      <c r="F293" t="s">
        <v>273</v>
      </c>
      <c r="G293" t="s">
        <v>275</v>
      </c>
      <c r="H293">
        <v>85.48</v>
      </c>
      <c r="K293" t="s">
        <v>3739</v>
      </c>
      <c r="M293" t="s">
        <v>471</v>
      </c>
      <c r="N293" t="s">
        <v>290</v>
      </c>
      <c r="P293" t="s">
        <v>492</v>
      </c>
      <c r="Q293" t="s">
        <v>501</v>
      </c>
      <c r="S293" t="s">
        <v>503</v>
      </c>
      <c r="T293" t="s">
        <v>507</v>
      </c>
      <c r="U293" t="s">
        <v>511</v>
      </c>
      <c r="V293">
        <v>10459</v>
      </c>
      <c r="W293" t="s">
        <v>519</v>
      </c>
      <c r="X293" t="s">
        <v>548</v>
      </c>
      <c r="Y293" t="s">
        <v>275</v>
      </c>
      <c r="Z293" t="s">
        <v>657</v>
      </c>
      <c r="AA293" t="s">
        <v>4052</v>
      </c>
      <c r="AB293" t="s">
        <v>902</v>
      </c>
      <c r="AC293" t="s">
        <v>906</v>
      </c>
      <c r="AF293" t="s">
        <v>926</v>
      </c>
      <c r="AI293">
        <v>14.45</v>
      </c>
      <c r="AK293" t="s">
        <v>934</v>
      </c>
      <c r="AT293">
        <v>2</v>
      </c>
      <c r="AU293">
        <v>1</v>
      </c>
      <c r="AV293" t="s">
        <v>273</v>
      </c>
      <c r="AY293" t="s">
        <v>273</v>
      </c>
      <c r="BB293">
        <v>0</v>
      </c>
      <c r="BC293">
        <v>0</v>
      </c>
      <c r="BD293">
        <v>0</v>
      </c>
      <c r="BE293">
        <v>0</v>
      </c>
      <c r="BF293" t="s">
        <v>1063</v>
      </c>
      <c r="BG293" t="s">
        <v>4252</v>
      </c>
      <c r="BH293">
        <v>17</v>
      </c>
      <c r="BI293" t="s">
        <v>4288</v>
      </c>
      <c r="BK293">
        <v>815735</v>
      </c>
    </row>
    <row r="294" spans="1:64">
      <c r="A294" s="1">
        <f>HYPERLINK("https://lsnyc.legalserver.org/matter/dynamic-profile/view/0819254","16-0819254")</f>
        <v>0</v>
      </c>
      <c r="B294" t="s">
        <v>3532</v>
      </c>
      <c r="C294" t="s">
        <v>3679</v>
      </c>
      <c r="D294" t="s">
        <v>257</v>
      </c>
      <c r="E294" t="s">
        <v>3685</v>
      </c>
      <c r="F294" t="s">
        <v>273</v>
      </c>
      <c r="G294" t="s">
        <v>275</v>
      </c>
      <c r="H294">
        <v>102.88</v>
      </c>
      <c r="K294" t="s">
        <v>3740</v>
      </c>
      <c r="M294" t="s">
        <v>471</v>
      </c>
      <c r="P294" t="s">
        <v>492</v>
      </c>
      <c r="Q294" t="s">
        <v>501</v>
      </c>
      <c r="S294" t="s">
        <v>503</v>
      </c>
      <c r="T294" t="s">
        <v>508</v>
      </c>
      <c r="U294" t="s">
        <v>511</v>
      </c>
      <c r="V294">
        <v>10456</v>
      </c>
      <c r="W294" t="s">
        <v>519</v>
      </c>
      <c r="X294" t="s">
        <v>548</v>
      </c>
      <c r="Y294" t="s">
        <v>275</v>
      </c>
      <c r="Z294" t="s">
        <v>3797</v>
      </c>
      <c r="AA294" t="s">
        <v>3939</v>
      </c>
      <c r="AB294" t="s">
        <v>902</v>
      </c>
      <c r="AC294" t="s">
        <v>905</v>
      </c>
      <c r="AF294" t="s">
        <v>926</v>
      </c>
      <c r="AI294">
        <v>35.65</v>
      </c>
      <c r="AK294" t="s">
        <v>936</v>
      </c>
      <c r="AS294" t="s">
        <v>1060</v>
      </c>
      <c r="AT294">
        <v>2</v>
      </c>
      <c r="AU294">
        <v>2</v>
      </c>
      <c r="AV294" t="s">
        <v>273</v>
      </c>
      <c r="AY294" t="s">
        <v>273</v>
      </c>
      <c r="BB294">
        <v>0</v>
      </c>
      <c r="BC294">
        <v>0</v>
      </c>
      <c r="BD294">
        <v>0</v>
      </c>
      <c r="BE294">
        <v>0</v>
      </c>
      <c r="BF294" t="s">
        <v>1063</v>
      </c>
      <c r="BG294" t="s">
        <v>4125</v>
      </c>
      <c r="BH294">
        <v>23</v>
      </c>
      <c r="BI294" t="s">
        <v>1274</v>
      </c>
      <c r="BK294">
        <v>1887765</v>
      </c>
    </row>
    <row r="295" spans="1:64">
      <c r="A295" s="1">
        <f>HYPERLINK("https://lsnyc.legalserver.org/matter/dynamic-profile/view/0815289","16-0815289")</f>
        <v>0</v>
      </c>
      <c r="B295" t="s">
        <v>3674</v>
      </c>
      <c r="C295" t="s">
        <v>3679</v>
      </c>
      <c r="D295" t="s">
        <v>257</v>
      </c>
      <c r="E295" t="s">
        <v>3683</v>
      </c>
      <c r="F295" t="s">
        <v>273</v>
      </c>
      <c r="G295" t="s">
        <v>275</v>
      </c>
      <c r="H295">
        <v>85.48</v>
      </c>
      <c r="K295" t="s">
        <v>3741</v>
      </c>
      <c r="M295" t="s">
        <v>471</v>
      </c>
      <c r="N295" t="s">
        <v>290</v>
      </c>
      <c r="P295" t="s">
        <v>492</v>
      </c>
      <c r="Q295" t="s">
        <v>501</v>
      </c>
      <c r="S295" t="s">
        <v>503</v>
      </c>
      <c r="T295" t="s">
        <v>507</v>
      </c>
      <c r="U295" t="s">
        <v>511</v>
      </c>
      <c r="V295">
        <v>10459</v>
      </c>
      <c r="W295" t="s">
        <v>518</v>
      </c>
      <c r="X295" t="s">
        <v>548</v>
      </c>
      <c r="Y295" t="s">
        <v>275</v>
      </c>
      <c r="Z295" t="s">
        <v>657</v>
      </c>
      <c r="AA295" t="s">
        <v>4052</v>
      </c>
      <c r="AB295" t="s">
        <v>902</v>
      </c>
      <c r="AC295" t="s">
        <v>906</v>
      </c>
      <c r="AF295" t="s">
        <v>926</v>
      </c>
      <c r="AI295">
        <v>20.35</v>
      </c>
      <c r="AK295" t="s">
        <v>934</v>
      </c>
      <c r="AM295" t="s">
        <v>973</v>
      </c>
      <c r="AN295" t="s">
        <v>4070</v>
      </c>
      <c r="AT295">
        <v>2</v>
      </c>
      <c r="AU295">
        <v>1</v>
      </c>
      <c r="AV295" t="s">
        <v>273</v>
      </c>
      <c r="AY295" t="s">
        <v>273</v>
      </c>
      <c r="BB295">
        <v>0</v>
      </c>
      <c r="BC295">
        <v>0</v>
      </c>
      <c r="BD295">
        <v>0</v>
      </c>
      <c r="BE295">
        <v>0</v>
      </c>
      <c r="BF295" t="s">
        <v>1063</v>
      </c>
      <c r="BG295" t="s">
        <v>4252</v>
      </c>
      <c r="BH295">
        <v>17</v>
      </c>
      <c r="BI295" t="s">
        <v>4289</v>
      </c>
      <c r="BK295">
        <v>815735</v>
      </c>
      <c r="BL295" t="s">
        <v>274</v>
      </c>
    </row>
    <row r="296" spans="1:64">
      <c r="A296" s="1">
        <f>HYPERLINK("https://lsnyc.legalserver.org/matter/dynamic-profile/view/0814467","16-0814467")</f>
        <v>0</v>
      </c>
      <c r="B296" t="s">
        <v>3589</v>
      </c>
      <c r="C296" t="s">
        <v>3679</v>
      </c>
      <c r="D296" t="s">
        <v>257</v>
      </c>
      <c r="E296" t="s">
        <v>3683</v>
      </c>
      <c r="F296" t="s">
        <v>273</v>
      </c>
      <c r="G296" t="s">
        <v>275</v>
      </c>
      <c r="H296">
        <v>0</v>
      </c>
      <c r="I296" t="s">
        <v>274</v>
      </c>
      <c r="K296" t="s">
        <v>3742</v>
      </c>
      <c r="M296" t="s">
        <v>471</v>
      </c>
      <c r="N296" t="s">
        <v>1020</v>
      </c>
      <c r="P296" t="s">
        <v>492</v>
      </c>
      <c r="Q296" t="s">
        <v>501</v>
      </c>
      <c r="S296" t="s">
        <v>503</v>
      </c>
      <c r="T296" t="s">
        <v>508</v>
      </c>
      <c r="U296" t="s">
        <v>511</v>
      </c>
      <c r="V296">
        <v>10458</v>
      </c>
      <c r="W296" t="s">
        <v>518</v>
      </c>
      <c r="X296" t="s">
        <v>548</v>
      </c>
      <c r="Y296" t="s">
        <v>275</v>
      </c>
      <c r="Z296" t="s">
        <v>695</v>
      </c>
      <c r="AA296" t="s">
        <v>3986</v>
      </c>
      <c r="AB296" t="s">
        <v>902</v>
      </c>
      <c r="AC296" t="s">
        <v>907</v>
      </c>
      <c r="AF296" t="s">
        <v>926</v>
      </c>
      <c r="AI296">
        <v>107.15</v>
      </c>
      <c r="AJ296" t="s">
        <v>558</v>
      </c>
      <c r="AK296" t="s">
        <v>934</v>
      </c>
      <c r="AL296" t="s">
        <v>274</v>
      </c>
      <c r="AM296" t="s">
        <v>973</v>
      </c>
      <c r="AN296" t="s">
        <v>1010</v>
      </c>
      <c r="AT296">
        <v>1</v>
      </c>
      <c r="AU296">
        <v>1</v>
      </c>
      <c r="AV296" t="s">
        <v>273</v>
      </c>
      <c r="AY296" t="s">
        <v>273</v>
      </c>
      <c r="BB296">
        <v>0</v>
      </c>
      <c r="BC296">
        <v>0</v>
      </c>
      <c r="BD296">
        <v>0</v>
      </c>
      <c r="BE296">
        <v>0</v>
      </c>
      <c r="BF296" t="s">
        <v>1063</v>
      </c>
      <c r="BG296" t="s">
        <v>4178</v>
      </c>
      <c r="BH296">
        <v>29</v>
      </c>
      <c r="BI296" t="s">
        <v>1247</v>
      </c>
      <c r="BK296">
        <v>814911</v>
      </c>
    </row>
    <row r="297" spans="1:64">
      <c r="A297" s="1">
        <f>HYPERLINK("https://lsnyc.legalserver.org/matter/dynamic-profile/view/0813689","16-0813689")</f>
        <v>0</v>
      </c>
      <c r="B297" t="s">
        <v>3675</v>
      </c>
      <c r="C297" t="s">
        <v>3679</v>
      </c>
      <c r="D297" t="s">
        <v>257</v>
      </c>
      <c r="E297" t="s">
        <v>3683</v>
      </c>
      <c r="F297" t="s">
        <v>273</v>
      </c>
      <c r="G297" t="s">
        <v>275</v>
      </c>
      <c r="H297">
        <v>95.23999999999999</v>
      </c>
      <c r="I297" t="s">
        <v>274</v>
      </c>
      <c r="K297" t="s">
        <v>3743</v>
      </c>
      <c r="P297" t="s">
        <v>496</v>
      </c>
      <c r="Q297" t="s">
        <v>501</v>
      </c>
      <c r="S297" t="s">
        <v>503</v>
      </c>
      <c r="T297" t="s">
        <v>508</v>
      </c>
      <c r="U297" t="s">
        <v>511</v>
      </c>
      <c r="V297">
        <v>10474</v>
      </c>
      <c r="W297" t="s">
        <v>532</v>
      </c>
      <c r="X297" t="s">
        <v>548</v>
      </c>
      <c r="Y297" t="s">
        <v>275</v>
      </c>
      <c r="Z297" t="s">
        <v>649</v>
      </c>
      <c r="AA297" t="s">
        <v>4043</v>
      </c>
      <c r="AB297" t="s">
        <v>902</v>
      </c>
      <c r="AC297" t="s">
        <v>905</v>
      </c>
      <c r="AF297" t="s">
        <v>923</v>
      </c>
      <c r="AI297">
        <v>25.05</v>
      </c>
      <c r="AJ297" t="s">
        <v>558</v>
      </c>
      <c r="AK297" t="s">
        <v>934</v>
      </c>
      <c r="AL297" t="s">
        <v>274</v>
      </c>
      <c r="AM297" t="s">
        <v>973</v>
      </c>
      <c r="AN297" t="s">
        <v>1767</v>
      </c>
      <c r="AT297">
        <v>2</v>
      </c>
      <c r="AU297">
        <v>1</v>
      </c>
      <c r="AV297" t="s">
        <v>273</v>
      </c>
      <c r="AY297" t="s">
        <v>273</v>
      </c>
      <c r="BB297">
        <v>0</v>
      </c>
      <c r="BC297">
        <v>0</v>
      </c>
      <c r="BD297">
        <v>0</v>
      </c>
      <c r="BE297">
        <v>0</v>
      </c>
      <c r="BF297" t="s">
        <v>1063</v>
      </c>
      <c r="BG297" t="s">
        <v>4253</v>
      </c>
      <c r="BH297">
        <v>27</v>
      </c>
      <c r="BI297" t="s">
        <v>2720</v>
      </c>
      <c r="BK297">
        <v>807054</v>
      </c>
    </row>
    <row r="298" spans="1:64">
      <c r="A298" s="1">
        <f>HYPERLINK("https://lsnyc.legalserver.org/matter/dynamic-profile/view/0808634","16-0808634")</f>
        <v>0</v>
      </c>
      <c r="B298" t="s">
        <v>3676</v>
      </c>
      <c r="C298" t="s">
        <v>3679</v>
      </c>
      <c r="D298" t="s">
        <v>257</v>
      </c>
      <c r="E298" t="s">
        <v>3683</v>
      </c>
      <c r="F298" t="s">
        <v>273</v>
      </c>
      <c r="G298" t="s">
        <v>275</v>
      </c>
      <c r="H298">
        <v>0</v>
      </c>
      <c r="I298" t="s">
        <v>274</v>
      </c>
      <c r="K298" t="s">
        <v>3744</v>
      </c>
      <c r="P298" t="s">
        <v>496</v>
      </c>
      <c r="Q298" t="s">
        <v>501</v>
      </c>
      <c r="S298" t="s">
        <v>503</v>
      </c>
      <c r="T298" t="s">
        <v>508</v>
      </c>
      <c r="U298" t="s">
        <v>511</v>
      </c>
      <c r="V298">
        <v>10458</v>
      </c>
      <c r="W298" t="s">
        <v>532</v>
      </c>
      <c r="X298" t="s">
        <v>548</v>
      </c>
      <c r="Y298" t="s">
        <v>275</v>
      </c>
      <c r="Z298" t="s">
        <v>1924</v>
      </c>
      <c r="AA298" t="s">
        <v>4053</v>
      </c>
      <c r="AB298" t="s">
        <v>902</v>
      </c>
      <c r="AC298" t="s">
        <v>905</v>
      </c>
      <c r="AF298" t="s">
        <v>923</v>
      </c>
      <c r="AI298">
        <v>29.3</v>
      </c>
      <c r="AJ298" t="s">
        <v>558</v>
      </c>
      <c r="AK298" t="s">
        <v>933</v>
      </c>
      <c r="AM298" t="s">
        <v>973</v>
      </c>
      <c r="AN298" t="s">
        <v>1009</v>
      </c>
      <c r="AT298">
        <v>1</v>
      </c>
      <c r="AU298">
        <v>1</v>
      </c>
      <c r="AV298" t="s">
        <v>273</v>
      </c>
      <c r="AY298" t="s">
        <v>273</v>
      </c>
      <c r="BB298">
        <v>0</v>
      </c>
      <c r="BC298">
        <v>0</v>
      </c>
      <c r="BD298">
        <v>0</v>
      </c>
      <c r="BE298">
        <v>0</v>
      </c>
      <c r="BF298" t="s">
        <v>1063</v>
      </c>
      <c r="BG298" t="s">
        <v>4254</v>
      </c>
      <c r="BH298">
        <v>30</v>
      </c>
      <c r="BI298" t="s">
        <v>1247</v>
      </c>
      <c r="BK298">
        <v>792255</v>
      </c>
    </row>
    <row r="299" spans="1:64">
      <c r="A299" s="1">
        <f>HYPERLINK("https://lsnyc.legalserver.org/matter/dynamic-profile/view/0781443","15-0781443")</f>
        <v>0</v>
      </c>
      <c r="B299" t="s">
        <v>3576</v>
      </c>
      <c r="C299" t="s">
        <v>3679</v>
      </c>
      <c r="D299" t="s">
        <v>257</v>
      </c>
      <c r="E299" t="s">
        <v>3683</v>
      </c>
      <c r="F299" t="s">
        <v>273</v>
      </c>
      <c r="G299" t="s">
        <v>275</v>
      </c>
      <c r="H299">
        <v>43.66</v>
      </c>
      <c r="I299" t="s">
        <v>275</v>
      </c>
      <c r="K299" t="s">
        <v>3013</v>
      </c>
      <c r="M299" t="s">
        <v>472</v>
      </c>
      <c r="N299" t="s">
        <v>1812</v>
      </c>
      <c r="P299" t="s">
        <v>492</v>
      </c>
      <c r="Q299" t="s">
        <v>501</v>
      </c>
      <c r="S299" t="s">
        <v>503</v>
      </c>
      <c r="T299" t="s">
        <v>508</v>
      </c>
      <c r="U299" t="s">
        <v>511</v>
      </c>
      <c r="V299">
        <v>10458</v>
      </c>
      <c r="W299" t="s">
        <v>531</v>
      </c>
      <c r="X299" t="s">
        <v>548</v>
      </c>
      <c r="Y299" t="s">
        <v>275</v>
      </c>
      <c r="Z299" t="s">
        <v>3831</v>
      </c>
      <c r="AA299" t="s">
        <v>3975</v>
      </c>
      <c r="AB299" t="s">
        <v>902</v>
      </c>
      <c r="AC299" t="s">
        <v>905</v>
      </c>
      <c r="AF299" t="s">
        <v>926</v>
      </c>
      <c r="AI299">
        <v>177.53</v>
      </c>
      <c r="AJ299" t="s">
        <v>558</v>
      </c>
      <c r="AK299" t="s">
        <v>933</v>
      </c>
      <c r="AM299" t="s">
        <v>973</v>
      </c>
      <c r="AN299" t="s">
        <v>4071</v>
      </c>
      <c r="AT299">
        <v>2</v>
      </c>
      <c r="AU299">
        <v>1</v>
      </c>
      <c r="AV299" t="s">
        <v>273</v>
      </c>
      <c r="AY299" t="s">
        <v>273</v>
      </c>
      <c r="BB299">
        <v>0</v>
      </c>
      <c r="BC299">
        <v>0</v>
      </c>
      <c r="BD299">
        <v>0</v>
      </c>
      <c r="BE299">
        <v>0</v>
      </c>
      <c r="BF299" t="s">
        <v>1063</v>
      </c>
      <c r="BG299" t="s">
        <v>2590</v>
      </c>
      <c r="BH299">
        <v>30</v>
      </c>
      <c r="BI299" t="s">
        <v>4281</v>
      </c>
      <c r="BK299">
        <v>781803</v>
      </c>
    </row>
    <row r="300" spans="1:64">
      <c r="A300" s="1">
        <f>HYPERLINK("https://lsnyc.legalserver.org/matter/dynamic-profile/view/0774991","15-0774991")</f>
        <v>0</v>
      </c>
      <c r="B300" t="s">
        <v>3677</v>
      </c>
      <c r="C300" t="s">
        <v>3679</v>
      </c>
      <c r="D300" t="s">
        <v>257</v>
      </c>
      <c r="E300" t="s">
        <v>3695</v>
      </c>
      <c r="F300" t="s">
        <v>274</v>
      </c>
      <c r="G300" t="s">
        <v>275</v>
      </c>
      <c r="H300">
        <v>61.65</v>
      </c>
      <c r="I300" t="s">
        <v>275</v>
      </c>
      <c r="K300" t="s">
        <v>3745</v>
      </c>
      <c r="P300" t="s">
        <v>496</v>
      </c>
      <c r="Q300" t="s">
        <v>501</v>
      </c>
      <c r="S300" t="s">
        <v>503</v>
      </c>
      <c r="T300" t="s">
        <v>508</v>
      </c>
      <c r="U300" t="s">
        <v>511</v>
      </c>
      <c r="V300">
        <v>10454</v>
      </c>
      <c r="W300" t="s">
        <v>532</v>
      </c>
      <c r="X300" t="s">
        <v>548</v>
      </c>
      <c r="Y300" t="s">
        <v>275</v>
      </c>
      <c r="Z300" t="s">
        <v>1862</v>
      </c>
      <c r="AA300" t="s">
        <v>4054</v>
      </c>
      <c r="AB300" t="s">
        <v>902</v>
      </c>
      <c r="AC300" t="s">
        <v>905</v>
      </c>
      <c r="AF300" t="s">
        <v>923</v>
      </c>
      <c r="AI300">
        <v>77.81</v>
      </c>
      <c r="AJ300" t="s">
        <v>558</v>
      </c>
      <c r="AK300" t="s">
        <v>933</v>
      </c>
      <c r="AM300" t="s">
        <v>973</v>
      </c>
      <c r="AN300" t="s">
        <v>400</v>
      </c>
      <c r="AS300" t="s">
        <v>4075</v>
      </c>
      <c r="AT300">
        <v>3</v>
      </c>
      <c r="AU300">
        <v>3</v>
      </c>
      <c r="AV300" t="s">
        <v>273</v>
      </c>
      <c r="AY300" t="s">
        <v>273</v>
      </c>
      <c r="BB300">
        <v>0</v>
      </c>
      <c r="BC300">
        <v>0</v>
      </c>
      <c r="BD300">
        <v>0</v>
      </c>
      <c r="BE300">
        <v>0</v>
      </c>
      <c r="BF300" t="s">
        <v>1063</v>
      </c>
      <c r="BG300" t="s">
        <v>4255</v>
      </c>
      <c r="BH300">
        <v>40</v>
      </c>
      <c r="BI300" t="s">
        <v>4290</v>
      </c>
      <c r="BK300">
        <v>83597</v>
      </c>
    </row>
    <row r="301" spans="1:64">
      <c r="A301" s="1">
        <f>HYPERLINK("https://lsnyc.legalserver.org/matter/dynamic-profile/view/0771204","15-0771204")</f>
        <v>0</v>
      </c>
      <c r="B301" t="s">
        <v>3678</v>
      </c>
      <c r="C301" t="s">
        <v>3679</v>
      </c>
      <c r="D301" t="s">
        <v>3682</v>
      </c>
      <c r="E301" t="s">
        <v>3683</v>
      </c>
      <c r="F301" t="s">
        <v>274</v>
      </c>
      <c r="G301" t="s">
        <v>275</v>
      </c>
      <c r="H301">
        <v>0</v>
      </c>
      <c r="I301" t="s">
        <v>275</v>
      </c>
      <c r="K301" t="s">
        <v>3746</v>
      </c>
      <c r="M301" t="s">
        <v>474</v>
      </c>
      <c r="N301" t="s">
        <v>302</v>
      </c>
      <c r="P301" t="s">
        <v>492</v>
      </c>
      <c r="Q301" t="s">
        <v>501</v>
      </c>
      <c r="S301" t="s">
        <v>503</v>
      </c>
      <c r="T301" t="s">
        <v>508</v>
      </c>
      <c r="U301" t="s">
        <v>511</v>
      </c>
      <c r="V301">
        <v>14215</v>
      </c>
      <c r="W301" t="s">
        <v>519</v>
      </c>
      <c r="X301" t="s">
        <v>557</v>
      </c>
      <c r="Y301" t="s">
        <v>275</v>
      </c>
      <c r="Z301" t="s">
        <v>3901</v>
      </c>
      <c r="AA301" t="s">
        <v>4055</v>
      </c>
      <c r="AB301" t="s">
        <v>902</v>
      </c>
      <c r="AC301" t="s">
        <v>905</v>
      </c>
      <c r="AF301" t="s">
        <v>926</v>
      </c>
      <c r="AI301">
        <v>143</v>
      </c>
      <c r="AJ301" t="s">
        <v>558</v>
      </c>
      <c r="AK301" t="s">
        <v>970</v>
      </c>
      <c r="AS301" t="s">
        <v>558</v>
      </c>
      <c r="AT301">
        <v>0</v>
      </c>
      <c r="AU301">
        <v>1</v>
      </c>
      <c r="AV301" t="s">
        <v>275</v>
      </c>
      <c r="AY301" t="s">
        <v>273</v>
      </c>
      <c r="BB301">
        <v>0</v>
      </c>
      <c r="BC301">
        <v>0</v>
      </c>
      <c r="BD301">
        <v>0</v>
      </c>
      <c r="BE301">
        <v>0</v>
      </c>
      <c r="BF301" t="s">
        <v>1063</v>
      </c>
      <c r="BG301" t="s">
        <v>4256</v>
      </c>
      <c r="BH301">
        <v>32</v>
      </c>
      <c r="BI301" t="s">
        <v>1247</v>
      </c>
      <c r="BK301">
        <v>771550</v>
      </c>
      <c r="BL301" t="s">
        <v>275</v>
      </c>
    </row>
    <row r="302" spans="1:64">
      <c r="A302" s="1">
        <f>HYPERLINK("https://lsnyc.legalserver.org/matter/dynamic-profile/view/0770088","15-0770088")</f>
        <v>0</v>
      </c>
      <c r="B302" t="s">
        <v>3488</v>
      </c>
      <c r="C302" t="s">
        <v>3679</v>
      </c>
      <c r="D302" t="s">
        <v>257</v>
      </c>
      <c r="E302" t="s">
        <v>3686</v>
      </c>
      <c r="F302" t="s">
        <v>273</v>
      </c>
      <c r="G302" t="s">
        <v>275</v>
      </c>
      <c r="H302">
        <v>0</v>
      </c>
      <c r="K302" t="s">
        <v>3747</v>
      </c>
      <c r="P302" t="s">
        <v>500</v>
      </c>
      <c r="Q302" t="s">
        <v>501</v>
      </c>
      <c r="S302" t="s">
        <v>503</v>
      </c>
      <c r="T302" t="s">
        <v>508</v>
      </c>
      <c r="U302" t="s">
        <v>511</v>
      </c>
      <c r="V302">
        <v>10460</v>
      </c>
      <c r="W302" t="s">
        <v>3756</v>
      </c>
      <c r="X302" t="s">
        <v>548</v>
      </c>
      <c r="Z302" t="s">
        <v>3764</v>
      </c>
      <c r="AA302" t="s">
        <v>3906</v>
      </c>
      <c r="AB302" t="s">
        <v>902</v>
      </c>
      <c r="AC302" t="s">
        <v>905</v>
      </c>
      <c r="AD302" t="s">
        <v>275</v>
      </c>
      <c r="AF302" t="s">
        <v>926</v>
      </c>
      <c r="AI302">
        <v>141.3</v>
      </c>
      <c r="AQ302" t="s">
        <v>4074</v>
      </c>
      <c r="AR302" t="s">
        <v>1053</v>
      </c>
      <c r="AT302">
        <v>0</v>
      </c>
      <c r="AU302">
        <v>1</v>
      </c>
      <c r="AV302" t="s">
        <v>273</v>
      </c>
      <c r="AY302" t="s">
        <v>273</v>
      </c>
      <c r="BB302">
        <v>0</v>
      </c>
      <c r="BC302">
        <v>0</v>
      </c>
      <c r="BD302">
        <v>0</v>
      </c>
      <c r="BE302">
        <v>0</v>
      </c>
      <c r="BF302" t="s">
        <v>1063</v>
      </c>
      <c r="BG302" t="s">
        <v>4082</v>
      </c>
      <c r="BH302">
        <v>28</v>
      </c>
      <c r="BI302" t="s">
        <v>1247</v>
      </c>
      <c r="BK302">
        <v>770434</v>
      </c>
    </row>
    <row r="303" spans="1:64">
      <c r="A303" s="1">
        <f>HYPERLINK("https://lsnyc.legalserver.org/matter/dynamic-profile/view/0749345","14-0749345")</f>
        <v>0</v>
      </c>
      <c r="B303" t="s">
        <v>3631</v>
      </c>
      <c r="C303" t="s">
        <v>3679</v>
      </c>
      <c r="D303" t="s">
        <v>252</v>
      </c>
      <c r="E303" t="s">
        <v>3683</v>
      </c>
      <c r="F303" t="s">
        <v>274</v>
      </c>
      <c r="G303" t="s">
        <v>275</v>
      </c>
      <c r="H303">
        <v>32.75</v>
      </c>
      <c r="I303" t="s">
        <v>274</v>
      </c>
      <c r="K303" t="s">
        <v>3748</v>
      </c>
      <c r="P303" t="s">
        <v>496</v>
      </c>
      <c r="Q303" t="s">
        <v>501</v>
      </c>
      <c r="S303" t="s">
        <v>503</v>
      </c>
      <c r="T303" t="s">
        <v>508</v>
      </c>
      <c r="U303" t="s">
        <v>511</v>
      </c>
      <c r="V303">
        <v>11237</v>
      </c>
      <c r="W303" t="s">
        <v>532</v>
      </c>
      <c r="X303" t="s">
        <v>548</v>
      </c>
      <c r="Y303" t="s">
        <v>274</v>
      </c>
      <c r="Z303" t="s">
        <v>3872</v>
      </c>
      <c r="AA303" t="s">
        <v>4019</v>
      </c>
      <c r="AB303" t="s">
        <v>902</v>
      </c>
      <c r="AC303" t="s">
        <v>906</v>
      </c>
      <c r="AF303" t="s">
        <v>923</v>
      </c>
      <c r="AI303">
        <v>84.40000000000001</v>
      </c>
      <c r="AJ303" t="s">
        <v>2361</v>
      </c>
      <c r="AK303" t="s">
        <v>950</v>
      </c>
      <c r="AL303" t="s">
        <v>274</v>
      </c>
      <c r="AM303" t="s">
        <v>973</v>
      </c>
      <c r="AN303" t="s">
        <v>4072</v>
      </c>
      <c r="AS303" t="s">
        <v>4075</v>
      </c>
      <c r="AT303">
        <v>0</v>
      </c>
      <c r="AU303">
        <v>1</v>
      </c>
      <c r="AV303" t="s">
        <v>273</v>
      </c>
      <c r="AY303" t="s">
        <v>273</v>
      </c>
      <c r="BB303">
        <v>0</v>
      </c>
      <c r="BC303">
        <v>0</v>
      </c>
      <c r="BD303">
        <v>0</v>
      </c>
      <c r="BE303">
        <v>0</v>
      </c>
      <c r="BF303" t="s">
        <v>1063</v>
      </c>
      <c r="BG303" t="s">
        <v>4213</v>
      </c>
      <c r="BH303">
        <v>47</v>
      </c>
      <c r="BI303" t="s">
        <v>4291</v>
      </c>
      <c r="BK303">
        <v>749640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L270"/>
  <sheetViews>
    <sheetView workbookViewId="0"/>
  </sheetViews>
  <sheetFormatPr defaultRowHeight="15"/>
  <cols>
    <col min="1" max="1" width="20.7109375" style="1" customWidth="1"/>
    <col min="2" max="702" width="25.7109375" customWidth="1"/>
  </cols>
  <sheetData>
    <row r="1" spans="1: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</row>
    <row r="2" spans="1:64">
      <c r="A2" s="1">
        <f>HYPERLINK("https://lsnyc.legalserver.org/matter/dynamic-profile/view/1913083","19-1913083")</f>
        <v>0</v>
      </c>
      <c r="B2" t="s">
        <v>4292</v>
      </c>
      <c r="C2" t="s">
        <v>4496</v>
      </c>
      <c r="D2" t="s">
        <v>252</v>
      </c>
      <c r="E2" t="s">
        <v>4498</v>
      </c>
      <c r="F2" t="s">
        <v>273</v>
      </c>
      <c r="G2" t="s">
        <v>275</v>
      </c>
      <c r="H2">
        <v>0</v>
      </c>
      <c r="K2" t="s">
        <v>1657</v>
      </c>
      <c r="P2" t="s">
        <v>492</v>
      </c>
      <c r="Q2" t="s">
        <v>501</v>
      </c>
      <c r="S2" t="s">
        <v>503</v>
      </c>
      <c r="T2" t="s">
        <v>507</v>
      </c>
      <c r="U2" t="s">
        <v>511</v>
      </c>
      <c r="V2">
        <v>11238</v>
      </c>
      <c r="X2" t="s">
        <v>548</v>
      </c>
      <c r="Z2" t="s">
        <v>2079</v>
      </c>
      <c r="AA2" t="s">
        <v>3178</v>
      </c>
      <c r="AB2" t="s">
        <v>902</v>
      </c>
      <c r="AC2" t="s">
        <v>905</v>
      </c>
      <c r="AI2">
        <v>3.6</v>
      </c>
      <c r="AS2" t="s">
        <v>1060</v>
      </c>
      <c r="AT2">
        <v>0</v>
      </c>
      <c r="AU2">
        <v>1</v>
      </c>
      <c r="AV2" t="s">
        <v>273</v>
      </c>
      <c r="AY2" t="s">
        <v>273</v>
      </c>
      <c r="BB2">
        <v>0</v>
      </c>
      <c r="BC2">
        <v>0</v>
      </c>
      <c r="BD2">
        <v>0</v>
      </c>
      <c r="BE2">
        <v>0</v>
      </c>
      <c r="BF2" t="s">
        <v>1063</v>
      </c>
      <c r="BG2" t="s">
        <v>4862</v>
      </c>
      <c r="BH2">
        <v>35</v>
      </c>
      <c r="BI2" t="s">
        <v>1247</v>
      </c>
      <c r="BK2">
        <v>1913746</v>
      </c>
    </row>
    <row r="3" spans="1:64">
      <c r="A3" s="1">
        <f>HYPERLINK("https://lsnyc.legalserver.org/matter/dynamic-profile/view/1915377","19-1915377")</f>
        <v>0</v>
      </c>
      <c r="B3" t="s">
        <v>4293</v>
      </c>
      <c r="C3" t="s">
        <v>4496</v>
      </c>
      <c r="D3" t="s">
        <v>252</v>
      </c>
      <c r="E3" t="s">
        <v>4498</v>
      </c>
      <c r="F3" t="s">
        <v>273</v>
      </c>
      <c r="G3" t="s">
        <v>275</v>
      </c>
      <c r="H3">
        <v>320.26</v>
      </c>
      <c r="K3" t="s">
        <v>1657</v>
      </c>
      <c r="Q3" t="s">
        <v>501</v>
      </c>
      <c r="S3" t="s">
        <v>503</v>
      </c>
      <c r="T3" t="s">
        <v>507</v>
      </c>
      <c r="U3" t="s">
        <v>511</v>
      </c>
      <c r="V3">
        <v>11209</v>
      </c>
      <c r="X3" t="s">
        <v>549</v>
      </c>
      <c r="Z3" t="s">
        <v>4562</v>
      </c>
      <c r="AA3" t="s">
        <v>4692</v>
      </c>
      <c r="AB3" t="s">
        <v>902</v>
      </c>
      <c r="AC3" t="s">
        <v>908</v>
      </c>
      <c r="AI3">
        <v>0</v>
      </c>
      <c r="AT3">
        <v>0</v>
      </c>
      <c r="AU3">
        <v>1</v>
      </c>
      <c r="AV3" t="s">
        <v>273</v>
      </c>
      <c r="AY3" t="s">
        <v>273</v>
      </c>
      <c r="BB3">
        <v>0</v>
      </c>
      <c r="BC3">
        <v>0</v>
      </c>
      <c r="BD3">
        <v>0</v>
      </c>
      <c r="BE3">
        <v>0</v>
      </c>
      <c r="BF3" t="s">
        <v>1063</v>
      </c>
      <c r="BG3" t="s">
        <v>4863</v>
      </c>
      <c r="BH3">
        <v>30</v>
      </c>
      <c r="BI3" t="s">
        <v>2725</v>
      </c>
      <c r="BK3">
        <v>1839464</v>
      </c>
    </row>
    <row r="4" spans="1:64">
      <c r="A4" s="1">
        <f>HYPERLINK("https://lsnyc.legalserver.org/matter/dynamic-profile/view/1915380","19-1915380")</f>
        <v>0</v>
      </c>
      <c r="B4" t="s">
        <v>4294</v>
      </c>
      <c r="C4" t="s">
        <v>4496</v>
      </c>
      <c r="D4" t="s">
        <v>254</v>
      </c>
      <c r="E4" t="s">
        <v>4499</v>
      </c>
      <c r="F4" t="s">
        <v>273</v>
      </c>
      <c r="G4" t="s">
        <v>275</v>
      </c>
      <c r="H4">
        <v>0</v>
      </c>
      <c r="K4" t="s">
        <v>481</v>
      </c>
      <c r="Q4" t="s">
        <v>501</v>
      </c>
      <c r="S4" t="s">
        <v>503</v>
      </c>
      <c r="T4" t="s">
        <v>507</v>
      </c>
      <c r="U4" t="s">
        <v>511</v>
      </c>
      <c r="V4">
        <v>10302</v>
      </c>
      <c r="X4" t="s">
        <v>548</v>
      </c>
      <c r="Z4" t="s">
        <v>1883</v>
      </c>
      <c r="AA4" t="s">
        <v>4693</v>
      </c>
      <c r="AB4" t="s">
        <v>902</v>
      </c>
      <c r="AC4" t="s">
        <v>906</v>
      </c>
      <c r="AI4">
        <v>0</v>
      </c>
      <c r="AT4">
        <v>0</v>
      </c>
      <c r="AU4">
        <v>1</v>
      </c>
      <c r="AV4" t="s">
        <v>273</v>
      </c>
      <c r="AY4" t="s">
        <v>273</v>
      </c>
      <c r="BB4">
        <v>0</v>
      </c>
      <c r="BC4">
        <v>0</v>
      </c>
      <c r="BD4">
        <v>0</v>
      </c>
      <c r="BE4">
        <v>0</v>
      </c>
      <c r="BF4" t="s">
        <v>1063</v>
      </c>
      <c r="BG4" t="s">
        <v>4864</v>
      </c>
      <c r="BH4">
        <v>18</v>
      </c>
      <c r="BI4" t="s">
        <v>1247</v>
      </c>
      <c r="BK4">
        <v>817334</v>
      </c>
    </row>
    <row r="5" spans="1:64">
      <c r="A5" s="1">
        <f>HYPERLINK("https://lsnyc.legalserver.org/matter/dynamic-profile/view/1915384","19-1915384")</f>
        <v>0</v>
      </c>
      <c r="B5" t="s">
        <v>4295</v>
      </c>
      <c r="C5" t="s">
        <v>4496</v>
      </c>
      <c r="D5" t="s">
        <v>257</v>
      </c>
      <c r="E5" t="s">
        <v>4499</v>
      </c>
      <c r="F5" t="s">
        <v>273</v>
      </c>
      <c r="G5" t="s">
        <v>275</v>
      </c>
      <c r="H5">
        <v>0</v>
      </c>
      <c r="K5" t="s">
        <v>481</v>
      </c>
      <c r="Q5" t="s">
        <v>501</v>
      </c>
      <c r="S5" t="s">
        <v>503</v>
      </c>
      <c r="T5" t="s">
        <v>508</v>
      </c>
      <c r="U5" t="s">
        <v>511</v>
      </c>
      <c r="V5">
        <v>10460</v>
      </c>
      <c r="Z5" t="s">
        <v>4563</v>
      </c>
      <c r="AA5" t="s">
        <v>4694</v>
      </c>
      <c r="AB5" t="s">
        <v>902</v>
      </c>
      <c r="AC5" t="s">
        <v>906</v>
      </c>
      <c r="AI5">
        <v>0</v>
      </c>
      <c r="AT5">
        <v>0</v>
      </c>
      <c r="AU5">
        <v>1</v>
      </c>
      <c r="AV5" t="s">
        <v>273</v>
      </c>
      <c r="AY5" t="s">
        <v>273</v>
      </c>
      <c r="BB5">
        <v>0</v>
      </c>
      <c r="BC5">
        <v>0</v>
      </c>
      <c r="BD5">
        <v>0</v>
      </c>
      <c r="BE5">
        <v>0</v>
      </c>
      <c r="BF5" t="s">
        <v>1063</v>
      </c>
      <c r="BG5" t="s">
        <v>4865</v>
      </c>
      <c r="BH5">
        <v>42</v>
      </c>
      <c r="BI5" t="s">
        <v>1247</v>
      </c>
      <c r="BK5">
        <v>1839588</v>
      </c>
    </row>
    <row r="6" spans="1:64">
      <c r="A6" s="1">
        <f>HYPERLINK("https://lsnyc.legalserver.org/matter/dynamic-profile/view/1915387","19-1915387")</f>
        <v>0</v>
      </c>
      <c r="B6" t="s">
        <v>4296</v>
      </c>
      <c r="C6" t="s">
        <v>4496</v>
      </c>
      <c r="D6" t="s">
        <v>254</v>
      </c>
      <c r="E6" t="s">
        <v>4499</v>
      </c>
      <c r="F6" t="s">
        <v>273</v>
      </c>
      <c r="G6" t="s">
        <v>275</v>
      </c>
      <c r="H6">
        <v>124.9</v>
      </c>
      <c r="K6" t="s">
        <v>481</v>
      </c>
      <c r="Q6" t="s">
        <v>501</v>
      </c>
      <c r="S6" t="s">
        <v>503</v>
      </c>
      <c r="T6" t="s">
        <v>508</v>
      </c>
      <c r="U6" t="s">
        <v>511</v>
      </c>
      <c r="V6">
        <v>10302</v>
      </c>
      <c r="X6" t="s">
        <v>548</v>
      </c>
      <c r="Z6" t="s">
        <v>2022</v>
      </c>
      <c r="AA6" t="s">
        <v>4695</v>
      </c>
      <c r="AB6" t="s">
        <v>902</v>
      </c>
      <c r="AC6" t="s">
        <v>905</v>
      </c>
      <c r="AI6">
        <v>0</v>
      </c>
      <c r="AT6">
        <v>0</v>
      </c>
      <c r="AU6">
        <v>1</v>
      </c>
      <c r="AV6" t="s">
        <v>273</v>
      </c>
      <c r="AY6" t="s">
        <v>273</v>
      </c>
      <c r="BB6">
        <v>0</v>
      </c>
      <c r="BC6">
        <v>0</v>
      </c>
      <c r="BD6">
        <v>0</v>
      </c>
      <c r="BE6">
        <v>0</v>
      </c>
      <c r="BF6" t="s">
        <v>1063</v>
      </c>
      <c r="BG6" t="s">
        <v>4866</v>
      </c>
      <c r="BH6">
        <v>27</v>
      </c>
      <c r="BI6" t="s">
        <v>1270</v>
      </c>
      <c r="BK6">
        <v>1852149</v>
      </c>
    </row>
    <row r="7" spans="1:64">
      <c r="A7" s="1">
        <f>HYPERLINK("https://lsnyc.legalserver.org/matter/dynamic-profile/view/1913727","19-1913727")</f>
        <v>0</v>
      </c>
      <c r="B7" t="s">
        <v>4297</v>
      </c>
      <c r="C7" t="s">
        <v>4496</v>
      </c>
      <c r="D7" t="s">
        <v>254</v>
      </c>
      <c r="E7" t="s">
        <v>4498</v>
      </c>
      <c r="F7" t="s">
        <v>273</v>
      </c>
      <c r="G7" t="s">
        <v>275</v>
      </c>
      <c r="H7">
        <v>166.53</v>
      </c>
      <c r="I7" t="s">
        <v>274</v>
      </c>
      <c r="K7" t="s">
        <v>1658</v>
      </c>
      <c r="P7" t="s">
        <v>492</v>
      </c>
      <c r="Q7" t="s">
        <v>501</v>
      </c>
      <c r="S7" t="s">
        <v>503</v>
      </c>
      <c r="T7" t="s">
        <v>508</v>
      </c>
      <c r="U7" t="s">
        <v>511</v>
      </c>
      <c r="V7">
        <v>10301</v>
      </c>
      <c r="W7" t="s">
        <v>521</v>
      </c>
      <c r="X7" t="s">
        <v>549</v>
      </c>
      <c r="Y7" t="s">
        <v>275</v>
      </c>
      <c r="Z7" t="s">
        <v>4564</v>
      </c>
      <c r="AA7" t="s">
        <v>4696</v>
      </c>
      <c r="AB7" t="s">
        <v>902</v>
      </c>
      <c r="AC7" t="s">
        <v>905</v>
      </c>
      <c r="AF7" t="s">
        <v>928</v>
      </c>
      <c r="AI7">
        <v>1.25</v>
      </c>
      <c r="AJ7" t="s">
        <v>558</v>
      </c>
      <c r="AK7" t="s">
        <v>961</v>
      </c>
      <c r="AL7" t="s">
        <v>274</v>
      </c>
      <c r="AM7" t="s">
        <v>975</v>
      </c>
      <c r="AN7" t="s">
        <v>1808</v>
      </c>
      <c r="AT7">
        <v>0</v>
      </c>
      <c r="AU7">
        <v>1</v>
      </c>
      <c r="AV7" t="s">
        <v>273</v>
      </c>
      <c r="AY7" t="s">
        <v>273</v>
      </c>
      <c r="BB7">
        <v>0</v>
      </c>
      <c r="BC7">
        <v>0</v>
      </c>
      <c r="BD7">
        <v>0</v>
      </c>
      <c r="BE7">
        <v>0</v>
      </c>
      <c r="BF7" t="s">
        <v>1063</v>
      </c>
      <c r="BG7" t="s">
        <v>4867</v>
      </c>
      <c r="BH7">
        <v>48</v>
      </c>
      <c r="BI7" t="s">
        <v>1261</v>
      </c>
      <c r="BK7">
        <v>1914390</v>
      </c>
      <c r="BL7" t="s">
        <v>275</v>
      </c>
    </row>
    <row r="8" spans="1:64">
      <c r="A8" s="1">
        <f>HYPERLINK("https://lsnyc.legalserver.org/matter/dynamic-profile/view/1912627","19-1912627")</f>
        <v>0</v>
      </c>
      <c r="B8" t="s">
        <v>4298</v>
      </c>
      <c r="C8" t="s">
        <v>4496</v>
      </c>
      <c r="D8" t="s">
        <v>253</v>
      </c>
      <c r="E8" t="s">
        <v>4500</v>
      </c>
      <c r="F8" t="s">
        <v>273</v>
      </c>
      <c r="G8" t="s">
        <v>275</v>
      </c>
      <c r="H8">
        <v>97.52</v>
      </c>
      <c r="K8" t="s">
        <v>1660</v>
      </c>
      <c r="Q8" t="s">
        <v>501</v>
      </c>
      <c r="S8" t="s">
        <v>503</v>
      </c>
      <c r="T8" t="s">
        <v>508</v>
      </c>
      <c r="U8" t="s">
        <v>511</v>
      </c>
      <c r="V8">
        <v>11691</v>
      </c>
      <c r="X8" t="s">
        <v>548</v>
      </c>
      <c r="Z8" t="s">
        <v>4565</v>
      </c>
      <c r="AA8" t="s">
        <v>4697</v>
      </c>
      <c r="AB8" t="s">
        <v>902</v>
      </c>
      <c r="AC8" t="s">
        <v>905</v>
      </c>
      <c r="AI8">
        <v>2.9</v>
      </c>
      <c r="AK8" t="s">
        <v>959</v>
      </c>
      <c r="AT8">
        <v>1</v>
      </c>
      <c r="AU8">
        <v>2</v>
      </c>
      <c r="AV8" t="s">
        <v>273</v>
      </c>
      <c r="AY8" t="s">
        <v>273</v>
      </c>
      <c r="BB8">
        <v>0</v>
      </c>
      <c r="BC8">
        <v>0</v>
      </c>
      <c r="BD8">
        <v>0</v>
      </c>
      <c r="BE8">
        <v>0</v>
      </c>
      <c r="BF8" t="s">
        <v>1063</v>
      </c>
      <c r="BG8" t="s">
        <v>4868</v>
      </c>
      <c r="BH8">
        <v>31</v>
      </c>
      <c r="BI8" t="s">
        <v>1261</v>
      </c>
      <c r="BK8">
        <v>1913290</v>
      </c>
    </row>
    <row r="9" spans="1:64">
      <c r="A9" s="1">
        <f>HYPERLINK("https://lsnyc.legalserver.org/matter/dynamic-profile/view/1913822","19-1913822")</f>
        <v>0</v>
      </c>
      <c r="B9" t="s">
        <v>4299</v>
      </c>
      <c r="C9" t="s">
        <v>4496</v>
      </c>
      <c r="D9" t="s">
        <v>254</v>
      </c>
      <c r="E9" t="s">
        <v>4498</v>
      </c>
      <c r="F9" t="s">
        <v>273</v>
      </c>
      <c r="G9" t="s">
        <v>275</v>
      </c>
      <c r="H9">
        <v>0</v>
      </c>
      <c r="K9" t="s">
        <v>1661</v>
      </c>
      <c r="O9" t="s">
        <v>275</v>
      </c>
      <c r="P9" t="s">
        <v>492</v>
      </c>
      <c r="Q9" t="s">
        <v>501</v>
      </c>
      <c r="S9" t="s">
        <v>503</v>
      </c>
      <c r="T9" t="s">
        <v>508</v>
      </c>
      <c r="U9" t="s">
        <v>511</v>
      </c>
      <c r="V9">
        <v>10305</v>
      </c>
      <c r="W9" t="s">
        <v>521</v>
      </c>
      <c r="X9" t="s">
        <v>549</v>
      </c>
      <c r="Z9" t="s">
        <v>4566</v>
      </c>
      <c r="AA9" t="s">
        <v>4698</v>
      </c>
      <c r="AB9" t="s">
        <v>902</v>
      </c>
      <c r="AC9" t="s">
        <v>905</v>
      </c>
      <c r="AI9">
        <v>2.3</v>
      </c>
      <c r="AJ9" t="s">
        <v>558</v>
      </c>
      <c r="AK9" t="s">
        <v>961</v>
      </c>
      <c r="AT9">
        <v>2</v>
      </c>
      <c r="AU9">
        <v>1</v>
      </c>
      <c r="AV9" t="s">
        <v>273</v>
      </c>
      <c r="AY9" t="s">
        <v>273</v>
      </c>
      <c r="BB9">
        <v>0</v>
      </c>
      <c r="BC9">
        <v>0</v>
      </c>
      <c r="BD9">
        <v>0</v>
      </c>
      <c r="BE9">
        <v>0</v>
      </c>
      <c r="BF9" t="s">
        <v>1063</v>
      </c>
      <c r="BG9" t="s">
        <v>4869</v>
      </c>
      <c r="BH9">
        <v>39</v>
      </c>
      <c r="BI9" t="s">
        <v>1247</v>
      </c>
      <c r="BK9">
        <v>1914486</v>
      </c>
    </row>
    <row r="10" spans="1:64">
      <c r="A10" s="1">
        <f>HYPERLINK("https://lsnyc.legalserver.org/matter/dynamic-profile/view/1913719","19-1913719")</f>
        <v>0</v>
      </c>
      <c r="B10" t="s">
        <v>4300</v>
      </c>
      <c r="C10" t="s">
        <v>4496</v>
      </c>
      <c r="D10" t="s">
        <v>257</v>
      </c>
      <c r="E10" t="s">
        <v>4498</v>
      </c>
      <c r="F10" t="s">
        <v>273</v>
      </c>
      <c r="G10" t="s">
        <v>275</v>
      </c>
      <c r="H10">
        <v>0</v>
      </c>
      <c r="K10" t="s">
        <v>1663</v>
      </c>
      <c r="Q10" t="s">
        <v>501</v>
      </c>
      <c r="S10" t="s">
        <v>503</v>
      </c>
      <c r="T10" t="s">
        <v>508</v>
      </c>
      <c r="U10" t="s">
        <v>511</v>
      </c>
      <c r="V10">
        <v>10453</v>
      </c>
      <c r="X10" t="s">
        <v>548</v>
      </c>
      <c r="Z10" t="s">
        <v>4567</v>
      </c>
      <c r="AA10" t="s">
        <v>3911</v>
      </c>
      <c r="AB10" t="s">
        <v>902</v>
      </c>
      <c r="AC10" t="s">
        <v>905</v>
      </c>
      <c r="AI10">
        <v>1</v>
      </c>
      <c r="AT10">
        <v>1</v>
      </c>
      <c r="AU10">
        <v>1</v>
      </c>
      <c r="AV10" t="s">
        <v>273</v>
      </c>
      <c r="AY10" t="s">
        <v>273</v>
      </c>
      <c r="BB10">
        <v>0</v>
      </c>
      <c r="BC10">
        <v>0</v>
      </c>
      <c r="BD10">
        <v>0</v>
      </c>
      <c r="BE10">
        <v>0</v>
      </c>
      <c r="BF10" t="s">
        <v>1063</v>
      </c>
      <c r="BG10" t="s">
        <v>4870</v>
      </c>
      <c r="BH10">
        <v>25</v>
      </c>
      <c r="BI10" t="s">
        <v>1247</v>
      </c>
      <c r="BK10">
        <v>1894806</v>
      </c>
    </row>
    <row r="11" spans="1:64">
      <c r="A11" s="1">
        <f>HYPERLINK("https://lsnyc.legalserver.org/matter/dynamic-profile/view/1913720","19-1913720")</f>
        <v>0</v>
      </c>
      <c r="B11" t="s">
        <v>4301</v>
      </c>
      <c r="C11" t="s">
        <v>4496</v>
      </c>
      <c r="D11" t="s">
        <v>254</v>
      </c>
      <c r="E11" t="s">
        <v>4498</v>
      </c>
      <c r="F11" t="s">
        <v>273</v>
      </c>
      <c r="G11" t="s">
        <v>275</v>
      </c>
      <c r="H11">
        <v>41.63</v>
      </c>
      <c r="K11" t="s">
        <v>1663</v>
      </c>
      <c r="Q11" t="s">
        <v>501</v>
      </c>
      <c r="S11" t="s">
        <v>503</v>
      </c>
      <c r="T11" t="s">
        <v>507</v>
      </c>
      <c r="U11" t="s">
        <v>511</v>
      </c>
      <c r="V11">
        <v>10301</v>
      </c>
      <c r="X11" t="s">
        <v>553</v>
      </c>
      <c r="Z11" t="s">
        <v>4568</v>
      </c>
      <c r="AA11" t="s">
        <v>4699</v>
      </c>
      <c r="AB11" t="s">
        <v>902</v>
      </c>
      <c r="AC11" t="s">
        <v>905</v>
      </c>
      <c r="AI11">
        <v>2</v>
      </c>
      <c r="AT11">
        <v>0</v>
      </c>
      <c r="AU11">
        <v>1</v>
      </c>
      <c r="AV11" t="s">
        <v>273</v>
      </c>
      <c r="AY11" t="s">
        <v>273</v>
      </c>
      <c r="BB11">
        <v>0</v>
      </c>
      <c r="BC11">
        <v>0</v>
      </c>
      <c r="BD11">
        <v>0</v>
      </c>
      <c r="BE11">
        <v>0</v>
      </c>
      <c r="BF11" t="s">
        <v>1063</v>
      </c>
      <c r="BG11" t="s">
        <v>4871</v>
      </c>
      <c r="BH11">
        <v>29</v>
      </c>
      <c r="BI11" t="s">
        <v>1258</v>
      </c>
      <c r="BK11">
        <v>1888924</v>
      </c>
    </row>
    <row r="12" spans="1:64">
      <c r="A12" s="1">
        <f>HYPERLINK("https://lsnyc.legalserver.org/matter/dynamic-profile/view/1913098","19-1913098")</f>
        <v>0</v>
      </c>
      <c r="B12" t="s">
        <v>4302</v>
      </c>
      <c r="C12" t="s">
        <v>4496</v>
      </c>
      <c r="D12" t="s">
        <v>254</v>
      </c>
      <c r="E12" t="s">
        <v>4498</v>
      </c>
      <c r="F12" t="s">
        <v>273</v>
      </c>
      <c r="G12" t="s">
        <v>275</v>
      </c>
      <c r="H12">
        <v>241.47</v>
      </c>
      <c r="K12" t="s">
        <v>488</v>
      </c>
      <c r="Q12" t="s">
        <v>501</v>
      </c>
      <c r="S12" t="s">
        <v>505</v>
      </c>
      <c r="T12" t="s">
        <v>509</v>
      </c>
      <c r="U12" t="s">
        <v>4560</v>
      </c>
      <c r="V12">
        <v>10473</v>
      </c>
      <c r="X12" t="s">
        <v>549</v>
      </c>
      <c r="Z12" t="s">
        <v>4569</v>
      </c>
      <c r="AA12" t="s">
        <v>4700</v>
      </c>
      <c r="AB12" t="s">
        <v>902</v>
      </c>
      <c r="AC12" t="s">
        <v>905</v>
      </c>
      <c r="AI12">
        <v>0.35</v>
      </c>
      <c r="AT12">
        <v>0</v>
      </c>
      <c r="AU12">
        <v>1</v>
      </c>
      <c r="AV12" t="s">
        <v>273</v>
      </c>
      <c r="AY12" t="s">
        <v>273</v>
      </c>
      <c r="BB12">
        <v>0</v>
      </c>
      <c r="BC12">
        <v>0</v>
      </c>
      <c r="BD12">
        <v>0</v>
      </c>
      <c r="BE12">
        <v>0</v>
      </c>
      <c r="BF12" t="s">
        <v>1063</v>
      </c>
      <c r="BG12" t="s">
        <v>4872</v>
      </c>
      <c r="BH12">
        <v>40</v>
      </c>
      <c r="BI12" t="s">
        <v>5051</v>
      </c>
      <c r="BK12">
        <v>1892302</v>
      </c>
    </row>
    <row r="13" spans="1:64">
      <c r="A13" s="1">
        <f>HYPERLINK("https://lsnyc.legalserver.org/matter/dynamic-profile/view/1913101","19-1913101")</f>
        <v>0</v>
      </c>
      <c r="B13" t="s">
        <v>4303</v>
      </c>
      <c r="C13" t="s">
        <v>4496</v>
      </c>
      <c r="D13" t="s">
        <v>254</v>
      </c>
      <c r="E13" t="s">
        <v>4498</v>
      </c>
      <c r="F13" t="s">
        <v>273</v>
      </c>
      <c r="G13" t="s">
        <v>275</v>
      </c>
      <c r="H13">
        <v>166.53</v>
      </c>
      <c r="K13" t="s">
        <v>488</v>
      </c>
      <c r="Q13" t="s">
        <v>501</v>
      </c>
      <c r="S13" t="s">
        <v>505</v>
      </c>
      <c r="T13" t="s">
        <v>508</v>
      </c>
      <c r="U13" t="s">
        <v>4560</v>
      </c>
      <c r="V13">
        <v>10314</v>
      </c>
      <c r="X13" t="s">
        <v>548</v>
      </c>
      <c r="Z13" t="s">
        <v>4570</v>
      </c>
      <c r="AA13" t="s">
        <v>2191</v>
      </c>
      <c r="AB13" t="s">
        <v>902</v>
      </c>
      <c r="AC13" t="s">
        <v>906</v>
      </c>
      <c r="AI13">
        <v>1</v>
      </c>
      <c r="AT13">
        <v>0</v>
      </c>
      <c r="AU13">
        <v>1</v>
      </c>
      <c r="AV13" t="s">
        <v>273</v>
      </c>
      <c r="AY13" t="s">
        <v>273</v>
      </c>
      <c r="BB13">
        <v>0</v>
      </c>
      <c r="BC13">
        <v>0</v>
      </c>
      <c r="BD13">
        <v>0</v>
      </c>
      <c r="BE13">
        <v>0</v>
      </c>
      <c r="BF13" t="s">
        <v>1063</v>
      </c>
      <c r="BG13" t="s">
        <v>4873</v>
      </c>
      <c r="BH13">
        <v>33</v>
      </c>
      <c r="BI13" t="s">
        <v>1261</v>
      </c>
      <c r="BK13">
        <v>1885955</v>
      </c>
    </row>
    <row r="14" spans="1:64">
      <c r="A14" s="1">
        <f>HYPERLINK("https://lsnyc.legalserver.org/matter/dynamic-profile/view/1912663","19-1912663")</f>
        <v>0</v>
      </c>
      <c r="B14" t="s">
        <v>4304</v>
      </c>
      <c r="C14" t="s">
        <v>4496</v>
      </c>
      <c r="D14" t="s">
        <v>253</v>
      </c>
      <c r="E14" t="s">
        <v>4500</v>
      </c>
      <c r="F14" t="s">
        <v>273</v>
      </c>
      <c r="G14" t="s">
        <v>275</v>
      </c>
      <c r="H14">
        <v>97.52</v>
      </c>
      <c r="K14" t="s">
        <v>446</v>
      </c>
      <c r="Q14" t="s">
        <v>501</v>
      </c>
      <c r="S14" t="s">
        <v>503</v>
      </c>
      <c r="T14" t="s">
        <v>508</v>
      </c>
      <c r="U14" t="s">
        <v>511</v>
      </c>
      <c r="V14">
        <v>11691</v>
      </c>
      <c r="X14" t="s">
        <v>548</v>
      </c>
      <c r="Z14" t="s">
        <v>4571</v>
      </c>
      <c r="AA14" t="s">
        <v>4701</v>
      </c>
      <c r="AB14" t="s">
        <v>902</v>
      </c>
      <c r="AC14" t="s">
        <v>905</v>
      </c>
      <c r="AI14">
        <v>1.5</v>
      </c>
      <c r="AK14" t="s">
        <v>959</v>
      </c>
      <c r="AT14">
        <v>1</v>
      </c>
      <c r="AU14">
        <v>2</v>
      </c>
      <c r="AV14" t="s">
        <v>273</v>
      </c>
      <c r="AY14" t="s">
        <v>273</v>
      </c>
      <c r="BB14">
        <v>0</v>
      </c>
      <c r="BC14">
        <v>0</v>
      </c>
      <c r="BD14">
        <v>0</v>
      </c>
      <c r="BE14">
        <v>0</v>
      </c>
      <c r="BF14" t="s">
        <v>1063</v>
      </c>
      <c r="BG14" t="s">
        <v>4874</v>
      </c>
      <c r="BH14">
        <v>30</v>
      </c>
      <c r="BI14" t="s">
        <v>1261</v>
      </c>
      <c r="BK14">
        <v>1913290</v>
      </c>
    </row>
    <row r="15" spans="1:64">
      <c r="A15" s="1">
        <f>HYPERLINK("https://lsnyc.legalserver.org/matter/dynamic-profile/view/1912746","19-1912746")</f>
        <v>0</v>
      </c>
      <c r="B15" t="s">
        <v>4305</v>
      </c>
      <c r="C15" t="s">
        <v>4496</v>
      </c>
      <c r="D15" t="s">
        <v>254</v>
      </c>
      <c r="E15" t="s">
        <v>4501</v>
      </c>
      <c r="F15" t="s">
        <v>273</v>
      </c>
      <c r="G15" t="s">
        <v>275</v>
      </c>
      <c r="H15">
        <v>0</v>
      </c>
      <c r="K15" t="s">
        <v>446</v>
      </c>
      <c r="P15" t="s">
        <v>492</v>
      </c>
      <c r="Q15" t="s">
        <v>501</v>
      </c>
      <c r="S15" t="s">
        <v>503</v>
      </c>
      <c r="T15" t="s">
        <v>508</v>
      </c>
      <c r="U15" t="s">
        <v>511</v>
      </c>
      <c r="V15">
        <v>10302</v>
      </c>
      <c r="W15" t="s">
        <v>518</v>
      </c>
      <c r="X15" t="s">
        <v>548</v>
      </c>
      <c r="Z15" t="s">
        <v>4572</v>
      </c>
      <c r="AA15" t="s">
        <v>4702</v>
      </c>
      <c r="AB15" t="s">
        <v>902</v>
      </c>
      <c r="AC15" t="s">
        <v>905</v>
      </c>
      <c r="AF15" t="s">
        <v>928</v>
      </c>
      <c r="AI15">
        <v>1.7</v>
      </c>
      <c r="AK15" t="s">
        <v>959</v>
      </c>
      <c r="AT15">
        <v>0</v>
      </c>
      <c r="AU15">
        <v>2</v>
      </c>
      <c r="AV15" t="s">
        <v>273</v>
      </c>
      <c r="AY15" t="s">
        <v>273</v>
      </c>
      <c r="BB15">
        <v>0</v>
      </c>
      <c r="BC15">
        <v>0</v>
      </c>
      <c r="BD15">
        <v>0</v>
      </c>
      <c r="BE15">
        <v>0</v>
      </c>
      <c r="BF15" t="s">
        <v>1063</v>
      </c>
      <c r="BG15" t="s">
        <v>4875</v>
      </c>
      <c r="BH15">
        <v>34</v>
      </c>
      <c r="BI15" t="s">
        <v>1247</v>
      </c>
      <c r="BK15">
        <v>1913409</v>
      </c>
    </row>
    <row r="16" spans="1:64">
      <c r="A16" s="1">
        <f>HYPERLINK("https://lsnyc.legalserver.org/matter/dynamic-profile/view/1912396","19-1912396")</f>
        <v>0</v>
      </c>
      <c r="B16" t="s">
        <v>4306</v>
      </c>
      <c r="C16" t="s">
        <v>4496</v>
      </c>
      <c r="D16" t="s">
        <v>252</v>
      </c>
      <c r="E16" t="s">
        <v>4501</v>
      </c>
      <c r="F16" t="s">
        <v>273</v>
      </c>
      <c r="G16" t="s">
        <v>275</v>
      </c>
      <c r="H16">
        <v>0</v>
      </c>
      <c r="K16" t="s">
        <v>280</v>
      </c>
      <c r="O16" t="s">
        <v>275</v>
      </c>
      <c r="Q16" t="s">
        <v>501</v>
      </c>
      <c r="S16" t="s">
        <v>503</v>
      </c>
      <c r="T16" t="s">
        <v>508</v>
      </c>
      <c r="U16" t="s">
        <v>511</v>
      </c>
      <c r="V16">
        <v>11214</v>
      </c>
      <c r="W16" t="s">
        <v>520</v>
      </c>
      <c r="X16" t="s">
        <v>553</v>
      </c>
      <c r="Z16" t="s">
        <v>1966</v>
      </c>
      <c r="AA16" t="s">
        <v>4703</v>
      </c>
      <c r="AB16" t="s">
        <v>902</v>
      </c>
      <c r="AC16" t="s">
        <v>906</v>
      </c>
      <c r="AI16">
        <v>2.5</v>
      </c>
      <c r="AK16" t="s">
        <v>948</v>
      </c>
      <c r="AT16">
        <v>3</v>
      </c>
      <c r="AU16">
        <v>2</v>
      </c>
      <c r="AV16" t="s">
        <v>273</v>
      </c>
      <c r="AY16" t="s">
        <v>273</v>
      </c>
      <c r="BB16">
        <v>0</v>
      </c>
      <c r="BC16">
        <v>0</v>
      </c>
      <c r="BD16">
        <v>0</v>
      </c>
      <c r="BE16">
        <v>0</v>
      </c>
      <c r="BF16" t="s">
        <v>1063</v>
      </c>
      <c r="BG16" t="s">
        <v>4876</v>
      </c>
      <c r="BH16">
        <v>42</v>
      </c>
      <c r="BI16" t="s">
        <v>1247</v>
      </c>
      <c r="BK16">
        <v>1875478</v>
      </c>
    </row>
    <row r="17" spans="1:64">
      <c r="A17" s="1">
        <f>HYPERLINK("https://lsnyc.legalserver.org/matter/dynamic-profile/view/1912400","19-1912400")</f>
        <v>0</v>
      </c>
      <c r="B17" t="s">
        <v>4307</v>
      </c>
      <c r="C17" t="s">
        <v>4496</v>
      </c>
      <c r="D17" t="s">
        <v>252</v>
      </c>
      <c r="E17" t="s">
        <v>4501</v>
      </c>
      <c r="F17" t="s">
        <v>273</v>
      </c>
      <c r="G17" t="s">
        <v>275</v>
      </c>
      <c r="H17">
        <v>0</v>
      </c>
      <c r="K17" t="s">
        <v>280</v>
      </c>
      <c r="P17" t="s">
        <v>492</v>
      </c>
      <c r="Q17" t="s">
        <v>501</v>
      </c>
      <c r="S17" t="s">
        <v>503</v>
      </c>
      <c r="T17" t="s">
        <v>508</v>
      </c>
      <c r="U17" t="s">
        <v>511</v>
      </c>
      <c r="V17">
        <v>11214</v>
      </c>
      <c r="X17" t="s">
        <v>553</v>
      </c>
      <c r="Z17" t="s">
        <v>4573</v>
      </c>
      <c r="AA17" t="s">
        <v>4703</v>
      </c>
      <c r="AB17" t="s">
        <v>902</v>
      </c>
      <c r="AC17" t="s">
        <v>906</v>
      </c>
      <c r="AI17">
        <v>1.5</v>
      </c>
      <c r="AT17">
        <v>3</v>
      </c>
      <c r="AU17">
        <v>2</v>
      </c>
      <c r="AV17" t="s">
        <v>273</v>
      </c>
      <c r="AY17" t="s">
        <v>273</v>
      </c>
      <c r="BB17">
        <v>0</v>
      </c>
      <c r="BC17">
        <v>0</v>
      </c>
      <c r="BD17">
        <v>0</v>
      </c>
      <c r="BE17">
        <v>0</v>
      </c>
      <c r="BF17" t="s">
        <v>1063</v>
      </c>
      <c r="BG17" t="s">
        <v>4876</v>
      </c>
      <c r="BH17">
        <v>42</v>
      </c>
      <c r="BI17" t="s">
        <v>1247</v>
      </c>
      <c r="BK17">
        <v>1875478</v>
      </c>
    </row>
    <row r="18" spans="1:64">
      <c r="A18" s="1">
        <f>HYPERLINK("https://lsnyc.legalserver.org/matter/dynamic-profile/view/1912407","19-1912407")</f>
        <v>0</v>
      </c>
      <c r="B18" t="s">
        <v>4308</v>
      </c>
      <c r="C18" t="s">
        <v>4496</v>
      </c>
      <c r="D18" t="s">
        <v>252</v>
      </c>
      <c r="E18" t="s">
        <v>4501</v>
      </c>
      <c r="F18" t="s">
        <v>273</v>
      </c>
      <c r="G18" t="s">
        <v>275</v>
      </c>
      <c r="H18">
        <v>0</v>
      </c>
      <c r="K18" t="s">
        <v>280</v>
      </c>
      <c r="P18" t="s">
        <v>492</v>
      </c>
      <c r="Q18" t="s">
        <v>502</v>
      </c>
      <c r="S18" t="s">
        <v>503</v>
      </c>
      <c r="T18" t="s">
        <v>508</v>
      </c>
      <c r="U18" t="s">
        <v>511</v>
      </c>
      <c r="V18">
        <v>11214</v>
      </c>
      <c r="X18" t="s">
        <v>553</v>
      </c>
      <c r="Z18" t="s">
        <v>3071</v>
      </c>
      <c r="AA18" t="s">
        <v>4703</v>
      </c>
      <c r="AB18" t="s">
        <v>902</v>
      </c>
      <c r="AC18" t="s">
        <v>906</v>
      </c>
      <c r="AI18">
        <v>0.5</v>
      </c>
      <c r="AT18">
        <v>3</v>
      </c>
      <c r="AU18">
        <v>2</v>
      </c>
      <c r="AV18" t="s">
        <v>273</v>
      </c>
      <c r="AY18" t="s">
        <v>273</v>
      </c>
      <c r="BB18">
        <v>0</v>
      </c>
      <c r="BC18">
        <v>0</v>
      </c>
      <c r="BD18">
        <v>0</v>
      </c>
      <c r="BE18">
        <v>0</v>
      </c>
      <c r="BF18" t="s">
        <v>1063</v>
      </c>
      <c r="BG18" t="s">
        <v>4877</v>
      </c>
      <c r="BH18">
        <v>13</v>
      </c>
      <c r="BI18" t="s">
        <v>1247</v>
      </c>
      <c r="BK18">
        <v>1875478</v>
      </c>
    </row>
    <row r="19" spans="1:64">
      <c r="A19" s="1">
        <f>HYPERLINK("https://lsnyc.legalserver.org/matter/dynamic-profile/view/1912411","19-1912411")</f>
        <v>0</v>
      </c>
      <c r="B19" t="s">
        <v>4309</v>
      </c>
      <c r="C19" t="s">
        <v>4496</v>
      </c>
      <c r="D19" t="s">
        <v>252</v>
      </c>
      <c r="E19" t="s">
        <v>4501</v>
      </c>
      <c r="F19" t="s">
        <v>273</v>
      </c>
      <c r="G19" t="s">
        <v>275</v>
      </c>
      <c r="H19">
        <v>0</v>
      </c>
      <c r="K19" t="s">
        <v>280</v>
      </c>
      <c r="P19" t="s">
        <v>492</v>
      </c>
      <c r="Q19" t="s">
        <v>502</v>
      </c>
      <c r="S19" t="s">
        <v>503</v>
      </c>
      <c r="T19" t="s">
        <v>508</v>
      </c>
      <c r="U19" t="s">
        <v>511</v>
      </c>
      <c r="V19">
        <v>11214</v>
      </c>
      <c r="X19" t="s">
        <v>553</v>
      </c>
      <c r="Z19" t="s">
        <v>4574</v>
      </c>
      <c r="AA19" t="s">
        <v>4703</v>
      </c>
      <c r="AB19" t="s">
        <v>902</v>
      </c>
      <c r="AC19" t="s">
        <v>906</v>
      </c>
      <c r="AI19">
        <v>0.5</v>
      </c>
      <c r="AT19">
        <v>3</v>
      </c>
      <c r="AU19">
        <v>2</v>
      </c>
      <c r="AV19" t="s">
        <v>273</v>
      </c>
      <c r="AY19" t="s">
        <v>273</v>
      </c>
      <c r="BB19">
        <v>0</v>
      </c>
      <c r="BC19">
        <v>0</v>
      </c>
      <c r="BD19">
        <v>0</v>
      </c>
      <c r="BE19">
        <v>0</v>
      </c>
      <c r="BF19" t="s">
        <v>1063</v>
      </c>
      <c r="BG19" t="s">
        <v>4877</v>
      </c>
      <c r="BH19">
        <v>13</v>
      </c>
      <c r="BI19" t="s">
        <v>1247</v>
      </c>
      <c r="BK19">
        <v>1875478</v>
      </c>
    </row>
    <row r="20" spans="1:64">
      <c r="A20" s="1">
        <f>HYPERLINK("https://lsnyc.legalserver.org/matter/dynamic-profile/view/1912413","19-1912413")</f>
        <v>0</v>
      </c>
      <c r="B20" t="s">
        <v>4310</v>
      </c>
      <c r="C20" t="s">
        <v>4496</v>
      </c>
      <c r="D20" t="s">
        <v>252</v>
      </c>
      <c r="E20" t="s">
        <v>4501</v>
      </c>
      <c r="F20" t="s">
        <v>273</v>
      </c>
      <c r="G20" t="s">
        <v>275</v>
      </c>
      <c r="H20">
        <v>0</v>
      </c>
      <c r="K20" t="s">
        <v>280</v>
      </c>
      <c r="P20" t="s">
        <v>492</v>
      </c>
      <c r="Q20" t="s">
        <v>502</v>
      </c>
      <c r="S20" t="s">
        <v>503</v>
      </c>
      <c r="T20" t="s">
        <v>508</v>
      </c>
      <c r="U20" t="s">
        <v>511</v>
      </c>
      <c r="V20">
        <v>11214</v>
      </c>
      <c r="X20" t="s">
        <v>553</v>
      </c>
      <c r="Z20" t="s">
        <v>4575</v>
      </c>
      <c r="AA20" t="s">
        <v>4704</v>
      </c>
      <c r="AB20" t="s">
        <v>902</v>
      </c>
      <c r="AC20" t="s">
        <v>906</v>
      </c>
      <c r="AI20">
        <v>0.5</v>
      </c>
      <c r="AT20">
        <v>3</v>
      </c>
      <c r="AU20">
        <v>2</v>
      </c>
      <c r="AV20" t="s">
        <v>273</v>
      </c>
      <c r="AY20" t="s">
        <v>273</v>
      </c>
      <c r="BB20">
        <v>0</v>
      </c>
      <c r="BC20">
        <v>0</v>
      </c>
      <c r="BD20">
        <v>0</v>
      </c>
      <c r="BE20">
        <v>0</v>
      </c>
      <c r="BF20" t="s">
        <v>1063</v>
      </c>
      <c r="BG20" t="s">
        <v>4878</v>
      </c>
      <c r="BH20">
        <v>11</v>
      </c>
      <c r="BI20" t="s">
        <v>1247</v>
      </c>
      <c r="BK20">
        <v>1875478</v>
      </c>
    </row>
    <row r="21" spans="1:64">
      <c r="A21" s="1">
        <f>HYPERLINK("https://lsnyc.legalserver.org/matter/dynamic-profile/view/1912417","19-1912417")</f>
        <v>0</v>
      </c>
      <c r="B21" t="s">
        <v>4311</v>
      </c>
      <c r="C21" t="s">
        <v>4496</v>
      </c>
      <c r="D21" t="s">
        <v>254</v>
      </c>
      <c r="E21" t="s">
        <v>4501</v>
      </c>
      <c r="F21" t="s">
        <v>273</v>
      </c>
      <c r="G21" t="s">
        <v>275</v>
      </c>
      <c r="H21">
        <v>0</v>
      </c>
      <c r="K21" t="s">
        <v>280</v>
      </c>
      <c r="O21" t="s">
        <v>275</v>
      </c>
      <c r="Q21" t="s">
        <v>502</v>
      </c>
      <c r="S21" t="s">
        <v>503</v>
      </c>
      <c r="T21" t="s">
        <v>507</v>
      </c>
      <c r="U21" t="s">
        <v>511</v>
      </c>
      <c r="V21">
        <v>10302</v>
      </c>
      <c r="W21" t="s">
        <v>520</v>
      </c>
      <c r="X21" t="s">
        <v>548</v>
      </c>
      <c r="Z21" t="s">
        <v>4576</v>
      </c>
      <c r="AA21" t="s">
        <v>4705</v>
      </c>
      <c r="AB21" t="s">
        <v>902</v>
      </c>
      <c r="AC21" t="s">
        <v>906</v>
      </c>
      <c r="AI21">
        <v>0</v>
      </c>
      <c r="AK21" t="s">
        <v>933</v>
      </c>
      <c r="AT21">
        <v>1</v>
      </c>
      <c r="AU21">
        <v>2</v>
      </c>
      <c r="AV21" t="s">
        <v>273</v>
      </c>
      <c r="AY21" t="s">
        <v>273</v>
      </c>
      <c r="BB21">
        <v>0</v>
      </c>
      <c r="BC21">
        <v>0</v>
      </c>
      <c r="BD21">
        <v>0</v>
      </c>
      <c r="BE21">
        <v>0</v>
      </c>
      <c r="BF21" t="s">
        <v>1063</v>
      </c>
      <c r="BG21" t="s">
        <v>4879</v>
      </c>
      <c r="BH21">
        <v>16</v>
      </c>
      <c r="BI21" t="s">
        <v>1247</v>
      </c>
      <c r="BK21">
        <v>1881911</v>
      </c>
    </row>
    <row r="22" spans="1:64">
      <c r="A22" s="1">
        <f>HYPERLINK("https://lsnyc.legalserver.org/matter/dynamic-profile/view/1912420","19-1912420")</f>
        <v>0</v>
      </c>
      <c r="B22" t="s">
        <v>4312</v>
      </c>
      <c r="C22" t="s">
        <v>4496</v>
      </c>
      <c r="D22" t="s">
        <v>254</v>
      </c>
      <c r="E22" t="s">
        <v>4501</v>
      </c>
      <c r="F22" t="s">
        <v>273</v>
      </c>
      <c r="G22" t="s">
        <v>275</v>
      </c>
      <c r="H22">
        <v>103.41</v>
      </c>
      <c r="K22" t="s">
        <v>280</v>
      </c>
      <c r="Q22" t="s">
        <v>502</v>
      </c>
      <c r="S22" t="s">
        <v>503</v>
      </c>
      <c r="T22" t="s">
        <v>508</v>
      </c>
      <c r="U22" t="s">
        <v>511</v>
      </c>
      <c r="V22">
        <v>10309</v>
      </c>
      <c r="W22" t="s">
        <v>518</v>
      </c>
      <c r="X22" t="s">
        <v>548</v>
      </c>
      <c r="Z22" t="s">
        <v>4577</v>
      </c>
      <c r="AA22" t="s">
        <v>4706</v>
      </c>
      <c r="AB22" t="s">
        <v>902</v>
      </c>
      <c r="AC22" t="s">
        <v>905</v>
      </c>
      <c r="AI22">
        <v>11.5</v>
      </c>
      <c r="AK22" t="s">
        <v>933</v>
      </c>
      <c r="AT22">
        <v>3</v>
      </c>
      <c r="AU22">
        <v>2</v>
      </c>
      <c r="AV22" t="s">
        <v>273</v>
      </c>
      <c r="AY22" t="s">
        <v>273</v>
      </c>
      <c r="BB22">
        <v>0</v>
      </c>
      <c r="BC22">
        <v>0</v>
      </c>
      <c r="BD22">
        <v>0</v>
      </c>
      <c r="BE22">
        <v>0</v>
      </c>
      <c r="BF22" t="s">
        <v>1063</v>
      </c>
      <c r="BG22" t="s">
        <v>4880</v>
      </c>
      <c r="BH22">
        <v>19</v>
      </c>
      <c r="BI22" t="s">
        <v>1254</v>
      </c>
      <c r="BK22">
        <v>1896687</v>
      </c>
    </row>
    <row r="23" spans="1:64">
      <c r="A23" s="1">
        <f>HYPERLINK("https://lsnyc.legalserver.org/matter/dynamic-profile/view/1910012","19-1910012")</f>
        <v>0</v>
      </c>
      <c r="B23" t="s">
        <v>4313</v>
      </c>
      <c r="C23" t="s">
        <v>4496</v>
      </c>
      <c r="D23" t="s">
        <v>255</v>
      </c>
      <c r="E23" t="s">
        <v>4498</v>
      </c>
      <c r="F23" t="s">
        <v>273</v>
      </c>
      <c r="G23" t="s">
        <v>275</v>
      </c>
      <c r="H23">
        <v>0</v>
      </c>
      <c r="K23" t="s">
        <v>449</v>
      </c>
      <c r="P23" t="s">
        <v>492</v>
      </c>
      <c r="Q23" t="s">
        <v>501</v>
      </c>
      <c r="S23" t="s">
        <v>503</v>
      </c>
      <c r="T23" t="s">
        <v>507</v>
      </c>
      <c r="U23" t="s">
        <v>511</v>
      </c>
      <c r="V23">
        <v>10025</v>
      </c>
      <c r="X23" t="s">
        <v>549</v>
      </c>
      <c r="Z23" t="s">
        <v>4578</v>
      </c>
      <c r="AA23" t="s">
        <v>4707</v>
      </c>
      <c r="AB23" t="s">
        <v>902</v>
      </c>
      <c r="AC23" t="s">
        <v>905</v>
      </c>
      <c r="AI23">
        <v>2.75</v>
      </c>
      <c r="AT23">
        <v>0</v>
      </c>
      <c r="AU23">
        <v>1</v>
      </c>
      <c r="AV23" t="s">
        <v>273</v>
      </c>
      <c r="AY23" t="s">
        <v>273</v>
      </c>
      <c r="BB23">
        <v>0</v>
      </c>
      <c r="BC23">
        <v>0</v>
      </c>
      <c r="BD23">
        <v>0</v>
      </c>
      <c r="BE23">
        <v>0</v>
      </c>
      <c r="BF23" t="s">
        <v>1063</v>
      </c>
      <c r="BG23" t="s">
        <v>4881</v>
      </c>
      <c r="BH23">
        <v>24</v>
      </c>
      <c r="BI23" t="s">
        <v>1247</v>
      </c>
      <c r="BK23">
        <v>1910669</v>
      </c>
    </row>
    <row r="24" spans="1:64">
      <c r="A24" s="1">
        <f>HYPERLINK("https://lsnyc.legalserver.org/matter/dynamic-profile/view/1910622","19-1910622")</f>
        <v>0</v>
      </c>
      <c r="B24" t="s">
        <v>4314</v>
      </c>
      <c r="C24" t="s">
        <v>4496</v>
      </c>
      <c r="D24" t="s">
        <v>254</v>
      </c>
      <c r="E24" t="s">
        <v>264</v>
      </c>
      <c r="F24" t="s">
        <v>274</v>
      </c>
      <c r="G24" t="s">
        <v>274</v>
      </c>
      <c r="H24">
        <v>73.14</v>
      </c>
      <c r="I24" t="s">
        <v>274</v>
      </c>
      <c r="K24" t="s">
        <v>1667</v>
      </c>
      <c r="O24" t="s">
        <v>274</v>
      </c>
      <c r="P24" t="s">
        <v>498</v>
      </c>
      <c r="Q24" t="s">
        <v>501</v>
      </c>
      <c r="S24" t="s">
        <v>503</v>
      </c>
      <c r="T24" t="s">
        <v>508</v>
      </c>
      <c r="U24" t="s">
        <v>511</v>
      </c>
      <c r="V24">
        <v>10303</v>
      </c>
      <c r="X24" t="s">
        <v>548</v>
      </c>
      <c r="Y24" t="s">
        <v>275</v>
      </c>
      <c r="Z24" t="s">
        <v>1915</v>
      </c>
      <c r="AA24" t="s">
        <v>2102</v>
      </c>
      <c r="AB24" t="s">
        <v>902</v>
      </c>
      <c r="AC24" t="s">
        <v>904</v>
      </c>
      <c r="AF24" t="s">
        <v>925</v>
      </c>
      <c r="AI24">
        <v>2.3</v>
      </c>
      <c r="AJ24" t="s">
        <v>558</v>
      </c>
      <c r="AK24" t="s">
        <v>933</v>
      </c>
      <c r="AL24" t="s">
        <v>274</v>
      </c>
      <c r="AT24">
        <v>1</v>
      </c>
      <c r="AU24">
        <v>2</v>
      </c>
      <c r="AV24" t="s">
        <v>273</v>
      </c>
      <c r="AY24" t="s">
        <v>273</v>
      </c>
      <c r="BB24">
        <v>0</v>
      </c>
      <c r="BC24">
        <v>0</v>
      </c>
      <c r="BD24">
        <v>0</v>
      </c>
      <c r="BE24">
        <v>0</v>
      </c>
      <c r="BF24" t="s">
        <v>1063</v>
      </c>
      <c r="BG24" t="s">
        <v>4882</v>
      </c>
      <c r="BH24">
        <v>29</v>
      </c>
      <c r="BI24" t="s">
        <v>1270</v>
      </c>
      <c r="BK24">
        <v>1911279</v>
      </c>
      <c r="BL24" t="s">
        <v>275</v>
      </c>
    </row>
    <row r="25" spans="1:64">
      <c r="A25" s="1">
        <f>HYPERLINK("https://lsnyc.legalserver.org/matter/dynamic-profile/view/1908003","19-1908003")</f>
        <v>0</v>
      </c>
      <c r="B25" t="s">
        <v>4315</v>
      </c>
      <c r="C25" t="s">
        <v>4496</v>
      </c>
      <c r="D25" t="s">
        <v>252</v>
      </c>
      <c r="E25" t="s">
        <v>4498</v>
      </c>
      <c r="F25" t="s">
        <v>273</v>
      </c>
      <c r="G25" t="s">
        <v>275</v>
      </c>
      <c r="H25">
        <v>96.08</v>
      </c>
      <c r="K25" t="s">
        <v>284</v>
      </c>
      <c r="O25" t="s">
        <v>275</v>
      </c>
      <c r="P25" t="s">
        <v>492</v>
      </c>
      <c r="Q25" t="s">
        <v>501</v>
      </c>
      <c r="S25" t="s">
        <v>503</v>
      </c>
      <c r="T25" t="s">
        <v>507</v>
      </c>
      <c r="U25" t="s">
        <v>511</v>
      </c>
      <c r="V25">
        <v>11226</v>
      </c>
      <c r="W25" t="s">
        <v>521</v>
      </c>
      <c r="X25" t="s">
        <v>549</v>
      </c>
      <c r="Z25" t="s">
        <v>4579</v>
      </c>
      <c r="AA25" t="s">
        <v>874</v>
      </c>
      <c r="AB25" t="s">
        <v>902</v>
      </c>
      <c r="AC25" t="s">
        <v>905</v>
      </c>
      <c r="AI25">
        <v>8.5</v>
      </c>
      <c r="AK25" t="s">
        <v>965</v>
      </c>
      <c r="AS25" t="s">
        <v>1060</v>
      </c>
      <c r="AT25">
        <v>0</v>
      </c>
      <c r="AU25">
        <v>1</v>
      </c>
      <c r="AV25" t="s">
        <v>273</v>
      </c>
      <c r="AY25" t="s">
        <v>273</v>
      </c>
      <c r="BB25">
        <v>0</v>
      </c>
      <c r="BC25">
        <v>0</v>
      </c>
      <c r="BD25">
        <v>0</v>
      </c>
      <c r="BE25">
        <v>0</v>
      </c>
      <c r="BF25" t="s">
        <v>1063</v>
      </c>
      <c r="BG25" t="s">
        <v>4883</v>
      </c>
      <c r="BH25">
        <v>41</v>
      </c>
      <c r="BI25" t="s">
        <v>1267</v>
      </c>
      <c r="BK25">
        <v>1908660</v>
      </c>
    </row>
    <row r="26" spans="1:64">
      <c r="A26" s="1">
        <f>HYPERLINK("https://lsnyc.legalserver.org/matter/dynamic-profile/view/1910101","19-1910101")</f>
        <v>0</v>
      </c>
      <c r="B26" t="s">
        <v>4316</v>
      </c>
      <c r="C26" t="s">
        <v>4496</v>
      </c>
      <c r="D26" t="s">
        <v>254</v>
      </c>
      <c r="E26" t="s">
        <v>4500</v>
      </c>
      <c r="F26" t="s">
        <v>273</v>
      </c>
      <c r="G26" t="s">
        <v>275</v>
      </c>
      <c r="H26">
        <v>76.88</v>
      </c>
      <c r="K26" t="s">
        <v>285</v>
      </c>
      <c r="P26" t="s">
        <v>492</v>
      </c>
      <c r="Q26" t="s">
        <v>501</v>
      </c>
      <c r="S26" t="s">
        <v>503</v>
      </c>
      <c r="T26" t="s">
        <v>508</v>
      </c>
      <c r="U26" t="s">
        <v>511</v>
      </c>
      <c r="V26">
        <v>10304</v>
      </c>
      <c r="X26" t="s">
        <v>548</v>
      </c>
      <c r="Z26" t="s">
        <v>577</v>
      </c>
      <c r="AA26" t="s">
        <v>4708</v>
      </c>
      <c r="AB26" t="s">
        <v>902</v>
      </c>
      <c r="AC26" t="s">
        <v>905</v>
      </c>
      <c r="AF26" t="s">
        <v>923</v>
      </c>
      <c r="AI26">
        <v>27.4</v>
      </c>
      <c r="AJ26" t="s">
        <v>558</v>
      </c>
      <c r="AK26" t="s">
        <v>934</v>
      </c>
      <c r="AT26">
        <v>1</v>
      </c>
      <c r="AU26">
        <v>1</v>
      </c>
      <c r="AV26" t="s">
        <v>273</v>
      </c>
      <c r="AY26" t="s">
        <v>273</v>
      </c>
      <c r="BB26">
        <v>0</v>
      </c>
      <c r="BC26">
        <v>0</v>
      </c>
      <c r="BD26">
        <v>0</v>
      </c>
      <c r="BE26">
        <v>0</v>
      </c>
      <c r="BF26" t="s">
        <v>1063</v>
      </c>
      <c r="BG26" t="s">
        <v>4884</v>
      </c>
      <c r="BH26">
        <v>29</v>
      </c>
      <c r="BI26" t="s">
        <v>1264</v>
      </c>
      <c r="BK26">
        <v>1910758</v>
      </c>
    </row>
    <row r="27" spans="1:64">
      <c r="A27" s="1">
        <f>HYPERLINK("https://lsnyc.legalserver.org/matter/dynamic-profile/view/1909309","19-1909309")</f>
        <v>0</v>
      </c>
      <c r="B27" t="s">
        <v>4317</v>
      </c>
      <c r="C27" t="s">
        <v>4496</v>
      </c>
      <c r="D27" t="s">
        <v>254</v>
      </c>
      <c r="E27" t="s">
        <v>4500</v>
      </c>
      <c r="F27" t="s">
        <v>273</v>
      </c>
      <c r="G27" t="s">
        <v>275</v>
      </c>
      <c r="H27">
        <v>120.64</v>
      </c>
      <c r="K27" t="s">
        <v>466</v>
      </c>
      <c r="P27" t="s">
        <v>492</v>
      </c>
      <c r="Q27" t="s">
        <v>501</v>
      </c>
      <c r="S27" t="s">
        <v>503</v>
      </c>
      <c r="T27" t="s">
        <v>507</v>
      </c>
      <c r="U27" t="s">
        <v>511</v>
      </c>
      <c r="V27">
        <v>10310</v>
      </c>
      <c r="W27" t="s">
        <v>522</v>
      </c>
      <c r="X27" t="s">
        <v>549</v>
      </c>
      <c r="Z27" t="s">
        <v>715</v>
      </c>
      <c r="AA27" t="s">
        <v>4709</v>
      </c>
      <c r="AB27" t="s">
        <v>902</v>
      </c>
      <c r="AC27" t="s">
        <v>909</v>
      </c>
      <c r="AI27">
        <v>36.8</v>
      </c>
      <c r="AJ27" t="s">
        <v>558</v>
      </c>
      <c r="AK27" t="s">
        <v>961</v>
      </c>
      <c r="AT27">
        <v>0</v>
      </c>
      <c r="AU27">
        <v>2</v>
      </c>
      <c r="AV27" t="s">
        <v>273</v>
      </c>
      <c r="AY27" t="s">
        <v>273</v>
      </c>
      <c r="BB27">
        <v>0</v>
      </c>
      <c r="BC27">
        <v>0</v>
      </c>
      <c r="BD27">
        <v>0</v>
      </c>
      <c r="BE27">
        <v>0</v>
      </c>
      <c r="BF27" t="s">
        <v>1063</v>
      </c>
      <c r="BG27" t="s">
        <v>4885</v>
      </c>
      <c r="BH27">
        <v>56</v>
      </c>
      <c r="BI27" t="s">
        <v>5052</v>
      </c>
      <c r="BK27">
        <v>1909966</v>
      </c>
    </row>
    <row r="28" spans="1:64">
      <c r="A28" s="1">
        <f>HYPERLINK("https://lsnyc.legalserver.org/matter/dynamic-profile/view/1909100","19-1909100")</f>
        <v>0</v>
      </c>
      <c r="B28" t="s">
        <v>4318</v>
      </c>
      <c r="C28" t="s">
        <v>4496</v>
      </c>
      <c r="D28" t="s">
        <v>254</v>
      </c>
      <c r="E28" t="s">
        <v>4498</v>
      </c>
      <c r="F28" t="s">
        <v>273</v>
      </c>
      <c r="G28" t="s">
        <v>275</v>
      </c>
      <c r="H28">
        <v>0</v>
      </c>
      <c r="K28" t="s">
        <v>289</v>
      </c>
      <c r="P28" t="s">
        <v>492</v>
      </c>
      <c r="Q28" t="s">
        <v>501</v>
      </c>
      <c r="S28" t="s">
        <v>503</v>
      </c>
      <c r="T28" t="s">
        <v>507</v>
      </c>
      <c r="U28" t="s">
        <v>511</v>
      </c>
      <c r="V28">
        <v>11210</v>
      </c>
      <c r="W28" t="s">
        <v>520</v>
      </c>
      <c r="X28" t="s">
        <v>549</v>
      </c>
      <c r="Z28" t="s">
        <v>4580</v>
      </c>
      <c r="AA28" t="s">
        <v>4710</v>
      </c>
      <c r="AB28" t="s">
        <v>902</v>
      </c>
      <c r="AC28" t="s">
        <v>905</v>
      </c>
      <c r="AF28" t="s">
        <v>923</v>
      </c>
      <c r="AI28">
        <v>1.25</v>
      </c>
      <c r="AT28">
        <v>0</v>
      </c>
      <c r="AU28">
        <v>1</v>
      </c>
      <c r="AV28" t="s">
        <v>273</v>
      </c>
      <c r="AY28" t="s">
        <v>273</v>
      </c>
      <c r="BB28">
        <v>0</v>
      </c>
      <c r="BC28">
        <v>0</v>
      </c>
      <c r="BD28">
        <v>0</v>
      </c>
      <c r="BE28">
        <v>0</v>
      </c>
      <c r="BF28" t="s">
        <v>1063</v>
      </c>
      <c r="BG28" t="s">
        <v>4886</v>
      </c>
      <c r="BH28">
        <v>26</v>
      </c>
      <c r="BI28" t="s">
        <v>1247</v>
      </c>
      <c r="BK28">
        <v>1891376</v>
      </c>
    </row>
    <row r="29" spans="1:64">
      <c r="A29" s="1">
        <f>HYPERLINK("https://lsnyc.legalserver.org/matter/dynamic-profile/view/1909101","19-1909101")</f>
        <v>0</v>
      </c>
      <c r="B29" t="s">
        <v>4319</v>
      </c>
      <c r="C29" t="s">
        <v>4496</v>
      </c>
      <c r="D29" t="s">
        <v>254</v>
      </c>
      <c r="E29" t="s">
        <v>4498</v>
      </c>
      <c r="F29" t="s">
        <v>273</v>
      </c>
      <c r="G29" t="s">
        <v>275</v>
      </c>
      <c r="H29">
        <v>184.51</v>
      </c>
      <c r="K29" t="s">
        <v>289</v>
      </c>
      <c r="P29" t="s">
        <v>492</v>
      </c>
      <c r="Q29" t="s">
        <v>501</v>
      </c>
      <c r="S29" t="s">
        <v>503</v>
      </c>
      <c r="T29" t="s">
        <v>507</v>
      </c>
      <c r="U29" t="s">
        <v>511</v>
      </c>
      <c r="V29">
        <v>10310</v>
      </c>
      <c r="W29" t="s">
        <v>520</v>
      </c>
      <c r="X29" t="s">
        <v>549</v>
      </c>
      <c r="Z29" t="s">
        <v>4581</v>
      </c>
      <c r="AA29" t="s">
        <v>4711</v>
      </c>
      <c r="AB29" t="s">
        <v>902</v>
      </c>
      <c r="AC29" t="s">
        <v>909</v>
      </c>
      <c r="AF29" t="s">
        <v>923</v>
      </c>
      <c r="AI29">
        <v>1.5</v>
      </c>
      <c r="AT29">
        <v>0</v>
      </c>
      <c r="AU29">
        <v>2</v>
      </c>
      <c r="AV29" t="s">
        <v>273</v>
      </c>
      <c r="AY29" t="s">
        <v>273</v>
      </c>
      <c r="BB29">
        <v>0</v>
      </c>
      <c r="BC29">
        <v>0</v>
      </c>
      <c r="BD29">
        <v>0</v>
      </c>
      <c r="BE29">
        <v>0</v>
      </c>
      <c r="BF29" t="s">
        <v>1063</v>
      </c>
      <c r="BG29" t="s">
        <v>4887</v>
      </c>
      <c r="BH29">
        <v>28</v>
      </c>
      <c r="BI29" t="s">
        <v>1254</v>
      </c>
      <c r="BK29">
        <v>1852770</v>
      </c>
    </row>
    <row r="30" spans="1:64">
      <c r="A30" s="1">
        <f>HYPERLINK("https://lsnyc.legalserver.org/matter/dynamic-profile/view/1907233","19-1907233")</f>
        <v>0</v>
      </c>
      <c r="B30" t="s">
        <v>4320</v>
      </c>
      <c r="C30" t="s">
        <v>4496</v>
      </c>
      <c r="D30" t="s">
        <v>253</v>
      </c>
      <c r="E30" t="s">
        <v>4498</v>
      </c>
      <c r="F30" t="s">
        <v>273</v>
      </c>
      <c r="G30" t="s">
        <v>275</v>
      </c>
      <c r="H30">
        <v>0</v>
      </c>
      <c r="K30" t="s">
        <v>1674</v>
      </c>
      <c r="P30" t="s">
        <v>492</v>
      </c>
      <c r="Q30" t="s">
        <v>501</v>
      </c>
      <c r="S30" t="s">
        <v>503</v>
      </c>
      <c r="T30" t="s">
        <v>509</v>
      </c>
      <c r="U30" t="s">
        <v>511</v>
      </c>
      <c r="V30">
        <v>11365</v>
      </c>
      <c r="W30" t="s">
        <v>521</v>
      </c>
      <c r="X30" t="s">
        <v>549</v>
      </c>
      <c r="Z30" t="s">
        <v>4582</v>
      </c>
      <c r="AA30" t="s">
        <v>4712</v>
      </c>
      <c r="AB30" t="s">
        <v>902</v>
      </c>
      <c r="AC30" t="s">
        <v>905</v>
      </c>
      <c r="AF30" t="s">
        <v>923</v>
      </c>
      <c r="AI30">
        <v>19.25</v>
      </c>
      <c r="AJ30" t="s">
        <v>558</v>
      </c>
      <c r="AK30" t="s">
        <v>965</v>
      </c>
      <c r="AT30">
        <v>0</v>
      </c>
      <c r="AU30">
        <v>1</v>
      </c>
      <c r="AV30" t="s">
        <v>273</v>
      </c>
      <c r="AY30" t="s">
        <v>273</v>
      </c>
      <c r="BB30">
        <v>0</v>
      </c>
      <c r="BC30">
        <v>0</v>
      </c>
      <c r="BD30">
        <v>0</v>
      </c>
      <c r="BE30">
        <v>0</v>
      </c>
      <c r="BF30" t="s">
        <v>1063</v>
      </c>
      <c r="BG30" t="s">
        <v>4888</v>
      </c>
      <c r="BH30">
        <v>30</v>
      </c>
      <c r="BI30" t="s">
        <v>1247</v>
      </c>
      <c r="BK30">
        <v>1907889</v>
      </c>
    </row>
    <row r="31" spans="1:64">
      <c r="A31" s="1">
        <f>HYPERLINK("https://lsnyc.legalserver.org/matter/dynamic-profile/view/1906044","19-1906044")</f>
        <v>0</v>
      </c>
      <c r="B31" t="s">
        <v>4321</v>
      </c>
      <c r="C31" t="s">
        <v>4496</v>
      </c>
      <c r="D31" t="s">
        <v>253</v>
      </c>
      <c r="E31" t="s">
        <v>4498</v>
      </c>
      <c r="F31" t="s">
        <v>273</v>
      </c>
      <c r="G31" t="s">
        <v>275</v>
      </c>
      <c r="H31">
        <v>0</v>
      </c>
      <c r="K31" t="s">
        <v>1675</v>
      </c>
      <c r="O31" t="s">
        <v>275</v>
      </c>
      <c r="P31" t="s">
        <v>492</v>
      </c>
      <c r="Q31" t="s">
        <v>501</v>
      </c>
      <c r="S31" t="s">
        <v>503</v>
      </c>
      <c r="T31" t="s">
        <v>507</v>
      </c>
      <c r="U31" t="s">
        <v>511</v>
      </c>
      <c r="V31">
        <v>11432</v>
      </c>
      <c r="W31" t="s">
        <v>521</v>
      </c>
      <c r="X31" t="s">
        <v>549</v>
      </c>
      <c r="Z31" t="s">
        <v>4583</v>
      </c>
      <c r="AA31" t="s">
        <v>4713</v>
      </c>
      <c r="AB31" t="s">
        <v>902</v>
      </c>
      <c r="AC31" t="s">
        <v>906</v>
      </c>
      <c r="AF31" t="s">
        <v>923</v>
      </c>
      <c r="AI31">
        <v>24.75</v>
      </c>
      <c r="AK31" t="s">
        <v>939</v>
      </c>
      <c r="AT31">
        <v>0</v>
      </c>
      <c r="AU31">
        <v>1</v>
      </c>
      <c r="AV31" t="s">
        <v>273</v>
      </c>
      <c r="AY31" t="s">
        <v>273</v>
      </c>
      <c r="BB31">
        <v>0</v>
      </c>
      <c r="BC31">
        <v>0</v>
      </c>
      <c r="BD31">
        <v>0</v>
      </c>
      <c r="BE31">
        <v>0</v>
      </c>
      <c r="BF31" t="s">
        <v>1063</v>
      </c>
      <c r="BG31" t="s">
        <v>4889</v>
      </c>
      <c r="BH31">
        <v>24</v>
      </c>
      <c r="BI31" t="s">
        <v>1247</v>
      </c>
      <c r="BK31">
        <v>1906699</v>
      </c>
    </row>
    <row r="32" spans="1:64">
      <c r="A32" s="1">
        <f>HYPERLINK("https://lsnyc.legalserver.org/matter/dynamic-profile/view/1905966","19-1905966")</f>
        <v>0</v>
      </c>
      <c r="B32" t="s">
        <v>4322</v>
      </c>
      <c r="C32" t="s">
        <v>4496</v>
      </c>
      <c r="D32" t="s">
        <v>254</v>
      </c>
      <c r="E32" t="s">
        <v>4500</v>
      </c>
      <c r="F32" t="s">
        <v>273</v>
      </c>
      <c r="G32" t="s">
        <v>275</v>
      </c>
      <c r="H32">
        <v>0</v>
      </c>
      <c r="K32" t="s">
        <v>461</v>
      </c>
      <c r="Q32" t="s">
        <v>501</v>
      </c>
      <c r="S32" t="s">
        <v>503</v>
      </c>
      <c r="T32" t="s">
        <v>508</v>
      </c>
      <c r="U32" t="s">
        <v>511</v>
      </c>
      <c r="V32">
        <v>10303</v>
      </c>
      <c r="W32" t="s">
        <v>539</v>
      </c>
      <c r="X32" t="s">
        <v>1839</v>
      </c>
      <c r="Z32" t="s">
        <v>4584</v>
      </c>
      <c r="AA32" t="s">
        <v>4714</v>
      </c>
      <c r="AB32" t="s">
        <v>902</v>
      </c>
      <c r="AC32" t="s">
        <v>904</v>
      </c>
      <c r="AF32" t="s">
        <v>923</v>
      </c>
      <c r="AI32">
        <v>10.5</v>
      </c>
      <c r="AT32">
        <v>1</v>
      </c>
      <c r="AU32">
        <v>3</v>
      </c>
      <c r="AV32" t="s">
        <v>273</v>
      </c>
      <c r="AY32" t="s">
        <v>273</v>
      </c>
      <c r="BB32">
        <v>0</v>
      </c>
      <c r="BC32">
        <v>0</v>
      </c>
      <c r="BD32">
        <v>0</v>
      </c>
      <c r="BE32">
        <v>0</v>
      </c>
      <c r="BF32" t="s">
        <v>1063</v>
      </c>
      <c r="BG32" t="s">
        <v>4890</v>
      </c>
      <c r="BH32">
        <v>50</v>
      </c>
      <c r="BI32" t="s">
        <v>1247</v>
      </c>
      <c r="BK32">
        <v>1848174</v>
      </c>
    </row>
    <row r="33" spans="1:63">
      <c r="A33" s="1">
        <f>HYPERLINK("https://lsnyc.legalserver.org/matter/dynamic-profile/view/1904782","19-1904782")</f>
        <v>0</v>
      </c>
      <c r="B33" t="s">
        <v>4323</v>
      </c>
      <c r="C33" t="s">
        <v>4496</v>
      </c>
      <c r="D33" t="s">
        <v>254</v>
      </c>
      <c r="E33" t="s">
        <v>4500</v>
      </c>
      <c r="F33" t="s">
        <v>273</v>
      </c>
      <c r="G33" t="s">
        <v>275</v>
      </c>
      <c r="H33">
        <v>195.03</v>
      </c>
      <c r="K33" t="s">
        <v>1678</v>
      </c>
      <c r="O33" t="s">
        <v>275</v>
      </c>
      <c r="Q33" t="s">
        <v>501</v>
      </c>
      <c r="S33" t="s">
        <v>503</v>
      </c>
      <c r="T33" t="s">
        <v>508</v>
      </c>
      <c r="U33" t="s">
        <v>511</v>
      </c>
      <c r="V33">
        <v>10304</v>
      </c>
      <c r="W33" t="s">
        <v>528</v>
      </c>
      <c r="X33" t="s">
        <v>548</v>
      </c>
      <c r="Z33" t="s">
        <v>4585</v>
      </c>
      <c r="AA33" t="s">
        <v>4715</v>
      </c>
      <c r="AB33" t="s">
        <v>902</v>
      </c>
      <c r="AC33" t="s">
        <v>905</v>
      </c>
      <c r="AI33">
        <v>3.5</v>
      </c>
      <c r="AT33">
        <v>1</v>
      </c>
      <c r="AU33">
        <v>2</v>
      </c>
      <c r="AV33" t="s">
        <v>273</v>
      </c>
      <c r="AY33" t="s">
        <v>273</v>
      </c>
      <c r="BB33">
        <v>0</v>
      </c>
      <c r="BC33">
        <v>0</v>
      </c>
      <c r="BD33">
        <v>0</v>
      </c>
      <c r="BE33">
        <v>0</v>
      </c>
      <c r="BF33" t="s">
        <v>1063</v>
      </c>
      <c r="BG33" t="s">
        <v>4891</v>
      </c>
      <c r="BH33">
        <v>49</v>
      </c>
      <c r="BI33" t="s">
        <v>2721</v>
      </c>
      <c r="BK33">
        <v>1897608</v>
      </c>
    </row>
    <row r="34" spans="1:63">
      <c r="A34" s="1">
        <f>HYPERLINK("https://lsnyc.legalserver.org/matter/dynamic-profile/view/1904806","19-1904806")</f>
        <v>0</v>
      </c>
      <c r="B34" t="s">
        <v>4324</v>
      </c>
      <c r="C34" t="s">
        <v>4496</v>
      </c>
      <c r="D34" t="s">
        <v>254</v>
      </c>
      <c r="E34" t="s">
        <v>4500</v>
      </c>
      <c r="F34" t="s">
        <v>273</v>
      </c>
      <c r="G34" t="s">
        <v>275</v>
      </c>
      <c r="H34">
        <v>195.03</v>
      </c>
      <c r="K34" t="s">
        <v>1678</v>
      </c>
      <c r="Q34" t="s">
        <v>501</v>
      </c>
      <c r="S34" t="s">
        <v>503</v>
      </c>
      <c r="T34" t="s">
        <v>508</v>
      </c>
      <c r="U34" t="s">
        <v>511</v>
      </c>
      <c r="V34">
        <v>10304</v>
      </c>
      <c r="W34" t="s">
        <v>1823</v>
      </c>
      <c r="X34" t="s">
        <v>548</v>
      </c>
      <c r="Z34" t="s">
        <v>650</v>
      </c>
      <c r="AA34" t="s">
        <v>4716</v>
      </c>
      <c r="AB34" t="s">
        <v>902</v>
      </c>
      <c r="AC34" t="s">
        <v>905</v>
      </c>
      <c r="AF34" t="s">
        <v>924</v>
      </c>
      <c r="AI34">
        <v>20.6</v>
      </c>
      <c r="AT34">
        <v>1</v>
      </c>
      <c r="AU34">
        <v>2</v>
      </c>
      <c r="AV34" t="s">
        <v>273</v>
      </c>
      <c r="AY34" t="s">
        <v>273</v>
      </c>
      <c r="BB34">
        <v>0</v>
      </c>
      <c r="BC34">
        <v>0</v>
      </c>
      <c r="BD34">
        <v>0</v>
      </c>
      <c r="BE34">
        <v>0</v>
      </c>
      <c r="BF34" t="s">
        <v>1063</v>
      </c>
      <c r="BG34" t="s">
        <v>4892</v>
      </c>
      <c r="BH34">
        <v>20</v>
      </c>
      <c r="BI34" t="s">
        <v>2721</v>
      </c>
      <c r="BK34">
        <v>1897608</v>
      </c>
    </row>
    <row r="35" spans="1:63">
      <c r="A35" s="1">
        <f>HYPERLINK("https://lsnyc.legalserver.org/matter/dynamic-profile/view/1904813","19-1904813")</f>
        <v>0</v>
      </c>
      <c r="B35" t="s">
        <v>4325</v>
      </c>
      <c r="C35" t="s">
        <v>4496</v>
      </c>
      <c r="D35" t="s">
        <v>254</v>
      </c>
      <c r="E35" t="s">
        <v>4500</v>
      </c>
      <c r="F35" t="s">
        <v>273</v>
      </c>
      <c r="G35" t="s">
        <v>275</v>
      </c>
      <c r="H35">
        <v>195.03</v>
      </c>
      <c r="K35" t="s">
        <v>1678</v>
      </c>
      <c r="Q35" t="s">
        <v>501</v>
      </c>
      <c r="S35" t="s">
        <v>503</v>
      </c>
      <c r="T35" t="s">
        <v>508</v>
      </c>
      <c r="U35" t="s">
        <v>511</v>
      </c>
      <c r="V35">
        <v>10304</v>
      </c>
      <c r="W35" t="s">
        <v>1823</v>
      </c>
      <c r="X35" t="s">
        <v>548</v>
      </c>
      <c r="Z35" t="s">
        <v>3839</v>
      </c>
      <c r="AA35" t="s">
        <v>4716</v>
      </c>
      <c r="AB35" t="s">
        <v>902</v>
      </c>
      <c r="AC35" t="s">
        <v>905</v>
      </c>
      <c r="AF35" t="s">
        <v>924</v>
      </c>
      <c r="AI35">
        <v>9.6</v>
      </c>
      <c r="AT35">
        <v>1</v>
      </c>
      <c r="AU35">
        <v>2</v>
      </c>
      <c r="AV35" t="s">
        <v>273</v>
      </c>
      <c r="AY35" t="s">
        <v>273</v>
      </c>
      <c r="BB35">
        <v>0</v>
      </c>
      <c r="BC35">
        <v>0</v>
      </c>
      <c r="BD35">
        <v>0</v>
      </c>
      <c r="BE35">
        <v>0</v>
      </c>
      <c r="BF35" t="s">
        <v>1063</v>
      </c>
      <c r="BG35" t="s">
        <v>4893</v>
      </c>
      <c r="BH35">
        <v>15</v>
      </c>
      <c r="BI35" t="s">
        <v>2721</v>
      </c>
      <c r="BK35">
        <v>1897608</v>
      </c>
    </row>
    <row r="36" spans="1:63">
      <c r="A36" s="1">
        <f>HYPERLINK("https://lsnyc.legalserver.org/matter/dynamic-profile/view/1904844","19-1904844")</f>
        <v>0</v>
      </c>
      <c r="B36" t="s">
        <v>4326</v>
      </c>
      <c r="C36" t="s">
        <v>4496</v>
      </c>
      <c r="D36" t="s">
        <v>254</v>
      </c>
      <c r="E36" t="s">
        <v>4500</v>
      </c>
      <c r="F36" t="s">
        <v>273</v>
      </c>
      <c r="G36" t="s">
        <v>275</v>
      </c>
      <c r="H36">
        <v>153.76</v>
      </c>
      <c r="K36" t="s">
        <v>1678</v>
      </c>
      <c r="Q36" t="s">
        <v>502</v>
      </c>
      <c r="S36" t="s">
        <v>503</v>
      </c>
      <c r="T36" t="s">
        <v>508</v>
      </c>
      <c r="U36" t="s">
        <v>511</v>
      </c>
      <c r="V36">
        <v>10303</v>
      </c>
      <c r="W36" t="s">
        <v>520</v>
      </c>
      <c r="Z36" t="s">
        <v>4586</v>
      </c>
      <c r="AA36" t="s">
        <v>4717</v>
      </c>
      <c r="AB36" t="s">
        <v>902</v>
      </c>
      <c r="AC36" t="s">
        <v>906</v>
      </c>
      <c r="AF36" t="s">
        <v>923</v>
      </c>
      <c r="AI36">
        <v>1.2</v>
      </c>
      <c r="AT36">
        <v>0</v>
      </c>
      <c r="AU36">
        <v>2</v>
      </c>
      <c r="AV36" t="s">
        <v>273</v>
      </c>
      <c r="AY36" t="s">
        <v>273</v>
      </c>
      <c r="BB36">
        <v>0</v>
      </c>
      <c r="BC36">
        <v>0</v>
      </c>
      <c r="BD36">
        <v>0</v>
      </c>
      <c r="BE36">
        <v>0</v>
      </c>
      <c r="BF36" t="s">
        <v>1063</v>
      </c>
      <c r="BG36" t="s">
        <v>4894</v>
      </c>
      <c r="BH36">
        <v>4</v>
      </c>
      <c r="BI36" t="s">
        <v>1279</v>
      </c>
      <c r="BK36">
        <v>1871837</v>
      </c>
    </row>
    <row r="37" spans="1:63">
      <c r="A37" s="1">
        <f>HYPERLINK("https://lsnyc.legalserver.org/matter/dynamic-profile/view/1904845","19-1904845")</f>
        <v>0</v>
      </c>
      <c r="B37" t="s">
        <v>4327</v>
      </c>
      <c r="C37" t="s">
        <v>4496</v>
      </c>
      <c r="D37" t="s">
        <v>254</v>
      </c>
      <c r="E37" t="s">
        <v>4500</v>
      </c>
      <c r="F37" t="s">
        <v>273</v>
      </c>
      <c r="G37" t="s">
        <v>275</v>
      </c>
      <c r="H37">
        <v>153.76</v>
      </c>
      <c r="K37" t="s">
        <v>1678</v>
      </c>
      <c r="Q37" t="s">
        <v>502</v>
      </c>
      <c r="S37" t="s">
        <v>503</v>
      </c>
      <c r="T37" t="s">
        <v>508</v>
      </c>
      <c r="U37" t="s">
        <v>511</v>
      </c>
      <c r="V37">
        <v>10303</v>
      </c>
      <c r="W37" t="s">
        <v>520</v>
      </c>
      <c r="Z37" t="s">
        <v>4587</v>
      </c>
      <c r="AA37" t="s">
        <v>4717</v>
      </c>
      <c r="AB37" t="s">
        <v>902</v>
      </c>
      <c r="AC37" t="s">
        <v>906</v>
      </c>
      <c r="AF37" t="s">
        <v>923</v>
      </c>
      <c r="AI37">
        <v>1.4</v>
      </c>
      <c r="AT37">
        <v>0</v>
      </c>
      <c r="AU37">
        <v>2</v>
      </c>
      <c r="AV37" t="s">
        <v>273</v>
      </c>
      <c r="AY37" t="s">
        <v>273</v>
      </c>
      <c r="BB37">
        <v>0</v>
      </c>
      <c r="BC37">
        <v>0</v>
      </c>
      <c r="BD37">
        <v>0</v>
      </c>
      <c r="BE37">
        <v>0</v>
      </c>
      <c r="BF37" t="s">
        <v>1063</v>
      </c>
      <c r="BG37" t="s">
        <v>4895</v>
      </c>
      <c r="BH37">
        <v>11</v>
      </c>
      <c r="BI37" t="s">
        <v>1279</v>
      </c>
      <c r="BK37">
        <v>1871837</v>
      </c>
    </row>
    <row r="38" spans="1:63">
      <c r="A38" s="1">
        <f>HYPERLINK("https://lsnyc.legalserver.org/matter/dynamic-profile/view/1903948","19-1903948")</f>
        <v>0</v>
      </c>
      <c r="B38" t="s">
        <v>4328</v>
      </c>
      <c r="C38" t="s">
        <v>4496</v>
      </c>
      <c r="D38" t="s">
        <v>254</v>
      </c>
      <c r="E38" t="s">
        <v>4502</v>
      </c>
      <c r="F38" t="s">
        <v>273</v>
      </c>
      <c r="G38" t="s">
        <v>275</v>
      </c>
      <c r="H38">
        <v>73.8</v>
      </c>
      <c r="K38" t="s">
        <v>482</v>
      </c>
      <c r="P38" t="s">
        <v>492</v>
      </c>
      <c r="Q38" t="s">
        <v>501</v>
      </c>
      <c r="S38" t="s">
        <v>503</v>
      </c>
      <c r="T38" t="s">
        <v>508</v>
      </c>
      <c r="U38" t="s">
        <v>511</v>
      </c>
      <c r="V38">
        <v>10303</v>
      </c>
      <c r="W38" t="s">
        <v>520</v>
      </c>
      <c r="X38" t="s">
        <v>548</v>
      </c>
      <c r="Z38" t="s">
        <v>3085</v>
      </c>
      <c r="AA38" t="s">
        <v>4718</v>
      </c>
      <c r="AB38" t="s">
        <v>902</v>
      </c>
      <c r="AC38" t="s">
        <v>905</v>
      </c>
      <c r="AF38" t="s">
        <v>923</v>
      </c>
      <c r="AI38">
        <v>1.85</v>
      </c>
      <c r="AT38">
        <v>1</v>
      </c>
      <c r="AU38">
        <v>1</v>
      </c>
      <c r="AV38" t="s">
        <v>273</v>
      </c>
      <c r="AY38" t="s">
        <v>273</v>
      </c>
      <c r="BB38">
        <v>0</v>
      </c>
      <c r="BC38">
        <v>0</v>
      </c>
      <c r="BD38">
        <v>0</v>
      </c>
      <c r="BE38">
        <v>0</v>
      </c>
      <c r="BF38" t="s">
        <v>1063</v>
      </c>
      <c r="BG38" t="s">
        <v>4896</v>
      </c>
      <c r="BH38">
        <v>42</v>
      </c>
      <c r="BI38" t="s">
        <v>3454</v>
      </c>
      <c r="BK38">
        <v>763634</v>
      </c>
    </row>
    <row r="39" spans="1:63">
      <c r="A39" s="1">
        <f>HYPERLINK("https://lsnyc.legalserver.org/matter/dynamic-profile/view/1904045","19-1904045")</f>
        <v>0</v>
      </c>
      <c r="B39" t="s">
        <v>4329</v>
      </c>
      <c r="C39" t="s">
        <v>4496</v>
      </c>
      <c r="D39" t="s">
        <v>254</v>
      </c>
      <c r="E39" t="s">
        <v>4499</v>
      </c>
      <c r="F39" t="s">
        <v>273</v>
      </c>
      <c r="G39" t="s">
        <v>275</v>
      </c>
      <c r="H39">
        <v>0</v>
      </c>
      <c r="K39" t="s">
        <v>482</v>
      </c>
      <c r="Q39" t="s">
        <v>502</v>
      </c>
      <c r="S39" t="s">
        <v>503</v>
      </c>
      <c r="T39" t="s">
        <v>508</v>
      </c>
      <c r="U39" t="s">
        <v>511</v>
      </c>
      <c r="V39">
        <v>10304</v>
      </c>
      <c r="W39" t="s">
        <v>520</v>
      </c>
      <c r="X39" t="s">
        <v>548</v>
      </c>
      <c r="Z39" t="s">
        <v>584</v>
      </c>
      <c r="AA39" t="s">
        <v>4719</v>
      </c>
      <c r="AB39" t="s">
        <v>902</v>
      </c>
      <c r="AC39" t="s">
        <v>906</v>
      </c>
      <c r="AF39" t="s">
        <v>923</v>
      </c>
      <c r="AI39">
        <v>3.2</v>
      </c>
      <c r="AT39">
        <v>1</v>
      </c>
      <c r="AU39">
        <v>1</v>
      </c>
      <c r="AV39" t="s">
        <v>273</v>
      </c>
      <c r="AY39" t="s">
        <v>273</v>
      </c>
      <c r="BB39">
        <v>0</v>
      </c>
      <c r="BC39">
        <v>0</v>
      </c>
      <c r="BD39">
        <v>0</v>
      </c>
      <c r="BE39">
        <v>0</v>
      </c>
      <c r="BF39" t="s">
        <v>1063</v>
      </c>
      <c r="BG39" t="s">
        <v>4897</v>
      </c>
      <c r="BH39">
        <v>17</v>
      </c>
      <c r="BI39" t="s">
        <v>1247</v>
      </c>
      <c r="BK39">
        <v>1859139</v>
      </c>
    </row>
    <row r="40" spans="1:63">
      <c r="A40" s="1">
        <f>HYPERLINK("https://lsnyc.legalserver.org/matter/dynamic-profile/view/1903657","19-1903657")</f>
        <v>0</v>
      </c>
      <c r="B40" t="s">
        <v>4330</v>
      </c>
      <c r="C40" t="s">
        <v>4496</v>
      </c>
      <c r="D40" t="s">
        <v>254</v>
      </c>
      <c r="E40" t="s">
        <v>4502</v>
      </c>
      <c r="F40" t="s">
        <v>273</v>
      </c>
      <c r="G40" t="s">
        <v>275</v>
      </c>
      <c r="H40">
        <v>47.36</v>
      </c>
      <c r="K40" t="s">
        <v>304</v>
      </c>
      <c r="P40" t="s">
        <v>492</v>
      </c>
      <c r="Q40" t="s">
        <v>501</v>
      </c>
      <c r="S40" t="s">
        <v>503</v>
      </c>
      <c r="T40" t="s">
        <v>508</v>
      </c>
      <c r="U40" t="s">
        <v>511</v>
      </c>
      <c r="V40">
        <v>10310</v>
      </c>
      <c r="W40" t="s">
        <v>525</v>
      </c>
      <c r="X40" t="s">
        <v>549</v>
      </c>
      <c r="Z40" t="s">
        <v>4588</v>
      </c>
      <c r="AA40" t="s">
        <v>4720</v>
      </c>
      <c r="AB40" t="s">
        <v>902</v>
      </c>
      <c r="AC40" t="s">
        <v>904</v>
      </c>
      <c r="AF40" t="s">
        <v>923</v>
      </c>
      <c r="AI40">
        <v>2.4</v>
      </c>
      <c r="AJ40" t="s">
        <v>558</v>
      </c>
      <c r="AK40" t="s">
        <v>2362</v>
      </c>
      <c r="AT40">
        <v>1</v>
      </c>
      <c r="AU40">
        <v>1</v>
      </c>
      <c r="AV40" t="s">
        <v>273</v>
      </c>
      <c r="AY40" t="s">
        <v>273</v>
      </c>
      <c r="BB40">
        <v>0</v>
      </c>
      <c r="BC40">
        <v>0</v>
      </c>
      <c r="BD40">
        <v>0</v>
      </c>
      <c r="BE40">
        <v>0</v>
      </c>
      <c r="BF40" t="s">
        <v>1063</v>
      </c>
      <c r="BG40" t="s">
        <v>2413</v>
      </c>
      <c r="BH40">
        <v>36</v>
      </c>
      <c r="BI40" t="s">
        <v>5053</v>
      </c>
      <c r="BK40">
        <v>1904312</v>
      </c>
    </row>
    <row r="41" spans="1:63">
      <c r="A41" s="1">
        <f>HYPERLINK("https://lsnyc.legalserver.org/matter/dynamic-profile/view/1902736","19-1902736")</f>
        <v>0</v>
      </c>
      <c r="B41" t="s">
        <v>4331</v>
      </c>
      <c r="C41" t="s">
        <v>4496</v>
      </c>
      <c r="D41" t="s">
        <v>254</v>
      </c>
      <c r="E41" t="s">
        <v>4502</v>
      </c>
      <c r="F41" t="s">
        <v>273</v>
      </c>
      <c r="G41" t="s">
        <v>275</v>
      </c>
      <c r="H41">
        <v>107.63</v>
      </c>
      <c r="K41" t="s">
        <v>308</v>
      </c>
      <c r="Q41" t="s">
        <v>501</v>
      </c>
      <c r="S41" t="s">
        <v>503</v>
      </c>
      <c r="T41" t="s">
        <v>507</v>
      </c>
      <c r="U41" t="s">
        <v>511</v>
      </c>
      <c r="V41">
        <v>10310</v>
      </c>
      <c r="W41" t="s">
        <v>516</v>
      </c>
      <c r="X41" t="s">
        <v>548</v>
      </c>
      <c r="Z41" t="s">
        <v>4589</v>
      </c>
      <c r="AA41" t="s">
        <v>4721</v>
      </c>
      <c r="AB41" t="s">
        <v>902</v>
      </c>
      <c r="AC41" t="s">
        <v>906</v>
      </c>
      <c r="AF41" t="s">
        <v>923</v>
      </c>
      <c r="AI41">
        <v>1.75</v>
      </c>
      <c r="AK41" t="s">
        <v>933</v>
      </c>
      <c r="AT41">
        <v>0</v>
      </c>
      <c r="AU41">
        <v>2</v>
      </c>
      <c r="AV41" t="s">
        <v>273</v>
      </c>
      <c r="AY41" t="s">
        <v>273</v>
      </c>
      <c r="BB41">
        <v>0</v>
      </c>
      <c r="BC41">
        <v>0</v>
      </c>
      <c r="BD41">
        <v>0</v>
      </c>
      <c r="BE41">
        <v>0</v>
      </c>
      <c r="BF41" t="s">
        <v>1063</v>
      </c>
      <c r="BG41" t="s">
        <v>4898</v>
      </c>
      <c r="BH41">
        <v>34</v>
      </c>
      <c r="BI41" t="s">
        <v>1260</v>
      </c>
      <c r="BK41">
        <v>788146</v>
      </c>
    </row>
    <row r="42" spans="1:63">
      <c r="A42" s="1">
        <f>HYPERLINK("https://lsnyc.legalserver.org/matter/dynamic-profile/view/1902673","19-1902673")</f>
        <v>0</v>
      </c>
      <c r="B42" t="s">
        <v>4332</v>
      </c>
      <c r="C42" t="s">
        <v>4496</v>
      </c>
      <c r="D42" t="s">
        <v>254</v>
      </c>
      <c r="E42" t="s">
        <v>4501</v>
      </c>
      <c r="F42" t="s">
        <v>273</v>
      </c>
      <c r="G42" t="s">
        <v>275</v>
      </c>
      <c r="H42">
        <v>138.38</v>
      </c>
      <c r="K42" t="s">
        <v>1683</v>
      </c>
      <c r="O42" t="s">
        <v>275</v>
      </c>
      <c r="Q42" t="s">
        <v>502</v>
      </c>
      <c r="S42" t="s">
        <v>503</v>
      </c>
      <c r="T42" t="s">
        <v>507</v>
      </c>
      <c r="U42" t="s">
        <v>511</v>
      </c>
      <c r="V42">
        <v>10303</v>
      </c>
      <c r="W42" t="s">
        <v>520</v>
      </c>
      <c r="X42" t="s">
        <v>548</v>
      </c>
      <c r="Z42" t="s">
        <v>4590</v>
      </c>
      <c r="AA42" t="s">
        <v>4722</v>
      </c>
      <c r="AB42" t="s">
        <v>902</v>
      </c>
      <c r="AC42" t="s">
        <v>905</v>
      </c>
      <c r="AF42" t="s">
        <v>923</v>
      </c>
      <c r="AI42">
        <v>1.1</v>
      </c>
      <c r="AK42" t="s">
        <v>933</v>
      </c>
      <c r="AT42">
        <v>0</v>
      </c>
      <c r="AU42">
        <v>2</v>
      </c>
      <c r="AV42" t="s">
        <v>273</v>
      </c>
      <c r="AY42" t="s">
        <v>273</v>
      </c>
      <c r="BB42">
        <v>0</v>
      </c>
      <c r="BC42">
        <v>0</v>
      </c>
      <c r="BD42">
        <v>0</v>
      </c>
      <c r="BE42">
        <v>0</v>
      </c>
      <c r="BF42" t="s">
        <v>1063</v>
      </c>
      <c r="BG42" t="s">
        <v>4899</v>
      </c>
      <c r="BH42">
        <v>19</v>
      </c>
      <c r="BI42" t="s">
        <v>1248</v>
      </c>
      <c r="BK42">
        <v>1884066</v>
      </c>
    </row>
    <row r="43" spans="1:63">
      <c r="A43" s="1">
        <f>HYPERLINK("https://lsnyc.legalserver.org/matter/dynamic-profile/view/1902680","19-1902680")</f>
        <v>0</v>
      </c>
      <c r="B43" t="s">
        <v>4332</v>
      </c>
      <c r="C43" t="s">
        <v>4496</v>
      </c>
      <c r="D43" t="s">
        <v>254</v>
      </c>
      <c r="E43" t="s">
        <v>4501</v>
      </c>
      <c r="F43" t="s">
        <v>273</v>
      </c>
      <c r="G43" t="s">
        <v>275</v>
      </c>
      <c r="H43">
        <v>138.38</v>
      </c>
      <c r="K43" t="s">
        <v>1683</v>
      </c>
      <c r="Q43" t="s">
        <v>502</v>
      </c>
      <c r="S43" t="s">
        <v>503</v>
      </c>
      <c r="T43" t="s">
        <v>507</v>
      </c>
      <c r="U43" t="s">
        <v>511</v>
      </c>
      <c r="V43">
        <v>10303</v>
      </c>
      <c r="W43" t="s">
        <v>521</v>
      </c>
      <c r="X43" t="s">
        <v>548</v>
      </c>
      <c r="Z43" t="s">
        <v>4590</v>
      </c>
      <c r="AA43" t="s">
        <v>4722</v>
      </c>
      <c r="AB43" t="s">
        <v>902</v>
      </c>
      <c r="AC43" t="s">
        <v>905</v>
      </c>
      <c r="AF43" t="s">
        <v>923</v>
      </c>
      <c r="AI43">
        <v>0.1</v>
      </c>
      <c r="AT43">
        <v>0</v>
      </c>
      <c r="AU43">
        <v>2</v>
      </c>
      <c r="AV43" t="s">
        <v>273</v>
      </c>
      <c r="AY43" t="s">
        <v>273</v>
      </c>
      <c r="BB43">
        <v>0</v>
      </c>
      <c r="BC43">
        <v>0</v>
      </c>
      <c r="BD43">
        <v>0</v>
      </c>
      <c r="BE43">
        <v>0</v>
      </c>
      <c r="BF43" t="s">
        <v>1063</v>
      </c>
      <c r="BG43" t="s">
        <v>4899</v>
      </c>
      <c r="BH43">
        <v>19</v>
      </c>
      <c r="BI43" t="s">
        <v>1248</v>
      </c>
      <c r="BK43">
        <v>1884066</v>
      </c>
    </row>
    <row r="44" spans="1:63">
      <c r="A44" s="1">
        <f>HYPERLINK("https://lsnyc.legalserver.org/matter/dynamic-profile/view/1902902","19-1902902")</f>
        <v>0</v>
      </c>
      <c r="B44" t="s">
        <v>4333</v>
      </c>
      <c r="C44" t="s">
        <v>4496</v>
      </c>
      <c r="D44" t="s">
        <v>254</v>
      </c>
      <c r="E44" t="s">
        <v>4499</v>
      </c>
      <c r="F44" t="s">
        <v>273</v>
      </c>
      <c r="G44" t="s">
        <v>275</v>
      </c>
      <c r="H44">
        <v>77.67</v>
      </c>
      <c r="K44" t="s">
        <v>1683</v>
      </c>
      <c r="Q44" t="s">
        <v>502</v>
      </c>
      <c r="S44" t="s">
        <v>503</v>
      </c>
      <c r="T44" t="s">
        <v>508</v>
      </c>
      <c r="U44" t="s">
        <v>511</v>
      </c>
      <c r="V44">
        <v>10301</v>
      </c>
      <c r="X44" t="s">
        <v>548</v>
      </c>
      <c r="Z44" t="s">
        <v>650</v>
      </c>
      <c r="AA44" t="s">
        <v>4723</v>
      </c>
      <c r="AB44" t="s">
        <v>902</v>
      </c>
      <c r="AC44" t="s">
        <v>906</v>
      </c>
      <c r="AI44">
        <v>10.9</v>
      </c>
      <c r="AT44">
        <v>2</v>
      </c>
      <c r="AU44">
        <v>2</v>
      </c>
      <c r="AV44" t="s">
        <v>273</v>
      </c>
      <c r="AY44" t="s">
        <v>273</v>
      </c>
      <c r="BB44">
        <v>0</v>
      </c>
      <c r="BC44">
        <v>0</v>
      </c>
      <c r="BD44">
        <v>0</v>
      </c>
      <c r="BE44">
        <v>0</v>
      </c>
      <c r="BF44" t="s">
        <v>1063</v>
      </c>
      <c r="BG44" t="s">
        <v>4900</v>
      </c>
      <c r="BH44">
        <v>15</v>
      </c>
      <c r="BI44" t="s">
        <v>1251</v>
      </c>
      <c r="BK44">
        <v>799894</v>
      </c>
    </row>
    <row r="45" spans="1:63">
      <c r="A45" s="1">
        <f>HYPERLINK("https://lsnyc.legalserver.org/matter/dynamic-profile/view/1902496","19-1902496")</f>
        <v>0</v>
      </c>
      <c r="B45" t="s">
        <v>4334</v>
      </c>
      <c r="C45" t="s">
        <v>4496</v>
      </c>
      <c r="D45" t="s">
        <v>257</v>
      </c>
      <c r="E45" t="s">
        <v>4498</v>
      </c>
      <c r="F45" t="s">
        <v>273</v>
      </c>
      <c r="G45" t="s">
        <v>275</v>
      </c>
      <c r="H45">
        <v>0</v>
      </c>
      <c r="I45" t="s">
        <v>274</v>
      </c>
      <c r="K45" t="s">
        <v>1684</v>
      </c>
      <c r="P45" t="s">
        <v>492</v>
      </c>
      <c r="Q45" t="s">
        <v>502</v>
      </c>
      <c r="S45" t="s">
        <v>503</v>
      </c>
      <c r="T45" t="s">
        <v>508</v>
      </c>
      <c r="U45" t="s">
        <v>511</v>
      </c>
      <c r="V45">
        <v>10453</v>
      </c>
      <c r="W45" t="s">
        <v>519</v>
      </c>
      <c r="X45" t="s">
        <v>548</v>
      </c>
      <c r="Z45" t="s">
        <v>4591</v>
      </c>
      <c r="AA45" t="s">
        <v>3911</v>
      </c>
      <c r="AB45" t="s">
        <v>902</v>
      </c>
      <c r="AC45" t="s">
        <v>905</v>
      </c>
      <c r="AF45" t="s">
        <v>926</v>
      </c>
      <c r="AI45">
        <v>3.5</v>
      </c>
      <c r="AK45" t="s">
        <v>934</v>
      </c>
      <c r="AL45" t="s">
        <v>274</v>
      </c>
      <c r="AT45">
        <v>1</v>
      </c>
      <c r="AU45">
        <v>1</v>
      </c>
      <c r="AV45" t="s">
        <v>273</v>
      </c>
      <c r="AY45" t="s">
        <v>273</v>
      </c>
      <c r="BB45">
        <v>0</v>
      </c>
      <c r="BC45">
        <v>0</v>
      </c>
      <c r="BD45">
        <v>0</v>
      </c>
      <c r="BE45">
        <v>0</v>
      </c>
      <c r="BF45" t="s">
        <v>1063</v>
      </c>
      <c r="BG45" t="s">
        <v>4901</v>
      </c>
      <c r="BH45">
        <v>3</v>
      </c>
      <c r="BI45" t="s">
        <v>1247</v>
      </c>
      <c r="BK45">
        <v>1894806</v>
      </c>
    </row>
    <row r="46" spans="1:63">
      <c r="A46" s="1">
        <f>HYPERLINK("https://lsnyc.legalserver.org/matter/dynamic-profile/view/1902498","19-1902498")</f>
        <v>0</v>
      </c>
      <c r="B46" t="s">
        <v>4335</v>
      </c>
      <c r="C46" t="s">
        <v>4496</v>
      </c>
      <c r="D46" t="s">
        <v>254</v>
      </c>
      <c r="E46" t="s">
        <v>4498</v>
      </c>
      <c r="F46" t="s">
        <v>273</v>
      </c>
      <c r="G46" t="s">
        <v>275</v>
      </c>
      <c r="H46">
        <v>123</v>
      </c>
      <c r="I46" t="s">
        <v>274</v>
      </c>
      <c r="K46" t="s">
        <v>1684</v>
      </c>
      <c r="P46" t="s">
        <v>492</v>
      </c>
      <c r="Q46" t="s">
        <v>502</v>
      </c>
      <c r="S46" t="s">
        <v>503</v>
      </c>
      <c r="T46" t="s">
        <v>509</v>
      </c>
      <c r="U46" t="s">
        <v>511</v>
      </c>
      <c r="V46">
        <v>10302</v>
      </c>
      <c r="W46" t="s">
        <v>519</v>
      </c>
      <c r="X46" t="s">
        <v>548</v>
      </c>
      <c r="Z46" t="s">
        <v>4592</v>
      </c>
      <c r="AA46" t="s">
        <v>4724</v>
      </c>
      <c r="AB46" t="s">
        <v>902</v>
      </c>
      <c r="AC46" t="s">
        <v>910</v>
      </c>
      <c r="AF46" t="s">
        <v>926</v>
      </c>
      <c r="AI46">
        <v>47.75</v>
      </c>
      <c r="AK46" t="s">
        <v>941</v>
      </c>
      <c r="AL46" t="s">
        <v>274</v>
      </c>
      <c r="AM46" t="s">
        <v>973</v>
      </c>
      <c r="AN46" t="s">
        <v>305</v>
      </c>
      <c r="AT46">
        <v>1</v>
      </c>
      <c r="AU46">
        <v>1</v>
      </c>
      <c r="AV46" t="s">
        <v>273</v>
      </c>
      <c r="AY46" t="s">
        <v>273</v>
      </c>
      <c r="BB46">
        <v>0</v>
      </c>
      <c r="BC46">
        <v>0</v>
      </c>
      <c r="BD46">
        <v>0</v>
      </c>
      <c r="BE46">
        <v>0</v>
      </c>
      <c r="BF46" t="s">
        <v>1063</v>
      </c>
      <c r="BG46" t="s">
        <v>4902</v>
      </c>
      <c r="BH46">
        <v>7</v>
      </c>
      <c r="BI46" t="s">
        <v>1261</v>
      </c>
      <c r="BK46">
        <v>1900888</v>
      </c>
    </row>
    <row r="47" spans="1:63">
      <c r="A47" s="1">
        <f>HYPERLINK("https://lsnyc.legalserver.org/matter/dynamic-profile/view/1901835","19-1901835")</f>
        <v>0</v>
      </c>
      <c r="B47" t="s">
        <v>4336</v>
      </c>
      <c r="C47" t="s">
        <v>4496</v>
      </c>
      <c r="D47" t="s">
        <v>254</v>
      </c>
      <c r="E47" t="s">
        <v>4503</v>
      </c>
      <c r="F47" t="s">
        <v>275</v>
      </c>
      <c r="G47" t="s">
        <v>275</v>
      </c>
      <c r="H47">
        <v>0</v>
      </c>
      <c r="I47" t="s">
        <v>274</v>
      </c>
      <c r="K47" t="s">
        <v>1685</v>
      </c>
      <c r="L47" t="s">
        <v>467</v>
      </c>
      <c r="O47" t="s">
        <v>275</v>
      </c>
      <c r="P47" t="s">
        <v>493</v>
      </c>
      <c r="Q47" t="s">
        <v>501</v>
      </c>
      <c r="S47" t="s">
        <v>503</v>
      </c>
      <c r="T47" t="s">
        <v>508</v>
      </c>
      <c r="U47" t="s">
        <v>511</v>
      </c>
      <c r="V47">
        <v>10301</v>
      </c>
      <c r="W47" t="s">
        <v>3020</v>
      </c>
      <c r="X47" t="s">
        <v>548</v>
      </c>
      <c r="Z47" t="s">
        <v>2225</v>
      </c>
      <c r="AA47" t="s">
        <v>4725</v>
      </c>
      <c r="AB47" t="s">
        <v>902</v>
      </c>
      <c r="AC47" t="s">
        <v>906</v>
      </c>
      <c r="AD47" t="s">
        <v>275</v>
      </c>
      <c r="AE47" t="s">
        <v>919</v>
      </c>
      <c r="AF47" t="s">
        <v>923</v>
      </c>
      <c r="AI47">
        <v>2.2</v>
      </c>
      <c r="AK47" t="s">
        <v>933</v>
      </c>
      <c r="AL47" t="s">
        <v>274</v>
      </c>
      <c r="AQ47" t="s">
        <v>4856</v>
      </c>
      <c r="AR47" t="s">
        <v>1051</v>
      </c>
      <c r="AT47">
        <v>4</v>
      </c>
      <c r="AU47">
        <v>3</v>
      </c>
      <c r="AV47" t="s">
        <v>273</v>
      </c>
      <c r="AY47" t="s">
        <v>273</v>
      </c>
      <c r="BB47">
        <v>0</v>
      </c>
      <c r="BC47">
        <v>0</v>
      </c>
      <c r="BD47">
        <v>0</v>
      </c>
      <c r="BE47">
        <v>0</v>
      </c>
      <c r="BF47" t="s">
        <v>493</v>
      </c>
      <c r="BG47" t="s">
        <v>4903</v>
      </c>
      <c r="BH47">
        <v>23</v>
      </c>
      <c r="BI47" t="s">
        <v>1247</v>
      </c>
      <c r="BK47">
        <v>780357</v>
      </c>
    </row>
    <row r="48" spans="1:63">
      <c r="A48" s="1">
        <f>HYPERLINK("https://lsnyc.legalserver.org/matter/dynamic-profile/view/1901794","19-1901794")</f>
        <v>0</v>
      </c>
      <c r="B48" t="s">
        <v>4337</v>
      </c>
      <c r="C48" t="s">
        <v>4496</v>
      </c>
      <c r="D48" t="s">
        <v>253</v>
      </c>
      <c r="E48" t="s">
        <v>4502</v>
      </c>
      <c r="F48" t="s">
        <v>273</v>
      </c>
      <c r="G48" t="s">
        <v>275</v>
      </c>
      <c r="H48">
        <v>124.9</v>
      </c>
      <c r="I48" t="s">
        <v>274</v>
      </c>
      <c r="K48" t="s">
        <v>1685</v>
      </c>
      <c r="P48" t="s">
        <v>492</v>
      </c>
      <c r="Q48" t="s">
        <v>501</v>
      </c>
      <c r="S48" t="s">
        <v>503</v>
      </c>
      <c r="T48" t="s">
        <v>507</v>
      </c>
      <c r="U48" t="s">
        <v>511</v>
      </c>
      <c r="V48">
        <v>11104</v>
      </c>
      <c r="W48" t="s">
        <v>520</v>
      </c>
      <c r="X48" t="s">
        <v>548</v>
      </c>
      <c r="Z48" t="s">
        <v>602</v>
      </c>
      <c r="AA48" t="s">
        <v>4726</v>
      </c>
      <c r="AB48" t="s">
        <v>902</v>
      </c>
      <c r="AC48" t="s">
        <v>909</v>
      </c>
      <c r="AF48" t="s">
        <v>923</v>
      </c>
      <c r="AI48">
        <v>1.55</v>
      </c>
      <c r="AJ48" t="s">
        <v>558</v>
      </c>
      <c r="AK48" t="s">
        <v>933</v>
      </c>
      <c r="AL48" t="s">
        <v>274</v>
      </c>
      <c r="AT48">
        <v>0</v>
      </c>
      <c r="AU48">
        <v>1</v>
      </c>
      <c r="AV48" t="s">
        <v>273</v>
      </c>
      <c r="AY48" t="s">
        <v>273</v>
      </c>
      <c r="BB48">
        <v>0</v>
      </c>
      <c r="BC48">
        <v>0</v>
      </c>
      <c r="BD48">
        <v>0</v>
      </c>
      <c r="BE48">
        <v>0</v>
      </c>
      <c r="BF48" t="s">
        <v>1063</v>
      </c>
      <c r="BG48" t="s">
        <v>4904</v>
      </c>
      <c r="BH48">
        <v>38</v>
      </c>
      <c r="BI48" t="s">
        <v>1270</v>
      </c>
      <c r="BK48">
        <v>1849417</v>
      </c>
    </row>
    <row r="49" spans="1:63">
      <c r="A49" s="1">
        <f>HYPERLINK("https://lsnyc.legalserver.org/matter/dynamic-profile/view/1901683","19-1901683")</f>
        <v>0</v>
      </c>
      <c r="B49" t="s">
        <v>4338</v>
      </c>
      <c r="C49" t="s">
        <v>4496</v>
      </c>
      <c r="D49" t="s">
        <v>254</v>
      </c>
      <c r="E49" t="s">
        <v>4499</v>
      </c>
      <c r="F49" t="s">
        <v>273</v>
      </c>
      <c r="G49" t="s">
        <v>275</v>
      </c>
      <c r="H49">
        <v>0</v>
      </c>
      <c r="I49" t="s">
        <v>274</v>
      </c>
      <c r="K49" t="s">
        <v>2388</v>
      </c>
      <c r="Q49" t="s">
        <v>501</v>
      </c>
      <c r="S49" t="s">
        <v>503</v>
      </c>
      <c r="T49" t="s">
        <v>507</v>
      </c>
      <c r="U49" t="s">
        <v>511</v>
      </c>
      <c r="V49">
        <v>10301</v>
      </c>
      <c r="W49" t="s">
        <v>520</v>
      </c>
      <c r="X49" t="s">
        <v>548</v>
      </c>
      <c r="Z49" t="s">
        <v>1987</v>
      </c>
      <c r="AA49" t="s">
        <v>4727</v>
      </c>
      <c r="AB49" t="s">
        <v>902</v>
      </c>
      <c r="AC49" t="s">
        <v>906</v>
      </c>
      <c r="AF49" t="s">
        <v>923</v>
      </c>
      <c r="AI49">
        <v>10</v>
      </c>
      <c r="AK49" t="s">
        <v>934</v>
      </c>
      <c r="AL49" t="s">
        <v>274</v>
      </c>
      <c r="AM49" t="s">
        <v>973</v>
      </c>
      <c r="AN49" t="s">
        <v>308</v>
      </c>
      <c r="AT49">
        <v>0</v>
      </c>
      <c r="AU49">
        <v>5</v>
      </c>
      <c r="AV49" t="s">
        <v>273</v>
      </c>
      <c r="AY49" t="s">
        <v>273</v>
      </c>
      <c r="BB49">
        <v>0</v>
      </c>
      <c r="BC49">
        <v>0</v>
      </c>
      <c r="BD49">
        <v>0</v>
      </c>
      <c r="BE49">
        <v>0</v>
      </c>
      <c r="BF49" t="s">
        <v>1063</v>
      </c>
      <c r="BG49" t="s">
        <v>4905</v>
      </c>
      <c r="BH49">
        <v>52</v>
      </c>
      <c r="BI49" t="s">
        <v>1247</v>
      </c>
      <c r="BK49">
        <v>808520</v>
      </c>
    </row>
    <row r="50" spans="1:63">
      <c r="A50" s="1">
        <f>HYPERLINK("https://lsnyc.legalserver.org/matter/dynamic-profile/view/1901685","19-1901685")</f>
        <v>0</v>
      </c>
      <c r="B50" t="s">
        <v>4339</v>
      </c>
      <c r="C50" t="s">
        <v>4496</v>
      </c>
      <c r="D50" t="s">
        <v>254</v>
      </c>
      <c r="E50" t="s">
        <v>4499</v>
      </c>
      <c r="F50" t="s">
        <v>273</v>
      </c>
      <c r="G50" t="s">
        <v>275</v>
      </c>
      <c r="H50">
        <v>0</v>
      </c>
      <c r="I50" t="s">
        <v>274</v>
      </c>
      <c r="K50" t="s">
        <v>2388</v>
      </c>
      <c r="O50" t="s">
        <v>275</v>
      </c>
      <c r="Q50" t="s">
        <v>501</v>
      </c>
      <c r="S50" t="s">
        <v>503</v>
      </c>
      <c r="T50" t="s">
        <v>508</v>
      </c>
      <c r="U50" t="s">
        <v>511</v>
      </c>
      <c r="V50">
        <v>10301</v>
      </c>
      <c r="W50" t="s">
        <v>520</v>
      </c>
      <c r="X50" t="s">
        <v>548</v>
      </c>
      <c r="Z50" t="s">
        <v>2011</v>
      </c>
      <c r="AA50" t="s">
        <v>611</v>
      </c>
      <c r="AB50" t="s">
        <v>902</v>
      </c>
      <c r="AC50" t="s">
        <v>905</v>
      </c>
      <c r="AF50" t="s">
        <v>923</v>
      </c>
      <c r="AI50">
        <v>2.6</v>
      </c>
      <c r="AK50" t="s">
        <v>934</v>
      </c>
      <c r="AL50" t="s">
        <v>274</v>
      </c>
      <c r="AM50" t="s">
        <v>973</v>
      </c>
      <c r="AN50" t="s">
        <v>308</v>
      </c>
      <c r="AT50">
        <v>0</v>
      </c>
      <c r="AU50">
        <v>5</v>
      </c>
      <c r="AV50" t="s">
        <v>273</v>
      </c>
      <c r="AY50" t="s">
        <v>273</v>
      </c>
      <c r="BB50">
        <v>0</v>
      </c>
      <c r="BC50">
        <v>0</v>
      </c>
      <c r="BD50">
        <v>0</v>
      </c>
      <c r="BE50">
        <v>0</v>
      </c>
      <c r="BF50" t="s">
        <v>1063</v>
      </c>
      <c r="BG50" t="s">
        <v>4906</v>
      </c>
      <c r="BH50">
        <v>38</v>
      </c>
      <c r="BI50" t="s">
        <v>1247</v>
      </c>
      <c r="BK50">
        <v>808520</v>
      </c>
    </row>
    <row r="51" spans="1:63">
      <c r="A51" s="1">
        <f>HYPERLINK("https://lsnyc.legalserver.org/matter/dynamic-profile/view/1901829","19-1901829")</f>
        <v>0</v>
      </c>
      <c r="B51" t="s">
        <v>4340</v>
      </c>
      <c r="C51" t="s">
        <v>4496</v>
      </c>
      <c r="D51" t="s">
        <v>254</v>
      </c>
      <c r="E51" t="s">
        <v>4502</v>
      </c>
      <c r="F51" t="s">
        <v>274</v>
      </c>
      <c r="G51" t="s">
        <v>274</v>
      </c>
      <c r="H51">
        <v>97.61</v>
      </c>
      <c r="K51" t="s">
        <v>2388</v>
      </c>
      <c r="P51" t="s">
        <v>497</v>
      </c>
      <c r="Q51" t="s">
        <v>501</v>
      </c>
      <c r="S51" t="s">
        <v>503</v>
      </c>
      <c r="T51" t="s">
        <v>508</v>
      </c>
      <c r="U51" t="s">
        <v>511</v>
      </c>
      <c r="V51">
        <v>10314</v>
      </c>
      <c r="X51" t="s">
        <v>548</v>
      </c>
      <c r="Z51" t="s">
        <v>705</v>
      </c>
      <c r="AA51" t="s">
        <v>2241</v>
      </c>
      <c r="AB51" t="s">
        <v>902</v>
      </c>
      <c r="AC51" t="s">
        <v>905</v>
      </c>
      <c r="AF51" t="s">
        <v>930</v>
      </c>
      <c r="AI51">
        <v>6.53</v>
      </c>
      <c r="AT51">
        <v>0</v>
      </c>
      <c r="AU51">
        <v>1</v>
      </c>
      <c r="AV51" t="s">
        <v>273</v>
      </c>
      <c r="AY51" t="s">
        <v>273</v>
      </c>
      <c r="BB51">
        <v>0</v>
      </c>
      <c r="BC51">
        <v>0</v>
      </c>
      <c r="BD51">
        <v>0</v>
      </c>
      <c r="BE51">
        <v>0</v>
      </c>
      <c r="BF51" t="s">
        <v>1063</v>
      </c>
      <c r="BG51" t="s">
        <v>4907</v>
      </c>
      <c r="BH51">
        <v>46</v>
      </c>
      <c r="BI51" t="s">
        <v>5054</v>
      </c>
      <c r="BK51">
        <v>817962</v>
      </c>
    </row>
    <row r="52" spans="1:63">
      <c r="A52" s="1">
        <f>HYPERLINK("https://lsnyc.legalserver.org/matter/dynamic-profile/view/1901841","19-1901841")</f>
        <v>0</v>
      </c>
      <c r="B52" t="s">
        <v>4341</v>
      </c>
      <c r="C52" t="s">
        <v>4496</v>
      </c>
      <c r="D52" t="s">
        <v>254</v>
      </c>
      <c r="E52" t="s">
        <v>4502</v>
      </c>
      <c r="F52" t="s">
        <v>274</v>
      </c>
      <c r="G52" t="s">
        <v>274</v>
      </c>
      <c r="H52">
        <v>115.29</v>
      </c>
      <c r="I52" t="s">
        <v>274</v>
      </c>
      <c r="K52" t="s">
        <v>2388</v>
      </c>
      <c r="P52" t="s">
        <v>497</v>
      </c>
      <c r="Q52" t="s">
        <v>501</v>
      </c>
      <c r="S52" t="s">
        <v>503</v>
      </c>
      <c r="T52" t="s">
        <v>508</v>
      </c>
      <c r="U52" t="s">
        <v>511</v>
      </c>
      <c r="V52">
        <v>10302</v>
      </c>
      <c r="X52" t="s">
        <v>548</v>
      </c>
      <c r="Z52" t="s">
        <v>4593</v>
      </c>
      <c r="AA52" t="s">
        <v>4728</v>
      </c>
      <c r="AB52" t="s">
        <v>902</v>
      </c>
      <c r="AC52" t="s">
        <v>905</v>
      </c>
      <c r="AF52" t="s">
        <v>930</v>
      </c>
      <c r="AI52">
        <v>1.33</v>
      </c>
      <c r="AL52" t="s">
        <v>274</v>
      </c>
      <c r="AT52">
        <v>0</v>
      </c>
      <c r="AU52">
        <v>1</v>
      </c>
      <c r="AV52" t="s">
        <v>273</v>
      </c>
      <c r="AY52" t="s">
        <v>273</v>
      </c>
      <c r="BB52">
        <v>0</v>
      </c>
      <c r="BC52">
        <v>0</v>
      </c>
      <c r="BD52">
        <v>0</v>
      </c>
      <c r="BE52">
        <v>0</v>
      </c>
      <c r="BF52" t="s">
        <v>1063</v>
      </c>
      <c r="BG52" t="s">
        <v>4908</v>
      </c>
      <c r="BH52">
        <v>41</v>
      </c>
      <c r="BI52" t="s">
        <v>1253</v>
      </c>
      <c r="BK52">
        <v>824628</v>
      </c>
    </row>
    <row r="53" spans="1:63">
      <c r="A53" s="1">
        <f>HYPERLINK("https://lsnyc.legalserver.org/matter/dynamic-profile/view/1901856","19-1901856")</f>
        <v>0</v>
      </c>
      <c r="B53" t="s">
        <v>4342</v>
      </c>
      <c r="C53" t="s">
        <v>4496</v>
      </c>
      <c r="D53" t="s">
        <v>254</v>
      </c>
      <c r="E53" t="s">
        <v>4502</v>
      </c>
      <c r="F53" t="s">
        <v>274</v>
      </c>
      <c r="G53" t="s">
        <v>274</v>
      </c>
      <c r="H53">
        <v>0</v>
      </c>
      <c r="K53" t="s">
        <v>2388</v>
      </c>
      <c r="P53" t="s">
        <v>497</v>
      </c>
      <c r="Q53" t="s">
        <v>501</v>
      </c>
      <c r="S53" t="s">
        <v>503</v>
      </c>
      <c r="T53" t="s">
        <v>508</v>
      </c>
      <c r="U53" t="s">
        <v>511</v>
      </c>
      <c r="V53">
        <v>10302</v>
      </c>
      <c r="X53" t="s">
        <v>548</v>
      </c>
      <c r="Z53" t="s">
        <v>4594</v>
      </c>
      <c r="AA53" t="s">
        <v>4729</v>
      </c>
      <c r="AB53" t="s">
        <v>902</v>
      </c>
      <c r="AC53" t="s">
        <v>906</v>
      </c>
      <c r="AI53">
        <v>1.33</v>
      </c>
      <c r="AT53">
        <v>0</v>
      </c>
      <c r="AU53">
        <v>1</v>
      </c>
      <c r="AV53" t="s">
        <v>273</v>
      </c>
      <c r="AY53" t="s">
        <v>273</v>
      </c>
      <c r="BB53">
        <v>0</v>
      </c>
      <c r="BC53">
        <v>0</v>
      </c>
      <c r="BD53">
        <v>0</v>
      </c>
      <c r="BE53">
        <v>0</v>
      </c>
      <c r="BF53" t="s">
        <v>1063</v>
      </c>
      <c r="BG53" t="s">
        <v>4909</v>
      </c>
      <c r="BH53">
        <v>48</v>
      </c>
      <c r="BI53" t="s">
        <v>1247</v>
      </c>
      <c r="BK53">
        <v>820440</v>
      </c>
    </row>
    <row r="54" spans="1:63">
      <c r="A54" s="1">
        <f>HYPERLINK("https://lsnyc.legalserver.org/matter/dynamic-profile/view/1901860","19-1901860")</f>
        <v>0</v>
      </c>
      <c r="B54" t="s">
        <v>4343</v>
      </c>
      <c r="C54" t="s">
        <v>4496</v>
      </c>
      <c r="D54" t="s">
        <v>254</v>
      </c>
      <c r="E54" t="s">
        <v>4502</v>
      </c>
      <c r="F54" t="s">
        <v>274</v>
      </c>
      <c r="G54" t="s">
        <v>274</v>
      </c>
      <c r="H54">
        <v>52.62</v>
      </c>
      <c r="I54" t="s">
        <v>274</v>
      </c>
      <c r="K54" t="s">
        <v>2388</v>
      </c>
      <c r="P54" t="s">
        <v>497</v>
      </c>
      <c r="Q54" t="s">
        <v>501</v>
      </c>
      <c r="S54" t="s">
        <v>503</v>
      </c>
      <c r="T54" t="s">
        <v>508</v>
      </c>
      <c r="U54" t="s">
        <v>511</v>
      </c>
      <c r="V54">
        <v>10304</v>
      </c>
      <c r="X54" t="s">
        <v>548</v>
      </c>
      <c r="Z54" t="s">
        <v>4595</v>
      </c>
      <c r="AA54" t="s">
        <v>4730</v>
      </c>
      <c r="AB54" t="s">
        <v>902</v>
      </c>
      <c r="AC54" t="s">
        <v>906</v>
      </c>
      <c r="AF54" t="s">
        <v>930</v>
      </c>
      <c r="AI54">
        <v>1.83</v>
      </c>
      <c r="AL54" t="s">
        <v>274</v>
      </c>
      <c r="AT54">
        <v>3</v>
      </c>
      <c r="AU54">
        <v>3</v>
      </c>
      <c r="AV54" t="s">
        <v>273</v>
      </c>
      <c r="AY54" t="s">
        <v>273</v>
      </c>
      <c r="BB54">
        <v>0</v>
      </c>
      <c r="BC54">
        <v>0</v>
      </c>
      <c r="BD54">
        <v>0</v>
      </c>
      <c r="BE54">
        <v>0</v>
      </c>
      <c r="BF54" t="s">
        <v>1063</v>
      </c>
      <c r="BG54" t="s">
        <v>4910</v>
      </c>
      <c r="BH54">
        <v>35</v>
      </c>
      <c r="BI54" t="s">
        <v>1260</v>
      </c>
      <c r="BK54">
        <v>818914</v>
      </c>
    </row>
    <row r="55" spans="1:63">
      <c r="A55" s="1">
        <f>HYPERLINK("https://lsnyc.legalserver.org/matter/dynamic-profile/view/1901862","19-1901862")</f>
        <v>0</v>
      </c>
      <c r="B55" t="s">
        <v>4344</v>
      </c>
      <c r="C55" t="s">
        <v>4496</v>
      </c>
      <c r="D55" t="s">
        <v>254</v>
      </c>
      <c r="E55" t="s">
        <v>4502</v>
      </c>
      <c r="F55" t="s">
        <v>274</v>
      </c>
      <c r="G55" t="s">
        <v>274</v>
      </c>
      <c r="H55">
        <v>87.89</v>
      </c>
      <c r="K55" t="s">
        <v>2388</v>
      </c>
      <c r="P55" t="s">
        <v>497</v>
      </c>
      <c r="Q55" t="s">
        <v>501</v>
      </c>
      <c r="S55" t="s">
        <v>503</v>
      </c>
      <c r="T55" t="s">
        <v>508</v>
      </c>
      <c r="U55" t="s">
        <v>511</v>
      </c>
      <c r="V55">
        <v>10314</v>
      </c>
      <c r="X55" t="s">
        <v>548</v>
      </c>
      <c r="Z55" t="s">
        <v>3085</v>
      </c>
      <c r="AA55" t="s">
        <v>4731</v>
      </c>
      <c r="AB55" t="s">
        <v>902</v>
      </c>
      <c r="AC55" t="s">
        <v>906</v>
      </c>
      <c r="AF55" t="s">
        <v>930</v>
      </c>
      <c r="AI55">
        <v>1.83</v>
      </c>
      <c r="AT55">
        <v>2</v>
      </c>
      <c r="AU55">
        <v>4</v>
      </c>
      <c r="AV55" t="s">
        <v>273</v>
      </c>
      <c r="AY55" t="s">
        <v>273</v>
      </c>
      <c r="BB55">
        <v>0</v>
      </c>
      <c r="BC55">
        <v>0</v>
      </c>
      <c r="BD55">
        <v>0</v>
      </c>
      <c r="BE55">
        <v>0</v>
      </c>
      <c r="BF55" t="s">
        <v>1063</v>
      </c>
      <c r="BG55" t="s">
        <v>4911</v>
      </c>
      <c r="BH55">
        <v>31</v>
      </c>
      <c r="BI55" t="s">
        <v>5055</v>
      </c>
      <c r="BK55">
        <v>820415</v>
      </c>
    </row>
    <row r="56" spans="1:63">
      <c r="A56" s="1">
        <f>HYPERLINK("https://lsnyc.legalserver.org/matter/dynamic-profile/view/1901873","19-1901873")</f>
        <v>0</v>
      </c>
      <c r="B56" t="s">
        <v>4345</v>
      </c>
      <c r="C56" t="s">
        <v>4496</v>
      </c>
      <c r="D56" t="s">
        <v>254</v>
      </c>
      <c r="E56" t="s">
        <v>4502</v>
      </c>
      <c r="F56" t="s">
        <v>274</v>
      </c>
      <c r="G56" t="s">
        <v>274</v>
      </c>
      <c r="H56">
        <v>123</v>
      </c>
      <c r="K56" t="s">
        <v>2388</v>
      </c>
      <c r="P56" t="s">
        <v>497</v>
      </c>
      <c r="Q56" t="s">
        <v>501</v>
      </c>
      <c r="S56" t="s">
        <v>503</v>
      </c>
      <c r="T56" t="s">
        <v>508</v>
      </c>
      <c r="U56" t="s">
        <v>511</v>
      </c>
      <c r="V56">
        <v>10302</v>
      </c>
      <c r="X56" t="s">
        <v>548</v>
      </c>
      <c r="Z56" t="s">
        <v>4596</v>
      </c>
      <c r="AA56" t="s">
        <v>4596</v>
      </c>
      <c r="AB56" t="s">
        <v>902</v>
      </c>
      <c r="AC56" t="s">
        <v>906</v>
      </c>
      <c r="AF56" t="s">
        <v>930</v>
      </c>
      <c r="AI56">
        <v>1.18</v>
      </c>
      <c r="AT56">
        <v>0</v>
      </c>
      <c r="AU56">
        <v>2</v>
      </c>
      <c r="AV56" t="s">
        <v>273</v>
      </c>
      <c r="AY56" t="s">
        <v>273</v>
      </c>
      <c r="BB56">
        <v>0</v>
      </c>
      <c r="BC56">
        <v>0</v>
      </c>
      <c r="BD56">
        <v>0</v>
      </c>
      <c r="BE56">
        <v>0</v>
      </c>
      <c r="BF56" t="s">
        <v>1063</v>
      </c>
      <c r="BG56" t="s">
        <v>4912</v>
      </c>
      <c r="BH56">
        <v>29</v>
      </c>
      <c r="BI56" t="s">
        <v>1261</v>
      </c>
      <c r="BK56">
        <v>820446</v>
      </c>
    </row>
    <row r="57" spans="1:63">
      <c r="A57" s="1">
        <f>HYPERLINK("https://lsnyc.legalserver.org/matter/dynamic-profile/view/1900873","19-1900873")</f>
        <v>0</v>
      </c>
      <c r="B57" t="s">
        <v>4346</v>
      </c>
      <c r="C57" t="s">
        <v>4496</v>
      </c>
      <c r="D57" t="s">
        <v>257</v>
      </c>
      <c r="E57" t="s">
        <v>4498</v>
      </c>
      <c r="F57" t="s">
        <v>273</v>
      </c>
      <c r="G57" t="s">
        <v>275</v>
      </c>
      <c r="H57">
        <v>0</v>
      </c>
      <c r="I57" t="s">
        <v>274</v>
      </c>
      <c r="K57" t="s">
        <v>1687</v>
      </c>
      <c r="O57" t="s">
        <v>275</v>
      </c>
      <c r="P57" t="s">
        <v>492</v>
      </c>
      <c r="Q57" t="s">
        <v>501</v>
      </c>
      <c r="S57" t="s">
        <v>503</v>
      </c>
      <c r="T57" t="s">
        <v>507</v>
      </c>
      <c r="U57" t="s">
        <v>511</v>
      </c>
      <c r="V57">
        <v>10455</v>
      </c>
      <c r="W57" t="s">
        <v>521</v>
      </c>
      <c r="X57" t="s">
        <v>549</v>
      </c>
      <c r="Z57" t="s">
        <v>2079</v>
      </c>
      <c r="AA57" t="s">
        <v>4732</v>
      </c>
      <c r="AB57" t="s">
        <v>902</v>
      </c>
      <c r="AC57" t="s">
        <v>906</v>
      </c>
      <c r="AF57" t="s">
        <v>923</v>
      </c>
      <c r="AI57">
        <v>32.85</v>
      </c>
      <c r="AK57" t="s">
        <v>961</v>
      </c>
      <c r="AL57" t="s">
        <v>274</v>
      </c>
      <c r="AT57">
        <v>1</v>
      </c>
      <c r="AU57">
        <v>1</v>
      </c>
      <c r="AV57" t="s">
        <v>273</v>
      </c>
      <c r="AY57" t="s">
        <v>273</v>
      </c>
      <c r="BB57">
        <v>0</v>
      </c>
      <c r="BC57">
        <v>0</v>
      </c>
      <c r="BD57">
        <v>0</v>
      </c>
      <c r="BE57">
        <v>0</v>
      </c>
      <c r="BF57" t="s">
        <v>1063</v>
      </c>
      <c r="BG57" t="s">
        <v>4913</v>
      </c>
      <c r="BH57">
        <v>39</v>
      </c>
      <c r="BI57" t="s">
        <v>1247</v>
      </c>
      <c r="BK57">
        <v>1901525</v>
      </c>
    </row>
    <row r="58" spans="1:63">
      <c r="A58" s="1">
        <f>HYPERLINK("https://lsnyc.legalserver.org/matter/dynamic-profile/view/1900238","19-1900238")</f>
        <v>0</v>
      </c>
      <c r="B58" t="s">
        <v>4347</v>
      </c>
      <c r="C58" t="s">
        <v>4496</v>
      </c>
      <c r="D58" t="s">
        <v>254</v>
      </c>
      <c r="E58" t="s">
        <v>4498</v>
      </c>
      <c r="F58" t="s">
        <v>273</v>
      </c>
      <c r="G58" t="s">
        <v>275</v>
      </c>
      <c r="H58">
        <v>123</v>
      </c>
      <c r="I58" t="s">
        <v>274</v>
      </c>
      <c r="K58" t="s">
        <v>1688</v>
      </c>
      <c r="P58" t="s">
        <v>492</v>
      </c>
      <c r="Q58" t="s">
        <v>501</v>
      </c>
      <c r="S58" t="s">
        <v>503</v>
      </c>
      <c r="T58" t="s">
        <v>509</v>
      </c>
      <c r="U58" t="s">
        <v>511</v>
      </c>
      <c r="V58">
        <v>10302</v>
      </c>
      <c r="W58" t="s">
        <v>519</v>
      </c>
      <c r="X58" t="s">
        <v>548</v>
      </c>
      <c r="Z58" t="s">
        <v>4597</v>
      </c>
      <c r="AA58" t="s">
        <v>4733</v>
      </c>
      <c r="AB58" t="s">
        <v>902</v>
      </c>
      <c r="AC58" t="s">
        <v>910</v>
      </c>
      <c r="AF58" t="s">
        <v>926</v>
      </c>
      <c r="AI58">
        <v>98.75</v>
      </c>
      <c r="AK58" t="s">
        <v>941</v>
      </c>
      <c r="AL58" t="s">
        <v>274</v>
      </c>
      <c r="AT58">
        <v>1</v>
      </c>
      <c r="AU58">
        <v>1</v>
      </c>
      <c r="AV58" t="s">
        <v>273</v>
      </c>
      <c r="AY58" t="s">
        <v>273</v>
      </c>
      <c r="BB58">
        <v>0</v>
      </c>
      <c r="BC58">
        <v>0</v>
      </c>
      <c r="BD58">
        <v>0</v>
      </c>
      <c r="BE58">
        <v>0</v>
      </c>
      <c r="BF58" t="s">
        <v>1063</v>
      </c>
      <c r="BG58" t="s">
        <v>4914</v>
      </c>
      <c r="BH58">
        <v>26</v>
      </c>
      <c r="BI58" t="s">
        <v>1261</v>
      </c>
      <c r="BK58">
        <v>1900888</v>
      </c>
    </row>
    <row r="59" spans="1:63">
      <c r="A59" s="1">
        <f>HYPERLINK("https://lsnyc.legalserver.org/matter/dynamic-profile/view/1899093","19-1899093")</f>
        <v>0</v>
      </c>
      <c r="B59" t="s">
        <v>4348</v>
      </c>
      <c r="C59" t="s">
        <v>4496</v>
      </c>
      <c r="D59" t="s">
        <v>254</v>
      </c>
      <c r="E59" t="s">
        <v>4499</v>
      </c>
      <c r="F59" t="s">
        <v>275</v>
      </c>
      <c r="G59" t="s">
        <v>275</v>
      </c>
      <c r="H59">
        <v>0</v>
      </c>
      <c r="I59" t="s">
        <v>274</v>
      </c>
      <c r="K59" t="s">
        <v>316</v>
      </c>
      <c r="L59" t="s">
        <v>1008</v>
      </c>
      <c r="O59" t="s">
        <v>275</v>
      </c>
      <c r="P59" t="s">
        <v>493</v>
      </c>
      <c r="Q59" t="s">
        <v>501</v>
      </c>
      <c r="S59" t="s">
        <v>503</v>
      </c>
      <c r="T59" t="s">
        <v>508</v>
      </c>
      <c r="U59" t="s">
        <v>511</v>
      </c>
      <c r="V59">
        <v>10312</v>
      </c>
      <c r="W59" t="s">
        <v>520</v>
      </c>
      <c r="X59" t="s">
        <v>553</v>
      </c>
      <c r="Z59" t="s">
        <v>4598</v>
      </c>
      <c r="AA59" t="s">
        <v>4734</v>
      </c>
      <c r="AB59" t="s">
        <v>902</v>
      </c>
      <c r="AC59" t="s">
        <v>906</v>
      </c>
      <c r="AD59" t="s">
        <v>275</v>
      </c>
      <c r="AE59" t="s">
        <v>919</v>
      </c>
      <c r="AF59" t="s">
        <v>923</v>
      </c>
      <c r="AI59">
        <v>2</v>
      </c>
      <c r="AK59" t="s">
        <v>948</v>
      </c>
      <c r="AL59" t="s">
        <v>274</v>
      </c>
      <c r="AM59" t="s">
        <v>973</v>
      </c>
      <c r="AN59" t="s">
        <v>316</v>
      </c>
      <c r="AQ59" t="s">
        <v>1036</v>
      </c>
      <c r="AR59" t="s">
        <v>1051</v>
      </c>
      <c r="AT59">
        <v>1</v>
      </c>
      <c r="AU59">
        <v>2</v>
      </c>
      <c r="AV59" t="s">
        <v>273</v>
      </c>
      <c r="AY59" t="s">
        <v>273</v>
      </c>
      <c r="BB59">
        <v>0</v>
      </c>
      <c r="BC59">
        <v>0</v>
      </c>
      <c r="BD59">
        <v>0</v>
      </c>
      <c r="BE59">
        <v>0</v>
      </c>
      <c r="BF59" t="s">
        <v>493</v>
      </c>
      <c r="BG59" t="s">
        <v>4915</v>
      </c>
      <c r="BH59">
        <v>14</v>
      </c>
      <c r="BI59" t="s">
        <v>1247</v>
      </c>
      <c r="BK59">
        <v>1869256</v>
      </c>
    </row>
    <row r="60" spans="1:63">
      <c r="A60" s="1">
        <f>HYPERLINK("https://lsnyc.legalserver.org/matter/dynamic-profile/view/1899032","19-1899032")</f>
        <v>0</v>
      </c>
      <c r="B60" t="s">
        <v>4349</v>
      </c>
      <c r="C60" t="s">
        <v>4496</v>
      </c>
      <c r="D60" t="s">
        <v>252</v>
      </c>
      <c r="E60" t="s">
        <v>4498</v>
      </c>
      <c r="F60" t="s">
        <v>273</v>
      </c>
      <c r="G60" t="s">
        <v>275</v>
      </c>
      <c r="H60">
        <v>0</v>
      </c>
      <c r="I60" t="s">
        <v>274</v>
      </c>
      <c r="K60" t="s">
        <v>316</v>
      </c>
      <c r="P60" t="s">
        <v>492</v>
      </c>
      <c r="Q60" t="s">
        <v>501</v>
      </c>
      <c r="S60" t="s">
        <v>503</v>
      </c>
      <c r="T60" t="s">
        <v>507</v>
      </c>
      <c r="U60" t="s">
        <v>511</v>
      </c>
      <c r="V60">
        <v>11229</v>
      </c>
      <c r="W60" t="s">
        <v>521</v>
      </c>
      <c r="X60" t="s">
        <v>549</v>
      </c>
      <c r="Z60" t="s">
        <v>4599</v>
      </c>
      <c r="AA60" t="s">
        <v>4735</v>
      </c>
      <c r="AB60" t="s">
        <v>902</v>
      </c>
      <c r="AC60" t="s">
        <v>906</v>
      </c>
      <c r="AF60" t="s">
        <v>923</v>
      </c>
      <c r="AI60">
        <v>9.1</v>
      </c>
      <c r="AK60" t="s">
        <v>961</v>
      </c>
      <c r="AL60" t="s">
        <v>274</v>
      </c>
      <c r="AT60">
        <v>0</v>
      </c>
      <c r="AU60">
        <v>1</v>
      </c>
      <c r="AV60" t="s">
        <v>273</v>
      </c>
      <c r="AY60" t="s">
        <v>273</v>
      </c>
      <c r="BB60">
        <v>0</v>
      </c>
      <c r="BC60">
        <v>0</v>
      </c>
      <c r="BD60">
        <v>0</v>
      </c>
      <c r="BE60">
        <v>0</v>
      </c>
      <c r="BF60" t="s">
        <v>1063</v>
      </c>
      <c r="BG60" t="s">
        <v>4916</v>
      </c>
      <c r="BH60">
        <v>33</v>
      </c>
      <c r="BI60" t="s">
        <v>1247</v>
      </c>
      <c r="BK60">
        <v>1899680</v>
      </c>
    </row>
    <row r="61" spans="1:63">
      <c r="A61" s="1">
        <f>HYPERLINK("https://lsnyc.legalserver.org/matter/dynamic-profile/view/1898075","19-1898075")</f>
        <v>0</v>
      </c>
      <c r="B61" t="s">
        <v>4350</v>
      </c>
      <c r="C61" t="s">
        <v>4496</v>
      </c>
      <c r="D61" t="s">
        <v>254</v>
      </c>
      <c r="E61" t="s">
        <v>4503</v>
      </c>
      <c r="F61" t="s">
        <v>275</v>
      </c>
      <c r="G61" t="s">
        <v>275</v>
      </c>
      <c r="H61">
        <v>45.1</v>
      </c>
      <c r="I61" t="s">
        <v>274</v>
      </c>
      <c r="K61" t="s">
        <v>319</v>
      </c>
      <c r="L61" t="s">
        <v>4555</v>
      </c>
      <c r="O61" t="s">
        <v>275</v>
      </c>
      <c r="P61" t="s">
        <v>493</v>
      </c>
      <c r="Q61" t="s">
        <v>501</v>
      </c>
      <c r="S61" t="s">
        <v>503</v>
      </c>
      <c r="T61" t="s">
        <v>508</v>
      </c>
      <c r="U61" t="s">
        <v>511</v>
      </c>
      <c r="V61">
        <v>10305</v>
      </c>
      <c r="W61" t="s">
        <v>520</v>
      </c>
      <c r="X61" t="s">
        <v>548</v>
      </c>
      <c r="Z61" t="s">
        <v>4600</v>
      </c>
      <c r="AA61" t="s">
        <v>4736</v>
      </c>
      <c r="AB61" t="s">
        <v>902</v>
      </c>
      <c r="AC61" t="s">
        <v>906</v>
      </c>
      <c r="AD61" t="s">
        <v>275</v>
      </c>
      <c r="AE61" t="s">
        <v>919</v>
      </c>
      <c r="AF61" t="s">
        <v>923</v>
      </c>
      <c r="AI61">
        <v>1.6</v>
      </c>
      <c r="AK61" t="s">
        <v>933</v>
      </c>
      <c r="AL61" t="s">
        <v>274</v>
      </c>
      <c r="AM61" t="s">
        <v>973</v>
      </c>
      <c r="AN61" t="s">
        <v>318</v>
      </c>
      <c r="AQ61" t="s">
        <v>1036</v>
      </c>
      <c r="AR61" t="s">
        <v>1051</v>
      </c>
      <c r="AT61">
        <v>3</v>
      </c>
      <c r="AU61">
        <v>3</v>
      </c>
      <c r="AV61" t="s">
        <v>273</v>
      </c>
      <c r="AY61" t="s">
        <v>273</v>
      </c>
      <c r="BB61">
        <v>0</v>
      </c>
      <c r="BC61">
        <v>0</v>
      </c>
      <c r="BD61">
        <v>0</v>
      </c>
      <c r="BE61">
        <v>0</v>
      </c>
      <c r="BF61" t="s">
        <v>493</v>
      </c>
      <c r="BG61" t="s">
        <v>4917</v>
      </c>
      <c r="BH61">
        <v>36</v>
      </c>
      <c r="BI61" t="s">
        <v>1270</v>
      </c>
      <c r="BK61">
        <v>765624</v>
      </c>
    </row>
    <row r="62" spans="1:63">
      <c r="A62" s="1">
        <f>HYPERLINK("https://lsnyc.legalserver.org/matter/dynamic-profile/view/1898131","19-1898131")</f>
        <v>0</v>
      </c>
      <c r="B62" t="s">
        <v>4351</v>
      </c>
      <c r="C62" t="s">
        <v>4496</v>
      </c>
      <c r="D62" t="s">
        <v>254</v>
      </c>
      <c r="E62" t="s">
        <v>4502</v>
      </c>
      <c r="F62" t="s">
        <v>273</v>
      </c>
      <c r="G62" t="s">
        <v>275</v>
      </c>
      <c r="H62">
        <v>0</v>
      </c>
      <c r="I62" t="s">
        <v>274</v>
      </c>
      <c r="K62" t="s">
        <v>319</v>
      </c>
      <c r="Q62" t="s">
        <v>501</v>
      </c>
      <c r="S62" t="s">
        <v>503</v>
      </c>
      <c r="T62" t="s">
        <v>508</v>
      </c>
      <c r="U62" t="s">
        <v>511</v>
      </c>
      <c r="V62">
        <v>10302</v>
      </c>
      <c r="W62" t="s">
        <v>520</v>
      </c>
      <c r="X62" t="s">
        <v>548</v>
      </c>
      <c r="Z62" t="s">
        <v>614</v>
      </c>
      <c r="AA62" t="s">
        <v>4737</v>
      </c>
      <c r="AB62" t="s">
        <v>902</v>
      </c>
      <c r="AC62" t="s">
        <v>905</v>
      </c>
      <c r="AF62" t="s">
        <v>923</v>
      </c>
      <c r="AI62">
        <v>1.7</v>
      </c>
      <c r="AK62" t="s">
        <v>933</v>
      </c>
      <c r="AL62" t="s">
        <v>274</v>
      </c>
      <c r="AT62">
        <v>0</v>
      </c>
      <c r="AU62">
        <v>2</v>
      </c>
      <c r="AV62" t="s">
        <v>273</v>
      </c>
      <c r="AY62" t="s">
        <v>273</v>
      </c>
      <c r="BB62">
        <v>0</v>
      </c>
      <c r="BC62">
        <v>0</v>
      </c>
      <c r="BD62">
        <v>0</v>
      </c>
      <c r="BE62">
        <v>0</v>
      </c>
      <c r="BF62" t="s">
        <v>1063</v>
      </c>
      <c r="BG62" t="s">
        <v>4918</v>
      </c>
      <c r="BH62">
        <v>45</v>
      </c>
      <c r="BI62" t="s">
        <v>1247</v>
      </c>
      <c r="BK62">
        <v>774387</v>
      </c>
    </row>
    <row r="63" spans="1:63">
      <c r="A63" s="1">
        <f>HYPERLINK("https://lsnyc.legalserver.org/matter/dynamic-profile/view/1898162","19-1898162")</f>
        <v>0</v>
      </c>
      <c r="B63" t="s">
        <v>4352</v>
      </c>
      <c r="C63" t="s">
        <v>4496</v>
      </c>
      <c r="D63" t="s">
        <v>253</v>
      </c>
      <c r="E63" t="s">
        <v>4501</v>
      </c>
      <c r="F63" t="s">
        <v>273</v>
      </c>
      <c r="G63" t="s">
        <v>275</v>
      </c>
      <c r="H63">
        <v>184.15</v>
      </c>
      <c r="I63" t="s">
        <v>274</v>
      </c>
      <c r="K63" t="s">
        <v>319</v>
      </c>
      <c r="P63" t="s">
        <v>492</v>
      </c>
      <c r="Q63" t="s">
        <v>501</v>
      </c>
      <c r="S63" t="s">
        <v>503</v>
      </c>
      <c r="T63" t="s">
        <v>507</v>
      </c>
      <c r="U63" t="s">
        <v>511</v>
      </c>
      <c r="V63">
        <v>11385</v>
      </c>
      <c r="W63" t="s">
        <v>519</v>
      </c>
      <c r="X63" t="s">
        <v>4561</v>
      </c>
      <c r="Z63" t="s">
        <v>4601</v>
      </c>
      <c r="AA63" t="s">
        <v>4738</v>
      </c>
      <c r="AB63" t="s">
        <v>902</v>
      </c>
      <c r="AC63" t="s">
        <v>905</v>
      </c>
      <c r="AF63" t="s">
        <v>926</v>
      </c>
      <c r="AI63">
        <v>3.4</v>
      </c>
      <c r="AJ63" t="s">
        <v>558</v>
      </c>
      <c r="AK63" t="s">
        <v>3260</v>
      </c>
      <c r="AL63" t="s">
        <v>274</v>
      </c>
      <c r="AT63">
        <v>0</v>
      </c>
      <c r="AU63">
        <v>1</v>
      </c>
      <c r="AV63" t="s">
        <v>273</v>
      </c>
      <c r="AY63" t="s">
        <v>273</v>
      </c>
      <c r="BB63">
        <v>0</v>
      </c>
      <c r="BC63">
        <v>0</v>
      </c>
      <c r="BD63">
        <v>0</v>
      </c>
      <c r="BE63">
        <v>0</v>
      </c>
      <c r="BF63" t="s">
        <v>1063</v>
      </c>
      <c r="BG63" t="s">
        <v>3345</v>
      </c>
      <c r="BH63">
        <v>23</v>
      </c>
      <c r="BI63" t="s">
        <v>1310</v>
      </c>
      <c r="BK63">
        <v>1898806</v>
      </c>
    </row>
    <row r="64" spans="1:63">
      <c r="A64" s="1">
        <f>HYPERLINK("https://lsnyc.legalserver.org/matter/dynamic-profile/view/1895805","19-1895805")</f>
        <v>0</v>
      </c>
      <c r="B64" t="s">
        <v>4353</v>
      </c>
      <c r="C64" t="s">
        <v>4496</v>
      </c>
      <c r="D64" t="s">
        <v>252</v>
      </c>
      <c r="E64" t="s">
        <v>4500</v>
      </c>
      <c r="F64" t="s">
        <v>273</v>
      </c>
      <c r="G64" t="s">
        <v>275</v>
      </c>
      <c r="H64">
        <v>0</v>
      </c>
      <c r="I64" t="s">
        <v>274</v>
      </c>
      <c r="K64" t="s">
        <v>1690</v>
      </c>
      <c r="O64" t="s">
        <v>275</v>
      </c>
      <c r="P64" t="s">
        <v>492</v>
      </c>
      <c r="Q64" t="s">
        <v>501</v>
      </c>
      <c r="S64" t="s">
        <v>503</v>
      </c>
      <c r="T64" t="s">
        <v>507</v>
      </c>
      <c r="U64" t="s">
        <v>511</v>
      </c>
      <c r="V64">
        <v>11235</v>
      </c>
      <c r="W64" t="s">
        <v>521</v>
      </c>
      <c r="X64" t="s">
        <v>553</v>
      </c>
      <c r="Z64" t="s">
        <v>4602</v>
      </c>
      <c r="AA64" t="s">
        <v>4739</v>
      </c>
      <c r="AB64" t="s">
        <v>902</v>
      </c>
      <c r="AC64" t="s">
        <v>906</v>
      </c>
      <c r="AF64" t="s">
        <v>923</v>
      </c>
      <c r="AI64">
        <v>10</v>
      </c>
      <c r="AK64" t="s">
        <v>948</v>
      </c>
      <c r="AL64" t="s">
        <v>274</v>
      </c>
      <c r="AM64" t="s">
        <v>973</v>
      </c>
      <c r="AN64" t="s">
        <v>984</v>
      </c>
      <c r="AT64">
        <v>0</v>
      </c>
      <c r="AU64">
        <v>1</v>
      </c>
      <c r="AV64" t="s">
        <v>273</v>
      </c>
      <c r="AY64" t="s">
        <v>273</v>
      </c>
      <c r="BB64">
        <v>0</v>
      </c>
      <c r="BC64">
        <v>0</v>
      </c>
      <c r="BD64">
        <v>0</v>
      </c>
      <c r="BE64">
        <v>0</v>
      </c>
      <c r="BF64" t="s">
        <v>1063</v>
      </c>
      <c r="BG64" t="s">
        <v>4919</v>
      </c>
      <c r="BH64">
        <v>53</v>
      </c>
      <c r="BI64" t="s">
        <v>1247</v>
      </c>
      <c r="BK64">
        <v>1896447</v>
      </c>
    </row>
    <row r="65" spans="1:63">
      <c r="A65" s="1">
        <f>HYPERLINK("https://lsnyc.legalserver.org/matter/dynamic-profile/view/1896047","19-1896047")</f>
        <v>0</v>
      </c>
      <c r="B65" t="s">
        <v>4312</v>
      </c>
      <c r="C65" t="s">
        <v>4496</v>
      </c>
      <c r="D65" t="s">
        <v>254</v>
      </c>
      <c r="E65" t="s">
        <v>4501</v>
      </c>
      <c r="F65" t="s">
        <v>273</v>
      </c>
      <c r="G65" t="s">
        <v>275</v>
      </c>
      <c r="H65">
        <v>103.41</v>
      </c>
      <c r="I65" t="s">
        <v>274</v>
      </c>
      <c r="K65" t="s">
        <v>1690</v>
      </c>
      <c r="P65" t="s">
        <v>492</v>
      </c>
      <c r="Q65" t="s">
        <v>502</v>
      </c>
      <c r="S65" t="s">
        <v>504</v>
      </c>
      <c r="T65" t="s">
        <v>508</v>
      </c>
      <c r="U65" t="s">
        <v>512</v>
      </c>
      <c r="V65">
        <v>10309</v>
      </c>
      <c r="X65" t="s">
        <v>548</v>
      </c>
      <c r="Z65" t="s">
        <v>4577</v>
      </c>
      <c r="AA65" t="s">
        <v>4706</v>
      </c>
      <c r="AB65" t="s">
        <v>902</v>
      </c>
      <c r="AC65" t="s">
        <v>905</v>
      </c>
      <c r="AF65" t="s">
        <v>924</v>
      </c>
      <c r="AI65">
        <v>7.9</v>
      </c>
      <c r="AK65" t="s">
        <v>934</v>
      </c>
      <c r="AL65" t="s">
        <v>274</v>
      </c>
      <c r="AT65">
        <v>3</v>
      </c>
      <c r="AU65">
        <v>2</v>
      </c>
      <c r="AV65" t="s">
        <v>273</v>
      </c>
      <c r="AY65" t="s">
        <v>273</v>
      </c>
      <c r="BB65">
        <v>0</v>
      </c>
      <c r="BC65">
        <v>0</v>
      </c>
      <c r="BD65">
        <v>0</v>
      </c>
      <c r="BE65">
        <v>0</v>
      </c>
      <c r="BF65" t="s">
        <v>1063</v>
      </c>
      <c r="BG65" t="s">
        <v>4880</v>
      </c>
      <c r="BH65">
        <v>18</v>
      </c>
      <c r="BI65" t="s">
        <v>1254</v>
      </c>
      <c r="BK65">
        <v>1896687</v>
      </c>
    </row>
    <row r="66" spans="1:63">
      <c r="A66" s="1">
        <f>HYPERLINK("https://lsnyc.legalserver.org/matter/dynamic-profile/view/1896050","19-1896050")</f>
        <v>0</v>
      </c>
      <c r="B66" t="s">
        <v>4354</v>
      </c>
      <c r="C66" t="s">
        <v>4496</v>
      </c>
      <c r="D66" t="s">
        <v>254</v>
      </c>
      <c r="E66" t="s">
        <v>4501</v>
      </c>
      <c r="F66" t="s">
        <v>273</v>
      </c>
      <c r="G66" t="s">
        <v>275</v>
      </c>
      <c r="H66">
        <v>103.41</v>
      </c>
      <c r="I66" t="s">
        <v>274</v>
      </c>
      <c r="K66" t="s">
        <v>1690</v>
      </c>
      <c r="P66" t="s">
        <v>492</v>
      </c>
      <c r="Q66" t="s">
        <v>502</v>
      </c>
      <c r="S66" t="s">
        <v>504</v>
      </c>
      <c r="T66" t="s">
        <v>507</v>
      </c>
      <c r="U66" t="s">
        <v>512</v>
      </c>
      <c r="V66">
        <v>10309</v>
      </c>
      <c r="X66" t="s">
        <v>548</v>
      </c>
      <c r="Z66" t="s">
        <v>4603</v>
      </c>
      <c r="AA66" t="s">
        <v>4706</v>
      </c>
      <c r="AB66" t="s">
        <v>902</v>
      </c>
      <c r="AC66" t="s">
        <v>905</v>
      </c>
      <c r="AF66" t="s">
        <v>924</v>
      </c>
      <c r="AI66">
        <v>1.3</v>
      </c>
      <c r="AK66" t="s">
        <v>934</v>
      </c>
      <c r="AL66" t="s">
        <v>274</v>
      </c>
      <c r="AT66">
        <v>3</v>
      </c>
      <c r="AU66">
        <v>2</v>
      </c>
      <c r="AV66" t="s">
        <v>273</v>
      </c>
      <c r="AY66" t="s">
        <v>273</v>
      </c>
      <c r="BB66">
        <v>0</v>
      </c>
      <c r="BC66">
        <v>0</v>
      </c>
      <c r="BD66">
        <v>0</v>
      </c>
      <c r="BE66">
        <v>0</v>
      </c>
      <c r="BF66" t="s">
        <v>1063</v>
      </c>
      <c r="BG66" t="s">
        <v>4920</v>
      </c>
      <c r="BH66">
        <v>13</v>
      </c>
      <c r="BI66" t="s">
        <v>1254</v>
      </c>
      <c r="BK66">
        <v>1896692</v>
      </c>
    </row>
    <row r="67" spans="1:63">
      <c r="A67" s="1">
        <f>HYPERLINK("https://lsnyc.legalserver.org/matter/dynamic-profile/view/1896965","19-1896965")</f>
        <v>0</v>
      </c>
      <c r="B67" t="s">
        <v>4323</v>
      </c>
      <c r="C67" t="s">
        <v>4496</v>
      </c>
      <c r="D67" t="s">
        <v>254</v>
      </c>
      <c r="E67" t="s">
        <v>4500</v>
      </c>
      <c r="F67" t="s">
        <v>273</v>
      </c>
      <c r="G67" t="s">
        <v>275</v>
      </c>
      <c r="H67">
        <v>195.03</v>
      </c>
      <c r="K67" t="s">
        <v>1690</v>
      </c>
      <c r="P67" t="s">
        <v>492</v>
      </c>
      <c r="Q67" t="s">
        <v>501</v>
      </c>
      <c r="S67" t="s">
        <v>503</v>
      </c>
      <c r="T67" t="s">
        <v>508</v>
      </c>
      <c r="U67" t="s">
        <v>511</v>
      </c>
      <c r="V67">
        <v>10304</v>
      </c>
      <c r="W67" t="s">
        <v>532</v>
      </c>
      <c r="X67" t="s">
        <v>548</v>
      </c>
      <c r="Z67" t="s">
        <v>4585</v>
      </c>
      <c r="AA67" t="s">
        <v>4715</v>
      </c>
      <c r="AB67" t="s">
        <v>902</v>
      </c>
      <c r="AC67" t="s">
        <v>905</v>
      </c>
      <c r="AF67" t="s">
        <v>923</v>
      </c>
      <c r="AI67">
        <v>28.6</v>
      </c>
      <c r="AK67" t="s">
        <v>933</v>
      </c>
      <c r="AT67">
        <v>1</v>
      </c>
      <c r="AU67">
        <v>2</v>
      </c>
      <c r="AV67" t="s">
        <v>273</v>
      </c>
      <c r="AY67" t="s">
        <v>273</v>
      </c>
      <c r="BB67">
        <v>0</v>
      </c>
      <c r="BC67">
        <v>0</v>
      </c>
      <c r="BD67">
        <v>0</v>
      </c>
      <c r="BE67">
        <v>0</v>
      </c>
      <c r="BF67" t="s">
        <v>1063</v>
      </c>
      <c r="BG67" t="s">
        <v>4891</v>
      </c>
      <c r="BH67">
        <v>48</v>
      </c>
      <c r="BI67" t="s">
        <v>2721</v>
      </c>
      <c r="BK67">
        <v>1897608</v>
      </c>
    </row>
    <row r="68" spans="1:63">
      <c r="A68" s="1">
        <f>HYPERLINK("https://lsnyc.legalserver.org/matter/dynamic-profile/view/1896775","19-1896775")</f>
        <v>0</v>
      </c>
      <c r="B68" t="s">
        <v>4355</v>
      </c>
      <c r="C68" t="s">
        <v>4496</v>
      </c>
      <c r="D68" t="s">
        <v>254</v>
      </c>
      <c r="E68" t="s">
        <v>4498</v>
      </c>
      <c r="F68" t="s">
        <v>275</v>
      </c>
      <c r="G68" t="s">
        <v>275</v>
      </c>
      <c r="H68">
        <v>48.76</v>
      </c>
      <c r="I68" t="s">
        <v>274</v>
      </c>
      <c r="K68" t="s">
        <v>1693</v>
      </c>
      <c r="L68" t="s">
        <v>1003</v>
      </c>
      <c r="O68" t="s">
        <v>275</v>
      </c>
      <c r="P68" t="s">
        <v>493</v>
      </c>
      <c r="Q68" t="s">
        <v>501</v>
      </c>
      <c r="S68" t="s">
        <v>503</v>
      </c>
      <c r="T68" t="s">
        <v>510</v>
      </c>
      <c r="U68" t="s">
        <v>511</v>
      </c>
      <c r="V68">
        <v>10310</v>
      </c>
      <c r="W68" t="s">
        <v>521</v>
      </c>
      <c r="X68" t="s">
        <v>548</v>
      </c>
      <c r="Z68" t="s">
        <v>4604</v>
      </c>
      <c r="AA68" t="s">
        <v>2209</v>
      </c>
      <c r="AB68" t="s">
        <v>902</v>
      </c>
      <c r="AC68" t="s">
        <v>905</v>
      </c>
      <c r="AD68" t="s">
        <v>275</v>
      </c>
      <c r="AE68" t="s">
        <v>920</v>
      </c>
      <c r="AF68" t="s">
        <v>928</v>
      </c>
      <c r="AI68">
        <v>0.1</v>
      </c>
      <c r="AK68" t="s">
        <v>934</v>
      </c>
      <c r="AL68" t="s">
        <v>274</v>
      </c>
      <c r="AQ68" t="s">
        <v>1033</v>
      </c>
      <c r="AR68" t="s">
        <v>1051</v>
      </c>
      <c r="AT68">
        <v>0</v>
      </c>
      <c r="AU68">
        <v>3</v>
      </c>
      <c r="AV68" t="s">
        <v>273</v>
      </c>
      <c r="AY68" t="s">
        <v>273</v>
      </c>
      <c r="BB68">
        <v>0</v>
      </c>
      <c r="BC68">
        <v>0</v>
      </c>
      <c r="BD68">
        <v>0</v>
      </c>
      <c r="BE68">
        <v>0</v>
      </c>
      <c r="BF68" t="s">
        <v>493</v>
      </c>
      <c r="BG68" t="s">
        <v>4921</v>
      </c>
      <c r="BH68">
        <v>30</v>
      </c>
      <c r="BI68" t="s">
        <v>1301</v>
      </c>
      <c r="BK68">
        <v>1888576</v>
      </c>
    </row>
    <row r="69" spans="1:63">
      <c r="A69" s="1">
        <f>HYPERLINK("https://lsnyc.legalserver.org/matter/dynamic-profile/view/1896405","19-1896405")</f>
        <v>0</v>
      </c>
      <c r="B69" t="s">
        <v>4356</v>
      </c>
      <c r="C69" t="s">
        <v>4496</v>
      </c>
      <c r="D69" t="s">
        <v>254</v>
      </c>
      <c r="E69" t="s">
        <v>4501</v>
      </c>
      <c r="F69" t="s">
        <v>273</v>
      </c>
      <c r="G69" t="s">
        <v>275</v>
      </c>
      <c r="H69">
        <v>0</v>
      </c>
      <c r="I69" t="s">
        <v>274</v>
      </c>
      <c r="K69" t="s">
        <v>323</v>
      </c>
      <c r="O69" t="s">
        <v>275</v>
      </c>
      <c r="Q69" t="s">
        <v>502</v>
      </c>
      <c r="S69" t="s">
        <v>503</v>
      </c>
      <c r="T69" t="s">
        <v>507</v>
      </c>
      <c r="U69" t="s">
        <v>511</v>
      </c>
      <c r="V69">
        <v>10304</v>
      </c>
      <c r="W69" t="s">
        <v>519</v>
      </c>
      <c r="X69" t="s">
        <v>548</v>
      </c>
      <c r="Z69" t="s">
        <v>4605</v>
      </c>
      <c r="AA69" t="s">
        <v>4740</v>
      </c>
      <c r="AB69" t="s">
        <v>902</v>
      </c>
      <c r="AC69" t="s">
        <v>905</v>
      </c>
      <c r="AF69" t="s">
        <v>926</v>
      </c>
      <c r="AI69">
        <v>0.1</v>
      </c>
      <c r="AK69" t="s">
        <v>941</v>
      </c>
      <c r="AL69" t="s">
        <v>274</v>
      </c>
      <c r="AT69">
        <v>2</v>
      </c>
      <c r="AU69">
        <v>1</v>
      </c>
      <c r="AV69" t="s">
        <v>273</v>
      </c>
      <c r="AY69" t="s">
        <v>273</v>
      </c>
      <c r="BB69">
        <v>0</v>
      </c>
      <c r="BC69">
        <v>0</v>
      </c>
      <c r="BD69">
        <v>0</v>
      </c>
      <c r="BE69">
        <v>0</v>
      </c>
      <c r="BF69" t="s">
        <v>1063</v>
      </c>
      <c r="BG69" t="s">
        <v>4922</v>
      </c>
      <c r="BH69">
        <v>18</v>
      </c>
      <c r="BI69" t="s">
        <v>1247</v>
      </c>
      <c r="BK69">
        <v>1867394</v>
      </c>
    </row>
    <row r="70" spans="1:63">
      <c r="A70" s="1">
        <f>HYPERLINK("https://lsnyc.legalserver.org/matter/dynamic-profile/view/1896313","19-1896313")</f>
        <v>0</v>
      </c>
      <c r="B70" t="s">
        <v>4357</v>
      </c>
      <c r="C70" t="s">
        <v>4496</v>
      </c>
      <c r="D70" t="s">
        <v>254</v>
      </c>
      <c r="E70" t="s">
        <v>4499</v>
      </c>
      <c r="F70" t="s">
        <v>273</v>
      </c>
      <c r="G70" t="s">
        <v>275</v>
      </c>
      <c r="H70">
        <v>0</v>
      </c>
      <c r="I70" t="s">
        <v>274</v>
      </c>
      <c r="K70" t="s">
        <v>1695</v>
      </c>
      <c r="Q70" t="s">
        <v>502</v>
      </c>
      <c r="S70" t="s">
        <v>504</v>
      </c>
      <c r="T70" t="s">
        <v>508</v>
      </c>
      <c r="U70" t="s">
        <v>512</v>
      </c>
      <c r="V70">
        <v>10301</v>
      </c>
      <c r="X70" t="s">
        <v>548</v>
      </c>
      <c r="Z70" t="s">
        <v>4606</v>
      </c>
      <c r="AA70" t="s">
        <v>2167</v>
      </c>
      <c r="AB70" t="s">
        <v>902</v>
      </c>
      <c r="AC70" t="s">
        <v>906</v>
      </c>
      <c r="AF70" t="s">
        <v>924</v>
      </c>
      <c r="AI70">
        <v>0</v>
      </c>
      <c r="AK70" t="s">
        <v>934</v>
      </c>
      <c r="AL70" t="s">
        <v>274</v>
      </c>
      <c r="AT70">
        <v>1</v>
      </c>
      <c r="AU70">
        <v>1</v>
      </c>
      <c r="AV70" t="s">
        <v>273</v>
      </c>
      <c r="AY70" t="s">
        <v>273</v>
      </c>
      <c r="BB70">
        <v>0</v>
      </c>
      <c r="BC70">
        <v>0</v>
      </c>
      <c r="BD70">
        <v>0</v>
      </c>
      <c r="BE70">
        <v>0</v>
      </c>
      <c r="BF70" t="s">
        <v>1063</v>
      </c>
      <c r="BG70" t="s">
        <v>4923</v>
      </c>
      <c r="BH70">
        <v>19</v>
      </c>
      <c r="BI70" t="s">
        <v>1247</v>
      </c>
      <c r="BK70">
        <v>1876704</v>
      </c>
    </row>
    <row r="71" spans="1:63">
      <c r="A71" s="1">
        <f>HYPERLINK("https://lsnyc.legalserver.org/matter/dynamic-profile/view/1896317","19-1896317")</f>
        <v>0</v>
      </c>
      <c r="B71" t="s">
        <v>4357</v>
      </c>
      <c r="C71" t="s">
        <v>4496</v>
      </c>
      <c r="D71" t="s">
        <v>254</v>
      </c>
      <c r="E71" t="s">
        <v>4499</v>
      </c>
      <c r="F71" t="s">
        <v>273</v>
      </c>
      <c r="G71" t="s">
        <v>275</v>
      </c>
      <c r="H71">
        <v>0</v>
      </c>
      <c r="I71" t="s">
        <v>274</v>
      </c>
      <c r="K71" t="s">
        <v>1696</v>
      </c>
      <c r="Q71" t="s">
        <v>502</v>
      </c>
      <c r="S71" t="s">
        <v>503</v>
      </c>
      <c r="T71" t="s">
        <v>508</v>
      </c>
      <c r="U71" t="s">
        <v>511</v>
      </c>
      <c r="V71">
        <v>10301</v>
      </c>
      <c r="W71" t="s">
        <v>521</v>
      </c>
      <c r="X71" t="s">
        <v>548</v>
      </c>
      <c r="Z71" t="s">
        <v>4606</v>
      </c>
      <c r="AA71" t="s">
        <v>2167</v>
      </c>
      <c r="AB71" t="s">
        <v>902</v>
      </c>
      <c r="AC71" t="s">
        <v>906</v>
      </c>
      <c r="AF71" t="s">
        <v>923</v>
      </c>
      <c r="AI71">
        <v>0</v>
      </c>
      <c r="AK71" t="s">
        <v>934</v>
      </c>
      <c r="AL71" t="s">
        <v>274</v>
      </c>
      <c r="AM71" t="s">
        <v>973</v>
      </c>
      <c r="AN71" t="s">
        <v>1696</v>
      </c>
      <c r="AT71">
        <v>1</v>
      </c>
      <c r="AU71">
        <v>1</v>
      </c>
      <c r="AV71" t="s">
        <v>273</v>
      </c>
      <c r="AY71" t="s">
        <v>273</v>
      </c>
      <c r="BB71">
        <v>0</v>
      </c>
      <c r="BC71">
        <v>0</v>
      </c>
      <c r="BD71">
        <v>0</v>
      </c>
      <c r="BE71">
        <v>0</v>
      </c>
      <c r="BF71" t="s">
        <v>1063</v>
      </c>
      <c r="BG71" t="s">
        <v>4923</v>
      </c>
      <c r="BH71">
        <v>19</v>
      </c>
      <c r="BI71" t="s">
        <v>1247</v>
      </c>
      <c r="BK71">
        <v>1876704</v>
      </c>
    </row>
    <row r="72" spans="1:63">
      <c r="A72" s="1">
        <f>HYPERLINK("https://lsnyc.legalserver.org/matter/dynamic-profile/view/1896319","19-1896319")</f>
        <v>0</v>
      </c>
      <c r="B72" t="s">
        <v>4358</v>
      </c>
      <c r="C72" t="s">
        <v>4496</v>
      </c>
      <c r="D72" t="s">
        <v>254</v>
      </c>
      <c r="E72" t="s">
        <v>4499</v>
      </c>
      <c r="F72" t="s">
        <v>273</v>
      </c>
      <c r="G72" t="s">
        <v>275</v>
      </c>
      <c r="H72">
        <v>0</v>
      </c>
      <c r="I72" t="s">
        <v>274</v>
      </c>
      <c r="K72" t="s">
        <v>1696</v>
      </c>
      <c r="O72" t="s">
        <v>275</v>
      </c>
      <c r="Q72" t="s">
        <v>502</v>
      </c>
      <c r="S72" t="s">
        <v>503</v>
      </c>
      <c r="T72" t="s">
        <v>508</v>
      </c>
      <c r="U72" t="s">
        <v>511</v>
      </c>
      <c r="V72">
        <v>10301</v>
      </c>
      <c r="W72" t="s">
        <v>521</v>
      </c>
      <c r="X72" t="s">
        <v>548</v>
      </c>
      <c r="Z72" t="s">
        <v>629</v>
      </c>
      <c r="AA72" t="s">
        <v>4741</v>
      </c>
      <c r="AB72" t="s">
        <v>902</v>
      </c>
      <c r="AC72" t="s">
        <v>906</v>
      </c>
      <c r="AF72" t="s">
        <v>923</v>
      </c>
      <c r="AI72">
        <v>2</v>
      </c>
      <c r="AK72" t="s">
        <v>934</v>
      </c>
      <c r="AL72" t="s">
        <v>274</v>
      </c>
      <c r="AM72" t="s">
        <v>973</v>
      </c>
      <c r="AN72" t="s">
        <v>1696</v>
      </c>
      <c r="AT72">
        <v>1</v>
      </c>
      <c r="AU72">
        <v>1</v>
      </c>
      <c r="AV72" t="s">
        <v>273</v>
      </c>
      <c r="AY72" t="s">
        <v>273</v>
      </c>
      <c r="BB72">
        <v>0</v>
      </c>
      <c r="BC72">
        <v>0</v>
      </c>
      <c r="BD72">
        <v>0</v>
      </c>
      <c r="BE72">
        <v>0</v>
      </c>
      <c r="BF72" t="s">
        <v>1063</v>
      </c>
      <c r="BG72" t="s">
        <v>4924</v>
      </c>
      <c r="BH72">
        <v>4</v>
      </c>
      <c r="BI72" t="s">
        <v>1247</v>
      </c>
      <c r="BK72">
        <v>1876704</v>
      </c>
    </row>
    <row r="73" spans="1:63">
      <c r="A73" s="1">
        <f>HYPERLINK("https://lsnyc.legalserver.org/matter/dynamic-profile/view/1895787","19-1895787")</f>
        <v>0</v>
      </c>
      <c r="B73" t="s">
        <v>4359</v>
      </c>
      <c r="C73" t="s">
        <v>4496</v>
      </c>
      <c r="D73" t="s">
        <v>254</v>
      </c>
      <c r="E73" t="s">
        <v>4502</v>
      </c>
      <c r="F73" t="s">
        <v>273</v>
      </c>
      <c r="G73" t="s">
        <v>275</v>
      </c>
      <c r="H73">
        <v>151.96</v>
      </c>
      <c r="I73" t="s">
        <v>274</v>
      </c>
      <c r="K73" t="s">
        <v>1007</v>
      </c>
      <c r="P73" t="s">
        <v>492</v>
      </c>
      <c r="Q73" t="s">
        <v>501</v>
      </c>
      <c r="S73" t="s">
        <v>503</v>
      </c>
      <c r="T73" t="s">
        <v>508</v>
      </c>
      <c r="U73" t="s">
        <v>511</v>
      </c>
      <c r="V73">
        <v>10304</v>
      </c>
      <c r="W73" t="s">
        <v>528</v>
      </c>
      <c r="X73" t="s">
        <v>549</v>
      </c>
      <c r="Z73" t="s">
        <v>4607</v>
      </c>
      <c r="AA73" t="s">
        <v>4742</v>
      </c>
      <c r="AB73" t="s">
        <v>902</v>
      </c>
      <c r="AC73" t="s">
        <v>911</v>
      </c>
      <c r="AF73" t="s">
        <v>923</v>
      </c>
      <c r="AI73">
        <v>0.55</v>
      </c>
      <c r="AK73" t="s">
        <v>933</v>
      </c>
      <c r="AL73" t="s">
        <v>274</v>
      </c>
      <c r="AM73" t="s">
        <v>973</v>
      </c>
      <c r="AN73" t="s">
        <v>1007</v>
      </c>
      <c r="AT73">
        <v>3</v>
      </c>
      <c r="AU73">
        <v>4</v>
      </c>
      <c r="AV73" t="s">
        <v>273</v>
      </c>
      <c r="AY73" t="s">
        <v>273</v>
      </c>
      <c r="BB73">
        <v>0</v>
      </c>
      <c r="BC73">
        <v>0</v>
      </c>
      <c r="BD73">
        <v>0</v>
      </c>
      <c r="BE73">
        <v>0</v>
      </c>
      <c r="BF73" t="s">
        <v>1063</v>
      </c>
      <c r="BG73" t="s">
        <v>4925</v>
      </c>
      <c r="BH73">
        <v>29</v>
      </c>
      <c r="BI73" t="s">
        <v>5056</v>
      </c>
      <c r="BK73">
        <v>1879433</v>
      </c>
    </row>
    <row r="74" spans="1:63">
      <c r="A74" s="1">
        <f>HYPERLINK("https://lsnyc.legalserver.org/matter/dynamic-profile/view/1894167","19-1894167")</f>
        <v>0</v>
      </c>
      <c r="B74" t="s">
        <v>4300</v>
      </c>
      <c r="C74" t="s">
        <v>4496</v>
      </c>
      <c r="D74" t="s">
        <v>257</v>
      </c>
      <c r="E74" t="s">
        <v>4498</v>
      </c>
      <c r="F74" t="s">
        <v>273</v>
      </c>
      <c r="G74" t="s">
        <v>275</v>
      </c>
      <c r="H74">
        <v>0</v>
      </c>
      <c r="I74" t="s">
        <v>274</v>
      </c>
      <c r="K74" t="s">
        <v>989</v>
      </c>
      <c r="P74" t="s">
        <v>492</v>
      </c>
      <c r="Q74" t="s">
        <v>501</v>
      </c>
      <c r="S74" t="s">
        <v>503</v>
      </c>
      <c r="T74" t="s">
        <v>508</v>
      </c>
      <c r="U74" t="s">
        <v>511</v>
      </c>
      <c r="V74">
        <v>10453</v>
      </c>
      <c r="W74" t="s">
        <v>519</v>
      </c>
      <c r="X74" t="s">
        <v>548</v>
      </c>
      <c r="Z74" t="s">
        <v>4567</v>
      </c>
      <c r="AA74" t="s">
        <v>3911</v>
      </c>
      <c r="AB74" t="s">
        <v>902</v>
      </c>
      <c r="AC74" t="s">
        <v>905</v>
      </c>
      <c r="AF74" t="s">
        <v>926</v>
      </c>
      <c r="AI74">
        <v>89.09999999999999</v>
      </c>
      <c r="AK74" t="s">
        <v>934</v>
      </c>
      <c r="AL74" t="s">
        <v>274</v>
      </c>
      <c r="AT74">
        <v>1</v>
      </c>
      <c r="AU74">
        <v>1</v>
      </c>
      <c r="AV74" t="s">
        <v>273</v>
      </c>
      <c r="AY74" t="s">
        <v>273</v>
      </c>
      <c r="BB74">
        <v>0</v>
      </c>
      <c r="BC74">
        <v>0</v>
      </c>
      <c r="BD74">
        <v>0</v>
      </c>
      <c r="BE74">
        <v>0</v>
      </c>
      <c r="BF74" t="s">
        <v>1063</v>
      </c>
      <c r="BG74" t="s">
        <v>4870</v>
      </c>
      <c r="BH74">
        <v>25</v>
      </c>
      <c r="BI74" t="s">
        <v>1247</v>
      </c>
      <c r="BK74">
        <v>1894806</v>
      </c>
    </row>
    <row r="75" spans="1:63">
      <c r="A75" s="1">
        <f>HYPERLINK("https://lsnyc.legalserver.org/matter/dynamic-profile/view/1895434","19-1895434")</f>
        <v>0</v>
      </c>
      <c r="B75" t="s">
        <v>4360</v>
      </c>
      <c r="C75" t="s">
        <v>4496</v>
      </c>
      <c r="D75" t="s">
        <v>254</v>
      </c>
      <c r="E75" t="s">
        <v>4499</v>
      </c>
      <c r="F75" t="s">
        <v>273</v>
      </c>
      <c r="G75" t="s">
        <v>275</v>
      </c>
      <c r="H75">
        <v>0</v>
      </c>
      <c r="I75" t="s">
        <v>274</v>
      </c>
      <c r="K75" t="s">
        <v>989</v>
      </c>
      <c r="P75" t="s">
        <v>492</v>
      </c>
      <c r="Q75" t="s">
        <v>502</v>
      </c>
      <c r="S75" t="s">
        <v>503</v>
      </c>
      <c r="T75" t="s">
        <v>508</v>
      </c>
      <c r="U75" t="s">
        <v>511</v>
      </c>
      <c r="V75">
        <v>10314</v>
      </c>
      <c r="W75" t="s">
        <v>519</v>
      </c>
      <c r="X75" t="s">
        <v>549</v>
      </c>
      <c r="Z75" t="s">
        <v>4608</v>
      </c>
      <c r="AA75" t="s">
        <v>4743</v>
      </c>
      <c r="AB75" t="s">
        <v>902</v>
      </c>
      <c r="AC75" t="s">
        <v>905</v>
      </c>
      <c r="AF75" t="s">
        <v>926</v>
      </c>
      <c r="AI75">
        <v>65.09999999999999</v>
      </c>
      <c r="AK75" t="s">
        <v>961</v>
      </c>
      <c r="AL75" t="s">
        <v>274</v>
      </c>
      <c r="AM75" t="s">
        <v>973</v>
      </c>
      <c r="AN75" t="s">
        <v>1696</v>
      </c>
      <c r="AT75">
        <v>1</v>
      </c>
      <c r="AU75">
        <v>1</v>
      </c>
      <c r="AV75" t="s">
        <v>273</v>
      </c>
      <c r="AY75" t="s">
        <v>273</v>
      </c>
      <c r="BB75">
        <v>0</v>
      </c>
      <c r="BC75">
        <v>0</v>
      </c>
      <c r="BD75">
        <v>0</v>
      </c>
      <c r="BE75">
        <v>0</v>
      </c>
      <c r="BF75" t="s">
        <v>1063</v>
      </c>
      <c r="BG75" t="s">
        <v>4926</v>
      </c>
      <c r="BH75">
        <v>14</v>
      </c>
      <c r="BI75" t="s">
        <v>1247</v>
      </c>
      <c r="BK75">
        <v>1862465</v>
      </c>
    </row>
    <row r="76" spans="1:63">
      <c r="A76" s="1">
        <f>HYPERLINK("https://lsnyc.legalserver.org/matter/dynamic-profile/view/1894459","19-1894459")</f>
        <v>0</v>
      </c>
      <c r="B76" t="s">
        <v>4361</v>
      </c>
      <c r="C76" t="s">
        <v>4496</v>
      </c>
      <c r="D76" t="s">
        <v>254</v>
      </c>
      <c r="E76" t="s">
        <v>4498</v>
      </c>
      <c r="F76" t="s">
        <v>275</v>
      </c>
      <c r="G76" t="s">
        <v>275</v>
      </c>
      <c r="H76">
        <v>1.04</v>
      </c>
      <c r="I76" t="s">
        <v>274</v>
      </c>
      <c r="K76" t="s">
        <v>325</v>
      </c>
      <c r="L76" t="s">
        <v>1003</v>
      </c>
      <c r="O76" t="s">
        <v>275</v>
      </c>
      <c r="P76" t="s">
        <v>493</v>
      </c>
      <c r="Q76" t="s">
        <v>501</v>
      </c>
      <c r="S76" t="s">
        <v>503</v>
      </c>
      <c r="T76" t="s">
        <v>507</v>
      </c>
      <c r="U76" t="s">
        <v>511</v>
      </c>
      <c r="V76">
        <v>10303</v>
      </c>
      <c r="W76" t="s">
        <v>516</v>
      </c>
      <c r="X76" t="s">
        <v>549</v>
      </c>
      <c r="Z76" t="s">
        <v>4609</v>
      </c>
      <c r="AA76" t="s">
        <v>1877</v>
      </c>
      <c r="AB76" t="s">
        <v>902</v>
      </c>
      <c r="AC76" t="s">
        <v>905</v>
      </c>
      <c r="AD76" t="s">
        <v>274</v>
      </c>
      <c r="AE76" t="s">
        <v>920</v>
      </c>
      <c r="AF76" t="s">
        <v>928</v>
      </c>
      <c r="AI76">
        <v>2.1</v>
      </c>
      <c r="AK76" t="s">
        <v>961</v>
      </c>
      <c r="AL76" t="s">
        <v>274</v>
      </c>
      <c r="AQ76" t="s">
        <v>1033</v>
      </c>
      <c r="AR76" t="s">
        <v>1051</v>
      </c>
      <c r="AT76">
        <v>0</v>
      </c>
      <c r="AU76">
        <v>1</v>
      </c>
      <c r="AV76" t="s">
        <v>273</v>
      </c>
      <c r="AY76" t="s">
        <v>273</v>
      </c>
      <c r="BB76">
        <v>0</v>
      </c>
      <c r="BC76">
        <v>0</v>
      </c>
      <c r="BD76">
        <v>0</v>
      </c>
      <c r="BE76">
        <v>0</v>
      </c>
      <c r="BF76" t="s">
        <v>493</v>
      </c>
      <c r="BG76" t="s">
        <v>4927</v>
      </c>
      <c r="BH76">
        <v>27</v>
      </c>
      <c r="BI76" t="s">
        <v>5057</v>
      </c>
      <c r="BK76">
        <v>1895100</v>
      </c>
    </row>
    <row r="77" spans="1:63">
      <c r="A77" s="1">
        <f>HYPERLINK("https://lsnyc.legalserver.org/matter/dynamic-profile/view/1893223","19-1893223")</f>
        <v>0</v>
      </c>
      <c r="B77" t="s">
        <v>4362</v>
      </c>
      <c r="C77" t="s">
        <v>4496</v>
      </c>
      <c r="D77" t="s">
        <v>254</v>
      </c>
      <c r="E77" t="s">
        <v>4501</v>
      </c>
      <c r="F77" t="s">
        <v>275</v>
      </c>
      <c r="G77" t="s">
        <v>275</v>
      </c>
      <c r="H77">
        <v>0</v>
      </c>
      <c r="K77" t="s">
        <v>327</v>
      </c>
      <c r="L77" t="s">
        <v>280</v>
      </c>
      <c r="O77" t="s">
        <v>275</v>
      </c>
      <c r="P77" t="s">
        <v>493</v>
      </c>
      <c r="Q77" t="s">
        <v>501</v>
      </c>
      <c r="S77" t="s">
        <v>503</v>
      </c>
      <c r="T77" t="s">
        <v>508</v>
      </c>
      <c r="U77" t="s">
        <v>511</v>
      </c>
      <c r="V77">
        <v>10303</v>
      </c>
      <c r="W77" t="s">
        <v>519</v>
      </c>
      <c r="X77" t="s">
        <v>548</v>
      </c>
      <c r="Z77" t="s">
        <v>4610</v>
      </c>
      <c r="AA77" t="s">
        <v>4744</v>
      </c>
      <c r="AB77" t="s">
        <v>902</v>
      </c>
      <c r="AC77" t="s">
        <v>905</v>
      </c>
      <c r="AD77" t="s">
        <v>275</v>
      </c>
      <c r="AE77" t="s">
        <v>920</v>
      </c>
      <c r="AF77" t="s">
        <v>928</v>
      </c>
      <c r="AI77">
        <v>1.7</v>
      </c>
      <c r="AJ77" t="s">
        <v>558</v>
      </c>
      <c r="AK77" t="s">
        <v>941</v>
      </c>
      <c r="AQ77" t="s">
        <v>1033</v>
      </c>
      <c r="AR77" t="s">
        <v>1051</v>
      </c>
      <c r="AT77">
        <v>1</v>
      </c>
      <c r="AU77">
        <v>1</v>
      </c>
      <c r="AV77" t="s">
        <v>273</v>
      </c>
      <c r="AY77" t="s">
        <v>273</v>
      </c>
      <c r="BB77">
        <v>0</v>
      </c>
      <c r="BC77">
        <v>0</v>
      </c>
      <c r="BD77">
        <v>0</v>
      </c>
      <c r="BE77">
        <v>0</v>
      </c>
      <c r="BF77" t="s">
        <v>493</v>
      </c>
      <c r="BG77" t="s">
        <v>4928</v>
      </c>
      <c r="BH77">
        <v>25</v>
      </c>
      <c r="BI77" t="s">
        <v>1247</v>
      </c>
      <c r="BK77">
        <v>1893859</v>
      </c>
    </row>
    <row r="78" spans="1:63">
      <c r="A78" s="1">
        <f>HYPERLINK("https://lsnyc.legalserver.org/matter/dynamic-profile/view/1894293","19-1894293")</f>
        <v>0</v>
      </c>
      <c r="B78" t="s">
        <v>4363</v>
      </c>
      <c r="C78" t="s">
        <v>4496</v>
      </c>
      <c r="D78" t="s">
        <v>254</v>
      </c>
      <c r="E78" t="s">
        <v>4499</v>
      </c>
      <c r="F78" t="s">
        <v>275</v>
      </c>
      <c r="G78" t="s">
        <v>275</v>
      </c>
      <c r="H78">
        <v>80.78</v>
      </c>
      <c r="I78" t="s">
        <v>274</v>
      </c>
      <c r="K78" t="s">
        <v>330</v>
      </c>
      <c r="L78" t="s">
        <v>452</v>
      </c>
      <c r="O78" t="s">
        <v>275</v>
      </c>
      <c r="P78" t="s">
        <v>493</v>
      </c>
      <c r="Q78" t="s">
        <v>502</v>
      </c>
      <c r="S78" t="s">
        <v>503</v>
      </c>
      <c r="T78" t="s">
        <v>507</v>
      </c>
      <c r="U78" t="s">
        <v>511</v>
      </c>
      <c r="V78">
        <v>10312</v>
      </c>
      <c r="W78" t="s">
        <v>520</v>
      </c>
      <c r="X78" t="s">
        <v>548</v>
      </c>
      <c r="Z78" t="s">
        <v>2005</v>
      </c>
      <c r="AA78" t="s">
        <v>4745</v>
      </c>
      <c r="AB78" t="s">
        <v>902</v>
      </c>
      <c r="AC78" t="s">
        <v>908</v>
      </c>
      <c r="AD78" t="s">
        <v>275</v>
      </c>
      <c r="AE78" t="s">
        <v>919</v>
      </c>
      <c r="AF78" t="s">
        <v>923</v>
      </c>
      <c r="AI78">
        <v>4</v>
      </c>
      <c r="AK78" t="s">
        <v>936</v>
      </c>
      <c r="AL78" t="s">
        <v>274</v>
      </c>
      <c r="AQ78" t="s">
        <v>1036</v>
      </c>
      <c r="AR78" t="s">
        <v>1051</v>
      </c>
      <c r="AT78">
        <v>2</v>
      </c>
      <c r="AU78">
        <v>2</v>
      </c>
      <c r="AV78" t="s">
        <v>273</v>
      </c>
      <c r="AY78" t="s">
        <v>273</v>
      </c>
      <c r="BB78">
        <v>0</v>
      </c>
      <c r="BC78">
        <v>0</v>
      </c>
      <c r="BD78">
        <v>0</v>
      </c>
      <c r="BE78">
        <v>0</v>
      </c>
      <c r="BF78" t="s">
        <v>493</v>
      </c>
      <c r="BG78" t="s">
        <v>4929</v>
      </c>
      <c r="BH78">
        <v>4</v>
      </c>
      <c r="BI78" t="s">
        <v>5058</v>
      </c>
      <c r="BK78">
        <v>1853039</v>
      </c>
    </row>
    <row r="79" spans="1:63">
      <c r="A79" s="1">
        <f>HYPERLINK("https://lsnyc.legalserver.org/matter/dynamic-profile/view/1894298","19-1894298")</f>
        <v>0</v>
      </c>
      <c r="B79" t="s">
        <v>4364</v>
      </c>
      <c r="C79" t="s">
        <v>4496</v>
      </c>
      <c r="D79" t="s">
        <v>254</v>
      </c>
      <c r="E79" t="s">
        <v>4499</v>
      </c>
      <c r="F79" t="s">
        <v>273</v>
      </c>
      <c r="G79" t="s">
        <v>275</v>
      </c>
      <c r="H79">
        <v>161.52</v>
      </c>
      <c r="I79" t="s">
        <v>274</v>
      </c>
      <c r="K79" t="s">
        <v>330</v>
      </c>
      <c r="O79" t="s">
        <v>275</v>
      </c>
      <c r="Q79" t="s">
        <v>502</v>
      </c>
      <c r="S79" t="s">
        <v>503</v>
      </c>
      <c r="T79" t="s">
        <v>508</v>
      </c>
      <c r="U79" t="s">
        <v>511</v>
      </c>
      <c r="V79">
        <v>10312</v>
      </c>
      <c r="W79" t="s">
        <v>520</v>
      </c>
      <c r="X79" t="s">
        <v>548</v>
      </c>
      <c r="Z79" t="s">
        <v>685</v>
      </c>
      <c r="AA79" t="s">
        <v>4745</v>
      </c>
      <c r="AB79" t="s">
        <v>902</v>
      </c>
      <c r="AC79" t="s">
        <v>908</v>
      </c>
      <c r="AF79" t="s">
        <v>923</v>
      </c>
      <c r="AI79">
        <v>4</v>
      </c>
      <c r="AK79" t="s">
        <v>936</v>
      </c>
      <c r="AL79" t="s">
        <v>274</v>
      </c>
      <c r="AM79" t="s">
        <v>973</v>
      </c>
      <c r="AN79" t="s">
        <v>4837</v>
      </c>
      <c r="AT79">
        <v>2</v>
      </c>
      <c r="AU79">
        <v>2</v>
      </c>
      <c r="AV79" t="s">
        <v>273</v>
      </c>
      <c r="AY79" t="s">
        <v>273</v>
      </c>
      <c r="BB79">
        <v>0</v>
      </c>
      <c r="BC79">
        <v>0</v>
      </c>
      <c r="BD79">
        <v>0</v>
      </c>
      <c r="BE79">
        <v>0</v>
      </c>
      <c r="BF79" t="s">
        <v>1063</v>
      </c>
      <c r="BG79" t="s">
        <v>4930</v>
      </c>
      <c r="BH79">
        <v>8</v>
      </c>
      <c r="BI79" t="s">
        <v>5059</v>
      </c>
      <c r="BK79">
        <v>1853039</v>
      </c>
    </row>
    <row r="80" spans="1:63">
      <c r="A80" s="1">
        <f>HYPERLINK("https://lsnyc.legalserver.org/matter/dynamic-profile/view/1893690","19-1893690")</f>
        <v>0</v>
      </c>
      <c r="B80" t="s">
        <v>4340</v>
      </c>
      <c r="C80" t="s">
        <v>4496</v>
      </c>
      <c r="D80" t="s">
        <v>254</v>
      </c>
      <c r="E80" t="s">
        <v>4503</v>
      </c>
      <c r="F80" t="s">
        <v>275</v>
      </c>
      <c r="G80" t="s">
        <v>275</v>
      </c>
      <c r="H80">
        <v>97.69</v>
      </c>
      <c r="I80" t="s">
        <v>274</v>
      </c>
      <c r="K80" t="s">
        <v>4507</v>
      </c>
      <c r="L80" t="s">
        <v>299</v>
      </c>
      <c r="O80" t="s">
        <v>275</v>
      </c>
      <c r="P80" t="s">
        <v>493</v>
      </c>
      <c r="Q80" t="s">
        <v>501</v>
      </c>
      <c r="S80" t="s">
        <v>503</v>
      </c>
      <c r="T80" t="s">
        <v>508</v>
      </c>
      <c r="U80" t="s">
        <v>511</v>
      </c>
      <c r="V80">
        <v>10314</v>
      </c>
      <c r="W80" t="s">
        <v>520</v>
      </c>
      <c r="Z80" t="s">
        <v>705</v>
      </c>
      <c r="AA80" t="s">
        <v>2241</v>
      </c>
      <c r="AB80" t="s">
        <v>902</v>
      </c>
      <c r="AC80" t="s">
        <v>905</v>
      </c>
      <c r="AD80" t="s">
        <v>274</v>
      </c>
      <c r="AE80" t="s">
        <v>919</v>
      </c>
      <c r="AF80" t="s">
        <v>923</v>
      </c>
      <c r="AI80">
        <v>1.6</v>
      </c>
      <c r="AK80" t="s">
        <v>933</v>
      </c>
      <c r="AL80" t="s">
        <v>274</v>
      </c>
      <c r="AM80" t="s">
        <v>973</v>
      </c>
      <c r="AN80" t="s">
        <v>332</v>
      </c>
      <c r="AQ80" t="s">
        <v>1036</v>
      </c>
      <c r="AR80" t="s">
        <v>1051</v>
      </c>
      <c r="AT80">
        <v>0</v>
      </c>
      <c r="AU80">
        <v>1</v>
      </c>
      <c r="AV80" t="s">
        <v>273</v>
      </c>
      <c r="AY80" t="s">
        <v>273</v>
      </c>
      <c r="BB80">
        <v>0</v>
      </c>
      <c r="BC80">
        <v>0</v>
      </c>
      <c r="BD80">
        <v>0</v>
      </c>
      <c r="BE80">
        <v>0</v>
      </c>
      <c r="BF80" t="s">
        <v>493</v>
      </c>
      <c r="BG80" t="s">
        <v>4907</v>
      </c>
      <c r="BH80">
        <v>46</v>
      </c>
      <c r="BI80" t="s">
        <v>5060</v>
      </c>
      <c r="BK80">
        <v>817962</v>
      </c>
    </row>
    <row r="81" spans="1:63">
      <c r="A81" s="1">
        <f>HYPERLINK("https://lsnyc.legalserver.org/matter/dynamic-profile/view/1893660","19-1893660")</f>
        <v>0</v>
      </c>
      <c r="B81" t="s">
        <v>4365</v>
      </c>
      <c r="C81" t="s">
        <v>4496</v>
      </c>
      <c r="D81" t="s">
        <v>254</v>
      </c>
      <c r="E81" t="s">
        <v>4501</v>
      </c>
      <c r="F81" t="s">
        <v>273</v>
      </c>
      <c r="G81" t="s">
        <v>275</v>
      </c>
      <c r="H81">
        <v>120.02</v>
      </c>
      <c r="I81" t="s">
        <v>274</v>
      </c>
      <c r="K81" t="s">
        <v>4507</v>
      </c>
      <c r="O81" t="s">
        <v>275</v>
      </c>
      <c r="Q81" t="s">
        <v>502</v>
      </c>
      <c r="S81" t="s">
        <v>503</v>
      </c>
      <c r="T81" t="s">
        <v>507</v>
      </c>
      <c r="U81" t="s">
        <v>511</v>
      </c>
      <c r="V81">
        <v>10303</v>
      </c>
      <c r="W81" t="s">
        <v>521</v>
      </c>
      <c r="X81" t="s">
        <v>548</v>
      </c>
      <c r="Z81" t="s">
        <v>4611</v>
      </c>
      <c r="AA81" t="s">
        <v>4746</v>
      </c>
      <c r="AB81" t="s">
        <v>902</v>
      </c>
      <c r="AC81" t="s">
        <v>906</v>
      </c>
      <c r="AF81" t="s">
        <v>923</v>
      </c>
      <c r="AI81">
        <v>5.3</v>
      </c>
      <c r="AL81" t="s">
        <v>274</v>
      </c>
      <c r="AT81">
        <v>1</v>
      </c>
      <c r="AU81">
        <v>2</v>
      </c>
      <c r="AV81" t="s">
        <v>273</v>
      </c>
      <c r="AY81" t="s">
        <v>273</v>
      </c>
      <c r="BB81">
        <v>0</v>
      </c>
      <c r="BC81">
        <v>0</v>
      </c>
      <c r="BD81">
        <v>0</v>
      </c>
      <c r="BE81">
        <v>0</v>
      </c>
      <c r="BF81" t="s">
        <v>1063</v>
      </c>
      <c r="BG81" t="s">
        <v>4931</v>
      </c>
      <c r="BH81">
        <v>13</v>
      </c>
      <c r="BI81" t="s">
        <v>2740</v>
      </c>
      <c r="BK81">
        <v>1868964</v>
      </c>
    </row>
    <row r="82" spans="1:63">
      <c r="A82" s="1">
        <f>HYPERLINK("https://lsnyc.legalserver.org/matter/dynamic-profile/view/1893663","19-1893663")</f>
        <v>0</v>
      </c>
      <c r="B82" t="s">
        <v>4366</v>
      </c>
      <c r="C82" t="s">
        <v>4496</v>
      </c>
      <c r="D82" t="s">
        <v>252</v>
      </c>
      <c r="E82" t="s">
        <v>4500</v>
      </c>
      <c r="F82" t="s">
        <v>273</v>
      </c>
      <c r="G82" t="s">
        <v>275</v>
      </c>
      <c r="H82">
        <v>140.15</v>
      </c>
      <c r="I82" t="s">
        <v>274</v>
      </c>
      <c r="K82" t="s">
        <v>4507</v>
      </c>
      <c r="O82" t="s">
        <v>275</v>
      </c>
      <c r="Q82" t="s">
        <v>501</v>
      </c>
      <c r="S82" t="s">
        <v>503</v>
      </c>
      <c r="T82" t="s">
        <v>508</v>
      </c>
      <c r="U82" t="s">
        <v>511</v>
      </c>
      <c r="V82">
        <v>11220</v>
      </c>
      <c r="W82" t="s">
        <v>532</v>
      </c>
      <c r="X82" t="s">
        <v>548</v>
      </c>
      <c r="Z82" t="s">
        <v>3889</v>
      </c>
      <c r="AA82" t="s">
        <v>2102</v>
      </c>
      <c r="AB82" t="s">
        <v>902</v>
      </c>
      <c r="AC82" t="s">
        <v>905</v>
      </c>
      <c r="AF82" t="s">
        <v>923</v>
      </c>
      <c r="AI82">
        <v>10.2</v>
      </c>
      <c r="AL82" t="s">
        <v>274</v>
      </c>
      <c r="AT82">
        <v>1</v>
      </c>
      <c r="AU82">
        <v>1</v>
      </c>
      <c r="AV82" t="s">
        <v>273</v>
      </c>
      <c r="AY82" t="s">
        <v>273</v>
      </c>
      <c r="BB82">
        <v>0</v>
      </c>
      <c r="BC82">
        <v>0</v>
      </c>
      <c r="BD82">
        <v>0</v>
      </c>
      <c r="BE82">
        <v>0</v>
      </c>
      <c r="BF82" t="s">
        <v>1063</v>
      </c>
      <c r="BG82" t="s">
        <v>4932</v>
      </c>
      <c r="BH82">
        <v>54</v>
      </c>
      <c r="BI82" t="s">
        <v>5061</v>
      </c>
      <c r="BK82">
        <v>1863930</v>
      </c>
    </row>
    <row r="83" spans="1:63">
      <c r="A83" s="1">
        <f>HYPERLINK("https://lsnyc.legalserver.org/matter/dynamic-profile/view/1893670","19-1893670")</f>
        <v>0</v>
      </c>
      <c r="B83" t="s">
        <v>4367</v>
      </c>
      <c r="C83" t="s">
        <v>4496</v>
      </c>
      <c r="D83" t="s">
        <v>254</v>
      </c>
      <c r="E83" t="s">
        <v>4500</v>
      </c>
      <c r="F83" t="s">
        <v>275</v>
      </c>
      <c r="G83" t="s">
        <v>275</v>
      </c>
      <c r="H83">
        <v>41.91</v>
      </c>
      <c r="I83" t="s">
        <v>274</v>
      </c>
      <c r="K83" t="s">
        <v>2387</v>
      </c>
      <c r="L83" t="s">
        <v>288</v>
      </c>
      <c r="O83" t="s">
        <v>275</v>
      </c>
      <c r="P83" t="s">
        <v>493</v>
      </c>
      <c r="Q83" t="s">
        <v>501</v>
      </c>
      <c r="S83" t="s">
        <v>503</v>
      </c>
      <c r="T83" t="s">
        <v>507</v>
      </c>
      <c r="U83" t="s">
        <v>511</v>
      </c>
      <c r="V83">
        <v>10302</v>
      </c>
      <c r="W83" t="s">
        <v>520</v>
      </c>
      <c r="X83" t="s">
        <v>548</v>
      </c>
      <c r="Z83" t="s">
        <v>613</v>
      </c>
      <c r="AA83" t="s">
        <v>2214</v>
      </c>
      <c r="AB83" t="s">
        <v>902</v>
      </c>
      <c r="AC83" t="s">
        <v>906</v>
      </c>
      <c r="AD83" t="s">
        <v>275</v>
      </c>
      <c r="AE83" t="s">
        <v>919</v>
      </c>
      <c r="AF83" t="s">
        <v>923</v>
      </c>
      <c r="AI83">
        <v>3.4</v>
      </c>
      <c r="AK83" t="s">
        <v>936</v>
      </c>
      <c r="AL83" t="s">
        <v>274</v>
      </c>
      <c r="AM83" t="s">
        <v>973</v>
      </c>
      <c r="AN83" t="s">
        <v>990</v>
      </c>
      <c r="AQ83" t="s">
        <v>1036</v>
      </c>
      <c r="AR83" t="s">
        <v>1051</v>
      </c>
      <c r="AT83">
        <v>2</v>
      </c>
      <c r="AU83">
        <v>6</v>
      </c>
      <c r="AV83" t="s">
        <v>273</v>
      </c>
      <c r="AY83" t="s">
        <v>273</v>
      </c>
      <c r="BB83">
        <v>0</v>
      </c>
      <c r="BC83">
        <v>0</v>
      </c>
      <c r="BD83">
        <v>0</v>
      </c>
      <c r="BE83">
        <v>0</v>
      </c>
      <c r="BF83" t="s">
        <v>493</v>
      </c>
      <c r="BG83" t="s">
        <v>4933</v>
      </c>
      <c r="BH83">
        <v>26</v>
      </c>
      <c r="BI83" t="s">
        <v>1260</v>
      </c>
      <c r="BK83">
        <v>818032</v>
      </c>
    </row>
    <row r="84" spans="1:63">
      <c r="A84" s="1">
        <f>HYPERLINK("https://lsnyc.legalserver.org/matter/dynamic-profile/view/1890744","19-1890744")</f>
        <v>0</v>
      </c>
      <c r="B84" t="s">
        <v>4318</v>
      </c>
      <c r="C84" t="s">
        <v>4496</v>
      </c>
      <c r="D84" t="s">
        <v>254</v>
      </c>
      <c r="E84" t="s">
        <v>4498</v>
      </c>
      <c r="F84" t="s">
        <v>273</v>
      </c>
      <c r="G84" t="s">
        <v>275</v>
      </c>
      <c r="H84">
        <v>0</v>
      </c>
      <c r="I84" t="s">
        <v>274</v>
      </c>
      <c r="K84" t="s">
        <v>337</v>
      </c>
      <c r="P84" t="s">
        <v>492</v>
      </c>
      <c r="Q84" t="s">
        <v>501</v>
      </c>
      <c r="S84" t="s">
        <v>503</v>
      </c>
      <c r="T84" t="s">
        <v>507</v>
      </c>
      <c r="U84" t="s">
        <v>511</v>
      </c>
      <c r="V84">
        <v>11210</v>
      </c>
      <c r="W84" t="s">
        <v>521</v>
      </c>
      <c r="X84" t="s">
        <v>549</v>
      </c>
      <c r="Z84" t="s">
        <v>4580</v>
      </c>
      <c r="AA84" t="s">
        <v>4710</v>
      </c>
      <c r="AB84" t="s">
        <v>902</v>
      </c>
      <c r="AC84" t="s">
        <v>905</v>
      </c>
      <c r="AF84" t="s">
        <v>923</v>
      </c>
      <c r="AI84">
        <v>12.85</v>
      </c>
      <c r="AK84" t="s">
        <v>961</v>
      </c>
      <c r="AL84" t="s">
        <v>274</v>
      </c>
      <c r="AM84" t="s">
        <v>973</v>
      </c>
      <c r="AN84" t="s">
        <v>1696</v>
      </c>
      <c r="AT84">
        <v>0</v>
      </c>
      <c r="AU84">
        <v>1</v>
      </c>
      <c r="AV84" t="s">
        <v>273</v>
      </c>
      <c r="AY84" t="s">
        <v>273</v>
      </c>
      <c r="BB84">
        <v>0</v>
      </c>
      <c r="BC84">
        <v>0</v>
      </c>
      <c r="BD84">
        <v>0</v>
      </c>
      <c r="BE84">
        <v>0</v>
      </c>
      <c r="BF84" t="s">
        <v>1063</v>
      </c>
      <c r="BG84" t="s">
        <v>4886</v>
      </c>
      <c r="BH84">
        <v>26</v>
      </c>
      <c r="BI84" t="s">
        <v>1247</v>
      </c>
      <c r="BK84">
        <v>1891376</v>
      </c>
    </row>
    <row r="85" spans="1:63">
      <c r="A85" s="1">
        <f>HYPERLINK("https://lsnyc.legalserver.org/matter/dynamic-profile/view/1891668","19-1891668")</f>
        <v>0</v>
      </c>
      <c r="B85" t="s">
        <v>4302</v>
      </c>
      <c r="C85" t="s">
        <v>4496</v>
      </c>
      <c r="D85" t="s">
        <v>254</v>
      </c>
      <c r="E85" t="s">
        <v>4498</v>
      </c>
      <c r="F85" t="s">
        <v>273</v>
      </c>
      <c r="G85" t="s">
        <v>275</v>
      </c>
      <c r="H85">
        <v>241.47</v>
      </c>
      <c r="I85" t="s">
        <v>274</v>
      </c>
      <c r="J85" t="s">
        <v>4504</v>
      </c>
      <c r="K85" t="s">
        <v>340</v>
      </c>
      <c r="P85" t="s">
        <v>492</v>
      </c>
      <c r="Q85" t="s">
        <v>501</v>
      </c>
      <c r="S85" t="s">
        <v>503</v>
      </c>
      <c r="T85" t="s">
        <v>509</v>
      </c>
      <c r="U85" t="s">
        <v>511</v>
      </c>
      <c r="V85">
        <v>10473</v>
      </c>
      <c r="W85" t="s">
        <v>519</v>
      </c>
      <c r="X85" t="s">
        <v>549</v>
      </c>
      <c r="Z85" t="s">
        <v>4569</v>
      </c>
      <c r="AA85" t="s">
        <v>4700</v>
      </c>
      <c r="AB85" t="s">
        <v>902</v>
      </c>
      <c r="AC85" t="s">
        <v>905</v>
      </c>
      <c r="AF85" t="s">
        <v>926</v>
      </c>
      <c r="AI85">
        <v>68.09999999999999</v>
      </c>
      <c r="AJ85" t="s">
        <v>558</v>
      </c>
      <c r="AK85" t="s">
        <v>3268</v>
      </c>
      <c r="AL85" t="s">
        <v>274</v>
      </c>
      <c r="AT85">
        <v>0</v>
      </c>
      <c r="AU85">
        <v>1</v>
      </c>
      <c r="AV85" t="s">
        <v>273</v>
      </c>
      <c r="AY85" t="s">
        <v>273</v>
      </c>
      <c r="BB85">
        <v>0</v>
      </c>
      <c r="BC85">
        <v>0</v>
      </c>
      <c r="BD85">
        <v>0</v>
      </c>
      <c r="BE85">
        <v>0</v>
      </c>
      <c r="BF85" t="s">
        <v>1063</v>
      </c>
      <c r="BG85" t="s">
        <v>4872</v>
      </c>
      <c r="BH85">
        <v>39</v>
      </c>
      <c r="BI85" t="s">
        <v>5051</v>
      </c>
      <c r="BK85">
        <v>1892302</v>
      </c>
    </row>
    <row r="86" spans="1:63">
      <c r="A86" s="1">
        <f>HYPERLINK("https://lsnyc.legalserver.org/matter/dynamic-profile/view/1889375","19-1889375")</f>
        <v>0</v>
      </c>
      <c r="B86" t="s">
        <v>4368</v>
      </c>
      <c r="C86" t="s">
        <v>4496</v>
      </c>
      <c r="D86" t="s">
        <v>254</v>
      </c>
      <c r="E86" t="s">
        <v>4498</v>
      </c>
      <c r="F86" t="s">
        <v>275</v>
      </c>
      <c r="G86" t="s">
        <v>275</v>
      </c>
      <c r="H86">
        <v>61.5</v>
      </c>
      <c r="I86" t="s">
        <v>274</v>
      </c>
      <c r="K86" t="s">
        <v>1698</v>
      </c>
      <c r="L86" t="s">
        <v>464</v>
      </c>
      <c r="O86" t="s">
        <v>275</v>
      </c>
      <c r="P86" t="s">
        <v>493</v>
      </c>
      <c r="Q86" t="s">
        <v>501</v>
      </c>
      <c r="S86" t="s">
        <v>503</v>
      </c>
      <c r="T86" t="s">
        <v>507</v>
      </c>
      <c r="U86" t="s">
        <v>511</v>
      </c>
      <c r="V86">
        <v>10310</v>
      </c>
      <c r="W86" t="s">
        <v>523</v>
      </c>
      <c r="X86" t="s">
        <v>548</v>
      </c>
      <c r="Z86" t="s">
        <v>4612</v>
      </c>
      <c r="AA86" t="s">
        <v>4747</v>
      </c>
      <c r="AB86" t="s">
        <v>902</v>
      </c>
      <c r="AC86" t="s">
        <v>905</v>
      </c>
      <c r="AD86" t="s">
        <v>275</v>
      </c>
      <c r="AE86" t="s">
        <v>920</v>
      </c>
      <c r="AF86" t="s">
        <v>928</v>
      </c>
      <c r="AI86">
        <v>1.7</v>
      </c>
      <c r="AJ86" t="s">
        <v>558</v>
      </c>
      <c r="AK86" t="s">
        <v>945</v>
      </c>
      <c r="AL86" t="s">
        <v>274</v>
      </c>
      <c r="AQ86" t="s">
        <v>1033</v>
      </c>
      <c r="AR86" t="s">
        <v>1051</v>
      </c>
      <c r="AT86">
        <v>0</v>
      </c>
      <c r="AU86">
        <v>2</v>
      </c>
      <c r="AV86" t="s">
        <v>273</v>
      </c>
      <c r="AY86" t="s">
        <v>273</v>
      </c>
      <c r="BB86">
        <v>0</v>
      </c>
      <c r="BC86">
        <v>0</v>
      </c>
      <c r="BD86">
        <v>0</v>
      </c>
      <c r="BE86">
        <v>0</v>
      </c>
      <c r="BF86" t="s">
        <v>493</v>
      </c>
      <c r="BG86" t="s">
        <v>4934</v>
      </c>
      <c r="BH86">
        <v>38</v>
      </c>
      <c r="BI86" t="s">
        <v>1301</v>
      </c>
      <c r="BK86">
        <v>1864041</v>
      </c>
    </row>
    <row r="87" spans="1:63">
      <c r="A87" s="1">
        <f>HYPERLINK("https://lsnyc.legalserver.org/matter/dynamic-profile/view/1891337","19-1891337")</f>
        <v>0</v>
      </c>
      <c r="B87" t="s">
        <v>4369</v>
      </c>
      <c r="C87" t="s">
        <v>4496</v>
      </c>
      <c r="D87" t="s">
        <v>254</v>
      </c>
      <c r="E87" t="s">
        <v>4501</v>
      </c>
      <c r="F87" t="s">
        <v>273</v>
      </c>
      <c r="G87" t="s">
        <v>275</v>
      </c>
      <c r="H87">
        <v>196.91</v>
      </c>
      <c r="I87" t="s">
        <v>274</v>
      </c>
      <c r="K87" t="s">
        <v>1701</v>
      </c>
      <c r="Q87" t="s">
        <v>501</v>
      </c>
      <c r="S87" t="s">
        <v>503</v>
      </c>
      <c r="T87" t="s">
        <v>507</v>
      </c>
      <c r="U87" t="s">
        <v>511</v>
      </c>
      <c r="V87">
        <v>10301</v>
      </c>
      <c r="W87" t="s">
        <v>523</v>
      </c>
      <c r="X87" t="s">
        <v>548</v>
      </c>
      <c r="Z87" t="s">
        <v>4613</v>
      </c>
      <c r="AA87" t="s">
        <v>4748</v>
      </c>
      <c r="AB87" t="s">
        <v>902</v>
      </c>
      <c r="AC87" t="s">
        <v>904</v>
      </c>
      <c r="AF87" t="s">
        <v>923</v>
      </c>
      <c r="AI87">
        <v>3.4</v>
      </c>
      <c r="AJ87" t="s">
        <v>558</v>
      </c>
      <c r="AK87" t="s">
        <v>949</v>
      </c>
      <c r="AL87" t="s">
        <v>274</v>
      </c>
      <c r="AM87" t="s">
        <v>973</v>
      </c>
      <c r="AN87" t="s">
        <v>991</v>
      </c>
      <c r="AT87">
        <v>1</v>
      </c>
      <c r="AU87">
        <v>2</v>
      </c>
      <c r="AV87" t="s">
        <v>273</v>
      </c>
      <c r="AY87" t="s">
        <v>273</v>
      </c>
      <c r="BB87">
        <v>0</v>
      </c>
      <c r="BC87">
        <v>0</v>
      </c>
      <c r="BD87">
        <v>0</v>
      </c>
      <c r="BE87">
        <v>0</v>
      </c>
      <c r="BF87" t="s">
        <v>1063</v>
      </c>
      <c r="BG87" t="s">
        <v>4935</v>
      </c>
      <c r="BH87">
        <v>41</v>
      </c>
      <c r="BI87" t="s">
        <v>2747</v>
      </c>
      <c r="BK87">
        <v>1875595</v>
      </c>
    </row>
    <row r="88" spans="1:63">
      <c r="A88" s="1">
        <f>HYPERLINK("https://lsnyc.legalserver.org/matter/dynamic-profile/view/1886911","19-1886911")</f>
        <v>0</v>
      </c>
      <c r="B88" t="s">
        <v>4370</v>
      </c>
      <c r="C88" t="s">
        <v>4496</v>
      </c>
      <c r="D88" t="s">
        <v>254</v>
      </c>
      <c r="E88" t="s">
        <v>4501</v>
      </c>
      <c r="F88" t="s">
        <v>273</v>
      </c>
      <c r="G88" t="s">
        <v>275</v>
      </c>
      <c r="H88">
        <v>0</v>
      </c>
      <c r="I88" t="s">
        <v>274</v>
      </c>
      <c r="K88" t="s">
        <v>1702</v>
      </c>
      <c r="P88" t="s">
        <v>492</v>
      </c>
      <c r="Q88" t="s">
        <v>501</v>
      </c>
      <c r="S88" t="s">
        <v>503</v>
      </c>
      <c r="T88" t="s">
        <v>507</v>
      </c>
      <c r="U88" t="s">
        <v>511</v>
      </c>
      <c r="V88">
        <v>10303</v>
      </c>
      <c r="W88" t="s">
        <v>519</v>
      </c>
      <c r="X88" t="s">
        <v>549</v>
      </c>
      <c r="Z88" t="s">
        <v>4575</v>
      </c>
      <c r="AA88" t="s">
        <v>4749</v>
      </c>
      <c r="AB88" t="s">
        <v>902</v>
      </c>
      <c r="AC88" t="s">
        <v>910</v>
      </c>
      <c r="AF88" t="s">
        <v>926</v>
      </c>
      <c r="AI88">
        <v>50.9</v>
      </c>
      <c r="AJ88" t="s">
        <v>558</v>
      </c>
      <c r="AK88" t="s">
        <v>948</v>
      </c>
      <c r="AL88" t="s">
        <v>274</v>
      </c>
      <c r="AM88" t="s">
        <v>973</v>
      </c>
      <c r="AN88" t="s">
        <v>335</v>
      </c>
      <c r="AT88">
        <v>0</v>
      </c>
      <c r="AU88">
        <v>1</v>
      </c>
      <c r="AV88" t="s">
        <v>273</v>
      </c>
      <c r="AY88" t="s">
        <v>273</v>
      </c>
      <c r="BB88">
        <v>0</v>
      </c>
      <c r="BC88">
        <v>0</v>
      </c>
      <c r="BD88">
        <v>0</v>
      </c>
      <c r="BE88">
        <v>0</v>
      </c>
      <c r="BF88" t="s">
        <v>1063</v>
      </c>
      <c r="BG88" t="s">
        <v>4936</v>
      </c>
      <c r="BH88">
        <v>22</v>
      </c>
      <c r="BI88" t="s">
        <v>1247</v>
      </c>
      <c r="BK88">
        <v>1887539</v>
      </c>
    </row>
    <row r="89" spans="1:63">
      <c r="A89" s="1">
        <f>HYPERLINK("https://lsnyc.legalserver.org/matter/dynamic-profile/view/1891200","19-1891200")</f>
        <v>0</v>
      </c>
      <c r="B89" t="s">
        <v>4294</v>
      </c>
      <c r="C89" t="s">
        <v>4496</v>
      </c>
      <c r="D89" t="s">
        <v>254</v>
      </c>
      <c r="E89" t="s">
        <v>4499</v>
      </c>
      <c r="F89" t="s">
        <v>273</v>
      </c>
      <c r="G89" t="s">
        <v>275</v>
      </c>
      <c r="H89">
        <v>0</v>
      </c>
      <c r="I89" t="s">
        <v>274</v>
      </c>
      <c r="K89" t="s">
        <v>345</v>
      </c>
      <c r="Q89" t="s">
        <v>502</v>
      </c>
      <c r="S89" t="s">
        <v>504</v>
      </c>
      <c r="T89" t="s">
        <v>507</v>
      </c>
      <c r="U89" t="s">
        <v>512</v>
      </c>
      <c r="V89">
        <v>10302</v>
      </c>
      <c r="X89" t="s">
        <v>548</v>
      </c>
      <c r="Z89" t="s">
        <v>1883</v>
      </c>
      <c r="AA89" t="s">
        <v>4693</v>
      </c>
      <c r="AB89" t="s">
        <v>902</v>
      </c>
      <c r="AC89" t="s">
        <v>906</v>
      </c>
      <c r="AF89" t="s">
        <v>924</v>
      </c>
      <c r="AI89">
        <v>92.3</v>
      </c>
      <c r="AK89" t="s">
        <v>936</v>
      </c>
      <c r="AL89" t="s">
        <v>274</v>
      </c>
      <c r="AM89" t="s">
        <v>973</v>
      </c>
      <c r="AN89" t="s">
        <v>1700</v>
      </c>
      <c r="AT89">
        <v>4</v>
      </c>
      <c r="AU89">
        <v>2</v>
      </c>
      <c r="AV89" t="s">
        <v>273</v>
      </c>
      <c r="AY89" t="s">
        <v>273</v>
      </c>
      <c r="BB89">
        <v>0</v>
      </c>
      <c r="BC89">
        <v>0</v>
      </c>
      <c r="BD89">
        <v>0</v>
      </c>
      <c r="BE89">
        <v>0</v>
      </c>
      <c r="BF89" t="s">
        <v>1063</v>
      </c>
      <c r="BG89" t="s">
        <v>4864</v>
      </c>
      <c r="BH89">
        <v>17</v>
      </c>
      <c r="BI89" t="s">
        <v>1247</v>
      </c>
      <c r="BK89">
        <v>817334</v>
      </c>
    </row>
    <row r="90" spans="1:63">
      <c r="A90" s="1">
        <f>HYPERLINK("https://lsnyc.legalserver.org/matter/dynamic-profile/view/1889711","19-1889711")</f>
        <v>0</v>
      </c>
      <c r="B90" t="s">
        <v>4371</v>
      </c>
      <c r="C90" t="s">
        <v>4496</v>
      </c>
      <c r="D90" t="s">
        <v>254</v>
      </c>
      <c r="E90" t="s">
        <v>4501</v>
      </c>
      <c r="F90" t="s">
        <v>273</v>
      </c>
      <c r="G90" t="s">
        <v>275</v>
      </c>
      <c r="H90">
        <v>63.94</v>
      </c>
      <c r="I90" t="s">
        <v>274</v>
      </c>
      <c r="K90" t="s">
        <v>347</v>
      </c>
      <c r="O90" t="s">
        <v>275</v>
      </c>
      <c r="Q90" t="s">
        <v>501</v>
      </c>
      <c r="S90" t="s">
        <v>503</v>
      </c>
      <c r="T90" t="s">
        <v>508</v>
      </c>
      <c r="U90" t="s">
        <v>511</v>
      </c>
      <c r="V90">
        <v>10301</v>
      </c>
      <c r="W90" t="s">
        <v>524</v>
      </c>
      <c r="X90" t="s">
        <v>549</v>
      </c>
      <c r="Z90" t="s">
        <v>778</v>
      </c>
      <c r="AA90" t="s">
        <v>4750</v>
      </c>
      <c r="AB90" t="s">
        <v>902</v>
      </c>
      <c r="AC90" t="s">
        <v>909</v>
      </c>
      <c r="AF90" t="s">
        <v>923</v>
      </c>
      <c r="AI90">
        <v>6</v>
      </c>
      <c r="AK90" t="s">
        <v>951</v>
      </c>
      <c r="AL90" t="s">
        <v>274</v>
      </c>
      <c r="AT90">
        <v>0</v>
      </c>
      <c r="AU90">
        <v>2</v>
      </c>
      <c r="AV90" t="s">
        <v>273</v>
      </c>
      <c r="AY90" t="s">
        <v>273</v>
      </c>
      <c r="BB90">
        <v>0</v>
      </c>
      <c r="BC90">
        <v>0</v>
      </c>
      <c r="BD90">
        <v>0</v>
      </c>
      <c r="BE90">
        <v>0</v>
      </c>
      <c r="BF90" t="s">
        <v>1063</v>
      </c>
      <c r="BG90" t="s">
        <v>4937</v>
      </c>
      <c r="BH90">
        <v>24</v>
      </c>
      <c r="BI90" t="s">
        <v>5062</v>
      </c>
      <c r="BK90">
        <v>1869028</v>
      </c>
    </row>
    <row r="91" spans="1:63">
      <c r="A91" s="1">
        <f>HYPERLINK("https://lsnyc.legalserver.org/matter/dynamic-profile/view/1889306","19-1889306")</f>
        <v>0</v>
      </c>
      <c r="B91" t="s">
        <v>4372</v>
      </c>
      <c r="C91" t="s">
        <v>4496</v>
      </c>
      <c r="D91" t="s">
        <v>254</v>
      </c>
      <c r="E91" t="s">
        <v>4499</v>
      </c>
      <c r="F91" t="s">
        <v>273</v>
      </c>
      <c r="G91" t="s">
        <v>275</v>
      </c>
      <c r="H91">
        <v>0</v>
      </c>
      <c r="I91" t="s">
        <v>274</v>
      </c>
      <c r="K91" t="s">
        <v>349</v>
      </c>
      <c r="P91" t="s">
        <v>492</v>
      </c>
      <c r="Q91" t="s">
        <v>501</v>
      </c>
      <c r="S91" t="s">
        <v>503</v>
      </c>
      <c r="T91" t="s">
        <v>507</v>
      </c>
      <c r="U91" t="s">
        <v>511</v>
      </c>
      <c r="V91">
        <v>10314</v>
      </c>
      <c r="W91" t="s">
        <v>521</v>
      </c>
      <c r="X91" t="s">
        <v>1839</v>
      </c>
      <c r="Z91" t="s">
        <v>4614</v>
      </c>
      <c r="AA91" t="s">
        <v>4751</v>
      </c>
      <c r="AB91" t="s">
        <v>902</v>
      </c>
      <c r="AC91" t="s">
        <v>906</v>
      </c>
      <c r="AF91" t="s">
        <v>923</v>
      </c>
      <c r="AI91">
        <v>17.8</v>
      </c>
      <c r="AJ91" t="s">
        <v>558</v>
      </c>
      <c r="AK91" t="s">
        <v>954</v>
      </c>
      <c r="AL91" t="s">
        <v>274</v>
      </c>
      <c r="AM91" t="s">
        <v>973</v>
      </c>
      <c r="AN91" t="s">
        <v>1699</v>
      </c>
      <c r="AT91">
        <v>2</v>
      </c>
      <c r="AU91">
        <v>2</v>
      </c>
      <c r="AV91" t="s">
        <v>273</v>
      </c>
      <c r="AY91" t="s">
        <v>273</v>
      </c>
      <c r="BB91">
        <v>0</v>
      </c>
      <c r="BC91">
        <v>0</v>
      </c>
      <c r="BD91">
        <v>0</v>
      </c>
      <c r="BE91">
        <v>0</v>
      </c>
      <c r="BF91" t="s">
        <v>1063</v>
      </c>
      <c r="BG91" t="s">
        <v>4938</v>
      </c>
      <c r="BH91">
        <v>37</v>
      </c>
      <c r="BI91" t="s">
        <v>1247</v>
      </c>
      <c r="BK91">
        <v>1885818</v>
      </c>
    </row>
    <row r="92" spans="1:63">
      <c r="A92" s="1">
        <f>HYPERLINK("https://lsnyc.legalserver.org/matter/dynamic-profile/view/1885328","18-1885328")</f>
        <v>0</v>
      </c>
      <c r="B92" t="s">
        <v>4303</v>
      </c>
      <c r="C92" t="s">
        <v>4496</v>
      </c>
      <c r="D92" t="s">
        <v>254</v>
      </c>
      <c r="E92" t="s">
        <v>4498</v>
      </c>
      <c r="F92" t="s">
        <v>273</v>
      </c>
      <c r="G92" t="s">
        <v>275</v>
      </c>
      <c r="H92">
        <v>171.33</v>
      </c>
      <c r="I92" t="s">
        <v>274</v>
      </c>
      <c r="K92" t="s">
        <v>351</v>
      </c>
      <c r="O92" t="s">
        <v>275</v>
      </c>
      <c r="P92" t="s">
        <v>492</v>
      </c>
      <c r="Q92" t="s">
        <v>501</v>
      </c>
      <c r="S92" t="s">
        <v>503</v>
      </c>
      <c r="T92" t="s">
        <v>508</v>
      </c>
      <c r="U92" t="s">
        <v>511</v>
      </c>
      <c r="V92">
        <v>10314</v>
      </c>
      <c r="W92" t="s">
        <v>521</v>
      </c>
      <c r="X92" t="s">
        <v>548</v>
      </c>
      <c r="Z92" t="s">
        <v>4570</v>
      </c>
      <c r="AA92" t="s">
        <v>2191</v>
      </c>
      <c r="AB92" t="s">
        <v>902</v>
      </c>
      <c r="AC92" t="s">
        <v>906</v>
      </c>
      <c r="AF92" t="s">
        <v>923</v>
      </c>
      <c r="AI92">
        <v>33.1</v>
      </c>
      <c r="AK92" t="s">
        <v>933</v>
      </c>
      <c r="AL92" t="s">
        <v>274</v>
      </c>
      <c r="AT92">
        <v>0</v>
      </c>
      <c r="AU92">
        <v>1</v>
      </c>
      <c r="AV92" t="s">
        <v>273</v>
      </c>
      <c r="AY92" t="s">
        <v>273</v>
      </c>
      <c r="BB92">
        <v>0</v>
      </c>
      <c r="BC92">
        <v>0</v>
      </c>
      <c r="BD92">
        <v>0</v>
      </c>
      <c r="BE92">
        <v>0</v>
      </c>
      <c r="BF92" t="s">
        <v>1063</v>
      </c>
      <c r="BG92" t="s">
        <v>4873</v>
      </c>
      <c r="BH92">
        <v>32</v>
      </c>
      <c r="BI92" t="s">
        <v>1261</v>
      </c>
      <c r="BK92">
        <v>1885955</v>
      </c>
    </row>
    <row r="93" spans="1:63">
      <c r="A93" s="1">
        <f>HYPERLINK("https://lsnyc.legalserver.org/matter/dynamic-profile/view/1887947","19-1887947")</f>
        <v>0</v>
      </c>
      <c r="B93" t="s">
        <v>4355</v>
      </c>
      <c r="C93" t="s">
        <v>4496</v>
      </c>
      <c r="D93" t="s">
        <v>254</v>
      </c>
      <c r="E93" t="s">
        <v>4498</v>
      </c>
      <c r="F93" t="s">
        <v>275</v>
      </c>
      <c r="G93" t="s">
        <v>275</v>
      </c>
      <c r="H93">
        <v>50.05</v>
      </c>
      <c r="I93" t="s">
        <v>274</v>
      </c>
      <c r="K93" t="s">
        <v>1706</v>
      </c>
      <c r="L93" t="s">
        <v>1003</v>
      </c>
      <c r="O93" t="s">
        <v>275</v>
      </c>
      <c r="P93" t="s">
        <v>493</v>
      </c>
      <c r="Q93" t="s">
        <v>501</v>
      </c>
      <c r="S93" t="s">
        <v>503</v>
      </c>
      <c r="T93" t="s">
        <v>510</v>
      </c>
      <c r="U93" t="s">
        <v>511</v>
      </c>
      <c r="V93">
        <v>10310</v>
      </c>
      <c r="W93" t="s">
        <v>521</v>
      </c>
      <c r="X93" t="s">
        <v>548</v>
      </c>
      <c r="Z93" t="s">
        <v>4604</v>
      </c>
      <c r="AA93" t="s">
        <v>2209</v>
      </c>
      <c r="AB93" t="s">
        <v>902</v>
      </c>
      <c r="AC93" t="s">
        <v>905</v>
      </c>
      <c r="AD93" t="s">
        <v>275</v>
      </c>
      <c r="AE93" t="s">
        <v>920</v>
      </c>
      <c r="AF93" t="s">
        <v>923</v>
      </c>
      <c r="AI93">
        <v>4.6</v>
      </c>
      <c r="AK93" t="s">
        <v>934</v>
      </c>
      <c r="AL93" t="s">
        <v>274</v>
      </c>
      <c r="AQ93" t="s">
        <v>1033</v>
      </c>
      <c r="AR93" t="s">
        <v>1051</v>
      </c>
      <c r="AT93">
        <v>0</v>
      </c>
      <c r="AU93">
        <v>3</v>
      </c>
      <c r="AV93" t="s">
        <v>273</v>
      </c>
      <c r="AY93" t="s">
        <v>273</v>
      </c>
      <c r="BB93">
        <v>0</v>
      </c>
      <c r="BC93">
        <v>0</v>
      </c>
      <c r="BD93">
        <v>0</v>
      </c>
      <c r="BE93">
        <v>0</v>
      </c>
      <c r="BF93" t="s">
        <v>493</v>
      </c>
      <c r="BG93" t="s">
        <v>4921</v>
      </c>
      <c r="BH93">
        <v>30</v>
      </c>
      <c r="BI93" t="s">
        <v>1301</v>
      </c>
      <c r="BK93">
        <v>1888576</v>
      </c>
    </row>
    <row r="94" spans="1:63">
      <c r="A94" s="1">
        <f>HYPERLINK("https://lsnyc.legalserver.org/matter/dynamic-profile/view/1886896","19-1886896")</f>
        <v>0</v>
      </c>
      <c r="B94" t="s">
        <v>4373</v>
      </c>
      <c r="C94" t="s">
        <v>4496</v>
      </c>
      <c r="D94" t="s">
        <v>254</v>
      </c>
      <c r="E94" t="s">
        <v>4499</v>
      </c>
      <c r="F94" t="s">
        <v>273</v>
      </c>
      <c r="G94" t="s">
        <v>275</v>
      </c>
      <c r="H94">
        <v>38.25</v>
      </c>
      <c r="I94" t="s">
        <v>274</v>
      </c>
      <c r="K94" t="s">
        <v>1706</v>
      </c>
      <c r="P94" t="s">
        <v>492</v>
      </c>
      <c r="Q94" t="s">
        <v>501</v>
      </c>
      <c r="S94" t="s">
        <v>503</v>
      </c>
      <c r="T94" t="s">
        <v>508</v>
      </c>
      <c r="U94" t="s">
        <v>511</v>
      </c>
      <c r="V94">
        <v>10306</v>
      </c>
      <c r="W94" t="s">
        <v>532</v>
      </c>
      <c r="X94" t="s">
        <v>549</v>
      </c>
      <c r="Z94" t="s">
        <v>4615</v>
      </c>
      <c r="AA94" t="s">
        <v>828</v>
      </c>
      <c r="AB94" t="s">
        <v>902</v>
      </c>
      <c r="AC94" t="s">
        <v>905</v>
      </c>
      <c r="AF94" t="s">
        <v>923</v>
      </c>
      <c r="AI94">
        <v>23.65</v>
      </c>
      <c r="AJ94" t="s">
        <v>558</v>
      </c>
      <c r="AK94" t="s">
        <v>933</v>
      </c>
      <c r="AL94" t="s">
        <v>274</v>
      </c>
      <c r="AT94">
        <v>2</v>
      </c>
      <c r="AU94">
        <v>2</v>
      </c>
      <c r="AV94" t="s">
        <v>273</v>
      </c>
      <c r="AY94" t="s">
        <v>273</v>
      </c>
      <c r="BB94">
        <v>0</v>
      </c>
      <c r="BC94">
        <v>0</v>
      </c>
      <c r="BD94">
        <v>0</v>
      </c>
      <c r="BE94">
        <v>0</v>
      </c>
      <c r="BF94" t="s">
        <v>1063</v>
      </c>
      <c r="BG94" t="s">
        <v>4939</v>
      </c>
      <c r="BH94">
        <v>23</v>
      </c>
      <c r="BI94" t="s">
        <v>1280</v>
      </c>
      <c r="BK94">
        <v>1887524</v>
      </c>
    </row>
    <row r="95" spans="1:63">
      <c r="A95" s="1">
        <f>HYPERLINK("https://lsnyc.legalserver.org/matter/dynamic-profile/view/1885327","18-1885327")</f>
        <v>0</v>
      </c>
      <c r="B95" t="s">
        <v>4374</v>
      </c>
      <c r="C95" t="s">
        <v>4496</v>
      </c>
      <c r="D95" t="s">
        <v>254</v>
      </c>
      <c r="E95" t="s">
        <v>4498</v>
      </c>
      <c r="F95" t="s">
        <v>275</v>
      </c>
      <c r="G95" t="s">
        <v>275</v>
      </c>
      <c r="H95">
        <v>0</v>
      </c>
      <c r="I95" t="s">
        <v>274</v>
      </c>
      <c r="K95" t="s">
        <v>352</v>
      </c>
      <c r="L95" t="s">
        <v>1663</v>
      </c>
      <c r="O95" t="s">
        <v>275</v>
      </c>
      <c r="P95" t="s">
        <v>493</v>
      </c>
      <c r="Q95" t="s">
        <v>501</v>
      </c>
      <c r="S95" t="s">
        <v>503</v>
      </c>
      <c r="T95" t="s">
        <v>507</v>
      </c>
      <c r="U95" t="s">
        <v>511</v>
      </c>
      <c r="V95">
        <v>10304</v>
      </c>
      <c r="W95" t="s">
        <v>521</v>
      </c>
      <c r="X95" t="s">
        <v>549</v>
      </c>
      <c r="Z95" t="s">
        <v>4616</v>
      </c>
      <c r="AA95" t="s">
        <v>4752</v>
      </c>
      <c r="AB95" t="s">
        <v>902</v>
      </c>
      <c r="AC95" t="s">
        <v>906</v>
      </c>
      <c r="AD95" t="s">
        <v>275</v>
      </c>
      <c r="AE95" t="s">
        <v>919</v>
      </c>
      <c r="AF95" t="s">
        <v>923</v>
      </c>
      <c r="AI95">
        <v>31.8</v>
      </c>
      <c r="AK95" t="s">
        <v>961</v>
      </c>
      <c r="AL95" t="s">
        <v>274</v>
      </c>
      <c r="AQ95" t="s">
        <v>1039</v>
      </c>
      <c r="AR95" t="s">
        <v>1051</v>
      </c>
      <c r="AT95">
        <v>0</v>
      </c>
      <c r="AU95">
        <v>1</v>
      </c>
      <c r="AV95" t="s">
        <v>273</v>
      </c>
      <c r="AY95" t="s">
        <v>273</v>
      </c>
      <c r="BB95">
        <v>0</v>
      </c>
      <c r="BC95">
        <v>0</v>
      </c>
      <c r="BD95">
        <v>0</v>
      </c>
      <c r="BE95">
        <v>0</v>
      </c>
      <c r="BF95" t="s">
        <v>493</v>
      </c>
      <c r="BG95" t="s">
        <v>4940</v>
      </c>
      <c r="BH95">
        <v>45</v>
      </c>
      <c r="BI95" t="s">
        <v>1247</v>
      </c>
      <c r="BK95">
        <v>1885954</v>
      </c>
    </row>
    <row r="96" spans="1:63">
      <c r="A96" s="1">
        <f>HYPERLINK("https://lsnyc.legalserver.org/matter/dynamic-profile/view/1888504","19-1888504")</f>
        <v>0</v>
      </c>
      <c r="B96" t="s">
        <v>4375</v>
      </c>
      <c r="C96" t="s">
        <v>4496</v>
      </c>
      <c r="D96" t="s">
        <v>254</v>
      </c>
      <c r="E96" t="s">
        <v>4500</v>
      </c>
      <c r="F96" t="s">
        <v>273</v>
      </c>
      <c r="G96" t="s">
        <v>275</v>
      </c>
      <c r="H96">
        <v>0</v>
      </c>
      <c r="I96" t="s">
        <v>274</v>
      </c>
      <c r="K96" t="s">
        <v>352</v>
      </c>
      <c r="O96" t="s">
        <v>275</v>
      </c>
      <c r="P96" t="s">
        <v>492</v>
      </c>
      <c r="Q96" t="s">
        <v>502</v>
      </c>
      <c r="S96" t="s">
        <v>503</v>
      </c>
      <c r="T96" t="s">
        <v>507</v>
      </c>
      <c r="U96" t="s">
        <v>511</v>
      </c>
      <c r="V96">
        <v>10301</v>
      </c>
      <c r="W96" t="s">
        <v>521</v>
      </c>
      <c r="Z96" t="s">
        <v>4617</v>
      </c>
      <c r="AA96" t="s">
        <v>4753</v>
      </c>
      <c r="AB96" t="s">
        <v>902</v>
      </c>
      <c r="AC96" t="s">
        <v>905</v>
      </c>
      <c r="AF96" t="s">
        <v>923</v>
      </c>
      <c r="AI96">
        <v>2</v>
      </c>
      <c r="AJ96" t="s">
        <v>558</v>
      </c>
      <c r="AK96" t="s">
        <v>936</v>
      </c>
      <c r="AL96" t="s">
        <v>274</v>
      </c>
      <c r="AM96" t="s">
        <v>973</v>
      </c>
      <c r="AN96" t="s">
        <v>325</v>
      </c>
      <c r="AT96">
        <v>2</v>
      </c>
      <c r="AU96">
        <v>1</v>
      </c>
      <c r="AV96" t="s">
        <v>273</v>
      </c>
      <c r="AY96" t="s">
        <v>273</v>
      </c>
      <c r="BB96">
        <v>0</v>
      </c>
      <c r="BC96">
        <v>0</v>
      </c>
      <c r="BD96">
        <v>0</v>
      </c>
      <c r="BE96">
        <v>0</v>
      </c>
      <c r="BF96" t="s">
        <v>1063</v>
      </c>
      <c r="BG96" t="s">
        <v>4941</v>
      </c>
      <c r="BH96">
        <v>15</v>
      </c>
      <c r="BI96" t="s">
        <v>1247</v>
      </c>
      <c r="BK96">
        <v>1881482</v>
      </c>
    </row>
    <row r="97" spans="1:63">
      <c r="A97" s="1">
        <f>HYPERLINK("https://lsnyc.legalserver.org/matter/dynamic-profile/view/1888295","19-1888295")</f>
        <v>0</v>
      </c>
      <c r="B97" t="s">
        <v>4301</v>
      </c>
      <c r="C97" t="s">
        <v>4496</v>
      </c>
      <c r="D97" t="s">
        <v>254</v>
      </c>
      <c r="E97" t="s">
        <v>4498</v>
      </c>
      <c r="F97" t="s">
        <v>273</v>
      </c>
      <c r="G97" t="s">
        <v>275</v>
      </c>
      <c r="H97">
        <v>42.83</v>
      </c>
      <c r="I97" t="s">
        <v>274</v>
      </c>
      <c r="K97" t="s">
        <v>353</v>
      </c>
      <c r="O97" t="s">
        <v>275</v>
      </c>
      <c r="P97" t="s">
        <v>492</v>
      </c>
      <c r="Q97" t="s">
        <v>501</v>
      </c>
      <c r="R97" t="s">
        <v>501</v>
      </c>
      <c r="S97" t="s">
        <v>503</v>
      </c>
      <c r="T97" t="s">
        <v>507</v>
      </c>
      <c r="U97" t="s">
        <v>511</v>
      </c>
      <c r="V97">
        <v>10301</v>
      </c>
      <c r="W97" t="s">
        <v>521</v>
      </c>
      <c r="X97" t="s">
        <v>553</v>
      </c>
      <c r="Z97" t="s">
        <v>4568</v>
      </c>
      <c r="AA97" t="s">
        <v>4699</v>
      </c>
      <c r="AB97" t="s">
        <v>902</v>
      </c>
      <c r="AC97" t="s">
        <v>905</v>
      </c>
      <c r="AF97" t="s">
        <v>923</v>
      </c>
      <c r="AI97">
        <v>14</v>
      </c>
      <c r="AJ97" t="s">
        <v>558</v>
      </c>
      <c r="AK97" t="s">
        <v>968</v>
      </c>
      <c r="AL97" t="s">
        <v>274</v>
      </c>
      <c r="AT97">
        <v>0</v>
      </c>
      <c r="AU97">
        <v>1</v>
      </c>
      <c r="AV97" t="s">
        <v>273</v>
      </c>
      <c r="AY97" t="s">
        <v>273</v>
      </c>
      <c r="BB97">
        <v>0</v>
      </c>
      <c r="BC97">
        <v>0</v>
      </c>
      <c r="BD97">
        <v>0</v>
      </c>
      <c r="BE97">
        <v>0</v>
      </c>
      <c r="BF97" t="s">
        <v>1063</v>
      </c>
      <c r="BG97" t="s">
        <v>4871</v>
      </c>
      <c r="BH97">
        <v>28</v>
      </c>
      <c r="BI97" t="s">
        <v>1258</v>
      </c>
      <c r="BK97">
        <v>1888924</v>
      </c>
    </row>
    <row r="98" spans="1:63">
      <c r="A98" s="1">
        <f>HYPERLINK("https://lsnyc.legalserver.org/matter/dynamic-profile/view/1888494","19-1888494")</f>
        <v>0</v>
      </c>
      <c r="B98" t="s">
        <v>4376</v>
      </c>
      <c r="C98" t="s">
        <v>4496</v>
      </c>
      <c r="D98" t="s">
        <v>254</v>
      </c>
      <c r="E98" t="s">
        <v>4501</v>
      </c>
      <c r="F98" t="s">
        <v>273</v>
      </c>
      <c r="G98" t="s">
        <v>275</v>
      </c>
      <c r="H98">
        <v>0</v>
      </c>
      <c r="I98" t="s">
        <v>274</v>
      </c>
      <c r="K98" t="s">
        <v>353</v>
      </c>
      <c r="O98" t="s">
        <v>275</v>
      </c>
      <c r="P98" t="s">
        <v>492</v>
      </c>
      <c r="Q98" t="s">
        <v>502</v>
      </c>
      <c r="S98" t="s">
        <v>503</v>
      </c>
      <c r="T98" t="s">
        <v>507</v>
      </c>
      <c r="U98" t="s">
        <v>511</v>
      </c>
      <c r="V98">
        <v>10301</v>
      </c>
      <c r="W98" t="s">
        <v>518</v>
      </c>
      <c r="X98" t="s">
        <v>548</v>
      </c>
      <c r="Z98" t="s">
        <v>564</v>
      </c>
      <c r="AA98" t="s">
        <v>4754</v>
      </c>
      <c r="AB98" t="s">
        <v>902</v>
      </c>
      <c r="AC98" t="s">
        <v>905</v>
      </c>
      <c r="AF98" t="s">
        <v>926</v>
      </c>
      <c r="AI98">
        <v>49.22</v>
      </c>
      <c r="AK98" t="s">
        <v>934</v>
      </c>
      <c r="AL98" t="s">
        <v>274</v>
      </c>
      <c r="AT98">
        <v>1</v>
      </c>
      <c r="AU98">
        <v>1</v>
      </c>
      <c r="AV98" t="s">
        <v>273</v>
      </c>
      <c r="AY98" t="s">
        <v>273</v>
      </c>
      <c r="BB98">
        <v>0</v>
      </c>
      <c r="BC98">
        <v>0</v>
      </c>
      <c r="BD98">
        <v>0</v>
      </c>
      <c r="BE98">
        <v>0</v>
      </c>
      <c r="BF98" t="s">
        <v>1063</v>
      </c>
      <c r="BG98" t="s">
        <v>4942</v>
      </c>
      <c r="BH98">
        <v>13</v>
      </c>
      <c r="BI98" t="s">
        <v>1247</v>
      </c>
      <c r="BK98">
        <v>1880724</v>
      </c>
    </row>
    <row r="99" spans="1:63">
      <c r="A99" s="1">
        <f>HYPERLINK("https://lsnyc.legalserver.org/matter/dynamic-profile/view/1888498","19-1888498")</f>
        <v>0</v>
      </c>
      <c r="B99" t="s">
        <v>4376</v>
      </c>
      <c r="C99" t="s">
        <v>4496</v>
      </c>
      <c r="D99" t="s">
        <v>254</v>
      </c>
      <c r="E99" t="s">
        <v>4501</v>
      </c>
      <c r="F99" t="s">
        <v>273</v>
      </c>
      <c r="G99" t="s">
        <v>275</v>
      </c>
      <c r="H99">
        <v>0</v>
      </c>
      <c r="I99" t="s">
        <v>274</v>
      </c>
      <c r="K99" t="s">
        <v>353</v>
      </c>
      <c r="P99" t="s">
        <v>492</v>
      </c>
      <c r="Q99" t="s">
        <v>502</v>
      </c>
      <c r="S99" t="s">
        <v>504</v>
      </c>
      <c r="T99" t="s">
        <v>507</v>
      </c>
      <c r="U99" t="s">
        <v>512</v>
      </c>
      <c r="V99">
        <v>10301</v>
      </c>
      <c r="X99" t="s">
        <v>548</v>
      </c>
      <c r="Z99" t="s">
        <v>564</v>
      </c>
      <c r="AA99" t="s">
        <v>4754</v>
      </c>
      <c r="AB99" t="s">
        <v>902</v>
      </c>
      <c r="AC99" t="s">
        <v>905</v>
      </c>
      <c r="AF99" t="s">
        <v>924</v>
      </c>
      <c r="AI99">
        <v>8.699999999999999</v>
      </c>
      <c r="AK99" t="s">
        <v>934</v>
      </c>
      <c r="AL99" t="s">
        <v>274</v>
      </c>
      <c r="AT99">
        <v>1</v>
      </c>
      <c r="AU99">
        <v>1</v>
      </c>
      <c r="AV99" t="s">
        <v>273</v>
      </c>
      <c r="AY99" t="s">
        <v>273</v>
      </c>
      <c r="BB99">
        <v>0</v>
      </c>
      <c r="BC99">
        <v>0</v>
      </c>
      <c r="BD99">
        <v>0</v>
      </c>
      <c r="BE99">
        <v>0</v>
      </c>
      <c r="BF99" t="s">
        <v>1063</v>
      </c>
      <c r="BG99" t="s">
        <v>4943</v>
      </c>
      <c r="BH99">
        <v>13</v>
      </c>
      <c r="BI99" t="s">
        <v>1247</v>
      </c>
      <c r="BK99">
        <v>1880724</v>
      </c>
    </row>
    <row r="100" spans="1:63">
      <c r="A100" s="1">
        <f>HYPERLINK("https://lsnyc.legalserver.org/matter/dynamic-profile/view/1888500","19-1888500")</f>
        <v>0</v>
      </c>
      <c r="B100" t="s">
        <v>4377</v>
      </c>
      <c r="C100" t="s">
        <v>4496</v>
      </c>
      <c r="D100" t="s">
        <v>254</v>
      </c>
      <c r="E100" t="s">
        <v>4501</v>
      </c>
      <c r="F100" t="s">
        <v>273</v>
      </c>
      <c r="G100" t="s">
        <v>275</v>
      </c>
      <c r="H100">
        <v>0</v>
      </c>
      <c r="I100" t="s">
        <v>274</v>
      </c>
      <c r="K100" t="s">
        <v>353</v>
      </c>
      <c r="P100" t="s">
        <v>492</v>
      </c>
      <c r="Q100" t="s">
        <v>501</v>
      </c>
      <c r="S100" t="s">
        <v>503</v>
      </c>
      <c r="T100" t="s">
        <v>507</v>
      </c>
      <c r="U100" t="s">
        <v>511</v>
      </c>
      <c r="V100">
        <v>10301</v>
      </c>
      <c r="W100" t="s">
        <v>518</v>
      </c>
      <c r="X100" t="s">
        <v>548</v>
      </c>
      <c r="Z100" t="s">
        <v>564</v>
      </c>
      <c r="AA100" t="s">
        <v>4755</v>
      </c>
      <c r="AB100" t="s">
        <v>902</v>
      </c>
      <c r="AC100" t="s">
        <v>905</v>
      </c>
      <c r="AF100" t="s">
        <v>926</v>
      </c>
      <c r="AI100">
        <v>129.7</v>
      </c>
      <c r="AJ100" t="s">
        <v>558</v>
      </c>
      <c r="AK100" t="s">
        <v>934</v>
      </c>
      <c r="AL100" t="s">
        <v>274</v>
      </c>
      <c r="AT100">
        <v>1</v>
      </c>
      <c r="AU100">
        <v>1</v>
      </c>
      <c r="AV100" t="s">
        <v>273</v>
      </c>
      <c r="AY100" t="s">
        <v>273</v>
      </c>
      <c r="BB100">
        <v>0</v>
      </c>
      <c r="BC100">
        <v>0</v>
      </c>
      <c r="BD100">
        <v>0</v>
      </c>
      <c r="BE100">
        <v>0</v>
      </c>
      <c r="BF100" t="s">
        <v>1063</v>
      </c>
      <c r="BG100" t="s">
        <v>4944</v>
      </c>
      <c r="BH100">
        <v>34</v>
      </c>
      <c r="BI100" t="s">
        <v>1247</v>
      </c>
      <c r="BK100">
        <v>1889013</v>
      </c>
    </row>
    <row r="101" spans="1:63">
      <c r="A101" s="1">
        <f>HYPERLINK("https://lsnyc.legalserver.org/matter/dynamic-profile/view/1888501","19-1888501")</f>
        <v>0</v>
      </c>
      <c r="B101" t="s">
        <v>4378</v>
      </c>
      <c r="C101" t="s">
        <v>4496</v>
      </c>
      <c r="D101" t="s">
        <v>254</v>
      </c>
      <c r="E101" t="s">
        <v>4500</v>
      </c>
      <c r="F101" t="s">
        <v>273</v>
      </c>
      <c r="G101" t="s">
        <v>275</v>
      </c>
      <c r="H101">
        <v>0</v>
      </c>
      <c r="I101" t="s">
        <v>274</v>
      </c>
      <c r="K101" t="s">
        <v>353</v>
      </c>
      <c r="O101" t="s">
        <v>275</v>
      </c>
      <c r="P101" t="s">
        <v>492</v>
      </c>
      <c r="Q101" t="s">
        <v>502</v>
      </c>
      <c r="S101" t="s">
        <v>503</v>
      </c>
      <c r="T101" t="s">
        <v>507</v>
      </c>
      <c r="U101" t="s">
        <v>511</v>
      </c>
      <c r="V101">
        <v>10301</v>
      </c>
      <c r="W101" t="s">
        <v>521</v>
      </c>
      <c r="X101" t="s">
        <v>548</v>
      </c>
      <c r="Z101" t="s">
        <v>4618</v>
      </c>
      <c r="AA101" t="s">
        <v>4753</v>
      </c>
      <c r="AB101" t="s">
        <v>902</v>
      </c>
      <c r="AC101" t="s">
        <v>905</v>
      </c>
      <c r="AF101" t="s">
        <v>923</v>
      </c>
      <c r="AI101">
        <v>1.7</v>
      </c>
      <c r="AJ101" t="s">
        <v>558</v>
      </c>
      <c r="AK101" t="s">
        <v>936</v>
      </c>
      <c r="AL101" t="s">
        <v>274</v>
      </c>
      <c r="AM101" t="s">
        <v>973</v>
      </c>
      <c r="AN101" t="s">
        <v>325</v>
      </c>
      <c r="AT101">
        <v>2</v>
      </c>
      <c r="AU101">
        <v>1</v>
      </c>
      <c r="AV101" t="s">
        <v>273</v>
      </c>
      <c r="AY101" t="s">
        <v>273</v>
      </c>
      <c r="BB101">
        <v>0</v>
      </c>
      <c r="BC101">
        <v>0</v>
      </c>
      <c r="BD101">
        <v>0</v>
      </c>
      <c r="BE101">
        <v>0</v>
      </c>
      <c r="BF101" t="s">
        <v>1063</v>
      </c>
      <c r="BG101" t="s">
        <v>4945</v>
      </c>
      <c r="BH101">
        <v>10</v>
      </c>
      <c r="BI101" t="s">
        <v>1247</v>
      </c>
      <c r="BK101">
        <v>1881485</v>
      </c>
    </row>
    <row r="102" spans="1:63">
      <c r="A102" s="1">
        <f>HYPERLINK("https://lsnyc.legalserver.org/matter/dynamic-profile/view/1888505","19-1888505")</f>
        <v>0</v>
      </c>
      <c r="B102" t="s">
        <v>4379</v>
      </c>
      <c r="C102" t="s">
        <v>4496</v>
      </c>
      <c r="D102" t="s">
        <v>254</v>
      </c>
      <c r="E102" t="s">
        <v>4500</v>
      </c>
      <c r="F102" t="s">
        <v>273</v>
      </c>
      <c r="G102" t="s">
        <v>275</v>
      </c>
      <c r="H102">
        <v>0</v>
      </c>
      <c r="I102" t="s">
        <v>274</v>
      </c>
      <c r="K102" t="s">
        <v>353</v>
      </c>
      <c r="P102" t="s">
        <v>492</v>
      </c>
      <c r="Q102" t="s">
        <v>501</v>
      </c>
      <c r="S102" t="s">
        <v>503</v>
      </c>
      <c r="T102" t="s">
        <v>507</v>
      </c>
      <c r="U102" t="s">
        <v>511</v>
      </c>
      <c r="V102">
        <v>10301</v>
      </c>
      <c r="W102" t="s">
        <v>521</v>
      </c>
      <c r="Z102" t="s">
        <v>4619</v>
      </c>
      <c r="AA102" t="s">
        <v>4753</v>
      </c>
      <c r="AB102" t="s">
        <v>902</v>
      </c>
      <c r="AC102" t="s">
        <v>905</v>
      </c>
      <c r="AF102" t="s">
        <v>923</v>
      </c>
      <c r="AI102">
        <v>0.2</v>
      </c>
      <c r="AK102" t="s">
        <v>936</v>
      </c>
      <c r="AL102" t="s">
        <v>274</v>
      </c>
      <c r="AT102">
        <v>2</v>
      </c>
      <c r="AU102">
        <v>1</v>
      </c>
      <c r="AV102" t="s">
        <v>273</v>
      </c>
      <c r="AY102" t="s">
        <v>273</v>
      </c>
      <c r="BB102">
        <v>0</v>
      </c>
      <c r="BC102">
        <v>0</v>
      </c>
      <c r="BD102">
        <v>0</v>
      </c>
      <c r="BE102">
        <v>0</v>
      </c>
      <c r="BF102" t="s">
        <v>1063</v>
      </c>
      <c r="BG102" t="s">
        <v>4946</v>
      </c>
      <c r="BH102">
        <v>2</v>
      </c>
      <c r="BI102" t="s">
        <v>1247</v>
      </c>
      <c r="BK102">
        <v>1881482</v>
      </c>
    </row>
    <row r="103" spans="1:63">
      <c r="A103" s="1">
        <f>HYPERLINK("https://lsnyc.legalserver.org/matter/dynamic-profile/view/1885191","18-1885191")</f>
        <v>0</v>
      </c>
      <c r="B103" t="s">
        <v>4380</v>
      </c>
      <c r="C103" t="s">
        <v>4496</v>
      </c>
      <c r="D103" t="s">
        <v>254</v>
      </c>
      <c r="E103" t="s">
        <v>4499</v>
      </c>
      <c r="F103" t="s">
        <v>273</v>
      </c>
      <c r="G103" t="s">
        <v>275</v>
      </c>
      <c r="H103">
        <v>0</v>
      </c>
      <c r="I103" t="s">
        <v>274</v>
      </c>
      <c r="K103" t="s">
        <v>1708</v>
      </c>
      <c r="O103" t="s">
        <v>275</v>
      </c>
      <c r="P103" t="s">
        <v>492</v>
      </c>
      <c r="Q103" t="s">
        <v>501</v>
      </c>
      <c r="S103" t="s">
        <v>503</v>
      </c>
      <c r="T103" t="s">
        <v>508</v>
      </c>
      <c r="U103" t="s">
        <v>511</v>
      </c>
      <c r="V103">
        <v>10314</v>
      </c>
      <c r="W103" t="s">
        <v>521</v>
      </c>
      <c r="X103" t="s">
        <v>1839</v>
      </c>
      <c r="Z103" t="s">
        <v>4620</v>
      </c>
      <c r="AA103" t="s">
        <v>4756</v>
      </c>
      <c r="AB103" t="s">
        <v>902</v>
      </c>
      <c r="AC103" t="s">
        <v>906</v>
      </c>
      <c r="AF103" t="s">
        <v>923</v>
      </c>
      <c r="AI103">
        <v>22.2</v>
      </c>
      <c r="AJ103" t="s">
        <v>558</v>
      </c>
      <c r="AK103" t="s">
        <v>954</v>
      </c>
      <c r="AL103" t="s">
        <v>274</v>
      </c>
      <c r="AM103" t="s">
        <v>973</v>
      </c>
      <c r="AN103" t="s">
        <v>1699</v>
      </c>
      <c r="AT103">
        <v>0</v>
      </c>
      <c r="AU103">
        <v>2</v>
      </c>
      <c r="AV103" t="s">
        <v>273</v>
      </c>
      <c r="AY103" t="s">
        <v>273</v>
      </c>
      <c r="BB103">
        <v>0</v>
      </c>
      <c r="BC103">
        <v>0</v>
      </c>
      <c r="BD103">
        <v>0</v>
      </c>
      <c r="BE103">
        <v>0</v>
      </c>
      <c r="BF103" t="s">
        <v>1063</v>
      </c>
      <c r="BG103" t="s">
        <v>4947</v>
      </c>
      <c r="BH103">
        <v>31</v>
      </c>
      <c r="BI103" t="s">
        <v>1247</v>
      </c>
      <c r="BK103">
        <v>1885818</v>
      </c>
    </row>
    <row r="104" spans="1:63">
      <c r="A104" s="1">
        <f>HYPERLINK("https://lsnyc.legalserver.org/matter/dynamic-profile/view/1888143","19-1888143")</f>
        <v>0</v>
      </c>
      <c r="B104" t="s">
        <v>4381</v>
      </c>
      <c r="C104" t="s">
        <v>4496</v>
      </c>
      <c r="D104" t="s">
        <v>254</v>
      </c>
      <c r="E104" t="s">
        <v>4500</v>
      </c>
      <c r="F104" t="s">
        <v>273</v>
      </c>
      <c r="G104" t="s">
        <v>275</v>
      </c>
      <c r="H104">
        <v>0</v>
      </c>
      <c r="I104" t="s">
        <v>274</v>
      </c>
      <c r="K104" t="s">
        <v>1708</v>
      </c>
      <c r="O104" t="s">
        <v>275</v>
      </c>
      <c r="P104" t="s">
        <v>492</v>
      </c>
      <c r="Q104" t="s">
        <v>502</v>
      </c>
      <c r="S104" t="s">
        <v>503</v>
      </c>
      <c r="T104" t="s">
        <v>507</v>
      </c>
      <c r="U104" t="s">
        <v>511</v>
      </c>
      <c r="V104">
        <v>10304</v>
      </c>
      <c r="W104" t="s">
        <v>529</v>
      </c>
      <c r="X104" t="s">
        <v>548</v>
      </c>
      <c r="Z104" t="s">
        <v>4621</v>
      </c>
      <c r="AA104" t="s">
        <v>4757</v>
      </c>
      <c r="AB104" t="s">
        <v>902</v>
      </c>
      <c r="AC104" t="s">
        <v>906</v>
      </c>
      <c r="AF104" t="s">
        <v>923</v>
      </c>
      <c r="AI104">
        <v>2.5</v>
      </c>
      <c r="AK104" t="s">
        <v>941</v>
      </c>
      <c r="AL104" t="s">
        <v>274</v>
      </c>
      <c r="AT104">
        <v>2</v>
      </c>
      <c r="AU104">
        <v>2</v>
      </c>
      <c r="AV104" t="s">
        <v>273</v>
      </c>
      <c r="AY104" t="s">
        <v>273</v>
      </c>
      <c r="BB104">
        <v>0</v>
      </c>
      <c r="BC104">
        <v>0</v>
      </c>
      <c r="BD104">
        <v>0</v>
      </c>
      <c r="BE104">
        <v>0</v>
      </c>
      <c r="BF104" t="s">
        <v>1063</v>
      </c>
      <c r="BG104" t="s">
        <v>4948</v>
      </c>
      <c r="BH104">
        <v>18</v>
      </c>
      <c r="BI104" t="s">
        <v>1247</v>
      </c>
      <c r="BK104">
        <v>1871903</v>
      </c>
    </row>
    <row r="105" spans="1:63">
      <c r="A105" s="1">
        <f>HYPERLINK("https://lsnyc.legalserver.org/matter/dynamic-profile/view/1886924","19-1886924")</f>
        <v>0</v>
      </c>
      <c r="B105" t="s">
        <v>4382</v>
      </c>
      <c r="C105" t="s">
        <v>4496</v>
      </c>
      <c r="D105" t="s">
        <v>254</v>
      </c>
      <c r="E105" t="s">
        <v>4501</v>
      </c>
      <c r="F105" t="s">
        <v>273</v>
      </c>
      <c r="G105" t="s">
        <v>275</v>
      </c>
      <c r="H105">
        <v>0</v>
      </c>
      <c r="I105" t="s">
        <v>274</v>
      </c>
      <c r="K105" t="s">
        <v>1713</v>
      </c>
      <c r="P105" t="s">
        <v>492</v>
      </c>
      <c r="Q105" t="s">
        <v>502</v>
      </c>
      <c r="S105" t="s">
        <v>503</v>
      </c>
      <c r="T105" t="s">
        <v>507</v>
      </c>
      <c r="U105" t="s">
        <v>511</v>
      </c>
      <c r="V105">
        <v>10304</v>
      </c>
      <c r="W105" t="s">
        <v>518</v>
      </c>
      <c r="X105" t="s">
        <v>548</v>
      </c>
      <c r="Z105" t="s">
        <v>4622</v>
      </c>
      <c r="AA105" t="s">
        <v>4758</v>
      </c>
      <c r="AB105" t="s">
        <v>902</v>
      </c>
      <c r="AC105" t="s">
        <v>906</v>
      </c>
      <c r="AF105" t="s">
        <v>926</v>
      </c>
      <c r="AI105">
        <v>108.7</v>
      </c>
      <c r="AK105" t="s">
        <v>941</v>
      </c>
      <c r="AL105" t="s">
        <v>274</v>
      </c>
      <c r="AT105">
        <v>2</v>
      </c>
      <c r="AU105">
        <v>3</v>
      </c>
      <c r="AV105" t="s">
        <v>273</v>
      </c>
      <c r="AY105" t="s">
        <v>273</v>
      </c>
      <c r="BB105">
        <v>0</v>
      </c>
      <c r="BC105">
        <v>0</v>
      </c>
      <c r="BD105">
        <v>0</v>
      </c>
      <c r="BE105">
        <v>0</v>
      </c>
      <c r="BF105" t="s">
        <v>1063</v>
      </c>
      <c r="BG105" t="s">
        <v>4949</v>
      </c>
      <c r="BH105">
        <v>18</v>
      </c>
      <c r="BI105" t="s">
        <v>1247</v>
      </c>
      <c r="BK105">
        <v>1881941</v>
      </c>
    </row>
    <row r="106" spans="1:63">
      <c r="A106" s="1">
        <f>HYPERLINK("https://lsnyc.legalserver.org/matter/dynamic-profile/view/1886928","19-1886928")</f>
        <v>0</v>
      </c>
      <c r="B106" t="s">
        <v>4383</v>
      </c>
      <c r="C106" t="s">
        <v>4496</v>
      </c>
      <c r="D106" t="s">
        <v>254</v>
      </c>
      <c r="E106" t="s">
        <v>4501</v>
      </c>
      <c r="F106" t="s">
        <v>273</v>
      </c>
      <c r="G106" t="s">
        <v>275</v>
      </c>
      <c r="H106">
        <v>0</v>
      </c>
      <c r="I106" t="s">
        <v>274</v>
      </c>
      <c r="K106" t="s">
        <v>1713</v>
      </c>
      <c r="Q106" t="s">
        <v>502</v>
      </c>
      <c r="S106" t="s">
        <v>503</v>
      </c>
      <c r="T106" t="s">
        <v>507</v>
      </c>
      <c r="U106" t="s">
        <v>511</v>
      </c>
      <c r="V106">
        <v>10304</v>
      </c>
      <c r="W106" t="s">
        <v>522</v>
      </c>
      <c r="X106" t="s">
        <v>548</v>
      </c>
      <c r="Z106" t="s">
        <v>4623</v>
      </c>
      <c r="AA106" t="s">
        <v>4758</v>
      </c>
      <c r="AB106" t="s">
        <v>902</v>
      </c>
      <c r="AC106" t="s">
        <v>906</v>
      </c>
      <c r="AF106" t="s">
        <v>923</v>
      </c>
      <c r="AI106">
        <v>1</v>
      </c>
      <c r="AK106" t="s">
        <v>941</v>
      </c>
      <c r="AL106" t="s">
        <v>274</v>
      </c>
      <c r="AT106">
        <v>2</v>
      </c>
      <c r="AU106">
        <v>3</v>
      </c>
      <c r="AV106" t="s">
        <v>273</v>
      </c>
      <c r="AY106" t="s">
        <v>273</v>
      </c>
      <c r="BB106">
        <v>0</v>
      </c>
      <c r="BC106">
        <v>0</v>
      </c>
      <c r="BD106">
        <v>0</v>
      </c>
      <c r="BE106">
        <v>0</v>
      </c>
      <c r="BF106" t="s">
        <v>1063</v>
      </c>
      <c r="BG106" t="s">
        <v>4950</v>
      </c>
      <c r="BH106">
        <v>14</v>
      </c>
      <c r="BI106" t="s">
        <v>1247</v>
      </c>
      <c r="BK106">
        <v>1881941</v>
      </c>
    </row>
    <row r="107" spans="1:63">
      <c r="A107" s="1">
        <f>HYPERLINK("https://lsnyc.legalserver.org/matter/dynamic-profile/view/1887251","19-1887251")</f>
        <v>0</v>
      </c>
      <c r="B107" t="s">
        <v>4384</v>
      </c>
      <c r="C107" t="s">
        <v>4496</v>
      </c>
      <c r="D107" t="s">
        <v>254</v>
      </c>
      <c r="E107" t="s">
        <v>4501</v>
      </c>
      <c r="F107" t="s">
        <v>273</v>
      </c>
      <c r="G107" t="s">
        <v>275</v>
      </c>
      <c r="H107">
        <v>0</v>
      </c>
      <c r="I107" t="s">
        <v>274</v>
      </c>
      <c r="K107" t="s">
        <v>1713</v>
      </c>
      <c r="P107" t="s">
        <v>492</v>
      </c>
      <c r="Q107" t="s">
        <v>502</v>
      </c>
      <c r="S107" t="s">
        <v>503</v>
      </c>
      <c r="T107" t="s">
        <v>508</v>
      </c>
      <c r="U107" t="s">
        <v>511</v>
      </c>
      <c r="V107">
        <v>10304</v>
      </c>
      <c r="W107" t="s">
        <v>518</v>
      </c>
      <c r="X107" t="s">
        <v>548</v>
      </c>
      <c r="Z107" t="s">
        <v>4623</v>
      </c>
      <c r="AA107" t="s">
        <v>4759</v>
      </c>
      <c r="AB107" t="s">
        <v>902</v>
      </c>
      <c r="AC107" t="s">
        <v>906</v>
      </c>
      <c r="AF107" t="s">
        <v>926</v>
      </c>
      <c r="AI107">
        <v>65.5</v>
      </c>
      <c r="AK107" t="s">
        <v>941</v>
      </c>
      <c r="AL107" t="s">
        <v>274</v>
      </c>
      <c r="AT107">
        <v>2</v>
      </c>
      <c r="AU107">
        <v>3</v>
      </c>
      <c r="AV107" t="s">
        <v>273</v>
      </c>
      <c r="AY107" t="s">
        <v>273</v>
      </c>
      <c r="BB107">
        <v>0</v>
      </c>
      <c r="BC107">
        <v>0</v>
      </c>
      <c r="BD107">
        <v>0</v>
      </c>
      <c r="BE107">
        <v>0</v>
      </c>
      <c r="BF107" t="s">
        <v>1063</v>
      </c>
      <c r="BG107" t="s">
        <v>4950</v>
      </c>
      <c r="BH107">
        <v>14</v>
      </c>
      <c r="BI107" t="s">
        <v>1247</v>
      </c>
      <c r="BK107">
        <v>1881941</v>
      </c>
    </row>
    <row r="108" spans="1:63">
      <c r="A108" s="1">
        <f>HYPERLINK("https://lsnyc.legalserver.org/matter/dynamic-profile/view/1881289","18-1881289")</f>
        <v>0</v>
      </c>
      <c r="B108" t="s">
        <v>4311</v>
      </c>
      <c r="C108" t="s">
        <v>4496</v>
      </c>
      <c r="D108" t="s">
        <v>254</v>
      </c>
      <c r="E108" t="s">
        <v>4501</v>
      </c>
      <c r="F108" t="s">
        <v>273</v>
      </c>
      <c r="G108" t="s">
        <v>275</v>
      </c>
      <c r="H108">
        <v>0</v>
      </c>
      <c r="I108" t="s">
        <v>274</v>
      </c>
      <c r="K108" t="s">
        <v>3700</v>
      </c>
      <c r="Q108" t="s">
        <v>502</v>
      </c>
      <c r="S108" t="s">
        <v>503</v>
      </c>
      <c r="T108" t="s">
        <v>507</v>
      </c>
      <c r="U108" t="s">
        <v>511</v>
      </c>
      <c r="V108">
        <v>10302</v>
      </c>
      <c r="W108" t="s">
        <v>521</v>
      </c>
      <c r="X108" t="s">
        <v>548</v>
      </c>
      <c r="Z108" t="s">
        <v>4576</v>
      </c>
      <c r="AA108" t="s">
        <v>4705</v>
      </c>
      <c r="AB108" t="s">
        <v>902</v>
      </c>
      <c r="AC108" t="s">
        <v>906</v>
      </c>
      <c r="AF108" t="s">
        <v>923</v>
      </c>
      <c r="AI108">
        <v>7.2</v>
      </c>
      <c r="AK108" t="s">
        <v>941</v>
      </c>
      <c r="AL108" t="s">
        <v>274</v>
      </c>
      <c r="AM108" t="s">
        <v>973</v>
      </c>
      <c r="AN108" t="s">
        <v>329</v>
      </c>
      <c r="AT108">
        <v>0</v>
      </c>
      <c r="AU108">
        <v>2</v>
      </c>
      <c r="AV108" t="s">
        <v>273</v>
      </c>
      <c r="AY108" t="s">
        <v>273</v>
      </c>
      <c r="BB108">
        <v>0</v>
      </c>
      <c r="BC108">
        <v>0</v>
      </c>
      <c r="BD108">
        <v>0</v>
      </c>
      <c r="BE108">
        <v>0</v>
      </c>
      <c r="BF108" t="s">
        <v>1063</v>
      </c>
      <c r="BG108" t="s">
        <v>4879</v>
      </c>
      <c r="BH108">
        <v>15</v>
      </c>
      <c r="BI108" t="s">
        <v>1247</v>
      </c>
      <c r="BK108">
        <v>1881911</v>
      </c>
    </row>
    <row r="109" spans="1:63">
      <c r="A109" s="1">
        <f>HYPERLINK("https://lsnyc.legalserver.org/matter/dynamic-profile/view/1885565","18-1885565")</f>
        <v>0</v>
      </c>
      <c r="B109" t="s">
        <v>4385</v>
      </c>
      <c r="C109" t="s">
        <v>4496</v>
      </c>
      <c r="D109" t="s">
        <v>254</v>
      </c>
      <c r="E109" t="s">
        <v>4498</v>
      </c>
      <c r="F109" t="s">
        <v>273</v>
      </c>
      <c r="G109" t="s">
        <v>275</v>
      </c>
      <c r="H109">
        <v>0</v>
      </c>
      <c r="I109" t="s">
        <v>274</v>
      </c>
      <c r="J109" t="s">
        <v>4504</v>
      </c>
      <c r="K109" t="s">
        <v>1715</v>
      </c>
      <c r="O109" t="s">
        <v>275</v>
      </c>
      <c r="P109" t="s">
        <v>492</v>
      </c>
      <c r="Q109" t="s">
        <v>501</v>
      </c>
      <c r="S109" t="s">
        <v>503</v>
      </c>
      <c r="T109" t="s">
        <v>508</v>
      </c>
      <c r="U109" t="s">
        <v>511</v>
      </c>
      <c r="V109">
        <v>10301</v>
      </c>
      <c r="W109" t="s">
        <v>521</v>
      </c>
      <c r="X109" t="s">
        <v>548</v>
      </c>
      <c r="Z109" t="s">
        <v>625</v>
      </c>
      <c r="AA109" t="s">
        <v>4760</v>
      </c>
      <c r="AB109" t="s">
        <v>902</v>
      </c>
      <c r="AC109" t="s">
        <v>905</v>
      </c>
      <c r="AF109" t="s">
        <v>923</v>
      </c>
      <c r="AI109">
        <v>5.45</v>
      </c>
      <c r="AK109" t="s">
        <v>933</v>
      </c>
      <c r="AL109" t="s">
        <v>274</v>
      </c>
      <c r="AT109">
        <v>0</v>
      </c>
      <c r="AU109">
        <v>1</v>
      </c>
      <c r="AV109" t="s">
        <v>273</v>
      </c>
      <c r="AY109" t="s">
        <v>273</v>
      </c>
      <c r="BB109">
        <v>0</v>
      </c>
      <c r="BC109">
        <v>0</v>
      </c>
      <c r="BD109">
        <v>0</v>
      </c>
      <c r="BE109">
        <v>0</v>
      </c>
      <c r="BF109" t="s">
        <v>1063</v>
      </c>
      <c r="BG109" t="s">
        <v>4951</v>
      </c>
      <c r="BH109">
        <v>52</v>
      </c>
      <c r="BI109" t="s">
        <v>1247</v>
      </c>
      <c r="BK109">
        <v>820716</v>
      </c>
    </row>
    <row r="110" spans="1:63">
      <c r="A110" s="1">
        <f>HYPERLINK("https://lsnyc.legalserver.org/matter/dynamic-profile/view/1885296","18-1885296")</f>
        <v>0</v>
      </c>
      <c r="B110" t="s">
        <v>4386</v>
      </c>
      <c r="C110" t="s">
        <v>4496</v>
      </c>
      <c r="D110" t="s">
        <v>254</v>
      </c>
      <c r="E110" t="s">
        <v>4502</v>
      </c>
      <c r="F110" t="s">
        <v>273</v>
      </c>
      <c r="G110" t="s">
        <v>275</v>
      </c>
      <c r="H110">
        <v>0</v>
      </c>
      <c r="I110" t="s">
        <v>274</v>
      </c>
      <c r="K110" t="s">
        <v>1716</v>
      </c>
      <c r="O110" t="s">
        <v>275</v>
      </c>
      <c r="Q110" t="s">
        <v>501</v>
      </c>
      <c r="S110" t="s">
        <v>503</v>
      </c>
      <c r="T110" t="s">
        <v>508</v>
      </c>
      <c r="U110" t="s">
        <v>511</v>
      </c>
      <c r="V110">
        <v>10302</v>
      </c>
      <c r="W110" t="s">
        <v>528</v>
      </c>
      <c r="X110" t="s">
        <v>548</v>
      </c>
      <c r="Z110" t="s">
        <v>2085</v>
      </c>
      <c r="AA110" t="s">
        <v>2102</v>
      </c>
      <c r="AB110" t="s">
        <v>902</v>
      </c>
      <c r="AC110" t="s">
        <v>905</v>
      </c>
      <c r="AF110" t="s">
        <v>923</v>
      </c>
      <c r="AI110">
        <v>0.45</v>
      </c>
      <c r="AK110" t="s">
        <v>933</v>
      </c>
      <c r="AL110" t="s">
        <v>274</v>
      </c>
      <c r="AM110" t="s">
        <v>973</v>
      </c>
      <c r="AN110" t="s">
        <v>991</v>
      </c>
      <c r="AT110">
        <v>4</v>
      </c>
      <c r="AU110">
        <v>1</v>
      </c>
      <c r="AV110" t="s">
        <v>273</v>
      </c>
      <c r="AY110" t="s">
        <v>273</v>
      </c>
      <c r="BB110">
        <v>0</v>
      </c>
      <c r="BC110">
        <v>0</v>
      </c>
      <c r="BD110">
        <v>0</v>
      </c>
      <c r="BE110">
        <v>0</v>
      </c>
      <c r="BF110" t="s">
        <v>1063</v>
      </c>
      <c r="BG110" t="s">
        <v>4952</v>
      </c>
      <c r="BH110">
        <v>37</v>
      </c>
      <c r="BI110" t="s">
        <v>1247</v>
      </c>
      <c r="BK110">
        <v>1868021</v>
      </c>
    </row>
    <row r="111" spans="1:63">
      <c r="A111" s="1">
        <f>HYPERLINK("https://lsnyc.legalserver.org/matter/dynamic-profile/view/1885041","18-1885041")</f>
        <v>0</v>
      </c>
      <c r="B111" t="s">
        <v>4356</v>
      </c>
      <c r="C111" t="s">
        <v>4496</v>
      </c>
      <c r="D111" t="s">
        <v>254</v>
      </c>
      <c r="E111" t="s">
        <v>4501</v>
      </c>
      <c r="F111" t="s">
        <v>273</v>
      </c>
      <c r="G111" t="s">
        <v>275</v>
      </c>
      <c r="H111">
        <v>0</v>
      </c>
      <c r="I111" t="s">
        <v>274</v>
      </c>
      <c r="K111" t="s">
        <v>1718</v>
      </c>
      <c r="O111" t="s">
        <v>275</v>
      </c>
      <c r="P111" t="s">
        <v>492</v>
      </c>
      <c r="Q111" t="s">
        <v>502</v>
      </c>
      <c r="S111" t="s">
        <v>503</v>
      </c>
      <c r="T111" t="s">
        <v>507</v>
      </c>
      <c r="U111" t="s">
        <v>511</v>
      </c>
      <c r="V111">
        <v>10304</v>
      </c>
      <c r="W111" t="s">
        <v>529</v>
      </c>
      <c r="X111" t="s">
        <v>548</v>
      </c>
      <c r="Z111" t="s">
        <v>4605</v>
      </c>
      <c r="AA111" t="s">
        <v>4740</v>
      </c>
      <c r="AB111" t="s">
        <v>902</v>
      </c>
      <c r="AC111" t="s">
        <v>905</v>
      </c>
      <c r="AF111" t="s">
        <v>923</v>
      </c>
      <c r="AI111">
        <v>3.8</v>
      </c>
      <c r="AK111" t="s">
        <v>941</v>
      </c>
      <c r="AL111" t="s">
        <v>274</v>
      </c>
      <c r="AM111" t="s">
        <v>973</v>
      </c>
      <c r="AN111" t="s">
        <v>358</v>
      </c>
      <c r="AT111">
        <v>2</v>
      </c>
      <c r="AU111">
        <v>1</v>
      </c>
      <c r="AV111" t="s">
        <v>273</v>
      </c>
      <c r="AY111" t="s">
        <v>273</v>
      </c>
      <c r="BB111">
        <v>0</v>
      </c>
      <c r="BC111">
        <v>0</v>
      </c>
      <c r="BD111">
        <v>0</v>
      </c>
      <c r="BE111">
        <v>0</v>
      </c>
      <c r="BF111" t="s">
        <v>1063</v>
      </c>
      <c r="BG111" t="s">
        <v>4922</v>
      </c>
      <c r="BH111">
        <v>17</v>
      </c>
      <c r="BI111" t="s">
        <v>1247</v>
      </c>
      <c r="BK111">
        <v>1867394</v>
      </c>
    </row>
    <row r="112" spans="1:63">
      <c r="A112" s="1">
        <f>HYPERLINK("https://lsnyc.legalserver.org/matter/dynamic-profile/view/1884773","18-1884773")</f>
        <v>0</v>
      </c>
      <c r="B112" t="s">
        <v>4387</v>
      </c>
      <c r="C112" t="s">
        <v>4496</v>
      </c>
      <c r="D112" t="s">
        <v>254</v>
      </c>
      <c r="E112" t="s">
        <v>4499</v>
      </c>
      <c r="F112" t="s">
        <v>273</v>
      </c>
      <c r="G112" t="s">
        <v>275</v>
      </c>
      <c r="H112">
        <v>0</v>
      </c>
      <c r="I112" t="s">
        <v>274</v>
      </c>
      <c r="K112" t="s">
        <v>1719</v>
      </c>
      <c r="Q112" t="s">
        <v>501</v>
      </c>
      <c r="S112" t="s">
        <v>503</v>
      </c>
      <c r="T112" t="s">
        <v>507</v>
      </c>
      <c r="U112" t="s">
        <v>511</v>
      </c>
      <c r="V112">
        <v>10314</v>
      </c>
      <c r="W112" t="s">
        <v>524</v>
      </c>
      <c r="X112" t="s">
        <v>549</v>
      </c>
      <c r="Z112" t="s">
        <v>4624</v>
      </c>
      <c r="AA112" t="s">
        <v>3160</v>
      </c>
      <c r="AB112" t="s">
        <v>902</v>
      </c>
      <c r="AC112" t="s">
        <v>910</v>
      </c>
      <c r="AF112" t="s">
        <v>923</v>
      </c>
      <c r="AI112">
        <v>9.699999999999999</v>
      </c>
      <c r="AJ112" t="s">
        <v>558</v>
      </c>
      <c r="AK112" t="s">
        <v>954</v>
      </c>
      <c r="AL112" t="s">
        <v>274</v>
      </c>
      <c r="AM112" t="s">
        <v>973</v>
      </c>
      <c r="AN112" t="s">
        <v>1712</v>
      </c>
      <c r="AT112">
        <v>0</v>
      </c>
      <c r="AU112">
        <v>1</v>
      </c>
      <c r="AV112" t="s">
        <v>273</v>
      </c>
      <c r="AY112" t="s">
        <v>273</v>
      </c>
      <c r="BB112">
        <v>0</v>
      </c>
      <c r="BC112">
        <v>0</v>
      </c>
      <c r="BD112">
        <v>0</v>
      </c>
      <c r="BE112">
        <v>0</v>
      </c>
      <c r="BF112" t="s">
        <v>1063</v>
      </c>
      <c r="BG112" t="s">
        <v>4953</v>
      </c>
      <c r="BH112">
        <v>58</v>
      </c>
      <c r="BI112" t="s">
        <v>1247</v>
      </c>
      <c r="BK112">
        <v>818859</v>
      </c>
    </row>
    <row r="113" spans="1:63">
      <c r="A113" s="1">
        <f>HYPERLINK("https://lsnyc.legalserver.org/matter/dynamic-profile/view/1884647","18-1884647")</f>
        <v>0</v>
      </c>
      <c r="B113" t="s">
        <v>4388</v>
      </c>
      <c r="C113" t="s">
        <v>4496</v>
      </c>
      <c r="D113" t="s">
        <v>254</v>
      </c>
      <c r="E113" t="s">
        <v>4500</v>
      </c>
      <c r="F113" t="s">
        <v>273</v>
      </c>
      <c r="G113" t="s">
        <v>275</v>
      </c>
      <c r="H113">
        <v>119.52</v>
      </c>
      <c r="I113" t="s">
        <v>274</v>
      </c>
      <c r="K113" t="s">
        <v>3701</v>
      </c>
      <c r="O113" t="s">
        <v>275</v>
      </c>
      <c r="Q113" t="s">
        <v>501</v>
      </c>
      <c r="S113" t="s">
        <v>503</v>
      </c>
      <c r="T113" t="s">
        <v>507</v>
      </c>
      <c r="U113" t="s">
        <v>511</v>
      </c>
      <c r="V113">
        <v>10314</v>
      </c>
      <c r="W113" t="s">
        <v>524</v>
      </c>
      <c r="X113" t="s">
        <v>549</v>
      </c>
      <c r="Z113" t="s">
        <v>4625</v>
      </c>
      <c r="AA113" t="s">
        <v>4761</v>
      </c>
      <c r="AB113" t="s">
        <v>902</v>
      </c>
      <c r="AC113" t="s">
        <v>2359</v>
      </c>
      <c r="AF113" t="s">
        <v>923</v>
      </c>
      <c r="AI113">
        <v>6.9</v>
      </c>
      <c r="AJ113" t="s">
        <v>558</v>
      </c>
      <c r="AK113" t="s">
        <v>964</v>
      </c>
      <c r="AL113" t="s">
        <v>274</v>
      </c>
      <c r="AM113" t="s">
        <v>973</v>
      </c>
      <c r="AN113" t="s">
        <v>343</v>
      </c>
      <c r="AT113">
        <v>2</v>
      </c>
      <c r="AU113">
        <v>2</v>
      </c>
      <c r="AV113" t="s">
        <v>273</v>
      </c>
      <c r="AY113" t="s">
        <v>273</v>
      </c>
      <c r="BB113">
        <v>0</v>
      </c>
      <c r="BC113">
        <v>0</v>
      </c>
      <c r="BD113">
        <v>0</v>
      </c>
      <c r="BE113">
        <v>0</v>
      </c>
      <c r="BF113" t="s">
        <v>1063</v>
      </c>
      <c r="BG113" t="s">
        <v>4954</v>
      </c>
      <c r="BH113">
        <v>30</v>
      </c>
      <c r="BI113" t="s">
        <v>1272</v>
      </c>
      <c r="BK113">
        <v>1848741</v>
      </c>
    </row>
    <row r="114" spans="1:63">
      <c r="A114" s="1">
        <f>HYPERLINK("https://lsnyc.legalserver.org/matter/dynamic-profile/view/1881250","18-1881250")</f>
        <v>0</v>
      </c>
      <c r="B114" t="s">
        <v>4389</v>
      </c>
      <c r="C114" t="s">
        <v>4496</v>
      </c>
      <c r="D114" t="s">
        <v>254</v>
      </c>
      <c r="E114" t="s">
        <v>4498</v>
      </c>
      <c r="F114" t="s">
        <v>275</v>
      </c>
      <c r="G114" t="s">
        <v>275</v>
      </c>
      <c r="H114">
        <v>149.92</v>
      </c>
      <c r="I114" t="s">
        <v>274</v>
      </c>
      <c r="K114" t="s">
        <v>1725</v>
      </c>
      <c r="O114" t="s">
        <v>275</v>
      </c>
      <c r="P114" t="s">
        <v>492</v>
      </c>
      <c r="Q114" t="s">
        <v>501</v>
      </c>
      <c r="S114" t="s">
        <v>503</v>
      </c>
      <c r="T114" t="s">
        <v>507</v>
      </c>
      <c r="U114" t="s">
        <v>511</v>
      </c>
      <c r="V114">
        <v>10705</v>
      </c>
      <c r="W114" t="s">
        <v>521</v>
      </c>
      <c r="X114" t="s">
        <v>548</v>
      </c>
      <c r="Z114" t="s">
        <v>4626</v>
      </c>
      <c r="AA114" t="s">
        <v>815</v>
      </c>
      <c r="AB114" t="s">
        <v>902</v>
      </c>
      <c r="AC114" t="s">
        <v>905</v>
      </c>
      <c r="AD114" t="s">
        <v>275</v>
      </c>
      <c r="AF114" t="s">
        <v>923</v>
      </c>
      <c r="AI114">
        <v>12.9</v>
      </c>
      <c r="AJ114" t="s">
        <v>558</v>
      </c>
      <c r="AK114" t="s">
        <v>933</v>
      </c>
      <c r="AL114" t="s">
        <v>274</v>
      </c>
      <c r="AQ114" t="s">
        <v>1033</v>
      </c>
      <c r="AR114" t="s">
        <v>1051</v>
      </c>
      <c r="AT114">
        <v>0</v>
      </c>
      <c r="AU114">
        <v>1</v>
      </c>
      <c r="AV114" t="s">
        <v>273</v>
      </c>
      <c r="AY114" t="s">
        <v>273</v>
      </c>
      <c r="BB114">
        <v>0</v>
      </c>
      <c r="BC114">
        <v>0</v>
      </c>
      <c r="BD114">
        <v>0</v>
      </c>
      <c r="BE114">
        <v>0</v>
      </c>
      <c r="BF114" t="s">
        <v>1063</v>
      </c>
      <c r="BG114" t="s">
        <v>4955</v>
      </c>
      <c r="BH114">
        <v>48</v>
      </c>
      <c r="BI114" t="s">
        <v>1260</v>
      </c>
      <c r="BK114">
        <v>1881872</v>
      </c>
    </row>
    <row r="115" spans="1:63">
      <c r="A115" s="1">
        <f>HYPERLINK("https://lsnyc.legalserver.org/matter/dynamic-profile/view/1883441","18-1883441")</f>
        <v>0</v>
      </c>
      <c r="B115" t="s">
        <v>4332</v>
      </c>
      <c r="C115" t="s">
        <v>4496</v>
      </c>
      <c r="D115" t="s">
        <v>254</v>
      </c>
      <c r="E115" t="s">
        <v>4501</v>
      </c>
      <c r="F115" t="s">
        <v>273</v>
      </c>
      <c r="G115" t="s">
        <v>275</v>
      </c>
      <c r="H115">
        <v>142.16</v>
      </c>
      <c r="I115" t="s">
        <v>274</v>
      </c>
      <c r="K115" t="s">
        <v>3702</v>
      </c>
      <c r="O115" t="s">
        <v>275</v>
      </c>
      <c r="P115" t="s">
        <v>492</v>
      </c>
      <c r="Q115" t="s">
        <v>502</v>
      </c>
      <c r="S115" t="s">
        <v>503</v>
      </c>
      <c r="T115" t="s">
        <v>507</v>
      </c>
      <c r="U115" t="s">
        <v>511</v>
      </c>
      <c r="V115">
        <v>10303</v>
      </c>
      <c r="W115" t="s">
        <v>518</v>
      </c>
      <c r="X115" t="s">
        <v>548</v>
      </c>
      <c r="Z115" t="s">
        <v>4590</v>
      </c>
      <c r="AA115" t="s">
        <v>4722</v>
      </c>
      <c r="AB115" t="s">
        <v>902</v>
      </c>
      <c r="AC115" t="s">
        <v>905</v>
      </c>
      <c r="AF115" t="s">
        <v>926</v>
      </c>
      <c r="AI115">
        <v>31.55</v>
      </c>
      <c r="AJ115" t="s">
        <v>558</v>
      </c>
      <c r="AK115" t="s">
        <v>941</v>
      </c>
      <c r="AL115" t="s">
        <v>274</v>
      </c>
      <c r="AM115" t="s">
        <v>973</v>
      </c>
      <c r="AN115" t="s">
        <v>2390</v>
      </c>
      <c r="AT115">
        <v>0</v>
      </c>
      <c r="AU115">
        <v>2</v>
      </c>
      <c r="AV115" t="s">
        <v>273</v>
      </c>
      <c r="AY115" t="s">
        <v>273</v>
      </c>
      <c r="BB115">
        <v>0</v>
      </c>
      <c r="BC115">
        <v>0</v>
      </c>
      <c r="BD115">
        <v>0</v>
      </c>
      <c r="BE115">
        <v>0</v>
      </c>
      <c r="BF115" t="s">
        <v>1063</v>
      </c>
      <c r="BG115" t="s">
        <v>4899</v>
      </c>
      <c r="BH115">
        <v>18</v>
      </c>
      <c r="BI115" t="s">
        <v>1248</v>
      </c>
      <c r="BK115">
        <v>1884066</v>
      </c>
    </row>
    <row r="116" spans="1:63">
      <c r="A116" s="1">
        <f>HYPERLINK("https://lsnyc.legalserver.org/matter/dynamic-profile/view/1883324","18-1883324")</f>
        <v>0</v>
      </c>
      <c r="B116" t="s">
        <v>4390</v>
      </c>
      <c r="C116" t="s">
        <v>4496</v>
      </c>
      <c r="D116" t="s">
        <v>254</v>
      </c>
      <c r="E116" t="s">
        <v>4501</v>
      </c>
      <c r="F116" t="s">
        <v>273</v>
      </c>
      <c r="G116" t="s">
        <v>275</v>
      </c>
      <c r="H116">
        <v>52.5</v>
      </c>
      <c r="I116" t="s">
        <v>274</v>
      </c>
      <c r="K116" t="s">
        <v>1726</v>
      </c>
      <c r="O116" t="s">
        <v>275</v>
      </c>
      <c r="P116" t="s">
        <v>492</v>
      </c>
      <c r="Q116" t="s">
        <v>501</v>
      </c>
      <c r="S116" t="s">
        <v>503</v>
      </c>
      <c r="T116" t="s">
        <v>508</v>
      </c>
      <c r="U116" t="s">
        <v>511</v>
      </c>
      <c r="V116">
        <v>10302</v>
      </c>
      <c r="W116" t="s">
        <v>528</v>
      </c>
      <c r="X116" t="s">
        <v>548</v>
      </c>
      <c r="Z116" t="s">
        <v>4627</v>
      </c>
      <c r="AA116" t="s">
        <v>4762</v>
      </c>
      <c r="AB116" t="s">
        <v>902</v>
      </c>
      <c r="AC116" t="s">
        <v>905</v>
      </c>
      <c r="AF116" t="s">
        <v>923</v>
      </c>
      <c r="AI116">
        <v>2</v>
      </c>
      <c r="AJ116" t="s">
        <v>558</v>
      </c>
      <c r="AK116" t="s">
        <v>933</v>
      </c>
      <c r="AL116" t="s">
        <v>274</v>
      </c>
      <c r="AM116" t="s">
        <v>973</v>
      </c>
      <c r="AN116" t="s">
        <v>1714</v>
      </c>
      <c r="AT116">
        <v>5</v>
      </c>
      <c r="AU116">
        <v>1</v>
      </c>
      <c r="AV116" t="s">
        <v>273</v>
      </c>
      <c r="AY116" t="s">
        <v>273</v>
      </c>
      <c r="BB116">
        <v>0</v>
      </c>
      <c r="BC116">
        <v>0</v>
      </c>
      <c r="BD116">
        <v>0</v>
      </c>
      <c r="BE116">
        <v>0</v>
      </c>
      <c r="BF116" t="s">
        <v>1063</v>
      </c>
      <c r="BG116" t="s">
        <v>4956</v>
      </c>
      <c r="BH116">
        <v>41</v>
      </c>
      <c r="BI116" t="s">
        <v>5063</v>
      </c>
      <c r="BK116">
        <v>1860129</v>
      </c>
    </row>
    <row r="117" spans="1:63">
      <c r="A117" s="1">
        <f>HYPERLINK("https://lsnyc.legalserver.org/matter/dynamic-profile/view/1882467","18-1882467")</f>
        <v>0</v>
      </c>
      <c r="B117" t="s">
        <v>4391</v>
      </c>
      <c r="C117" t="s">
        <v>4496</v>
      </c>
      <c r="D117" t="s">
        <v>254</v>
      </c>
      <c r="E117" t="s">
        <v>4499</v>
      </c>
      <c r="F117" t="s">
        <v>273</v>
      </c>
      <c r="G117" t="s">
        <v>275</v>
      </c>
      <c r="H117">
        <v>0</v>
      </c>
      <c r="I117" t="s">
        <v>274</v>
      </c>
      <c r="K117" t="s">
        <v>3703</v>
      </c>
      <c r="Q117" t="s">
        <v>502</v>
      </c>
      <c r="S117" t="s">
        <v>503</v>
      </c>
      <c r="T117" t="s">
        <v>507</v>
      </c>
      <c r="U117" t="s">
        <v>511</v>
      </c>
      <c r="V117">
        <v>10301</v>
      </c>
      <c r="W117" t="s">
        <v>518</v>
      </c>
      <c r="X117" t="s">
        <v>548</v>
      </c>
      <c r="Z117" t="s">
        <v>3043</v>
      </c>
      <c r="AA117" t="s">
        <v>4763</v>
      </c>
      <c r="AB117" t="s">
        <v>902</v>
      </c>
      <c r="AC117" t="s">
        <v>905</v>
      </c>
      <c r="AF117" t="s">
        <v>926</v>
      </c>
      <c r="AI117">
        <v>0.2</v>
      </c>
      <c r="AK117" t="s">
        <v>934</v>
      </c>
      <c r="AL117" t="s">
        <v>274</v>
      </c>
      <c r="AT117">
        <v>1</v>
      </c>
      <c r="AU117">
        <v>3</v>
      </c>
      <c r="AV117" t="s">
        <v>273</v>
      </c>
      <c r="AY117" t="s">
        <v>273</v>
      </c>
      <c r="BB117">
        <v>0</v>
      </c>
      <c r="BC117">
        <v>0</v>
      </c>
      <c r="BD117">
        <v>0</v>
      </c>
      <c r="BE117">
        <v>0</v>
      </c>
      <c r="BF117" t="s">
        <v>1063</v>
      </c>
      <c r="BG117" t="s">
        <v>4957</v>
      </c>
      <c r="BH117">
        <v>4</v>
      </c>
      <c r="BI117" t="s">
        <v>1247</v>
      </c>
      <c r="BK117">
        <v>1867622</v>
      </c>
    </row>
    <row r="118" spans="1:63">
      <c r="A118" s="1">
        <f>HYPERLINK("https://lsnyc.legalserver.org/matter/dynamic-profile/view/1882305","18-1882305")</f>
        <v>0</v>
      </c>
      <c r="B118" t="s">
        <v>4329</v>
      </c>
      <c r="C118" t="s">
        <v>4496</v>
      </c>
      <c r="D118" t="s">
        <v>254</v>
      </c>
      <c r="E118" t="s">
        <v>4501</v>
      </c>
      <c r="F118" t="s">
        <v>273</v>
      </c>
      <c r="G118" t="s">
        <v>275</v>
      </c>
      <c r="H118">
        <v>0</v>
      </c>
      <c r="I118" t="s">
        <v>274</v>
      </c>
      <c r="K118" t="s">
        <v>3704</v>
      </c>
      <c r="Q118" t="s">
        <v>502</v>
      </c>
      <c r="S118" t="s">
        <v>503</v>
      </c>
      <c r="T118" t="s">
        <v>508</v>
      </c>
      <c r="U118" t="s">
        <v>511</v>
      </c>
      <c r="V118">
        <v>10304</v>
      </c>
      <c r="W118" t="s">
        <v>518</v>
      </c>
      <c r="X118" t="s">
        <v>548</v>
      </c>
      <c r="Z118" t="s">
        <v>584</v>
      </c>
      <c r="AA118" t="s">
        <v>4719</v>
      </c>
      <c r="AB118" t="s">
        <v>902</v>
      </c>
      <c r="AC118" t="s">
        <v>906</v>
      </c>
      <c r="AF118" t="s">
        <v>926</v>
      </c>
      <c r="AI118">
        <v>32.68</v>
      </c>
      <c r="AJ118" t="s">
        <v>558</v>
      </c>
      <c r="AK118" t="s">
        <v>934</v>
      </c>
      <c r="AL118" t="s">
        <v>274</v>
      </c>
      <c r="AM118" t="s">
        <v>973</v>
      </c>
      <c r="AN118" t="s">
        <v>3703</v>
      </c>
      <c r="AT118">
        <v>1</v>
      </c>
      <c r="AU118">
        <v>1</v>
      </c>
      <c r="AV118" t="s">
        <v>273</v>
      </c>
      <c r="AY118" t="s">
        <v>273</v>
      </c>
      <c r="BB118">
        <v>0</v>
      </c>
      <c r="BC118">
        <v>0</v>
      </c>
      <c r="BD118">
        <v>0</v>
      </c>
      <c r="BE118">
        <v>0</v>
      </c>
      <c r="BF118" t="s">
        <v>1063</v>
      </c>
      <c r="BG118" t="s">
        <v>4897</v>
      </c>
      <c r="BH118">
        <v>16</v>
      </c>
      <c r="BI118" t="s">
        <v>1247</v>
      </c>
      <c r="BK118">
        <v>1859139</v>
      </c>
    </row>
    <row r="119" spans="1:63">
      <c r="A119" s="1">
        <f>HYPERLINK("https://lsnyc.legalserver.org/matter/dynamic-profile/view/1881833","18-1881833")</f>
        <v>0</v>
      </c>
      <c r="B119" t="s">
        <v>4311</v>
      </c>
      <c r="C119" t="s">
        <v>4496</v>
      </c>
      <c r="D119" t="s">
        <v>254</v>
      </c>
      <c r="E119" t="s">
        <v>4501</v>
      </c>
      <c r="F119" t="s">
        <v>273</v>
      </c>
      <c r="G119" t="s">
        <v>275</v>
      </c>
      <c r="H119">
        <v>0</v>
      </c>
      <c r="I119" t="s">
        <v>274</v>
      </c>
      <c r="K119" t="s">
        <v>365</v>
      </c>
      <c r="P119" t="s">
        <v>492</v>
      </c>
      <c r="Q119" t="s">
        <v>502</v>
      </c>
      <c r="S119" t="s">
        <v>503</v>
      </c>
      <c r="T119" t="s">
        <v>507</v>
      </c>
      <c r="U119" t="s">
        <v>511</v>
      </c>
      <c r="V119">
        <v>10304</v>
      </c>
      <c r="W119" t="s">
        <v>518</v>
      </c>
      <c r="X119" t="s">
        <v>548</v>
      </c>
      <c r="Z119" t="s">
        <v>657</v>
      </c>
      <c r="AA119" t="s">
        <v>4705</v>
      </c>
      <c r="AB119" t="s">
        <v>902</v>
      </c>
      <c r="AC119" t="s">
        <v>906</v>
      </c>
      <c r="AF119" t="s">
        <v>926</v>
      </c>
      <c r="AI119">
        <v>22.4</v>
      </c>
      <c r="AJ119" t="s">
        <v>558</v>
      </c>
      <c r="AK119" t="s">
        <v>941</v>
      </c>
      <c r="AL119" t="s">
        <v>274</v>
      </c>
      <c r="AT119">
        <v>1</v>
      </c>
      <c r="AU119">
        <v>1</v>
      </c>
      <c r="AV119" t="s">
        <v>273</v>
      </c>
      <c r="AY119" t="s">
        <v>273</v>
      </c>
      <c r="BB119">
        <v>0</v>
      </c>
      <c r="BC119">
        <v>0</v>
      </c>
      <c r="BD119">
        <v>0</v>
      </c>
      <c r="BE119">
        <v>0</v>
      </c>
      <c r="BF119" t="s">
        <v>1063</v>
      </c>
      <c r="BG119" t="s">
        <v>4879</v>
      </c>
      <c r="BH119">
        <v>15</v>
      </c>
      <c r="BI119" t="s">
        <v>1247</v>
      </c>
      <c r="BK119">
        <v>1882456</v>
      </c>
    </row>
    <row r="120" spans="1:63">
      <c r="A120" s="1">
        <f>HYPERLINK("https://lsnyc.legalserver.org/matter/dynamic-profile/view/1881999","18-1881999")</f>
        <v>0</v>
      </c>
      <c r="B120" t="s">
        <v>4358</v>
      </c>
      <c r="C120" t="s">
        <v>4496</v>
      </c>
      <c r="D120" t="s">
        <v>254</v>
      </c>
      <c r="E120" t="s">
        <v>4499</v>
      </c>
      <c r="F120" t="s">
        <v>273</v>
      </c>
      <c r="G120" t="s">
        <v>275</v>
      </c>
      <c r="H120">
        <v>0</v>
      </c>
      <c r="I120" t="s">
        <v>274</v>
      </c>
      <c r="K120" t="s">
        <v>365</v>
      </c>
      <c r="Q120" t="s">
        <v>502</v>
      </c>
      <c r="S120" t="s">
        <v>503</v>
      </c>
      <c r="T120" t="s">
        <v>508</v>
      </c>
      <c r="U120" t="s">
        <v>511</v>
      </c>
      <c r="V120">
        <v>10301</v>
      </c>
      <c r="W120" t="s">
        <v>518</v>
      </c>
      <c r="X120" t="s">
        <v>548</v>
      </c>
      <c r="Z120" t="s">
        <v>629</v>
      </c>
      <c r="AA120" t="s">
        <v>4741</v>
      </c>
      <c r="AB120" t="s">
        <v>902</v>
      </c>
      <c r="AC120" t="s">
        <v>906</v>
      </c>
      <c r="AF120" t="s">
        <v>926</v>
      </c>
      <c r="AI120">
        <v>17.1</v>
      </c>
      <c r="AJ120" t="s">
        <v>558</v>
      </c>
      <c r="AK120" t="s">
        <v>934</v>
      </c>
      <c r="AL120" t="s">
        <v>274</v>
      </c>
      <c r="AT120">
        <v>1</v>
      </c>
      <c r="AU120">
        <v>1</v>
      </c>
      <c r="AV120" t="s">
        <v>273</v>
      </c>
      <c r="AY120" t="s">
        <v>273</v>
      </c>
      <c r="BB120">
        <v>0</v>
      </c>
      <c r="BC120">
        <v>0</v>
      </c>
      <c r="BD120">
        <v>0</v>
      </c>
      <c r="BE120">
        <v>0</v>
      </c>
      <c r="BF120" t="s">
        <v>1063</v>
      </c>
      <c r="BG120" t="s">
        <v>4924</v>
      </c>
      <c r="BH120">
        <v>3</v>
      </c>
      <c r="BI120" t="s">
        <v>1247</v>
      </c>
      <c r="BK120">
        <v>1876704</v>
      </c>
    </row>
    <row r="121" spans="1:63">
      <c r="A121" s="1">
        <f>HYPERLINK("https://lsnyc.legalserver.org/matter/dynamic-profile/view/1882058","18-1882058")</f>
        <v>0</v>
      </c>
      <c r="B121" t="s">
        <v>4358</v>
      </c>
      <c r="C121" t="s">
        <v>4496</v>
      </c>
      <c r="D121" t="s">
        <v>254</v>
      </c>
      <c r="E121" t="s">
        <v>4499</v>
      </c>
      <c r="F121" t="s">
        <v>273</v>
      </c>
      <c r="G121" t="s">
        <v>275</v>
      </c>
      <c r="H121">
        <v>0</v>
      </c>
      <c r="I121" t="s">
        <v>274</v>
      </c>
      <c r="K121" t="s">
        <v>365</v>
      </c>
      <c r="Q121" t="s">
        <v>502</v>
      </c>
      <c r="S121" t="s">
        <v>504</v>
      </c>
      <c r="T121" t="s">
        <v>508</v>
      </c>
      <c r="U121" t="s">
        <v>512</v>
      </c>
      <c r="V121">
        <v>10301</v>
      </c>
      <c r="X121" t="s">
        <v>548</v>
      </c>
      <c r="Z121" t="s">
        <v>629</v>
      </c>
      <c r="AA121" t="s">
        <v>4741</v>
      </c>
      <c r="AB121" t="s">
        <v>902</v>
      </c>
      <c r="AC121" t="s">
        <v>906</v>
      </c>
      <c r="AF121" t="s">
        <v>924</v>
      </c>
      <c r="AI121">
        <v>3.7</v>
      </c>
      <c r="AK121" t="s">
        <v>934</v>
      </c>
      <c r="AL121" t="s">
        <v>274</v>
      </c>
      <c r="AT121">
        <v>1</v>
      </c>
      <c r="AU121">
        <v>1</v>
      </c>
      <c r="AV121" t="s">
        <v>273</v>
      </c>
      <c r="AY121" t="s">
        <v>273</v>
      </c>
      <c r="BB121">
        <v>0</v>
      </c>
      <c r="BC121">
        <v>0</v>
      </c>
      <c r="BD121">
        <v>0</v>
      </c>
      <c r="BE121">
        <v>0</v>
      </c>
      <c r="BF121" t="s">
        <v>1063</v>
      </c>
      <c r="BG121" t="s">
        <v>4924</v>
      </c>
      <c r="BH121">
        <v>3</v>
      </c>
      <c r="BI121" t="s">
        <v>1247</v>
      </c>
      <c r="BK121">
        <v>1876704</v>
      </c>
    </row>
    <row r="122" spans="1:63">
      <c r="A122" s="1">
        <f>HYPERLINK("https://lsnyc.legalserver.org/matter/dynamic-profile/view/1882069","18-1882069")</f>
        <v>0</v>
      </c>
      <c r="B122" t="s">
        <v>4392</v>
      </c>
      <c r="C122" t="s">
        <v>4496</v>
      </c>
      <c r="D122" t="s">
        <v>253</v>
      </c>
      <c r="E122" t="s">
        <v>4500</v>
      </c>
      <c r="F122" t="s">
        <v>273</v>
      </c>
      <c r="G122" t="s">
        <v>275</v>
      </c>
      <c r="H122">
        <v>0</v>
      </c>
      <c r="I122" t="s">
        <v>274</v>
      </c>
      <c r="K122" t="s">
        <v>365</v>
      </c>
      <c r="Q122" t="s">
        <v>502</v>
      </c>
      <c r="S122" t="s">
        <v>503</v>
      </c>
      <c r="T122" t="s">
        <v>508</v>
      </c>
      <c r="U122" t="s">
        <v>511</v>
      </c>
      <c r="V122">
        <v>11374</v>
      </c>
      <c r="W122" t="s">
        <v>520</v>
      </c>
      <c r="X122" t="s">
        <v>553</v>
      </c>
      <c r="Y122" t="s">
        <v>275</v>
      </c>
      <c r="Z122" t="s">
        <v>4628</v>
      </c>
      <c r="AA122" t="s">
        <v>4764</v>
      </c>
      <c r="AB122" t="s">
        <v>902</v>
      </c>
      <c r="AC122" t="s">
        <v>906</v>
      </c>
      <c r="AF122" t="s">
        <v>923</v>
      </c>
      <c r="AI122">
        <v>3.8</v>
      </c>
      <c r="AJ122" t="s">
        <v>558</v>
      </c>
      <c r="AK122" t="s">
        <v>3257</v>
      </c>
      <c r="AL122" t="s">
        <v>274</v>
      </c>
      <c r="AM122" t="s">
        <v>973</v>
      </c>
      <c r="AN122" t="s">
        <v>363</v>
      </c>
      <c r="AT122">
        <v>1</v>
      </c>
      <c r="AU122">
        <v>1</v>
      </c>
      <c r="AV122" t="s">
        <v>274</v>
      </c>
      <c r="AW122" t="s">
        <v>1725</v>
      </c>
      <c r="AX122" t="s">
        <v>4861</v>
      </c>
      <c r="AY122" t="s">
        <v>273</v>
      </c>
      <c r="BB122">
        <v>0</v>
      </c>
      <c r="BC122">
        <v>0</v>
      </c>
      <c r="BD122">
        <v>0</v>
      </c>
      <c r="BE122">
        <v>0</v>
      </c>
      <c r="BF122" t="s">
        <v>1063</v>
      </c>
      <c r="BG122" t="s">
        <v>4958</v>
      </c>
      <c r="BH122">
        <v>13</v>
      </c>
      <c r="BI122" t="s">
        <v>1247</v>
      </c>
      <c r="BK122">
        <v>1870197</v>
      </c>
    </row>
    <row r="123" spans="1:63">
      <c r="A123" s="1">
        <f>HYPERLINK("https://lsnyc.legalserver.org/matter/dynamic-profile/view/1882084","18-1882084")</f>
        <v>0</v>
      </c>
      <c r="B123" t="s">
        <v>4393</v>
      </c>
      <c r="C123" t="s">
        <v>4496</v>
      </c>
      <c r="D123" t="s">
        <v>254</v>
      </c>
      <c r="E123" t="s">
        <v>4501</v>
      </c>
      <c r="F123" t="s">
        <v>273</v>
      </c>
      <c r="G123" t="s">
        <v>275</v>
      </c>
      <c r="H123">
        <v>0</v>
      </c>
      <c r="I123" t="s">
        <v>274</v>
      </c>
      <c r="K123" t="s">
        <v>365</v>
      </c>
      <c r="Q123" t="s">
        <v>502</v>
      </c>
      <c r="S123" t="s">
        <v>503</v>
      </c>
      <c r="T123" t="s">
        <v>507</v>
      </c>
      <c r="U123" t="s">
        <v>511</v>
      </c>
      <c r="V123">
        <v>10304</v>
      </c>
      <c r="W123" t="s">
        <v>518</v>
      </c>
      <c r="X123" t="s">
        <v>548</v>
      </c>
      <c r="Z123" t="s">
        <v>2025</v>
      </c>
      <c r="AA123" t="s">
        <v>4765</v>
      </c>
      <c r="AB123" t="s">
        <v>902</v>
      </c>
      <c r="AC123" t="s">
        <v>906</v>
      </c>
      <c r="AF123" t="s">
        <v>926</v>
      </c>
      <c r="AI123">
        <v>4.4</v>
      </c>
      <c r="AJ123" t="s">
        <v>558</v>
      </c>
      <c r="AK123" t="s">
        <v>934</v>
      </c>
      <c r="AL123" t="s">
        <v>274</v>
      </c>
      <c r="AT123">
        <v>3</v>
      </c>
      <c r="AU123">
        <v>3</v>
      </c>
      <c r="AV123" t="s">
        <v>274</v>
      </c>
      <c r="AY123" t="s">
        <v>273</v>
      </c>
      <c r="BB123">
        <v>0</v>
      </c>
      <c r="BC123">
        <v>0</v>
      </c>
      <c r="BD123">
        <v>0</v>
      </c>
      <c r="BE123">
        <v>0</v>
      </c>
      <c r="BF123" t="s">
        <v>1063</v>
      </c>
      <c r="BG123" t="s">
        <v>4959</v>
      </c>
      <c r="BH123">
        <v>4</v>
      </c>
      <c r="BI123" t="s">
        <v>1247</v>
      </c>
      <c r="BK123">
        <v>1869143</v>
      </c>
    </row>
    <row r="124" spans="1:63">
      <c r="A124" s="1">
        <f>HYPERLINK("https://lsnyc.legalserver.org/matter/dynamic-profile/view/1882087","18-1882087")</f>
        <v>0</v>
      </c>
      <c r="B124" t="s">
        <v>4393</v>
      </c>
      <c r="C124" t="s">
        <v>4496</v>
      </c>
      <c r="D124" t="s">
        <v>254</v>
      </c>
      <c r="E124" t="s">
        <v>4501</v>
      </c>
      <c r="F124" t="s">
        <v>273</v>
      </c>
      <c r="G124" t="s">
        <v>275</v>
      </c>
      <c r="H124">
        <v>0</v>
      </c>
      <c r="I124" t="s">
        <v>274</v>
      </c>
      <c r="K124" t="s">
        <v>365</v>
      </c>
      <c r="Q124" t="s">
        <v>502</v>
      </c>
      <c r="S124" t="s">
        <v>504</v>
      </c>
      <c r="T124" t="s">
        <v>507</v>
      </c>
      <c r="U124" t="s">
        <v>512</v>
      </c>
      <c r="V124">
        <v>10304</v>
      </c>
      <c r="X124" t="s">
        <v>548</v>
      </c>
      <c r="Z124" t="s">
        <v>2025</v>
      </c>
      <c r="AA124" t="s">
        <v>4765</v>
      </c>
      <c r="AB124" t="s">
        <v>902</v>
      </c>
      <c r="AC124" t="s">
        <v>906</v>
      </c>
      <c r="AF124" t="s">
        <v>928</v>
      </c>
      <c r="AI124">
        <v>3.3</v>
      </c>
      <c r="AJ124" t="s">
        <v>558</v>
      </c>
      <c r="AK124" t="s">
        <v>934</v>
      </c>
      <c r="AL124" t="s">
        <v>274</v>
      </c>
      <c r="AT124">
        <v>3</v>
      </c>
      <c r="AU124">
        <v>3</v>
      </c>
      <c r="AV124" t="s">
        <v>273</v>
      </c>
      <c r="AY124" t="s">
        <v>273</v>
      </c>
      <c r="BB124">
        <v>0</v>
      </c>
      <c r="BC124">
        <v>0</v>
      </c>
      <c r="BD124">
        <v>0</v>
      </c>
      <c r="BE124">
        <v>0</v>
      </c>
      <c r="BF124" t="s">
        <v>1063</v>
      </c>
      <c r="BG124" t="s">
        <v>4959</v>
      </c>
      <c r="BH124">
        <v>4</v>
      </c>
      <c r="BI124" t="s">
        <v>1247</v>
      </c>
      <c r="BK124">
        <v>1869143</v>
      </c>
    </row>
    <row r="125" spans="1:63">
      <c r="A125" s="1">
        <f>HYPERLINK("https://lsnyc.legalserver.org/matter/dynamic-profile/view/1882101","18-1882101")</f>
        <v>0</v>
      </c>
      <c r="B125" t="s">
        <v>4394</v>
      </c>
      <c r="C125" t="s">
        <v>4496</v>
      </c>
      <c r="D125" t="s">
        <v>254</v>
      </c>
      <c r="E125" t="s">
        <v>4500</v>
      </c>
      <c r="F125" t="s">
        <v>273</v>
      </c>
      <c r="G125" t="s">
        <v>275</v>
      </c>
      <c r="H125">
        <v>0</v>
      </c>
      <c r="I125" t="s">
        <v>274</v>
      </c>
      <c r="K125" t="s">
        <v>365</v>
      </c>
      <c r="Q125" t="s">
        <v>502</v>
      </c>
      <c r="S125" t="s">
        <v>503</v>
      </c>
      <c r="T125" t="s">
        <v>508</v>
      </c>
      <c r="U125" t="s">
        <v>511</v>
      </c>
      <c r="V125">
        <v>10310</v>
      </c>
      <c r="W125" t="s">
        <v>519</v>
      </c>
      <c r="X125" t="s">
        <v>548</v>
      </c>
      <c r="Z125" t="s">
        <v>4629</v>
      </c>
      <c r="AA125" t="s">
        <v>4766</v>
      </c>
      <c r="AB125" t="s">
        <v>902</v>
      </c>
      <c r="AC125" t="s">
        <v>906</v>
      </c>
      <c r="AF125" t="s">
        <v>926</v>
      </c>
      <c r="AI125">
        <v>10.4</v>
      </c>
      <c r="AJ125" t="s">
        <v>558</v>
      </c>
      <c r="AK125" t="s">
        <v>934</v>
      </c>
      <c r="AL125" t="s">
        <v>274</v>
      </c>
      <c r="AM125" t="s">
        <v>973</v>
      </c>
      <c r="AN125" t="s">
        <v>2390</v>
      </c>
      <c r="AT125">
        <v>1</v>
      </c>
      <c r="AU125">
        <v>1</v>
      </c>
      <c r="AV125" t="s">
        <v>273</v>
      </c>
      <c r="AY125" t="s">
        <v>273</v>
      </c>
      <c r="BB125">
        <v>0</v>
      </c>
      <c r="BC125">
        <v>0</v>
      </c>
      <c r="BD125">
        <v>0</v>
      </c>
      <c r="BE125">
        <v>0</v>
      </c>
      <c r="BF125" t="s">
        <v>1063</v>
      </c>
      <c r="BG125" t="s">
        <v>4960</v>
      </c>
      <c r="BH125">
        <v>8</v>
      </c>
      <c r="BI125" t="s">
        <v>1247</v>
      </c>
      <c r="BK125">
        <v>1870365</v>
      </c>
    </row>
    <row r="126" spans="1:63">
      <c r="A126" s="1">
        <f>HYPERLINK("https://lsnyc.legalserver.org/matter/dynamic-profile/view/1882103","18-1882103")</f>
        <v>0</v>
      </c>
      <c r="B126" t="s">
        <v>4395</v>
      </c>
      <c r="C126" t="s">
        <v>4496</v>
      </c>
      <c r="D126" t="s">
        <v>254</v>
      </c>
      <c r="E126" t="s">
        <v>4500</v>
      </c>
      <c r="F126" t="s">
        <v>273</v>
      </c>
      <c r="G126" t="s">
        <v>275</v>
      </c>
      <c r="H126">
        <v>0</v>
      </c>
      <c r="I126" t="s">
        <v>274</v>
      </c>
      <c r="K126" t="s">
        <v>365</v>
      </c>
      <c r="Q126" t="s">
        <v>502</v>
      </c>
      <c r="S126" t="s">
        <v>504</v>
      </c>
      <c r="T126" t="s">
        <v>508</v>
      </c>
      <c r="U126" t="s">
        <v>512</v>
      </c>
      <c r="V126">
        <v>10310</v>
      </c>
      <c r="X126" t="s">
        <v>548</v>
      </c>
      <c r="Z126" t="s">
        <v>4629</v>
      </c>
      <c r="AA126" t="s">
        <v>4766</v>
      </c>
      <c r="AB126" t="s">
        <v>902</v>
      </c>
      <c r="AC126" t="s">
        <v>906</v>
      </c>
      <c r="AF126" t="s">
        <v>924</v>
      </c>
      <c r="AI126">
        <v>4.7</v>
      </c>
      <c r="AJ126" t="s">
        <v>558</v>
      </c>
      <c r="AK126" t="s">
        <v>934</v>
      </c>
      <c r="AL126" t="s">
        <v>274</v>
      </c>
      <c r="AT126">
        <v>1</v>
      </c>
      <c r="AU126">
        <v>1</v>
      </c>
      <c r="AV126" t="s">
        <v>273</v>
      </c>
      <c r="AY126" t="s">
        <v>273</v>
      </c>
      <c r="BB126">
        <v>0</v>
      </c>
      <c r="BC126">
        <v>0</v>
      </c>
      <c r="BD126">
        <v>0</v>
      </c>
      <c r="BE126">
        <v>0</v>
      </c>
      <c r="BF126" t="s">
        <v>1063</v>
      </c>
      <c r="BG126" t="s">
        <v>4960</v>
      </c>
      <c r="BH126">
        <v>8</v>
      </c>
      <c r="BI126" t="s">
        <v>1247</v>
      </c>
      <c r="BK126">
        <v>1870365</v>
      </c>
    </row>
    <row r="127" spans="1:63">
      <c r="A127" s="1">
        <f>HYPERLINK("https://lsnyc.legalserver.org/matter/dynamic-profile/view/1882109","18-1882109")</f>
        <v>0</v>
      </c>
      <c r="B127" t="s">
        <v>4327</v>
      </c>
      <c r="C127" t="s">
        <v>4496</v>
      </c>
      <c r="D127" t="s">
        <v>254</v>
      </c>
      <c r="E127" t="s">
        <v>4500</v>
      </c>
      <c r="F127" t="s">
        <v>273</v>
      </c>
      <c r="G127" t="s">
        <v>275</v>
      </c>
      <c r="H127">
        <v>103.59</v>
      </c>
      <c r="I127" t="s">
        <v>274</v>
      </c>
      <c r="K127" t="s">
        <v>365</v>
      </c>
      <c r="Q127" t="s">
        <v>502</v>
      </c>
      <c r="S127" t="s">
        <v>503</v>
      </c>
      <c r="T127" t="s">
        <v>508</v>
      </c>
      <c r="U127" t="s">
        <v>511</v>
      </c>
      <c r="V127">
        <v>10303</v>
      </c>
      <c r="W127" t="s">
        <v>518</v>
      </c>
      <c r="Z127" t="s">
        <v>4587</v>
      </c>
      <c r="AA127" t="s">
        <v>4717</v>
      </c>
      <c r="AB127" t="s">
        <v>902</v>
      </c>
      <c r="AC127" t="s">
        <v>906</v>
      </c>
      <c r="AF127" t="s">
        <v>926</v>
      </c>
      <c r="AI127">
        <v>1.8</v>
      </c>
      <c r="AJ127" t="s">
        <v>558</v>
      </c>
      <c r="AK127" t="s">
        <v>941</v>
      </c>
      <c r="AL127" t="s">
        <v>274</v>
      </c>
      <c r="AM127" t="s">
        <v>973</v>
      </c>
      <c r="AN127" t="s">
        <v>3703</v>
      </c>
      <c r="AT127">
        <v>2</v>
      </c>
      <c r="AU127">
        <v>2</v>
      </c>
      <c r="AV127" t="s">
        <v>273</v>
      </c>
      <c r="AY127" t="s">
        <v>273</v>
      </c>
      <c r="BB127">
        <v>0</v>
      </c>
      <c r="BC127">
        <v>0</v>
      </c>
      <c r="BD127">
        <v>0</v>
      </c>
      <c r="BE127">
        <v>0</v>
      </c>
      <c r="BF127" t="s">
        <v>1063</v>
      </c>
      <c r="BG127" t="s">
        <v>4895</v>
      </c>
      <c r="BH127">
        <v>10</v>
      </c>
      <c r="BI127" t="s">
        <v>1279</v>
      </c>
      <c r="BK127">
        <v>1871837</v>
      </c>
    </row>
    <row r="128" spans="1:63">
      <c r="A128" s="1">
        <f>HYPERLINK("https://lsnyc.legalserver.org/matter/dynamic-profile/view/1882112","18-1882112")</f>
        <v>0</v>
      </c>
      <c r="B128" t="s">
        <v>4396</v>
      </c>
      <c r="C128" t="s">
        <v>4496</v>
      </c>
      <c r="D128" t="s">
        <v>254</v>
      </c>
      <c r="E128" t="s">
        <v>4500</v>
      </c>
      <c r="F128" t="s">
        <v>273</v>
      </c>
      <c r="G128" t="s">
        <v>275</v>
      </c>
      <c r="H128">
        <v>103.59</v>
      </c>
      <c r="I128" t="s">
        <v>274</v>
      </c>
      <c r="K128" t="s">
        <v>365</v>
      </c>
      <c r="Q128" t="s">
        <v>502</v>
      </c>
      <c r="S128" t="s">
        <v>503</v>
      </c>
      <c r="T128" t="s">
        <v>508</v>
      </c>
      <c r="U128" t="s">
        <v>511</v>
      </c>
      <c r="V128">
        <v>10303</v>
      </c>
      <c r="W128" t="s">
        <v>518</v>
      </c>
      <c r="Z128" t="s">
        <v>4586</v>
      </c>
      <c r="AA128" t="s">
        <v>4717</v>
      </c>
      <c r="AB128" t="s">
        <v>902</v>
      </c>
      <c r="AC128" t="s">
        <v>906</v>
      </c>
      <c r="AF128" t="s">
        <v>926</v>
      </c>
      <c r="AI128">
        <v>1.8</v>
      </c>
      <c r="AJ128" t="s">
        <v>558</v>
      </c>
      <c r="AK128" t="s">
        <v>941</v>
      </c>
      <c r="AL128" t="s">
        <v>274</v>
      </c>
      <c r="AM128" t="s">
        <v>973</v>
      </c>
      <c r="AN128" t="s">
        <v>3703</v>
      </c>
      <c r="AT128">
        <v>2</v>
      </c>
      <c r="AU128">
        <v>2</v>
      </c>
      <c r="AV128" t="s">
        <v>273</v>
      </c>
      <c r="AY128" t="s">
        <v>273</v>
      </c>
      <c r="BB128">
        <v>0</v>
      </c>
      <c r="BC128">
        <v>0</v>
      </c>
      <c r="BD128">
        <v>0</v>
      </c>
      <c r="BE128">
        <v>0</v>
      </c>
      <c r="BF128" t="s">
        <v>1063</v>
      </c>
      <c r="BG128" t="s">
        <v>4894</v>
      </c>
      <c r="BH128">
        <v>3</v>
      </c>
      <c r="BI128" t="s">
        <v>2791</v>
      </c>
      <c r="BK128">
        <v>1871837</v>
      </c>
    </row>
    <row r="129" spans="1:63">
      <c r="A129" s="1">
        <f>HYPERLINK("https://lsnyc.legalserver.org/matter/dynamic-profile/view/1882124","18-1882124")</f>
        <v>0</v>
      </c>
      <c r="B129" t="s">
        <v>4397</v>
      </c>
      <c r="C129" t="s">
        <v>4496</v>
      </c>
      <c r="D129" t="s">
        <v>254</v>
      </c>
      <c r="E129" t="s">
        <v>4498</v>
      </c>
      <c r="F129" t="s">
        <v>273</v>
      </c>
      <c r="G129" t="s">
        <v>275</v>
      </c>
      <c r="H129">
        <v>0</v>
      </c>
      <c r="I129" t="s">
        <v>274</v>
      </c>
      <c r="K129" t="s">
        <v>365</v>
      </c>
      <c r="P129" t="s">
        <v>492</v>
      </c>
      <c r="Q129" t="s">
        <v>502</v>
      </c>
      <c r="S129" t="s">
        <v>503</v>
      </c>
      <c r="T129" t="s">
        <v>507</v>
      </c>
      <c r="U129" t="s">
        <v>511</v>
      </c>
      <c r="V129">
        <v>10301</v>
      </c>
      <c r="W129" t="s">
        <v>519</v>
      </c>
      <c r="X129" t="s">
        <v>549</v>
      </c>
      <c r="Z129" t="s">
        <v>4578</v>
      </c>
      <c r="AA129" t="s">
        <v>4767</v>
      </c>
      <c r="AB129" t="s">
        <v>902</v>
      </c>
      <c r="AC129" t="s">
        <v>906</v>
      </c>
      <c r="AF129" t="s">
        <v>926</v>
      </c>
      <c r="AI129">
        <v>1.45</v>
      </c>
      <c r="AJ129" t="s">
        <v>558</v>
      </c>
      <c r="AK129" t="s">
        <v>961</v>
      </c>
      <c r="AL129" t="s">
        <v>274</v>
      </c>
      <c r="AT129">
        <v>0</v>
      </c>
      <c r="AU129">
        <v>1</v>
      </c>
      <c r="AV129" t="s">
        <v>273</v>
      </c>
      <c r="AY129" t="s">
        <v>273</v>
      </c>
      <c r="BB129">
        <v>0</v>
      </c>
      <c r="BC129">
        <v>0</v>
      </c>
      <c r="BD129">
        <v>0</v>
      </c>
      <c r="BE129">
        <v>0</v>
      </c>
      <c r="BF129" t="s">
        <v>1063</v>
      </c>
      <c r="BG129" t="s">
        <v>4961</v>
      </c>
      <c r="BH129">
        <v>21</v>
      </c>
      <c r="BI129" t="s">
        <v>1247</v>
      </c>
      <c r="BK129">
        <v>1866083</v>
      </c>
    </row>
    <row r="130" spans="1:63">
      <c r="A130" s="1">
        <f>HYPERLINK("https://lsnyc.legalserver.org/matter/dynamic-profile/view/1878308","18-1878308")</f>
        <v>0</v>
      </c>
      <c r="B130" t="s">
        <v>4398</v>
      </c>
      <c r="C130" t="s">
        <v>4496</v>
      </c>
      <c r="D130" t="s">
        <v>254</v>
      </c>
      <c r="E130" t="s">
        <v>4499</v>
      </c>
      <c r="F130" t="s">
        <v>273</v>
      </c>
      <c r="G130" t="s">
        <v>275</v>
      </c>
      <c r="H130">
        <v>0</v>
      </c>
      <c r="I130" t="s">
        <v>274</v>
      </c>
      <c r="K130" t="s">
        <v>4073</v>
      </c>
      <c r="P130" t="s">
        <v>492</v>
      </c>
      <c r="Q130" t="s">
        <v>501</v>
      </c>
      <c r="S130" t="s">
        <v>503</v>
      </c>
      <c r="T130" t="s">
        <v>508</v>
      </c>
      <c r="U130" t="s">
        <v>511</v>
      </c>
      <c r="V130">
        <v>10303</v>
      </c>
      <c r="W130" t="s">
        <v>532</v>
      </c>
      <c r="X130" t="s">
        <v>548</v>
      </c>
      <c r="Z130" t="s">
        <v>4630</v>
      </c>
      <c r="AA130" t="s">
        <v>4768</v>
      </c>
      <c r="AB130" t="s">
        <v>902</v>
      </c>
      <c r="AC130" t="s">
        <v>906</v>
      </c>
      <c r="AF130" t="s">
        <v>923</v>
      </c>
      <c r="AI130">
        <v>19.7</v>
      </c>
      <c r="AK130" t="s">
        <v>934</v>
      </c>
      <c r="AL130" t="s">
        <v>274</v>
      </c>
      <c r="AM130" t="s">
        <v>973</v>
      </c>
      <c r="AN130" t="s">
        <v>328</v>
      </c>
      <c r="AT130">
        <v>4</v>
      </c>
      <c r="AU130">
        <v>4</v>
      </c>
      <c r="AV130" t="s">
        <v>273</v>
      </c>
      <c r="AY130" t="s">
        <v>273</v>
      </c>
      <c r="BB130">
        <v>0</v>
      </c>
      <c r="BC130">
        <v>0</v>
      </c>
      <c r="BD130">
        <v>0</v>
      </c>
      <c r="BE130">
        <v>0</v>
      </c>
      <c r="BF130" t="s">
        <v>1063</v>
      </c>
      <c r="BG130" t="s">
        <v>4962</v>
      </c>
      <c r="BH130">
        <v>51</v>
      </c>
      <c r="BI130" t="s">
        <v>1247</v>
      </c>
      <c r="BK130">
        <v>1878923</v>
      </c>
    </row>
    <row r="131" spans="1:63">
      <c r="A131" s="1">
        <f>HYPERLINK("https://lsnyc.legalserver.org/matter/dynamic-profile/view/1881319","18-1881319")</f>
        <v>0</v>
      </c>
      <c r="B131" t="s">
        <v>4399</v>
      </c>
      <c r="C131" t="s">
        <v>4496</v>
      </c>
      <c r="D131" t="s">
        <v>254</v>
      </c>
      <c r="E131" t="s">
        <v>4501</v>
      </c>
      <c r="F131" t="s">
        <v>273</v>
      </c>
      <c r="G131" t="s">
        <v>275</v>
      </c>
      <c r="H131">
        <v>88.38</v>
      </c>
      <c r="I131" t="s">
        <v>274</v>
      </c>
      <c r="K131" t="s">
        <v>4073</v>
      </c>
      <c r="P131" t="s">
        <v>492</v>
      </c>
      <c r="Q131" t="s">
        <v>501</v>
      </c>
      <c r="S131" t="s">
        <v>503</v>
      </c>
      <c r="T131" t="s">
        <v>508</v>
      </c>
      <c r="U131" t="s">
        <v>511</v>
      </c>
      <c r="V131">
        <v>10305</v>
      </c>
      <c r="W131" t="s">
        <v>518</v>
      </c>
      <c r="X131" t="s">
        <v>548</v>
      </c>
      <c r="Z131" t="s">
        <v>4631</v>
      </c>
      <c r="AA131" t="s">
        <v>4769</v>
      </c>
      <c r="AB131" t="s">
        <v>902</v>
      </c>
      <c r="AC131" t="s">
        <v>906</v>
      </c>
      <c r="AF131" t="s">
        <v>926</v>
      </c>
      <c r="AI131">
        <v>77.31999999999999</v>
      </c>
      <c r="AJ131" t="s">
        <v>558</v>
      </c>
      <c r="AK131" t="s">
        <v>941</v>
      </c>
      <c r="AL131" t="s">
        <v>274</v>
      </c>
      <c r="AM131" t="s">
        <v>973</v>
      </c>
      <c r="AN131" t="s">
        <v>338</v>
      </c>
      <c r="AT131">
        <v>2</v>
      </c>
      <c r="AU131">
        <v>3</v>
      </c>
      <c r="AV131" t="s">
        <v>273</v>
      </c>
      <c r="AY131" t="s">
        <v>273</v>
      </c>
      <c r="BB131">
        <v>0</v>
      </c>
      <c r="BC131">
        <v>0</v>
      </c>
      <c r="BD131">
        <v>0</v>
      </c>
      <c r="BE131">
        <v>0</v>
      </c>
      <c r="BF131" t="s">
        <v>1063</v>
      </c>
      <c r="BG131" t="s">
        <v>4963</v>
      </c>
      <c r="BH131">
        <v>39</v>
      </c>
      <c r="BI131" t="s">
        <v>1279</v>
      </c>
      <c r="BK131">
        <v>1881941</v>
      </c>
    </row>
    <row r="132" spans="1:63">
      <c r="A132" s="1">
        <f>HYPERLINK("https://lsnyc.legalserver.org/matter/dynamic-profile/view/1881408","18-1881408")</f>
        <v>0</v>
      </c>
      <c r="B132" t="s">
        <v>4400</v>
      </c>
      <c r="C132" t="s">
        <v>4496</v>
      </c>
      <c r="D132" t="s">
        <v>254</v>
      </c>
      <c r="E132" t="s">
        <v>4502</v>
      </c>
      <c r="F132" t="s">
        <v>273</v>
      </c>
      <c r="G132" t="s">
        <v>275</v>
      </c>
      <c r="H132">
        <v>79.08</v>
      </c>
      <c r="I132" t="s">
        <v>274</v>
      </c>
      <c r="K132" t="s">
        <v>4073</v>
      </c>
      <c r="P132" t="s">
        <v>497</v>
      </c>
      <c r="Q132" t="s">
        <v>501</v>
      </c>
      <c r="S132" t="s">
        <v>503</v>
      </c>
      <c r="T132" t="s">
        <v>507</v>
      </c>
      <c r="U132" t="s">
        <v>511</v>
      </c>
      <c r="V132">
        <v>10310</v>
      </c>
      <c r="W132" t="s">
        <v>517</v>
      </c>
      <c r="X132" t="s">
        <v>549</v>
      </c>
      <c r="Z132" t="s">
        <v>4632</v>
      </c>
      <c r="AA132" t="s">
        <v>843</v>
      </c>
      <c r="AB132" t="s">
        <v>902</v>
      </c>
      <c r="AC132" t="s">
        <v>904</v>
      </c>
      <c r="AF132" t="s">
        <v>923</v>
      </c>
      <c r="AI132">
        <v>1.8</v>
      </c>
      <c r="AK132" t="s">
        <v>933</v>
      </c>
      <c r="AL132" t="s">
        <v>274</v>
      </c>
      <c r="AT132">
        <v>0</v>
      </c>
      <c r="AU132">
        <v>1</v>
      </c>
      <c r="AV132" t="s">
        <v>273</v>
      </c>
      <c r="AY132" t="s">
        <v>273</v>
      </c>
      <c r="BB132">
        <v>0</v>
      </c>
      <c r="BC132">
        <v>0</v>
      </c>
      <c r="BD132">
        <v>0</v>
      </c>
      <c r="BE132">
        <v>0</v>
      </c>
      <c r="BF132" t="s">
        <v>1063</v>
      </c>
      <c r="BG132" t="s">
        <v>4964</v>
      </c>
      <c r="BH132">
        <v>30</v>
      </c>
      <c r="BI132" t="s">
        <v>1280</v>
      </c>
      <c r="BK132">
        <v>1878551</v>
      </c>
    </row>
    <row r="133" spans="1:63">
      <c r="A133" s="1">
        <f>HYPERLINK("https://lsnyc.legalserver.org/matter/dynamic-profile/view/1881412","18-1881412")</f>
        <v>0</v>
      </c>
      <c r="B133" t="s">
        <v>4401</v>
      </c>
      <c r="C133" t="s">
        <v>4496</v>
      </c>
      <c r="D133" t="s">
        <v>254</v>
      </c>
      <c r="E133" t="s">
        <v>4502</v>
      </c>
      <c r="F133" t="s">
        <v>273</v>
      </c>
      <c r="G133" t="s">
        <v>275</v>
      </c>
      <c r="H133">
        <v>7.22</v>
      </c>
      <c r="I133" t="s">
        <v>274</v>
      </c>
      <c r="K133" t="s">
        <v>4073</v>
      </c>
      <c r="P133" t="s">
        <v>497</v>
      </c>
      <c r="Q133" t="s">
        <v>501</v>
      </c>
      <c r="S133" t="s">
        <v>503</v>
      </c>
      <c r="T133" t="s">
        <v>508</v>
      </c>
      <c r="U133" t="s">
        <v>511</v>
      </c>
      <c r="V133">
        <v>10310</v>
      </c>
      <c r="W133" t="s">
        <v>517</v>
      </c>
      <c r="X133" t="s">
        <v>548</v>
      </c>
      <c r="Z133" t="s">
        <v>584</v>
      </c>
      <c r="AA133" t="s">
        <v>843</v>
      </c>
      <c r="AB133" t="s">
        <v>902</v>
      </c>
      <c r="AC133" t="s">
        <v>904</v>
      </c>
      <c r="AF133" t="s">
        <v>923</v>
      </c>
      <c r="AI133">
        <v>1.7</v>
      </c>
      <c r="AK133" t="s">
        <v>933</v>
      </c>
      <c r="AL133" t="s">
        <v>274</v>
      </c>
      <c r="AM133" t="s">
        <v>973</v>
      </c>
      <c r="AN133" t="s">
        <v>336</v>
      </c>
      <c r="AT133">
        <v>1</v>
      </c>
      <c r="AU133">
        <v>2</v>
      </c>
      <c r="AV133" t="s">
        <v>273</v>
      </c>
      <c r="AY133" t="s">
        <v>273</v>
      </c>
      <c r="BB133">
        <v>0</v>
      </c>
      <c r="BC133">
        <v>0</v>
      </c>
      <c r="BD133">
        <v>0</v>
      </c>
      <c r="BE133">
        <v>0</v>
      </c>
      <c r="BF133" t="s">
        <v>1063</v>
      </c>
      <c r="BG133" t="s">
        <v>4965</v>
      </c>
      <c r="BH133">
        <v>54</v>
      </c>
      <c r="BI133" t="s">
        <v>5064</v>
      </c>
      <c r="BK133">
        <v>1878554</v>
      </c>
    </row>
    <row r="134" spans="1:63">
      <c r="A134" s="1">
        <f>HYPERLINK("https://lsnyc.legalserver.org/matter/dynamic-profile/view/1857579","18-1857579")</f>
        <v>0</v>
      </c>
      <c r="B134" t="s">
        <v>4402</v>
      </c>
      <c r="C134" t="s">
        <v>4496</v>
      </c>
      <c r="D134" t="s">
        <v>254</v>
      </c>
      <c r="E134" t="s">
        <v>4499</v>
      </c>
      <c r="F134" t="s">
        <v>273</v>
      </c>
      <c r="G134" t="s">
        <v>275</v>
      </c>
      <c r="H134">
        <v>0</v>
      </c>
      <c r="I134" t="s">
        <v>274</v>
      </c>
      <c r="K134" t="s">
        <v>1727</v>
      </c>
      <c r="O134" t="s">
        <v>275</v>
      </c>
      <c r="P134" t="s">
        <v>492</v>
      </c>
      <c r="Q134" t="s">
        <v>502</v>
      </c>
      <c r="S134" t="s">
        <v>503</v>
      </c>
      <c r="T134" t="s">
        <v>507</v>
      </c>
      <c r="U134" t="s">
        <v>511</v>
      </c>
      <c r="V134">
        <v>10314</v>
      </c>
      <c r="W134" t="s">
        <v>518</v>
      </c>
      <c r="X134" t="s">
        <v>548</v>
      </c>
      <c r="Z134" t="s">
        <v>3892</v>
      </c>
      <c r="AA134" t="s">
        <v>4770</v>
      </c>
      <c r="AB134" t="s">
        <v>902</v>
      </c>
      <c r="AC134" t="s">
        <v>905</v>
      </c>
      <c r="AF134" t="s">
        <v>926</v>
      </c>
      <c r="AI134">
        <v>13.2</v>
      </c>
      <c r="AK134" t="s">
        <v>934</v>
      </c>
      <c r="AL134" t="s">
        <v>274</v>
      </c>
      <c r="AT134">
        <v>1</v>
      </c>
      <c r="AU134">
        <v>1</v>
      </c>
      <c r="AV134" t="s">
        <v>273</v>
      </c>
      <c r="AY134" t="s">
        <v>273</v>
      </c>
      <c r="BB134">
        <v>0</v>
      </c>
      <c r="BC134">
        <v>0</v>
      </c>
      <c r="BD134">
        <v>0</v>
      </c>
      <c r="BE134">
        <v>0</v>
      </c>
      <c r="BF134" t="s">
        <v>1063</v>
      </c>
      <c r="BG134" t="s">
        <v>4966</v>
      </c>
      <c r="BH134">
        <v>8</v>
      </c>
      <c r="BI134" t="s">
        <v>1247</v>
      </c>
      <c r="BK134">
        <v>808061</v>
      </c>
    </row>
    <row r="135" spans="1:63">
      <c r="A135" s="1">
        <f>HYPERLINK("https://lsnyc.legalserver.org/matter/dynamic-profile/view/1882074","18-1882074")</f>
        <v>0</v>
      </c>
      <c r="B135" t="s">
        <v>4392</v>
      </c>
      <c r="C135" t="s">
        <v>4496</v>
      </c>
      <c r="D135" t="s">
        <v>253</v>
      </c>
      <c r="E135" t="s">
        <v>4500</v>
      </c>
      <c r="F135" t="s">
        <v>273</v>
      </c>
      <c r="G135" t="s">
        <v>275</v>
      </c>
      <c r="H135">
        <v>0</v>
      </c>
      <c r="I135" t="s">
        <v>274</v>
      </c>
      <c r="K135" t="s">
        <v>1727</v>
      </c>
      <c r="Q135" t="s">
        <v>502</v>
      </c>
      <c r="S135" t="s">
        <v>503</v>
      </c>
      <c r="T135" t="s">
        <v>508</v>
      </c>
      <c r="U135" t="s">
        <v>511</v>
      </c>
      <c r="V135">
        <v>11374</v>
      </c>
      <c r="W135" t="s">
        <v>518</v>
      </c>
      <c r="X135" t="s">
        <v>553</v>
      </c>
      <c r="Z135" t="s">
        <v>4628</v>
      </c>
      <c r="AA135" t="s">
        <v>4764</v>
      </c>
      <c r="AB135" t="s">
        <v>902</v>
      </c>
      <c r="AC135" t="s">
        <v>906</v>
      </c>
      <c r="AF135" t="s">
        <v>926</v>
      </c>
      <c r="AI135">
        <v>2.6</v>
      </c>
      <c r="AJ135" t="s">
        <v>558</v>
      </c>
      <c r="AK135" t="s">
        <v>3257</v>
      </c>
      <c r="AL135" t="s">
        <v>274</v>
      </c>
      <c r="AT135">
        <v>1</v>
      </c>
      <c r="AU135">
        <v>1</v>
      </c>
      <c r="AV135" t="s">
        <v>273</v>
      </c>
      <c r="AY135" t="s">
        <v>273</v>
      </c>
      <c r="BB135">
        <v>0</v>
      </c>
      <c r="BC135">
        <v>0</v>
      </c>
      <c r="BD135">
        <v>0</v>
      </c>
      <c r="BE135">
        <v>0</v>
      </c>
      <c r="BF135" t="s">
        <v>1063</v>
      </c>
      <c r="BG135" t="s">
        <v>4958</v>
      </c>
      <c r="BH135">
        <v>13</v>
      </c>
      <c r="BI135" t="s">
        <v>1247</v>
      </c>
      <c r="BK135">
        <v>1870197</v>
      </c>
    </row>
    <row r="136" spans="1:63">
      <c r="A136" s="1">
        <f>HYPERLINK("https://lsnyc.legalserver.org/matter/dynamic-profile/view/1881154","18-1881154")</f>
        <v>0</v>
      </c>
      <c r="B136" t="s">
        <v>4295</v>
      </c>
      <c r="C136" t="s">
        <v>4496</v>
      </c>
      <c r="D136" t="s">
        <v>257</v>
      </c>
      <c r="E136" t="s">
        <v>4499</v>
      </c>
      <c r="F136" t="s">
        <v>273</v>
      </c>
      <c r="G136" t="s">
        <v>275</v>
      </c>
      <c r="H136">
        <v>0</v>
      </c>
      <c r="I136" t="s">
        <v>274</v>
      </c>
      <c r="K136" t="s">
        <v>3706</v>
      </c>
      <c r="Q136" t="s">
        <v>501</v>
      </c>
      <c r="S136" t="s">
        <v>503</v>
      </c>
      <c r="T136" t="s">
        <v>508</v>
      </c>
      <c r="U136" t="s">
        <v>511</v>
      </c>
      <c r="V136">
        <v>10456</v>
      </c>
      <c r="W136" t="s">
        <v>541</v>
      </c>
      <c r="Z136" t="s">
        <v>4563</v>
      </c>
      <c r="AA136" t="s">
        <v>4694</v>
      </c>
      <c r="AB136" t="s">
        <v>902</v>
      </c>
      <c r="AC136" t="s">
        <v>906</v>
      </c>
      <c r="AF136" t="s">
        <v>923</v>
      </c>
      <c r="AI136">
        <v>15.5</v>
      </c>
      <c r="AK136" t="s">
        <v>4835</v>
      </c>
      <c r="AL136" t="s">
        <v>274</v>
      </c>
      <c r="AM136" t="s">
        <v>973</v>
      </c>
      <c r="AN136" t="s">
        <v>365</v>
      </c>
      <c r="AT136">
        <v>1</v>
      </c>
      <c r="AU136">
        <v>1</v>
      </c>
      <c r="AV136" t="s">
        <v>273</v>
      </c>
      <c r="AY136" t="s">
        <v>273</v>
      </c>
      <c r="BB136">
        <v>0</v>
      </c>
      <c r="BC136">
        <v>0</v>
      </c>
      <c r="BD136">
        <v>0</v>
      </c>
      <c r="BE136">
        <v>0</v>
      </c>
      <c r="BF136" t="s">
        <v>1063</v>
      </c>
      <c r="BG136" t="s">
        <v>4865</v>
      </c>
      <c r="BH136">
        <v>41</v>
      </c>
      <c r="BI136" t="s">
        <v>1247</v>
      </c>
      <c r="BK136">
        <v>1839588</v>
      </c>
    </row>
    <row r="137" spans="1:63">
      <c r="A137" s="1">
        <f>HYPERLINK("https://lsnyc.legalserver.org/matter/dynamic-profile/view/1880863","18-1880863")</f>
        <v>0</v>
      </c>
      <c r="B137" t="s">
        <v>4375</v>
      </c>
      <c r="C137" t="s">
        <v>4496</v>
      </c>
      <c r="D137" t="s">
        <v>254</v>
      </c>
      <c r="E137" t="s">
        <v>4500</v>
      </c>
      <c r="F137" t="s">
        <v>273</v>
      </c>
      <c r="G137" t="s">
        <v>275</v>
      </c>
      <c r="H137">
        <v>0</v>
      </c>
      <c r="I137" t="s">
        <v>274</v>
      </c>
      <c r="K137" t="s">
        <v>3707</v>
      </c>
      <c r="Q137" t="s">
        <v>502</v>
      </c>
      <c r="S137" t="s">
        <v>503</v>
      </c>
      <c r="T137" t="s">
        <v>507</v>
      </c>
      <c r="U137" t="s">
        <v>511</v>
      </c>
      <c r="V137">
        <v>10301</v>
      </c>
      <c r="W137" t="s">
        <v>518</v>
      </c>
      <c r="Z137" t="s">
        <v>4617</v>
      </c>
      <c r="AA137" t="s">
        <v>4753</v>
      </c>
      <c r="AB137" t="s">
        <v>902</v>
      </c>
      <c r="AC137" t="s">
        <v>905</v>
      </c>
      <c r="AF137" t="s">
        <v>926</v>
      </c>
      <c r="AI137">
        <v>7.5</v>
      </c>
      <c r="AJ137" t="s">
        <v>558</v>
      </c>
      <c r="AK137" t="s">
        <v>936</v>
      </c>
      <c r="AL137" t="s">
        <v>274</v>
      </c>
      <c r="AT137">
        <v>2</v>
      </c>
      <c r="AU137">
        <v>1</v>
      </c>
      <c r="AV137" t="s">
        <v>273</v>
      </c>
      <c r="AY137" t="s">
        <v>273</v>
      </c>
      <c r="BB137">
        <v>0</v>
      </c>
      <c r="BC137">
        <v>0</v>
      </c>
      <c r="BD137">
        <v>0</v>
      </c>
      <c r="BE137">
        <v>0</v>
      </c>
      <c r="BF137" t="s">
        <v>1063</v>
      </c>
      <c r="BG137" t="s">
        <v>4941</v>
      </c>
      <c r="BH137">
        <v>14</v>
      </c>
      <c r="BI137" t="s">
        <v>1247</v>
      </c>
      <c r="BK137">
        <v>1881482</v>
      </c>
    </row>
    <row r="138" spans="1:63">
      <c r="A138" s="1">
        <f>HYPERLINK("https://lsnyc.legalserver.org/matter/dynamic-profile/view/1880866","18-1880866")</f>
        <v>0</v>
      </c>
      <c r="B138" t="s">
        <v>4378</v>
      </c>
      <c r="C138" t="s">
        <v>4496</v>
      </c>
      <c r="D138" t="s">
        <v>254</v>
      </c>
      <c r="E138" t="s">
        <v>4500</v>
      </c>
      <c r="F138" t="s">
        <v>273</v>
      </c>
      <c r="G138" t="s">
        <v>275</v>
      </c>
      <c r="H138">
        <v>0</v>
      </c>
      <c r="I138" t="s">
        <v>274</v>
      </c>
      <c r="K138" t="s">
        <v>3707</v>
      </c>
      <c r="Q138" t="s">
        <v>502</v>
      </c>
      <c r="S138" t="s">
        <v>503</v>
      </c>
      <c r="T138" t="s">
        <v>507</v>
      </c>
      <c r="U138" t="s">
        <v>511</v>
      </c>
      <c r="V138">
        <v>10301</v>
      </c>
      <c r="W138" t="s">
        <v>518</v>
      </c>
      <c r="X138" t="s">
        <v>548</v>
      </c>
      <c r="Z138" t="s">
        <v>4618</v>
      </c>
      <c r="AA138" t="s">
        <v>4753</v>
      </c>
      <c r="AB138" t="s">
        <v>902</v>
      </c>
      <c r="AC138" t="s">
        <v>905</v>
      </c>
      <c r="AF138" t="s">
        <v>926</v>
      </c>
      <c r="AI138">
        <v>7</v>
      </c>
      <c r="AJ138" t="s">
        <v>558</v>
      </c>
      <c r="AK138" t="s">
        <v>936</v>
      </c>
      <c r="AL138" t="s">
        <v>274</v>
      </c>
      <c r="AT138">
        <v>2</v>
      </c>
      <c r="AU138">
        <v>1</v>
      </c>
      <c r="AV138" t="s">
        <v>273</v>
      </c>
      <c r="AY138" t="s">
        <v>273</v>
      </c>
      <c r="BB138">
        <v>0</v>
      </c>
      <c r="BC138">
        <v>0</v>
      </c>
      <c r="BD138">
        <v>0</v>
      </c>
      <c r="BE138">
        <v>0</v>
      </c>
      <c r="BF138" t="s">
        <v>1063</v>
      </c>
      <c r="BG138" t="s">
        <v>4945</v>
      </c>
      <c r="BH138">
        <v>9</v>
      </c>
      <c r="BI138" t="s">
        <v>1247</v>
      </c>
      <c r="BK138">
        <v>1881485</v>
      </c>
    </row>
    <row r="139" spans="1:63">
      <c r="A139" s="1">
        <f>HYPERLINK("https://lsnyc.legalserver.org/matter/dynamic-profile/view/1878818","18-1878818")</f>
        <v>0</v>
      </c>
      <c r="B139" t="s">
        <v>4359</v>
      </c>
      <c r="C139" t="s">
        <v>4496</v>
      </c>
      <c r="D139" t="s">
        <v>254</v>
      </c>
      <c r="E139" t="s">
        <v>4502</v>
      </c>
      <c r="F139" t="s">
        <v>273</v>
      </c>
      <c r="G139" t="s">
        <v>275</v>
      </c>
      <c r="H139">
        <v>155.75</v>
      </c>
      <c r="I139" t="s">
        <v>274</v>
      </c>
      <c r="K139" t="s">
        <v>368</v>
      </c>
      <c r="P139" t="s">
        <v>492</v>
      </c>
      <c r="Q139" t="s">
        <v>501</v>
      </c>
      <c r="S139" t="s">
        <v>503</v>
      </c>
      <c r="T139" t="s">
        <v>508</v>
      </c>
      <c r="U139" t="s">
        <v>511</v>
      </c>
      <c r="V139">
        <v>10304</v>
      </c>
      <c r="W139" t="s">
        <v>532</v>
      </c>
      <c r="X139" t="s">
        <v>549</v>
      </c>
      <c r="Z139" t="s">
        <v>4607</v>
      </c>
      <c r="AA139" t="s">
        <v>4742</v>
      </c>
      <c r="AB139" t="s">
        <v>902</v>
      </c>
      <c r="AC139" t="s">
        <v>911</v>
      </c>
      <c r="AF139" t="s">
        <v>923</v>
      </c>
      <c r="AI139">
        <v>4.5</v>
      </c>
      <c r="AK139" t="s">
        <v>933</v>
      </c>
      <c r="AL139" t="s">
        <v>274</v>
      </c>
      <c r="AM139" t="s">
        <v>973</v>
      </c>
      <c r="AN139" t="s">
        <v>1007</v>
      </c>
      <c r="AT139">
        <v>3</v>
      </c>
      <c r="AU139">
        <v>4</v>
      </c>
      <c r="AV139" t="s">
        <v>273</v>
      </c>
      <c r="AY139" t="s">
        <v>273</v>
      </c>
      <c r="BB139">
        <v>0</v>
      </c>
      <c r="BC139">
        <v>0</v>
      </c>
      <c r="BD139">
        <v>0</v>
      </c>
      <c r="BE139">
        <v>0</v>
      </c>
      <c r="BF139" t="s">
        <v>1063</v>
      </c>
      <c r="BG139" t="s">
        <v>4925</v>
      </c>
      <c r="BH139">
        <v>28</v>
      </c>
      <c r="BI139" t="s">
        <v>5056</v>
      </c>
      <c r="BK139">
        <v>1879433</v>
      </c>
    </row>
    <row r="140" spans="1:63">
      <c r="A140" s="1">
        <f>HYPERLINK("https://lsnyc.legalserver.org/matter/dynamic-profile/view/1879652","18-1879652")</f>
        <v>0</v>
      </c>
      <c r="B140" t="s">
        <v>4403</v>
      </c>
      <c r="C140" t="s">
        <v>4496</v>
      </c>
      <c r="D140" t="s">
        <v>254</v>
      </c>
      <c r="E140" t="s">
        <v>4500</v>
      </c>
      <c r="F140" t="s">
        <v>273</v>
      </c>
      <c r="G140" t="s">
        <v>275</v>
      </c>
      <c r="H140">
        <v>0</v>
      </c>
      <c r="I140" t="s">
        <v>274</v>
      </c>
      <c r="K140" t="s">
        <v>368</v>
      </c>
      <c r="P140" t="s">
        <v>492</v>
      </c>
      <c r="Q140" t="s">
        <v>501</v>
      </c>
      <c r="S140" t="s">
        <v>503</v>
      </c>
      <c r="T140" t="s">
        <v>507</v>
      </c>
      <c r="U140" t="s">
        <v>511</v>
      </c>
      <c r="V140">
        <v>10303</v>
      </c>
      <c r="W140" t="s">
        <v>520</v>
      </c>
      <c r="X140" t="s">
        <v>549</v>
      </c>
      <c r="Z140" t="s">
        <v>4633</v>
      </c>
      <c r="AA140" t="s">
        <v>4771</v>
      </c>
      <c r="AB140" t="s">
        <v>902</v>
      </c>
      <c r="AC140" t="s">
        <v>906</v>
      </c>
      <c r="AF140" t="s">
        <v>923</v>
      </c>
      <c r="AI140">
        <v>2.2</v>
      </c>
      <c r="AK140" t="s">
        <v>961</v>
      </c>
      <c r="AL140" t="s">
        <v>274</v>
      </c>
      <c r="AM140" t="s">
        <v>973</v>
      </c>
      <c r="AN140" t="s">
        <v>3704</v>
      </c>
      <c r="AT140">
        <v>2</v>
      </c>
      <c r="AU140">
        <v>1</v>
      </c>
      <c r="AV140" t="s">
        <v>273</v>
      </c>
      <c r="AY140" t="s">
        <v>273</v>
      </c>
      <c r="BB140">
        <v>0</v>
      </c>
      <c r="BC140">
        <v>0</v>
      </c>
      <c r="BD140">
        <v>0</v>
      </c>
      <c r="BE140">
        <v>0</v>
      </c>
      <c r="BF140" t="s">
        <v>1063</v>
      </c>
      <c r="BG140" t="s">
        <v>4967</v>
      </c>
      <c r="BH140">
        <v>16</v>
      </c>
      <c r="BI140" t="s">
        <v>1247</v>
      </c>
      <c r="BK140">
        <v>808433</v>
      </c>
    </row>
    <row r="141" spans="1:63">
      <c r="A141" s="1">
        <f>HYPERLINK("https://lsnyc.legalserver.org/matter/dynamic-profile/view/1879226","18-1879226")</f>
        <v>0</v>
      </c>
      <c r="B141" t="s">
        <v>4404</v>
      </c>
      <c r="C141" t="s">
        <v>4496</v>
      </c>
      <c r="D141" t="s">
        <v>254</v>
      </c>
      <c r="E141" t="s">
        <v>4501</v>
      </c>
      <c r="F141" t="s">
        <v>273</v>
      </c>
      <c r="G141" t="s">
        <v>275</v>
      </c>
      <c r="H141">
        <v>0</v>
      </c>
      <c r="I141" t="s">
        <v>274</v>
      </c>
      <c r="K141" t="s">
        <v>1732</v>
      </c>
      <c r="P141" t="s">
        <v>492</v>
      </c>
      <c r="Q141" t="s">
        <v>502</v>
      </c>
      <c r="R141" t="s">
        <v>4557</v>
      </c>
      <c r="S141" t="s">
        <v>503</v>
      </c>
      <c r="T141" t="s">
        <v>507</v>
      </c>
      <c r="U141" t="s">
        <v>511</v>
      </c>
      <c r="V141">
        <v>10301</v>
      </c>
      <c r="W141" t="s">
        <v>518</v>
      </c>
      <c r="X141" t="s">
        <v>548</v>
      </c>
      <c r="Z141" t="s">
        <v>4634</v>
      </c>
      <c r="AA141" t="s">
        <v>4772</v>
      </c>
      <c r="AB141" t="s">
        <v>902</v>
      </c>
      <c r="AC141" t="s">
        <v>906</v>
      </c>
      <c r="AF141" t="s">
        <v>926</v>
      </c>
      <c r="AI141">
        <v>99.06999999999999</v>
      </c>
      <c r="AJ141" t="s">
        <v>558</v>
      </c>
      <c r="AK141" t="s">
        <v>941</v>
      </c>
      <c r="AL141" t="s">
        <v>274</v>
      </c>
      <c r="AT141">
        <v>1</v>
      </c>
      <c r="AU141">
        <v>2</v>
      </c>
      <c r="AV141" t="s">
        <v>273</v>
      </c>
      <c r="AY141" t="s">
        <v>273</v>
      </c>
      <c r="BB141">
        <v>0</v>
      </c>
      <c r="BC141">
        <v>0</v>
      </c>
      <c r="BD141">
        <v>0</v>
      </c>
      <c r="BE141">
        <v>0</v>
      </c>
      <c r="BF141" t="s">
        <v>1063</v>
      </c>
      <c r="BG141" t="s">
        <v>4968</v>
      </c>
      <c r="BH141">
        <v>11</v>
      </c>
      <c r="BI141" t="s">
        <v>1247</v>
      </c>
      <c r="BK141">
        <v>1879841</v>
      </c>
    </row>
    <row r="142" spans="1:63">
      <c r="A142" s="1">
        <f>HYPERLINK("https://lsnyc.legalserver.org/matter/dynamic-profile/view/1877676","18-1877676")</f>
        <v>0</v>
      </c>
      <c r="B142" t="s">
        <v>4405</v>
      </c>
      <c r="C142" t="s">
        <v>4496</v>
      </c>
      <c r="D142" t="s">
        <v>254</v>
      </c>
      <c r="E142" t="s">
        <v>4499</v>
      </c>
      <c r="F142" t="s">
        <v>275</v>
      </c>
      <c r="G142" t="s">
        <v>275</v>
      </c>
      <c r="H142">
        <v>0</v>
      </c>
      <c r="I142" t="s">
        <v>274</v>
      </c>
      <c r="K142" t="s">
        <v>374</v>
      </c>
      <c r="L142" t="s">
        <v>1680</v>
      </c>
      <c r="O142" t="s">
        <v>275</v>
      </c>
      <c r="P142" t="s">
        <v>493</v>
      </c>
      <c r="Q142" t="s">
        <v>501</v>
      </c>
      <c r="R142" t="s">
        <v>4557</v>
      </c>
      <c r="S142" t="s">
        <v>503</v>
      </c>
      <c r="T142" t="s">
        <v>508</v>
      </c>
      <c r="U142" t="s">
        <v>511</v>
      </c>
      <c r="V142">
        <v>10304</v>
      </c>
      <c r="W142" t="s">
        <v>519</v>
      </c>
      <c r="X142" t="s">
        <v>548</v>
      </c>
      <c r="Z142" t="s">
        <v>4635</v>
      </c>
      <c r="AA142" t="s">
        <v>4773</v>
      </c>
      <c r="AB142" t="s">
        <v>902</v>
      </c>
      <c r="AC142" t="s">
        <v>905</v>
      </c>
      <c r="AD142" t="s">
        <v>274</v>
      </c>
      <c r="AE142" t="s">
        <v>922</v>
      </c>
      <c r="AF142" t="s">
        <v>926</v>
      </c>
      <c r="AI142">
        <v>20.8</v>
      </c>
      <c r="AJ142" t="s">
        <v>558</v>
      </c>
      <c r="AK142" t="s">
        <v>934</v>
      </c>
      <c r="AL142" t="s">
        <v>274</v>
      </c>
      <c r="AM142" t="s">
        <v>973</v>
      </c>
      <c r="AN142" t="s">
        <v>333</v>
      </c>
      <c r="AQ142" t="s">
        <v>1048</v>
      </c>
      <c r="AR142" t="s">
        <v>1053</v>
      </c>
      <c r="AT142">
        <v>3</v>
      </c>
      <c r="AU142">
        <v>2</v>
      </c>
      <c r="AV142" t="s">
        <v>274</v>
      </c>
      <c r="AW142" t="s">
        <v>368</v>
      </c>
      <c r="AX142">
        <v>3459</v>
      </c>
      <c r="AY142" t="s">
        <v>273</v>
      </c>
      <c r="BB142">
        <v>0</v>
      </c>
      <c r="BC142">
        <v>0</v>
      </c>
      <c r="BD142">
        <v>0</v>
      </c>
      <c r="BE142">
        <v>0</v>
      </c>
      <c r="BF142" t="s">
        <v>493</v>
      </c>
      <c r="BG142" t="s">
        <v>4969</v>
      </c>
      <c r="BH142">
        <v>21</v>
      </c>
      <c r="BI142" t="s">
        <v>1247</v>
      </c>
      <c r="BK142">
        <v>1878289</v>
      </c>
    </row>
    <row r="143" spans="1:63">
      <c r="A143" s="1">
        <f>HYPERLINK("https://lsnyc.legalserver.org/matter/dynamic-profile/view/1876917","18-1876917")</f>
        <v>0</v>
      </c>
      <c r="B143" t="s">
        <v>4406</v>
      </c>
      <c r="C143" t="s">
        <v>4496</v>
      </c>
      <c r="D143" t="s">
        <v>254</v>
      </c>
      <c r="E143" t="s">
        <v>4500</v>
      </c>
      <c r="F143" t="s">
        <v>273</v>
      </c>
      <c r="G143" t="s">
        <v>275</v>
      </c>
      <c r="H143">
        <v>0</v>
      </c>
      <c r="I143" t="s">
        <v>274</v>
      </c>
      <c r="K143" t="s">
        <v>374</v>
      </c>
      <c r="P143" t="s">
        <v>492</v>
      </c>
      <c r="Q143" t="s">
        <v>501</v>
      </c>
      <c r="R143" t="s">
        <v>4557</v>
      </c>
      <c r="S143" t="s">
        <v>503</v>
      </c>
      <c r="T143" t="s">
        <v>508</v>
      </c>
      <c r="U143" t="s">
        <v>511</v>
      </c>
      <c r="V143">
        <v>10301</v>
      </c>
      <c r="W143" t="s">
        <v>519</v>
      </c>
      <c r="X143" t="s">
        <v>548</v>
      </c>
      <c r="Z143" t="s">
        <v>4636</v>
      </c>
      <c r="AA143" t="s">
        <v>2175</v>
      </c>
      <c r="AB143" t="s">
        <v>902</v>
      </c>
      <c r="AC143" t="s">
        <v>905</v>
      </c>
      <c r="AF143" t="s">
        <v>926</v>
      </c>
      <c r="AI143">
        <v>23.2</v>
      </c>
      <c r="AK143" t="s">
        <v>941</v>
      </c>
      <c r="AL143" t="s">
        <v>274</v>
      </c>
      <c r="AM143" t="s">
        <v>973</v>
      </c>
      <c r="AN143" t="s">
        <v>1719</v>
      </c>
      <c r="AT143">
        <v>0</v>
      </c>
      <c r="AU143">
        <v>2</v>
      </c>
      <c r="AV143" t="s">
        <v>273</v>
      </c>
      <c r="AY143" t="s">
        <v>273</v>
      </c>
      <c r="BB143">
        <v>0</v>
      </c>
      <c r="BC143">
        <v>0</v>
      </c>
      <c r="BD143">
        <v>0</v>
      </c>
      <c r="BE143">
        <v>0</v>
      </c>
      <c r="BF143" t="s">
        <v>1063</v>
      </c>
      <c r="BG143" t="s">
        <v>4970</v>
      </c>
      <c r="BH143">
        <v>22</v>
      </c>
      <c r="BI143" t="s">
        <v>1247</v>
      </c>
      <c r="BK143">
        <v>1877527</v>
      </c>
    </row>
    <row r="144" spans="1:63">
      <c r="A144" s="1">
        <f>HYPERLINK("https://lsnyc.legalserver.org/matter/dynamic-profile/view/1877044","18-1877044")</f>
        <v>0</v>
      </c>
      <c r="B144" t="s">
        <v>4407</v>
      </c>
      <c r="C144" t="s">
        <v>4496</v>
      </c>
      <c r="D144" t="s">
        <v>254</v>
      </c>
      <c r="E144" t="s">
        <v>4500</v>
      </c>
      <c r="F144" t="s">
        <v>273</v>
      </c>
      <c r="G144" t="s">
        <v>275</v>
      </c>
      <c r="H144">
        <v>72.51000000000001</v>
      </c>
      <c r="I144" t="s">
        <v>274</v>
      </c>
      <c r="K144" t="s">
        <v>374</v>
      </c>
      <c r="Q144" t="s">
        <v>501</v>
      </c>
      <c r="S144" t="s">
        <v>503</v>
      </c>
      <c r="T144" t="s">
        <v>508</v>
      </c>
      <c r="U144" t="s">
        <v>511</v>
      </c>
      <c r="V144">
        <v>10314</v>
      </c>
      <c r="W144" t="s">
        <v>1829</v>
      </c>
      <c r="X144" t="s">
        <v>548</v>
      </c>
      <c r="Z144" t="s">
        <v>4637</v>
      </c>
      <c r="AA144" t="s">
        <v>4774</v>
      </c>
      <c r="AB144" t="s">
        <v>902</v>
      </c>
      <c r="AC144" t="s">
        <v>905</v>
      </c>
      <c r="AF144" t="s">
        <v>923</v>
      </c>
      <c r="AI144">
        <v>6.2</v>
      </c>
      <c r="AK144" t="s">
        <v>933</v>
      </c>
      <c r="AL144" t="s">
        <v>274</v>
      </c>
      <c r="AT144">
        <v>1</v>
      </c>
      <c r="AU144">
        <v>3</v>
      </c>
      <c r="AV144" t="s">
        <v>273</v>
      </c>
      <c r="AY144" t="s">
        <v>273</v>
      </c>
      <c r="BB144">
        <v>0</v>
      </c>
      <c r="BC144">
        <v>0</v>
      </c>
      <c r="BD144">
        <v>0</v>
      </c>
      <c r="BE144">
        <v>0</v>
      </c>
      <c r="BF144" t="s">
        <v>1063</v>
      </c>
      <c r="BG144" t="s">
        <v>4971</v>
      </c>
      <c r="BH144">
        <v>21</v>
      </c>
      <c r="BI144" t="s">
        <v>1260</v>
      </c>
      <c r="BK144">
        <v>1877654</v>
      </c>
    </row>
    <row r="145" spans="1:63">
      <c r="A145" s="1">
        <f>HYPERLINK("https://lsnyc.legalserver.org/matter/dynamic-profile/view/1877295","18-1877295")</f>
        <v>0</v>
      </c>
      <c r="B145" t="s">
        <v>4408</v>
      </c>
      <c r="C145" t="s">
        <v>4496</v>
      </c>
      <c r="D145" t="s">
        <v>254</v>
      </c>
      <c r="E145" t="s">
        <v>4502</v>
      </c>
      <c r="F145" t="s">
        <v>273</v>
      </c>
      <c r="G145" t="s">
        <v>275</v>
      </c>
      <c r="H145">
        <v>14.34</v>
      </c>
      <c r="I145" t="s">
        <v>274</v>
      </c>
      <c r="K145" t="s">
        <v>4508</v>
      </c>
      <c r="P145" t="s">
        <v>492</v>
      </c>
      <c r="Q145" t="s">
        <v>501</v>
      </c>
      <c r="S145" t="s">
        <v>503</v>
      </c>
      <c r="T145" t="s">
        <v>508</v>
      </c>
      <c r="U145" t="s">
        <v>511</v>
      </c>
      <c r="V145">
        <v>10304</v>
      </c>
      <c r="W145" t="s">
        <v>528</v>
      </c>
      <c r="X145" t="s">
        <v>548</v>
      </c>
      <c r="Z145" t="s">
        <v>4638</v>
      </c>
      <c r="AA145" t="s">
        <v>824</v>
      </c>
      <c r="AB145" t="s">
        <v>902</v>
      </c>
      <c r="AC145" t="s">
        <v>905</v>
      </c>
      <c r="AF145" t="s">
        <v>923</v>
      </c>
      <c r="AI145">
        <v>1.25</v>
      </c>
      <c r="AJ145" t="s">
        <v>558</v>
      </c>
      <c r="AK145" t="s">
        <v>933</v>
      </c>
      <c r="AL145" t="s">
        <v>274</v>
      </c>
      <c r="AM145" t="s">
        <v>973</v>
      </c>
      <c r="AN145" t="s">
        <v>3708</v>
      </c>
      <c r="AT145">
        <v>2</v>
      </c>
      <c r="AU145">
        <v>2</v>
      </c>
      <c r="AV145" t="s">
        <v>274</v>
      </c>
      <c r="AW145" t="s">
        <v>368</v>
      </c>
      <c r="AX145">
        <v>3459</v>
      </c>
      <c r="AY145" t="s">
        <v>273</v>
      </c>
      <c r="BB145">
        <v>0</v>
      </c>
      <c r="BC145">
        <v>0</v>
      </c>
      <c r="BD145">
        <v>0</v>
      </c>
      <c r="BE145">
        <v>0</v>
      </c>
      <c r="BF145" t="s">
        <v>1063</v>
      </c>
      <c r="BG145" t="s">
        <v>4972</v>
      </c>
      <c r="BH145">
        <v>40</v>
      </c>
      <c r="BI145" t="s">
        <v>2731</v>
      </c>
      <c r="BK145">
        <v>237814</v>
      </c>
    </row>
    <row r="146" spans="1:63">
      <c r="A146" s="1">
        <f>HYPERLINK("https://lsnyc.legalserver.org/matter/dynamic-profile/view/1877339","18-1877339")</f>
        <v>0</v>
      </c>
      <c r="B146" t="s">
        <v>4409</v>
      </c>
      <c r="C146" t="s">
        <v>4496</v>
      </c>
      <c r="D146" t="s">
        <v>254</v>
      </c>
      <c r="E146" t="s">
        <v>4502</v>
      </c>
      <c r="F146" t="s">
        <v>273</v>
      </c>
      <c r="G146" t="s">
        <v>275</v>
      </c>
      <c r="H146">
        <v>14.34</v>
      </c>
      <c r="I146" t="s">
        <v>274</v>
      </c>
      <c r="K146" t="s">
        <v>4508</v>
      </c>
      <c r="P146" t="s">
        <v>492</v>
      </c>
      <c r="Q146" t="s">
        <v>501</v>
      </c>
      <c r="S146" t="s">
        <v>503</v>
      </c>
      <c r="T146" t="s">
        <v>508</v>
      </c>
      <c r="U146" t="s">
        <v>511</v>
      </c>
      <c r="V146">
        <v>10304</v>
      </c>
      <c r="W146" t="s">
        <v>538</v>
      </c>
      <c r="X146" t="s">
        <v>548</v>
      </c>
      <c r="Z146" t="s">
        <v>4639</v>
      </c>
      <c r="AA146" t="s">
        <v>4775</v>
      </c>
      <c r="AB146" t="s">
        <v>902</v>
      </c>
      <c r="AC146" t="s">
        <v>905</v>
      </c>
      <c r="AF146" t="s">
        <v>923</v>
      </c>
      <c r="AI146">
        <v>1.25</v>
      </c>
      <c r="AJ146" t="s">
        <v>558</v>
      </c>
      <c r="AK146" t="s">
        <v>933</v>
      </c>
      <c r="AL146" t="s">
        <v>274</v>
      </c>
      <c r="AM146" t="s">
        <v>973</v>
      </c>
      <c r="AN146" t="s">
        <v>3709</v>
      </c>
      <c r="AT146">
        <v>2</v>
      </c>
      <c r="AU146">
        <v>2</v>
      </c>
      <c r="AV146" t="s">
        <v>274</v>
      </c>
      <c r="AW146" t="s">
        <v>368</v>
      </c>
      <c r="AX146">
        <v>3459</v>
      </c>
      <c r="AY146" t="s">
        <v>273</v>
      </c>
      <c r="BB146">
        <v>0</v>
      </c>
      <c r="BC146">
        <v>0</v>
      </c>
      <c r="BD146">
        <v>0</v>
      </c>
      <c r="BE146">
        <v>0</v>
      </c>
      <c r="BF146" t="s">
        <v>1063</v>
      </c>
      <c r="BG146" t="s">
        <v>4973</v>
      </c>
      <c r="BH146">
        <v>18</v>
      </c>
      <c r="BI146" t="s">
        <v>2731</v>
      </c>
      <c r="BK146">
        <v>237814</v>
      </c>
    </row>
    <row r="147" spans="1:63">
      <c r="A147" s="1">
        <f>HYPERLINK("https://lsnyc.legalserver.org/matter/dynamic-profile/view/1877340","18-1877340")</f>
        <v>0</v>
      </c>
      <c r="B147" t="s">
        <v>4409</v>
      </c>
      <c r="C147" t="s">
        <v>4496</v>
      </c>
      <c r="D147" t="s">
        <v>254</v>
      </c>
      <c r="E147" t="s">
        <v>4502</v>
      </c>
      <c r="F147" t="s">
        <v>273</v>
      </c>
      <c r="G147" t="s">
        <v>275</v>
      </c>
      <c r="H147">
        <v>14.34</v>
      </c>
      <c r="I147" t="s">
        <v>274</v>
      </c>
      <c r="K147" t="s">
        <v>4508</v>
      </c>
      <c r="P147" t="s">
        <v>492</v>
      </c>
      <c r="Q147" t="s">
        <v>501</v>
      </c>
      <c r="S147" t="s">
        <v>503</v>
      </c>
      <c r="T147" t="s">
        <v>508</v>
      </c>
      <c r="U147" t="s">
        <v>511</v>
      </c>
      <c r="V147">
        <v>10304</v>
      </c>
      <c r="W147" t="s">
        <v>528</v>
      </c>
      <c r="X147" t="s">
        <v>548</v>
      </c>
      <c r="Z147" t="s">
        <v>4639</v>
      </c>
      <c r="AA147" t="s">
        <v>4775</v>
      </c>
      <c r="AB147" t="s">
        <v>902</v>
      </c>
      <c r="AC147" t="s">
        <v>905</v>
      </c>
      <c r="AF147" t="s">
        <v>923</v>
      </c>
      <c r="AI147">
        <v>1.25</v>
      </c>
      <c r="AJ147" t="s">
        <v>558</v>
      </c>
      <c r="AK147" t="s">
        <v>933</v>
      </c>
      <c r="AL147" t="s">
        <v>274</v>
      </c>
      <c r="AM147" t="s">
        <v>973</v>
      </c>
      <c r="AN147" t="s">
        <v>3709</v>
      </c>
      <c r="AT147">
        <v>2</v>
      </c>
      <c r="AU147">
        <v>2</v>
      </c>
      <c r="AV147" t="s">
        <v>274</v>
      </c>
      <c r="AW147" t="s">
        <v>368</v>
      </c>
      <c r="AX147">
        <v>3459</v>
      </c>
      <c r="AY147" t="s">
        <v>273</v>
      </c>
      <c r="BB147">
        <v>0</v>
      </c>
      <c r="BC147">
        <v>0</v>
      </c>
      <c r="BD147">
        <v>0</v>
      </c>
      <c r="BE147">
        <v>0</v>
      </c>
      <c r="BF147" t="s">
        <v>1063</v>
      </c>
      <c r="BG147" t="s">
        <v>4973</v>
      </c>
      <c r="BH147">
        <v>18</v>
      </c>
      <c r="BI147" t="s">
        <v>2731</v>
      </c>
      <c r="BK147">
        <v>237814</v>
      </c>
    </row>
    <row r="148" spans="1:63">
      <c r="A148" s="1">
        <f>HYPERLINK("https://lsnyc.legalserver.org/matter/dynamic-profile/view/1874872","18-1874872")</f>
        <v>0</v>
      </c>
      <c r="B148" t="s">
        <v>4306</v>
      </c>
      <c r="C148" t="s">
        <v>4496</v>
      </c>
      <c r="D148" t="s">
        <v>252</v>
      </c>
      <c r="E148" t="s">
        <v>4501</v>
      </c>
      <c r="F148" t="s">
        <v>273</v>
      </c>
      <c r="G148" t="s">
        <v>275</v>
      </c>
      <c r="H148">
        <v>0</v>
      </c>
      <c r="I148" t="s">
        <v>274</v>
      </c>
      <c r="K148" t="s">
        <v>1018</v>
      </c>
      <c r="O148" t="s">
        <v>275</v>
      </c>
      <c r="P148" t="s">
        <v>492</v>
      </c>
      <c r="Q148" t="s">
        <v>501</v>
      </c>
      <c r="S148" t="s">
        <v>503</v>
      </c>
      <c r="T148" t="s">
        <v>508</v>
      </c>
      <c r="U148" t="s">
        <v>511</v>
      </c>
      <c r="V148">
        <v>11214</v>
      </c>
      <c r="W148" t="s">
        <v>521</v>
      </c>
      <c r="X148" t="s">
        <v>553</v>
      </c>
      <c r="Z148" t="s">
        <v>1966</v>
      </c>
      <c r="AA148" t="s">
        <v>4703</v>
      </c>
      <c r="AB148" t="s">
        <v>902</v>
      </c>
      <c r="AC148" t="s">
        <v>906</v>
      </c>
      <c r="AF148" t="s">
        <v>923</v>
      </c>
      <c r="AI148">
        <v>43.7</v>
      </c>
      <c r="AK148" t="s">
        <v>948</v>
      </c>
      <c r="AL148" t="s">
        <v>274</v>
      </c>
      <c r="AT148">
        <v>3</v>
      </c>
      <c r="AU148">
        <v>2</v>
      </c>
      <c r="AV148" t="s">
        <v>273</v>
      </c>
      <c r="AY148" t="s">
        <v>273</v>
      </c>
      <c r="BB148">
        <v>0</v>
      </c>
      <c r="BC148">
        <v>0</v>
      </c>
      <c r="BD148">
        <v>0</v>
      </c>
      <c r="BE148">
        <v>0</v>
      </c>
      <c r="BF148" t="s">
        <v>1063</v>
      </c>
      <c r="BG148" t="s">
        <v>4876</v>
      </c>
      <c r="BH148">
        <v>41</v>
      </c>
      <c r="BI148" t="s">
        <v>1247</v>
      </c>
      <c r="BK148">
        <v>1875478</v>
      </c>
    </row>
    <row r="149" spans="1:63">
      <c r="A149" s="1">
        <f>HYPERLINK("https://lsnyc.legalserver.org/matter/dynamic-profile/view/1876102","18-1876102")</f>
        <v>0</v>
      </c>
      <c r="B149" t="s">
        <v>4357</v>
      </c>
      <c r="C149" t="s">
        <v>4496</v>
      </c>
      <c r="D149" t="s">
        <v>254</v>
      </c>
      <c r="E149" t="s">
        <v>4499</v>
      </c>
      <c r="F149" t="s">
        <v>273</v>
      </c>
      <c r="G149" t="s">
        <v>275</v>
      </c>
      <c r="H149">
        <v>0</v>
      </c>
      <c r="I149" t="s">
        <v>274</v>
      </c>
      <c r="K149" t="s">
        <v>2994</v>
      </c>
      <c r="P149" t="s">
        <v>499</v>
      </c>
      <c r="Q149" t="s">
        <v>502</v>
      </c>
      <c r="S149" t="s">
        <v>503</v>
      </c>
      <c r="T149" t="s">
        <v>508</v>
      </c>
      <c r="U149" t="s">
        <v>511</v>
      </c>
      <c r="V149">
        <v>10301</v>
      </c>
      <c r="W149" t="s">
        <v>518</v>
      </c>
      <c r="X149" t="s">
        <v>548</v>
      </c>
      <c r="Z149" t="s">
        <v>4606</v>
      </c>
      <c r="AA149" t="s">
        <v>2167</v>
      </c>
      <c r="AB149" t="s">
        <v>902</v>
      </c>
      <c r="AC149" t="s">
        <v>906</v>
      </c>
      <c r="AF149" t="s">
        <v>926</v>
      </c>
      <c r="AI149">
        <v>23.35</v>
      </c>
      <c r="AJ149" t="s">
        <v>558</v>
      </c>
      <c r="AK149" t="s">
        <v>934</v>
      </c>
      <c r="AL149" t="s">
        <v>274</v>
      </c>
      <c r="AT149">
        <v>1</v>
      </c>
      <c r="AU149">
        <v>1</v>
      </c>
      <c r="AV149" t="s">
        <v>273</v>
      </c>
      <c r="AY149" t="s">
        <v>273</v>
      </c>
      <c r="BB149">
        <v>0</v>
      </c>
      <c r="BC149">
        <v>0</v>
      </c>
      <c r="BD149">
        <v>0</v>
      </c>
      <c r="BE149">
        <v>0</v>
      </c>
      <c r="BF149" t="s">
        <v>1063</v>
      </c>
      <c r="BG149" t="s">
        <v>4923</v>
      </c>
      <c r="BH149">
        <v>18</v>
      </c>
      <c r="BI149" t="s">
        <v>1247</v>
      </c>
      <c r="BK149">
        <v>1876704</v>
      </c>
    </row>
    <row r="150" spans="1:63">
      <c r="A150" s="1">
        <f>HYPERLINK("https://lsnyc.legalserver.org/matter/dynamic-profile/view/1873556","18-1873556")</f>
        <v>0</v>
      </c>
      <c r="B150" t="s">
        <v>4410</v>
      </c>
      <c r="C150" t="s">
        <v>4496</v>
      </c>
      <c r="D150" t="s">
        <v>254</v>
      </c>
      <c r="E150" t="s">
        <v>4503</v>
      </c>
      <c r="F150" t="s">
        <v>275</v>
      </c>
      <c r="G150" t="s">
        <v>275</v>
      </c>
      <c r="H150">
        <v>3.55</v>
      </c>
      <c r="I150" t="s">
        <v>274</v>
      </c>
      <c r="K150" t="s">
        <v>4509</v>
      </c>
      <c r="L150" t="s">
        <v>482</v>
      </c>
      <c r="O150" t="s">
        <v>275</v>
      </c>
      <c r="P150" t="s">
        <v>493</v>
      </c>
      <c r="Q150" t="s">
        <v>501</v>
      </c>
      <c r="S150" t="s">
        <v>503</v>
      </c>
      <c r="T150" t="s">
        <v>508</v>
      </c>
      <c r="U150" t="s">
        <v>511</v>
      </c>
      <c r="V150">
        <v>10304</v>
      </c>
      <c r="W150" t="s">
        <v>536</v>
      </c>
      <c r="X150" t="s">
        <v>549</v>
      </c>
      <c r="Z150" t="s">
        <v>4640</v>
      </c>
      <c r="AA150" t="s">
        <v>4776</v>
      </c>
      <c r="AB150" t="s">
        <v>902</v>
      </c>
      <c r="AC150" t="s">
        <v>906</v>
      </c>
      <c r="AD150" t="s">
        <v>275</v>
      </c>
      <c r="AE150" t="s">
        <v>922</v>
      </c>
      <c r="AF150" t="s">
        <v>923</v>
      </c>
      <c r="AI150">
        <v>16.7</v>
      </c>
      <c r="AJ150" t="s">
        <v>558</v>
      </c>
      <c r="AK150" t="s">
        <v>939</v>
      </c>
      <c r="AL150" t="s">
        <v>274</v>
      </c>
      <c r="AQ150" t="s">
        <v>1033</v>
      </c>
      <c r="AR150" t="s">
        <v>1051</v>
      </c>
      <c r="AT150">
        <v>0</v>
      </c>
      <c r="AU150">
        <v>3</v>
      </c>
      <c r="AV150" t="s">
        <v>273</v>
      </c>
      <c r="AY150" t="s">
        <v>273</v>
      </c>
      <c r="BB150">
        <v>0</v>
      </c>
      <c r="BC150">
        <v>0</v>
      </c>
      <c r="BD150">
        <v>0</v>
      </c>
      <c r="BE150">
        <v>0</v>
      </c>
      <c r="BF150" t="s">
        <v>493</v>
      </c>
      <c r="BG150" t="s">
        <v>4974</v>
      </c>
      <c r="BH150">
        <v>57</v>
      </c>
      <c r="BI150" t="s">
        <v>5065</v>
      </c>
      <c r="BK150">
        <v>1874159</v>
      </c>
    </row>
    <row r="151" spans="1:63">
      <c r="A151" s="1">
        <f>HYPERLINK("https://lsnyc.legalserver.org/matter/dynamic-profile/view/1875839","18-1875839")</f>
        <v>0</v>
      </c>
      <c r="B151" t="s">
        <v>4411</v>
      </c>
      <c r="C151" t="s">
        <v>4496</v>
      </c>
      <c r="D151" t="s">
        <v>254</v>
      </c>
      <c r="E151" t="s">
        <v>4499</v>
      </c>
      <c r="F151" t="s">
        <v>273</v>
      </c>
      <c r="G151" t="s">
        <v>275</v>
      </c>
      <c r="H151">
        <v>250.24</v>
      </c>
      <c r="I151" t="s">
        <v>274</v>
      </c>
      <c r="J151" t="s">
        <v>4505</v>
      </c>
      <c r="K151" t="s">
        <v>4510</v>
      </c>
      <c r="P151" t="s">
        <v>492</v>
      </c>
      <c r="Q151" t="s">
        <v>502</v>
      </c>
      <c r="S151" t="s">
        <v>504</v>
      </c>
      <c r="T151" t="s">
        <v>508</v>
      </c>
      <c r="U151" t="s">
        <v>512</v>
      </c>
      <c r="V151">
        <v>10303</v>
      </c>
      <c r="X151" t="s">
        <v>548</v>
      </c>
      <c r="Z151" t="s">
        <v>4641</v>
      </c>
      <c r="AA151" t="s">
        <v>4777</v>
      </c>
      <c r="AB151" t="s">
        <v>902</v>
      </c>
      <c r="AC151" t="s">
        <v>906</v>
      </c>
      <c r="AF151" t="s">
        <v>924</v>
      </c>
      <c r="AI151">
        <v>56.9</v>
      </c>
      <c r="AJ151" t="s">
        <v>558</v>
      </c>
      <c r="AK151" t="s">
        <v>941</v>
      </c>
      <c r="AL151" t="s">
        <v>274</v>
      </c>
      <c r="AT151">
        <v>1</v>
      </c>
      <c r="AU151">
        <v>2</v>
      </c>
      <c r="AV151" t="s">
        <v>274</v>
      </c>
      <c r="AW151" t="s">
        <v>368</v>
      </c>
      <c r="AX151" t="s">
        <v>4861</v>
      </c>
      <c r="AY151" t="s">
        <v>273</v>
      </c>
      <c r="BB151">
        <v>0</v>
      </c>
      <c r="BC151">
        <v>0</v>
      </c>
      <c r="BD151">
        <v>0</v>
      </c>
      <c r="BE151">
        <v>0</v>
      </c>
      <c r="BF151" t="s">
        <v>1063</v>
      </c>
      <c r="BG151" t="s">
        <v>4975</v>
      </c>
      <c r="BH151">
        <v>16</v>
      </c>
      <c r="BI151" t="s">
        <v>2791</v>
      </c>
      <c r="BK151">
        <v>1871650</v>
      </c>
    </row>
    <row r="152" spans="1:63">
      <c r="A152" s="1">
        <f>HYPERLINK("https://lsnyc.legalserver.org/matter/dynamic-profile/view/1867188","18-1867188")</f>
        <v>0</v>
      </c>
      <c r="B152" t="s">
        <v>4412</v>
      </c>
      <c r="C152" t="s">
        <v>4496</v>
      </c>
      <c r="D152" t="s">
        <v>254</v>
      </c>
      <c r="E152" t="s">
        <v>4498</v>
      </c>
      <c r="F152" t="s">
        <v>273</v>
      </c>
      <c r="G152" t="s">
        <v>275</v>
      </c>
      <c r="H152">
        <v>35.35</v>
      </c>
      <c r="I152" t="s">
        <v>274</v>
      </c>
      <c r="K152" t="s">
        <v>2393</v>
      </c>
      <c r="P152" t="s">
        <v>492</v>
      </c>
      <c r="Q152" t="s">
        <v>501</v>
      </c>
      <c r="S152" t="s">
        <v>503</v>
      </c>
      <c r="T152" t="s">
        <v>508</v>
      </c>
      <c r="U152" t="s">
        <v>511</v>
      </c>
      <c r="V152">
        <v>10314</v>
      </c>
      <c r="W152" t="s">
        <v>521</v>
      </c>
      <c r="X152" t="s">
        <v>548</v>
      </c>
      <c r="Z152" t="s">
        <v>4642</v>
      </c>
      <c r="AA152" t="s">
        <v>2350</v>
      </c>
      <c r="AB152" t="s">
        <v>902</v>
      </c>
      <c r="AC152" t="s">
        <v>905</v>
      </c>
      <c r="AF152" t="s">
        <v>923</v>
      </c>
      <c r="AI152">
        <v>74.98</v>
      </c>
      <c r="AJ152" t="s">
        <v>558</v>
      </c>
      <c r="AK152" t="s">
        <v>938</v>
      </c>
      <c r="AL152" t="s">
        <v>274</v>
      </c>
      <c r="AT152">
        <v>2</v>
      </c>
      <c r="AU152">
        <v>3</v>
      </c>
      <c r="AV152" t="s">
        <v>274</v>
      </c>
      <c r="AW152" t="s">
        <v>368</v>
      </c>
      <c r="AX152">
        <v>3459</v>
      </c>
      <c r="AY152" t="s">
        <v>273</v>
      </c>
      <c r="BB152">
        <v>0</v>
      </c>
      <c r="BC152">
        <v>0</v>
      </c>
      <c r="BD152">
        <v>0</v>
      </c>
      <c r="BE152">
        <v>0</v>
      </c>
      <c r="BF152" t="s">
        <v>1063</v>
      </c>
      <c r="BG152" t="s">
        <v>4976</v>
      </c>
      <c r="BH152">
        <v>40</v>
      </c>
      <c r="BI152" t="s">
        <v>1301</v>
      </c>
      <c r="BK152">
        <v>1867780</v>
      </c>
    </row>
    <row r="153" spans="1:63">
      <c r="A153" s="1">
        <f>HYPERLINK("https://lsnyc.legalserver.org/matter/dynamic-profile/view/1874672","18-1874672")</f>
        <v>0</v>
      </c>
      <c r="B153" t="s">
        <v>4413</v>
      </c>
      <c r="C153" t="s">
        <v>4496</v>
      </c>
      <c r="D153" t="s">
        <v>254</v>
      </c>
      <c r="E153" t="s">
        <v>4499</v>
      </c>
      <c r="F153" t="s">
        <v>273</v>
      </c>
      <c r="G153" t="s">
        <v>275</v>
      </c>
      <c r="H153">
        <v>57.75</v>
      </c>
      <c r="I153" t="s">
        <v>274</v>
      </c>
      <c r="K153" t="s">
        <v>384</v>
      </c>
      <c r="P153" t="s">
        <v>492</v>
      </c>
      <c r="Q153" t="s">
        <v>501</v>
      </c>
      <c r="S153" t="s">
        <v>503</v>
      </c>
      <c r="T153" t="s">
        <v>508</v>
      </c>
      <c r="U153" t="s">
        <v>511</v>
      </c>
      <c r="V153">
        <v>10312</v>
      </c>
      <c r="W153" t="s">
        <v>519</v>
      </c>
      <c r="X153" t="s">
        <v>553</v>
      </c>
      <c r="Z153" t="s">
        <v>4643</v>
      </c>
      <c r="AA153" t="s">
        <v>4734</v>
      </c>
      <c r="AB153" t="s">
        <v>902</v>
      </c>
      <c r="AC153" t="s">
        <v>906</v>
      </c>
      <c r="AF153" t="s">
        <v>926</v>
      </c>
      <c r="AI153">
        <v>6.7</v>
      </c>
      <c r="AJ153" t="s">
        <v>558</v>
      </c>
      <c r="AK153" t="s">
        <v>948</v>
      </c>
      <c r="AL153" t="s">
        <v>274</v>
      </c>
      <c r="AM153" t="s">
        <v>973</v>
      </c>
      <c r="AN153" t="s">
        <v>3703</v>
      </c>
      <c r="AT153">
        <v>1</v>
      </c>
      <c r="AU153">
        <v>2</v>
      </c>
      <c r="AV153" t="s">
        <v>273</v>
      </c>
      <c r="AY153" t="s">
        <v>273</v>
      </c>
      <c r="BB153">
        <v>0</v>
      </c>
      <c r="BC153">
        <v>0</v>
      </c>
      <c r="BD153">
        <v>0</v>
      </c>
      <c r="BE153">
        <v>0</v>
      </c>
      <c r="BF153" t="s">
        <v>1063</v>
      </c>
      <c r="BG153" t="s">
        <v>4977</v>
      </c>
      <c r="BH153">
        <v>41</v>
      </c>
      <c r="BI153" t="s">
        <v>1267</v>
      </c>
      <c r="BK153">
        <v>1869256</v>
      </c>
    </row>
    <row r="154" spans="1:63">
      <c r="A154" s="1">
        <f>HYPERLINK("https://lsnyc.legalserver.org/matter/dynamic-profile/view/1874682","18-1874682")</f>
        <v>0</v>
      </c>
      <c r="B154" t="s">
        <v>4348</v>
      </c>
      <c r="C154" t="s">
        <v>4496</v>
      </c>
      <c r="D154" t="s">
        <v>254</v>
      </c>
      <c r="E154" t="s">
        <v>4499</v>
      </c>
      <c r="F154" t="s">
        <v>273</v>
      </c>
      <c r="G154" t="s">
        <v>275</v>
      </c>
      <c r="H154">
        <v>57.75</v>
      </c>
      <c r="I154" t="s">
        <v>274</v>
      </c>
      <c r="K154" t="s">
        <v>384</v>
      </c>
      <c r="P154" t="s">
        <v>492</v>
      </c>
      <c r="Q154" t="s">
        <v>502</v>
      </c>
      <c r="S154" t="s">
        <v>503</v>
      </c>
      <c r="T154" t="s">
        <v>508</v>
      </c>
      <c r="U154" t="s">
        <v>511</v>
      </c>
      <c r="V154">
        <v>10312</v>
      </c>
      <c r="W154" t="s">
        <v>519</v>
      </c>
      <c r="X154" t="s">
        <v>553</v>
      </c>
      <c r="Z154" t="s">
        <v>4598</v>
      </c>
      <c r="AA154" t="s">
        <v>4734</v>
      </c>
      <c r="AB154" t="s">
        <v>902</v>
      </c>
      <c r="AC154" t="s">
        <v>906</v>
      </c>
      <c r="AF154" t="s">
        <v>926</v>
      </c>
      <c r="AI154">
        <v>5.2</v>
      </c>
      <c r="AJ154" t="s">
        <v>558</v>
      </c>
      <c r="AK154" t="s">
        <v>948</v>
      </c>
      <c r="AL154" t="s">
        <v>274</v>
      </c>
      <c r="AM154" t="s">
        <v>973</v>
      </c>
      <c r="AN154" t="s">
        <v>3703</v>
      </c>
      <c r="AT154">
        <v>1</v>
      </c>
      <c r="AU154">
        <v>2</v>
      </c>
      <c r="AV154" t="s">
        <v>273</v>
      </c>
      <c r="AY154" t="s">
        <v>273</v>
      </c>
      <c r="BB154">
        <v>0</v>
      </c>
      <c r="BC154">
        <v>0</v>
      </c>
      <c r="BD154">
        <v>0</v>
      </c>
      <c r="BE154">
        <v>0</v>
      </c>
      <c r="BF154" t="s">
        <v>1063</v>
      </c>
      <c r="BG154" t="s">
        <v>4915</v>
      </c>
      <c r="BH154">
        <v>13</v>
      </c>
      <c r="BI154" t="s">
        <v>1267</v>
      </c>
      <c r="BK154">
        <v>1869256</v>
      </c>
    </row>
    <row r="155" spans="1:63">
      <c r="A155" s="1">
        <f>HYPERLINK("https://lsnyc.legalserver.org/matter/dynamic-profile/view/1873987","18-1873987")</f>
        <v>0</v>
      </c>
      <c r="B155" t="s">
        <v>4367</v>
      </c>
      <c r="C155" t="s">
        <v>4496</v>
      </c>
      <c r="D155" t="s">
        <v>254</v>
      </c>
      <c r="E155" t="s">
        <v>4500</v>
      </c>
      <c r="F155" t="s">
        <v>273</v>
      </c>
      <c r="G155" t="s">
        <v>275</v>
      </c>
      <c r="H155">
        <v>42.94</v>
      </c>
      <c r="I155" t="s">
        <v>274</v>
      </c>
      <c r="K155" t="s">
        <v>387</v>
      </c>
      <c r="O155" t="s">
        <v>275</v>
      </c>
      <c r="P155" t="s">
        <v>492</v>
      </c>
      <c r="Q155" t="s">
        <v>501</v>
      </c>
      <c r="S155" t="s">
        <v>503</v>
      </c>
      <c r="T155" t="s">
        <v>507</v>
      </c>
      <c r="U155" t="s">
        <v>511</v>
      </c>
      <c r="V155">
        <v>10302</v>
      </c>
      <c r="W155" t="s">
        <v>519</v>
      </c>
      <c r="X155" t="s">
        <v>548</v>
      </c>
      <c r="Z155" t="s">
        <v>613</v>
      </c>
      <c r="AA155" t="s">
        <v>2214</v>
      </c>
      <c r="AB155" t="s">
        <v>902</v>
      </c>
      <c r="AC155" t="s">
        <v>906</v>
      </c>
      <c r="AF155" t="s">
        <v>926</v>
      </c>
      <c r="AI155">
        <v>4.5</v>
      </c>
      <c r="AJ155" t="s">
        <v>558</v>
      </c>
      <c r="AK155" t="s">
        <v>936</v>
      </c>
      <c r="AL155" t="s">
        <v>274</v>
      </c>
      <c r="AT155">
        <v>2</v>
      </c>
      <c r="AU155">
        <v>6</v>
      </c>
      <c r="AV155" t="s">
        <v>274</v>
      </c>
      <c r="AW155" t="s">
        <v>4858</v>
      </c>
      <c r="AX155">
        <v>3459</v>
      </c>
      <c r="AY155" t="s">
        <v>273</v>
      </c>
      <c r="BB155">
        <v>0</v>
      </c>
      <c r="BC155">
        <v>0</v>
      </c>
      <c r="BD155">
        <v>0</v>
      </c>
      <c r="BE155">
        <v>0</v>
      </c>
      <c r="BF155" t="s">
        <v>1063</v>
      </c>
      <c r="BG155" t="s">
        <v>4933</v>
      </c>
      <c r="BH155">
        <v>25</v>
      </c>
      <c r="BI155" t="s">
        <v>1260</v>
      </c>
      <c r="BK155">
        <v>818032</v>
      </c>
    </row>
    <row r="156" spans="1:63">
      <c r="A156" s="1">
        <f>HYPERLINK("https://lsnyc.legalserver.org/matter/dynamic-profile/view/1873988","18-1873988")</f>
        <v>0</v>
      </c>
      <c r="B156" t="s">
        <v>4414</v>
      </c>
      <c r="C156" t="s">
        <v>4496</v>
      </c>
      <c r="D156" t="s">
        <v>254</v>
      </c>
      <c r="E156" t="s">
        <v>4500</v>
      </c>
      <c r="F156" t="s">
        <v>273</v>
      </c>
      <c r="G156" t="s">
        <v>275</v>
      </c>
      <c r="H156">
        <v>42.94</v>
      </c>
      <c r="I156" t="s">
        <v>274</v>
      </c>
      <c r="K156" t="s">
        <v>387</v>
      </c>
      <c r="P156" t="s">
        <v>492</v>
      </c>
      <c r="Q156" t="s">
        <v>501</v>
      </c>
      <c r="S156" t="s">
        <v>503</v>
      </c>
      <c r="T156" t="s">
        <v>507</v>
      </c>
      <c r="U156" t="s">
        <v>511</v>
      </c>
      <c r="V156">
        <v>10302</v>
      </c>
      <c r="W156" t="s">
        <v>519</v>
      </c>
      <c r="X156" t="s">
        <v>548</v>
      </c>
      <c r="Z156" t="s">
        <v>3088</v>
      </c>
      <c r="AA156" t="s">
        <v>4778</v>
      </c>
      <c r="AB156" t="s">
        <v>902</v>
      </c>
      <c r="AC156" t="s">
        <v>906</v>
      </c>
      <c r="AF156" t="s">
        <v>926</v>
      </c>
      <c r="AI156">
        <v>4.8</v>
      </c>
      <c r="AJ156" t="s">
        <v>558</v>
      </c>
      <c r="AK156" t="s">
        <v>936</v>
      </c>
      <c r="AL156" t="s">
        <v>274</v>
      </c>
      <c r="AT156">
        <v>2</v>
      </c>
      <c r="AU156">
        <v>6</v>
      </c>
      <c r="AV156" t="s">
        <v>274</v>
      </c>
      <c r="AW156" t="s">
        <v>4858</v>
      </c>
      <c r="AX156">
        <v>3459</v>
      </c>
      <c r="AY156" t="s">
        <v>273</v>
      </c>
      <c r="BB156">
        <v>0</v>
      </c>
      <c r="BC156">
        <v>0</v>
      </c>
      <c r="BD156">
        <v>0</v>
      </c>
      <c r="BE156">
        <v>0</v>
      </c>
      <c r="BF156" t="s">
        <v>1063</v>
      </c>
      <c r="BG156" t="s">
        <v>4978</v>
      </c>
      <c r="BH156">
        <v>25</v>
      </c>
      <c r="BI156" t="s">
        <v>1260</v>
      </c>
      <c r="BK156">
        <v>818032</v>
      </c>
    </row>
    <row r="157" spans="1:63">
      <c r="A157" s="1">
        <f>HYPERLINK("https://lsnyc.legalserver.org/matter/dynamic-profile/view/1868371","18-1868371")</f>
        <v>0</v>
      </c>
      <c r="B157" t="s">
        <v>4365</v>
      </c>
      <c r="C157" t="s">
        <v>4496</v>
      </c>
      <c r="D157" t="s">
        <v>254</v>
      </c>
      <c r="E157" t="s">
        <v>4501</v>
      </c>
      <c r="F157" t="s">
        <v>273</v>
      </c>
      <c r="G157" t="s">
        <v>275</v>
      </c>
      <c r="H157">
        <v>123.2</v>
      </c>
      <c r="I157" t="s">
        <v>274</v>
      </c>
      <c r="K157" t="s">
        <v>388</v>
      </c>
      <c r="O157" t="s">
        <v>275</v>
      </c>
      <c r="P157" t="s">
        <v>492</v>
      </c>
      <c r="Q157" t="s">
        <v>502</v>
      </c>
      <c r="R157" t="s">
        <v>4557</v>
      </c>
      <c r="S157" t="s">
        <v>503</v>
      </c>
      <c r="T157" t="s">
        <v>507</v>
      </c>
      <c r="U157" t="s">
        <v>511</v>
      </c>
      <c r="V157">
        <v>10303</v>
      </c>
      <c r="W157" t="s">
        <v>518</v>
      </c>
      <c r="X157" t="s">
        <v>548</v>
      </c>
      <c r="Z157" t="s">
        <v>4611</v>
      </c>
      <c r="AA157" t="s">
        <v>4746</v>
      </c>
      <c r="AB157" t="s">
        <v>902</v>
      </c>
      <c r="AC157" t="s">
        <v>906</v>
      </c>
      <c r="AF157" t="s">
        <v>926</v>
      </c>
      <c r="AI157">
        <v>12.5</v>
      </c>
      <c r="AJ157" t="s">
        <v>558</v>
      </c>
      <c r="AK157" t="s">
        <v>941</v>
      </c>
      <c r="AL157" t="s">
        <v>274</v>
      </c>
      <c r="AT157">
        <v>1</v>
      </c>
      <c r="AU157">
        <v>2</v>
      </c>
      <c r="AV157" t="s">
        <v>274</v>
      </c>
      <c r="AW157" t="s">
        <v>4858</v>
      </c>
      <c r="AX157">
        <v>3459</v>
      </c>
      <c r="AY157" t="s">
        <v>273</v>
      </c>
      <c r="BB157">
        <v>0</v>
      </c>
      <c r="BC157">
        <v>0</v>
      </c>
      <c r="BD157">
        <v>0</v>
      </c>
      <c r="BE157">
        <v>0</v>
      </c>
      <c r="BF157" t="s">
        <v>1063</v>
      </c>
      <c r="BG157" t="s">
        <v>4931</v>
      </c>
      <c r="BH157">
        <v>12</v>
      </c>
      <c r="BI157" t="s">
        <v>2740</v>
      </c>
      <c r="BK157">
        <v>1868964</v>
      </c>
    </row>
    <row r="158" spans="1:63">
      <c r="A158" s="1">
        <f>HYPERLINK("https://lsnyc.legalserver.org/matter/dynamic-profile/view/1870593","18-1870593")</f>
        <v>0</v>
      </c>
      <c r="B158" t="s">
        <v>4415</v>
      </c>
      <c r="C158" t="s">
        <v>4496</v>
      </c>
      <c r="D158" t="s">
        <v>254</v>
      </c>
      <c r="E158" t="s">
        <v>4499</v>
      </c>
      <c r="F158" t="s">
        <v>273</v>
      </c>
      <c r="G158" t="s">
        <v>275</v>
      </c>
      <c r="H158">
        <v>150.14</v>
      </c>
      <c r="I158" t="s">
        <v>274</v>
      </c>
      <c r="K158" t="s">
        <v>2997</v>
      </c>
      <c r="P158" t="s">
        <v>492</v>
      </c>
      <c r="Q158" t="s">
        <v>501</v>
      </c>
      <c r="R158" t="s">
        <v>4557</v>
      </c>
      <c r="S158" t="s">
        <v>503</v>
      </c>
      <c r="T158" t="s">
        <v>508</v>
      </c>
      <c r="U158" t="s">
        <v>511</v>
      </c>
      <c r="V158">
        <v>10304</v>
      </c>
      <c r="W158" t="s">
        <v>519</v>
      </c>
      <c r="X158" t="s">
        <v>548</v>
      </c>
      <c r="Z158" t="s">
        <v>4644</v>
      </c>
      <c r="AA158" t="s">
        <v>4779</v>
      </c>
      <c r="AB158" t="s">
        <v>902</v>
      </c>
      <c r="AC158" t="s">
        <v>910</v>
      </c>
      <c r="AF158" t="s">
        <v>926</v>
      </c>
      <c r="AI158">
        <v>7.6</v>
      </c>
      <c r="AJ158" t="s">
        <v>558</v>
      </c>
      <c r="AK158" t="s">
        <v>934</v>
      </c>
      <c r="AL158" t="s">
        <v>274</v>
      </c>
      <c r="AT158">
        <v>1</v>
      </c>
      <c r="AU158">
        <v>2</v>
      </c>
      <c r="AV158" t="s">
        <v>274</v>
      </c>
      <c r="AW158" t="s">
        <v>368</v>
      </c>
      <c r="AX158">
        <v>3459</v>
      </c>
      <c r="AY158" t="s">
        <v>273</v>
      </c>
      <c r="BB158">
        <v>0</v>
      </c>
      <c r="BC158">
        <v>0</v>
      </c>
      <c r="BD158">
        <v>0</v>
      </c>
      <c r="BE158">
        <v>0</v>
      </c>
      <c r="BF158" t="s">
        <v>1063</v>
      </c>
      <c r="BG158" t="s">
        <v>4870</v>
      </c>
      <c r="BH158">
        <v>24</v>
      </c>
      <c r="BI158" t="s">
        <v>1254</v>
      </c>
      <c r="BK158">
        <v>1871193</v>
      </c>
    </row>
    <row r="159" spans="1:63">
      <c r="A159" s="1">
        <f>HYPERLINK("https://lsnyc.legalserver.org/matter/dynamic-profile/view/1871236","18-1871236")</f>
        <v>0</v>
      </c>
      <c r="B159" t="s">
        <v>4416</v>
      </c>
      <c r="C159" t="s">
        <v>4496</v>
      </c>
      <c r="D159" t="s">
        <v>254</v>
      </c>
      <c r="E159" t="s">
        <v>4500</v>
      </c>
      <c r="F159" t="s">
        <v>273</v>
      </c>
      <c r="G159" t="s">
        <v>275</v>
      </c>
      <c r="H159">
        <v>157.96</v>
      </c>
      <c r="I159" t="s">
        <v>274</v>
      </c>
      <c r="K159" t="s">
        <v>2997</v>
      </c>
      <c r="P159" t="s">
        <v>492</v>
      </c>
      <c r="Q159" t="s">
        <v>501</v>
      </c>
      <c r="R159" t="s">
        <v>4557</v>
      </c>
      <c r="S159" t="s">
        <v>503</v>
      </c>
      <c r="T159" t="s">
        <v>508</v>
      </c>
      <c r="U159" t="s">
        <v>511</v>
      </c>
      <c r="V159">
        <v>10303</v>
      </c>
      <c r="W159" t="s">
        <v>519</v>
      </c>
      <c r="Z159" t="s">
        <v>4645</v>
      </c>
      <c r="AA159" t="s">
        <v>4780</v>
      </c>
      <c r="AB159" t="s">
        <v>902</v>
      </c>
      <c r="AC159" t="s">
        <v>906</v>
      </c>
      <c r="AF159" t="s">
        <v>926</v>
      </c>
      <c r="AI159">
        <v>13.6</v>
      </c>
      <c r="AJ159" t="s">
        <v>558</v>
      </c>
      <c r="AK159" t="s">
        <v>941</v>
      </c>
      <c r="AL159" t="s">
        <v>274</v>
      </c>
      <c r="AM159" t="s">
        <v>973</v>
      </c>
      <c r="AN159" t="s">
        <v>4838</v>
      </c>
      <c r="AT159">
        <v>0</v>
      </c>
      <c r="AU159">
        <v>2</v>
      </c>
      <c r="AV159" t="s">
        <v>274</v>
      </c>
      <c r="AW159" t="s">
        <v>4858</v>
      </c>
      <c r="AX159">
        <v>3459</v>
      </c>
      <c r="AY159" t="s">
        <v>273</v>
      </c>
      <c r="BB159">
        <v>0</v>
      </c>
      <c r="BC159">
        <v>0</v>
      </c>
      <c r="BD159">
        <v>0</v>
      </c>
      <c r="BE159">
        <v>0</v>
      </c>
      <c r="BF159" t="s">
        <v>1063</v>
      </c>
      <c r="BG159" t="s">
        <v>4979</v>
      </c>
      <c r="BH159">
        <v>28</v>
      </c>
      <c r="BI159" t="s">
        <v>1279</v>
      </c>
      <c r="BK159">
        <v>1871837</v>
      </c>
    </row>
    <row r="160" spans="1:63">
      <c r="A160" s="1">
        <f>HYPERLINK("https://lsnyc.legalserver.org/matter/dynamic-profile/view/1868658","18-1868658")</f>
        <v>0</v>
      </c>
      <c r="B160" t="s">
        <v>4417</v>
      </c>
      <c r="C160" t="s">
        <v>4496</v>
      </c>
      <c r="D160" t="s">
        <v>254</v>
      </c>
      <c r="E160" t="s">
        <v>4499</v>
      </c>
      <c r="F160" t="s">
        <v>273</v>
      </c>
      <c r="G160" t="s">
        <v>275</v>
      </c>
      <c r="H160">
        <v>57.75</v>
      </c>
      <c r="I160" t="s">
        <v>274</v>
      </c>
      <c r="K160" t="s">
        <v>391</v>
      </c>
      <c r="O160" t="s">
        <v>275</v>
      </c>
      <c r="P160" t="s">
        <v>492</v>
      </c>
      <c r="Q160" t="s">
        <v>501</v>
      </c>
      <c r="S160" t="s">
        <v>503</v>
      </c>
      <c r="T160" t="s">
        <v>507</v>
      </c>
      <c r="U160" t="s">
        <v>511</v>
      </c>
      <c r="V160">
        <v>10312</v>
      </c>
      <c r="W160" t="s">
        <v>519</v>
      </c>
      <c r="X160" t="s">
        <v>553</v>
      </c>
      <c r="Z160" t="s">
        <v>4575</v>
      </c>
      <c r="AA160" t="s">
        <v>4734</v>
      </c>
      <c r="AB160" t="s">
        <v>902</v>
      </c>
      <c r="AC160" t="s">
        <v>906</v>
      </c>
      <c r="AF160" t="s">
        <v>926</v>
      </c>
      <c r="AI160">
        <v>11.8</v>
      </c>
      <c r="AJ160" t="s">
        <v>558</v>
      </c>
      <c r="AK160" t="s">
        <v>948</v>
      </c>
      <c r="AL160" t="s">
        <v>274</v>
      </c>
      <c r="AM160" t="s">
        <v>973</v>
      </c>
      <c r="AN160" t="s">
        <v>3703</v>
      </c>
      <c r="AT160">
        <v>1</v>
      </c>
      <c r="AU160">
        <v>2</v>
      </c>
      <c r="AV160" t="s">
        <v>273</v>
      </c>
      <c r="AY160" t="s">
        <v>273</v>
      </c>
      <c r="BB160">
        <v>0</v>
      </c>
      <c r="BC160">
        <v>0</v>
      </c>
      <c r="BD160">
        <v>0</v>
      </c>
      <c r="BE160">
        <v>0</v>
      </c>
      <c r="BF160" t="s">
        <v>1063</v>
      </c>
      <c r="BG160" t="s">
        <v>4980</v>
      </c>
      <c r="BH160">
        <v>43</v>
      </c>
      <c r="BI160" t="s">
        <v>1267</v>
      </c>
      <c r="BK160">
        <v>1869256</v>
      </c>
    </row>
    <row r="161" spans="1:63">
      <c r="A161" s="1">
        <f>HYPERLINK("https://lsnyc.legalserver.org/matter/dynamic-profile/view/1871062","18-1871062")</f>
        <v>0</v>
      </c>
      <c r="B161" t="s">
        <v>4418</v>
      </c>
      <c r="C161" t="s">
        <v>4496</v>
      </c>
      <c r="D161" t="s">
        <v>254</v>
      </c>
      <c r="E161" t="s">
        <v>4501</v>
      </c>
      <c r="F161" t="s">
        <v>275</v>
      </c>
      <c r="G161" t="s">
        <v>275</v>
      </c>
      <c r="H161">
        <v>46.91</v>
      </c>
      <c r="I161" t="s">
        <v>274</v>
      </c>
      <c r="K161" t="s">
        <v>392</v>
      </c>
      <c r="L161" t="s">
        <v>280</v>
      </c>
      <c r="O161" t="s">
        <v>275</v>
      </c>
      <c r="P161" t="s">
        <v>493</v>
      </c>
      <c r="Q161" t="s">
        <v>501</v>
      </c>
      <c r="S161" t="s">
        <v>503</v>
      </c>
      <c r="T161" t="s">
        <v>508</v>
      </c>
      <c r="U161" t="s">
        <v>511</v>
      </c>
      <c r="V161">
        <v>10302</v>
      </c>
      <c r="W161" t="s">
        <v>532</v>
      </c>
      <c r="X161" t="s">
        <v>548</v>
      </c>
      <c r="Z161" t="s">
        <v>4646</v>
      </c>
      <c r="AA161" t="s">
        <v>4781</v>
      </c>
      <c r="AB161" t="s">
        <v>902</v>
      </c>
      <c r="AC161" t="s">
        <v>905</v>
      </c>
      <c r="AD161" t="s">
        <v>275</v>
      </c>
      <c r="AE161" t="s">
        <v>922</v>
      </c>
      <c r="AF161" t="s">
        <v>929</v>
      </c>
      <c r="AI161">
        <v>16.3</v>
      </c>
      <c r="AK161" t="s">
        <v>933</v>
      </c>
      <c r="AL161" t="s">
        <v>274</v>
      </c>
      <c r="AQ161" t="s">
        <v>1037</v>
      </c>
      <c r="AR161" t="s">
        <v>1051</v>
      </c>
      <c r="AT161">
        <v>3</v>
      </c>
      <c r="AU161">
        <v>2</v>
      </c>
      <c r="AV161" t="s">
        <v>273</v>
      </c>
      <c r="AY161" t="s">
        <v>273</v>
      </c>
      <c r="BB161">
        <v>0</v>
      </c>
      <c r="BC161">
        <v>0</v>
      </c>
      <c r="BD161">
        <v>0</v>
      </c>
      <c r="BE161">
        <v>0</v>
      </c>
      <c r="BF161" t="s">
        <v>493</v>
      </c>
      <c r="BG161" t="s">
        <v>4981</v>
      </c>
      <c r="BH161">
        <v>35</v>
      </c>
      <c r="BI161" t="s">
        <v>4278</v>
      </c>
      <c r="BK161">
        <v>1871663</v>
      </c>
    </row>
    <row r="162" spans="1:63">
      <c r="A162" s="1">
        <f>HYPERLINK("https://lsnyc.legalserver.org/matter/dynamic-profile/view/1869598","18-1869598")</f>
        <v>0</v>
      </c>
      <c r="B162" t="s">
        <v>4419</v>
      </c>
      <c r="C162" t="s">
        <v>4496</v>
      </c>
      <c r="D162" t="s">
        <v>253</v>
      </c>
      <c r="E162" t="s">
        <v>4500</v>
      </c>
      <c r="F162" t="s">
        <v>273</v>
      </c>
      <c r="G162" t="s">
        <v>275</v>
      </c>
      <c r="H162">
        <v>0</v>
      </c>
      <c r="I162" t="s">
        <v>274</v>
      </c>
      <c r="K162" t="s">
        <v>2396</v>
      </c>
      <c r="O162" t="s">
        <v>275</v>
      </c>
      <c r="P162" t="s">
        <v>492</v>
      </c>
      <c r="Q162" t="s">
        <v>501</v>
      </c>
      <c r="S162" t="s">
        <v>503</v>
      </c>
      <c r="T162" t="s">
        <v>508</v>
      </c>
      <c r="U162" t="s">
        <v>511</v>
      </c>
      <c r="V162">
        <v>11374</v>
      </c>
      <c r="W162" t="s">
        <v>519</v>
      </c>
      <c r="X162" t="s">
        <v>553</v>
      </c>
      <c r="Z162" t="s">
        <v>4647</v>
      </c>
      <c r="AA162" t="s">
        <v>4782</v>
      </c>
      <c r="AB162" t="s">
        <v>902</v>
      </c>
      <c r="AC162" t="s">
        <v>906</v>
      </c>
      <c r="AF162" t="s">
        <v>926</v>
      </c>
      <c r="AI162">
        <v>10.8</v>
      </c>
      <c r="AJ162" t="s">
        <v>558</v>
      </c>
      <c r="AK162" t="s">
        <v>3257</v>
      </c>
      <c r="AL162" t="s">
        <v>274</v>
      </c>
      <c r="AT162">
        <v>1</v>
      </c>
      <c r="AU162">
        <v>1</v>
      </c>
      <c r="AV162" t="s">
        <v>274</v>
      </c>
      <c r="AW162" t="s">
        <v>4858</v>
      </c>
      <c r="AX162">
        <v>3459</v>
      </c>
      <c r="AY162" t="s">
        <v>273</v>
      </c>
      <c r="BB162">
        <v>0</v>
      </c>
      <c r="BC162">
        <v>0</v>
      </c>
      <c r="BD162">
        <v>0</v>
      </c>
      <c r="BE162">
        <v>0</v>
      </c>
      <c r="BF162" t="s">
        <v>1063</v>
      </c>
      <c r="BG162" t="s">
        <v>4982</v>
      </c>
      <c r="BH162">
        <v>56</v>
      </c>
      <c r="BI162" t="s">
        <v>1247</v>
      </c>
      <c r="BK162">
        <v>1870197</v>
      </c>
    </row>
    <row r="163" spans="1:63">
      <c r="A163" s="1">
        <f>HYPERLINK("https://lsnyc.legalserver.org/matter/dynamic-profile/view/1869766","18-1869766")</f>
        <v>0</v>
      </c>
      <c r="B163" t="s">
        <v>4420</v>
      </c>
      <c r="C163" t="s">
        <v>4496</v>
      </c>
      <c r="D163" t="s">
        <v>254</v>
      </c>
      <c r="E163" t="s">
        <v>4500</v>
      </c>
      <c r="F163" t="s">
        <v>273</v>
      </c>
      <c r="G163" t="s">
        <v>275</v>
      </c>
      <c r="H163">
        <v>0</v>
      </c>
      <c r="I163" t="s">
        <v>274</v>
      </c>
      <c r="K163" t="s">
        <v>2396</v>
      </c>
      <c r="P163" t="s">
        <v>498</v>
      </c>
      <c r="Q163" t="s">
        <v>501</v>
      </c>
      <c r="S163" t="s">
        <v>503</v>
      </c>
      <c r="T163" t="s">
        <v>508</v>
      </c>
      <c r="U163" t="s">
        <v>511</v>
      </c>
      <c r="V163">
        <v>10305</v>
      </c>
      <c r="W163" t="s">
        <v>519</v>
      </c>
      <c r="X163" t="s">
        <v>548</v>
      </c>
      <c r="Z163" t="s">
        <v>572</v>
      </c>
      <c r="AA163" t="s">
        <v>4783</v>
      </c>
      <c r="AB163" t="s">
        <v>902</v>
      </c>
      <c r="AC163" t="s">
        <v>906</v>
      </c>
      <c r="AF163" t="s">
        <v>926</v>
      </c>
      <c r="AI163">
        <v>116.3</v>
      </c>
      <c r="AJ163" t="s">
        <v>558</v>
      </c>
      <c r="AK163" t="s">
        <v>934</v>
      </c>
      <c r="AL163" t="s">
        <v>274</v>
      </c>
      <c r="AM163" t="s">
        <v>973</v>
      </c>
      <c r="AN163" t="s">
        <v>2390</v>
      </c>
      <c r="AT163">
        <v>1</v>
      </c>
      <c r="AU163">
        <v>1</v>
      </c>
      <c r="AV163" t="s">
        <v>274</v>
      </c>
      <c r="AW163" t="s">
        <v>368</v>
      </c>
      <c r="AX163">
        <v>3459</v>
      </c>
      <c r="AY163" t="s">
        <v>273</v>
      </c>
      <c r="BB163">
        <v>0</v>
      </c>
      <c r="BC163">
        <v>0</v>
      </c>
      <c r="BD163">
        <v>0</v>
      </c>
      <c r="BE163">
        <v>0</v>
      </c>
      <c r="BF163" t="s">
        <v>1063</v>
      </c>
      <c r="BG163" t="s">
        <v>4983</v>
      </c>
      <c r="BH163">
        <v>29</v>
      </c>
      <c r="BI163" t="s">
        <v>1247</v>
      </c>
      <c r="BK163">
        <v>1870365</v>
      </c>
    </row>
    <row r="164" spans="1:63">
      <c r="A164" s="1">
        <f>HYPERLINK("https://lsnyc.legalserver.org/matter/dynamic-profile/view/1871493","18-1871493")</f>
        <v>0</v>
      </c>
      <c r="B164" t="s">
        <v>4294</v>
      </c>
      <c r="C164" t="s">
        <v>4496</v>
      </c>
      <c r="D164" t="s">
        <v>254</v>
      </c>
      <c r="E164" t="s">
        <v>4499</v>
      </c>
      <c r="F164" t="s">
        <v>273</v>
      </c>
      <c r="G164" t="s">
        <v>275</v>
      </c>
      <c r="H164">
        <v>0</v>
      </c>
      <c r="I164" t="s">
        <v>274</v>
      </c>
      <c r="K164" t="s">
        <v>393</v>
      </c>
      <c r="O164" t="s">
        <v>275</v>
      </c>
      <c r="P164" t="s">
        <v>492</v>
      </c>
      <c r="Q164" t="s">
        <v>501</v>
      </c>
      <c r="S164" t="s">
        <v>503</v>
      </c>
      <c r="T164" t="s">
        <v>507</v>
      </c>
      <c r="U164" t="s">
        <v>511</v>
      </c>
      <c r="V164">
        <v>10302</v>
      </c>
      <c r="W164" t="s">
        <v>519</v>
      </c>
      <c r="X164" t="s">
        <v>548</v>
      </c>
      <c r="Z164" t="s">
        <v>1883</v>
      </c>
      <c r="AA164" t="s">
        <v>4693</v>
      </c>
      <c r="AB164" t="s">
        <v>902</v>
      </c>
      <c r="AC164" t="s">
        <v>906</v>
      </c>
      <c r="AF164" t="s">
        <v>926</v>
      </c>
      <c r="AI164">
        <v>21.7</v>
      </c>
      <c r="AJ164" t="s">
        <v>558</v>
      </c>
      <c r="AK164" t="s">
        <v>936</v>
      </c>
      <c r="AL164" t="s">
        <v>274</v>
      </c>
      <c r="AM164" t="s">
        <v>973</v>
      </c>
      <c r="AN164" t="s">
        <v>990</v>
      </c>
      <c r="AT164">
        <v>4</v>
      </c>
      <c r="AU164">
        <v>2</v>
      </c>
      <c r="AV164" t="s">
        <v>273</v>
      </c>
      <c r="AY164" t="s">
        <v>273</v>
      </c>
      <c r="BB164">
        <v>0</v>
      </c>
      <c r="BC164">
        <v>0</v>
      </c>
      <c r="BD164">
        <v>0</v>
      </c>
      <c r="BE164">
        <v>0</v>
      </c>
      <c r="BF164" t="s">
        <v>1063</v>
      </c>
      <c r="BG164" t="s">
        <v>4864</v>
      </c>
      <c r="BH164">
        <v>17</v>
      </c>
      <c r="BI164" t="s">
        <v>1247</v>
      </c>
      <c r="BK164">
        <v>817334</v>
      </c>
    </row>
    <row r="165" spans="1:63">
      <c r="A165" s="1">
        <f>HYPERLINK("https://lsnyc.legalserver.org/matter/dynamic-profile/view/1871468","18-1871468")</f>
        <v>0</v>
      </c>
      <c r="B165" t="s">
        <v>4421</v>
      </c>
      <c r="C165" t="s">
        <v>4496</v>
      </c>
      <c r="D165" t="s">
        <v>254</v>
      </c>
      <c r="E165" t="s">
        <v>4500</v>
      </c>
      <c r="F165" t="s">
        <v>273</v>
      </c>
      <c r="G165" t="s">
        <v>275</v>
      </c>
      <c r="H165">
        <v>41.43</v>
      </c>
      <c r="I165" t="s">
        <v>274</v>
      </c>
      <c r="K165" t="s">
        <v>1029</v>
      </c>
      <c r="P165" t="s">
        <v>492</v>
      </c>
      <c r="Q165" t="s">
        <v>501</v>
      </c>
      <c r="S165" t="s">
        <v>503</v>
      </c>
      <c r="T165" t="s">
        <v>507</v>
      </c>
      <c r="U165" t="s">
        <v>511</v>
      </c>
      <c r="V165">
        <v>10303</v>
      </c>
      <c r="W165" t="s">
        <v>517</v>
      </c>
      <c r="X165" t="s">
        <v>549</v>
      </c>
      <c r="Z165" t="s">
        <v>4648</v>
      </c>
      <c r="AA165" t="s">
        <v>4784</v>
      </c>
      <c r="AB165" t="s">
        <v>902</v>
      </c>
      <c r="AC165" t="s">
        <v>904</v>
      </c>
      <c r="AF165" t="s">
        <v>923</v>
      </c>
      <c r="AI165">
        <v>7.8</v>
      </c>
      <c r="AJ165" t="s">
        <v>558</v>
      </c>
      <c r="AK165" t="s">
        <v>954</v>
      </c>
      <c r="AL165" t="s">
        <v>274</v>
      </c>
      <c r="AM165" t="s">
        <v>973</v>
      </c>
      <c r="AN165" t="s">
        <v>382</v>
      </c>
      <c r="AT165">
        <v>1</v>
      </c>
      <c r="AU165">
        <v>3</v>
      </c>
      <c r="AV165" t="s">
        <v>274</v>
      </c>
      <c r="AW165" t="s">
        <v>4858</v>
      </c>
      <c r="AX165">
        <v>3459</v>
      </c>
      <c r="AY165" t="s">
        <v>273</v>
      </c>
      <c r="BB165">
        <v>0</v>
      </c>
      <c r="BC165">
        <v>0</v>
      </c>
      <c r="BD165">
        <v>0</v>
      </c>
      <c r="BE165">
        <v>0</v>
      </c>
      <c r="BF165" t="s">
        <v>1063</v>
      </c>
      <c r="BG165" t="s">
        <v>4984</v>
      </c>
      <c r="BH165">
        <v>17</v>
      </c>
      <c r="BI165" t="s">
        <v>1301</v>
      </c>
      <c r="BK165">
        <v>1848174</v>
      </c>
    </row>
    <row r="166" spans="1:63">
      <c r="A166" s="1">
        <f>HYPERLINK("https://lsnyc.legalserver.org/matter/dynamic-profile/view/1871513","18-1871513")</f>
        <v>0</v>
      </c>
      <c r="B166" t="s">
        <v>4422</v>
      </c>
      <c r="C166" t="s">
        <v>4496</v>
      </c>
      <c r="D166" t="s">
        <v>254</v>
      </c>
      <c r="E166" t="s">
        <v>4500</v>
      </c>
      <c r="F166" t="s">
        <v>273</v>
      </c>
      <c r="G166" t="s">
        <v>275</v>
      </c>
      <c r="H166">
        <v>31.08</v>
      </c>
      <c r="I166" t="s">
        <v>274</v>
      </c>
      <c r="K166" t="s">
        <v>1029</v>
      </c>
      <c r="O166" t="s">
        <v>275</v>
      </c>
      <c r="P166" t="s">
        <v>492</v>
      </c>
      <c r="Q166" t="s">
        <v>501</v>
      </c>
      <c r="S166" t="s">
        <v>503</v>
      </c>
      <c r="T166" t="s">
        <v>508</v>
      </c>
      <c r="U166" t="s">
        <v>511</v>
      </c>
      <c r="V166">
        <v>10301</v>
      </c>
      <c r="W166" t="s">
        <v>521</v>
      </c>
      <c r="X166" t="s">
        <v>548</v>
      </c>
      <c r="Z166" t="s">
        <v>4649</v>
      </c>
      <c r="AA166" t="s">
        <v>4785</v>
      </c>
      <c r="AB166" t="s">
        <v>902</v>
      </c>
      <c r="AC166" t="s">
        <v>906</v>
      </c>
      <c r="AF166" t="s">
        <v>923</v>
      </c>
      <c r="AI166">
        <v>28.5</v>
      </c>
      <c r="AJ166" t="s">
        <v>558</v>
      </c>
      <c r="AK166" t="s">
        <v>936</v>
      </c>
      <c r="AL166" t="s">
        <v>274</v>
      </c>
      <c r="AT166">
        <v>3</v>
      </c>
      <c r="AU166">
        <v>1</v>
      </c>
      <c r="AV166" t="s">
        <v>274</v>
      </c>
      <c r="AW166" t="s">
        <v>4858</v>
      </c>
      <c r="AX166">
        <v>3459</v>
      </c>
      <c r="AY166" t="s">
        <v>273</v>
      </c>
      <c r="BB166">
        <v>0</v>
      </c>
      <c r="BC166">
        <v>0</v>
      </c>
      <c r="BD166">
        <v>0</v>
      </c>
      <c r="BE166">
        <v>0</v>
      </c>
      <c r="BF166" t="s">
        <v>1063</v>
      </c>
      <c r="BG166" t="s">
        <v>2490</v>
      </c>
      <c r="BH166">
        <v>40</v>
      </c>
      <c r="BI166" t="s">
        <v>2771</v>
      </c>
      <c r="BK166">
        <v>1872114</v>
      </c>
    </row>
    <row r="167" spans="1:63">
      <c r="A167" s="1">
        <f>HYPERLINK("https://lsnyc.legalserver.org/matter/dynamic-profile/view/1871049","18-1871049")</f>
        <v>0</v>
      </c>
      <c r="B167" t="s">
        <v>4411</v>
      </c>
      <c r="C167" t="s">
        <v>4496</v>
      </c>
      <c r="D167" t="s">
        <v>254</v>
      </c>
      <c r="E167" t="s">
        <v>4499</v>
      </c>
      <c r="F167" t="s">
        <v>273</v>
      </c>
      <c r="G167" t="s">
        <v>275</v>
      </c>
      <c r="H167">
        <v>250.24</v>
      </c>
      <c r="I167" t="s">
        <v>274</v>
      </c>
      <c r="J167" t="s">
        <v>4505</v>
      </c>
      <c r="K167" t="s">
        <v>3711</v>
      </c>
      <c r="P167" t="s">
        <v>492</v>
      </c>
      <c r="Q167" t="s">
        <v>502</v>
      </c>
      <c r="S167" t="s">
        <v>503</v>
      </c>
      <c r="T167" t="s">
        <v>508</v>
      </c>
      <c r="U167" t="s">
        <v>511</v>
      </c>
      <c r="V167">
        <v>10303</v>
      </c>
      <c r="W167" t="s">
        <v>518</v>
      </c>
      <c r="X167" t="s">
        <v>548</v>
      </c>
      <c r="Z167" t="s">
        <v>4641</v>
      </c>
      <c r="AA167" t="s">
        <v>4777</v>
      </c>
      <c r="AB167" t="s">
        <v>902</v>
      </c>
      <c r="AC167" t="s">
        <v>906</v>
      </c>
      <c r="AF167" t="s">
        <v>926</v>
      </c>
      <c r="AI167">
        <v>44.75</v>
      </c>
      <c r="AJ167" t="s">
        <v>558</v>
      </c>
      <c r="AK167" t="s">
        <v>941</v>
      </c>
      <c r="AL167" t="s">
        <v>274</v>
      </c>
      <c r="AT167">
        <v>1</v>
      </c>
      <c r="AU167">
        <v>2</v>
      </c>
      <c r="AV167" t="s">
        <v>274</v>
      </c>
      <c r="AW167" t="s">
        <v>4858</v>
      </c>
      <c r="AY167" t="s">
        <v>273</v>
      </c>
      <c r="BB167">
        <v>0</v>
      </c>
      <c r="BC167">
        <v>0</v>
      </c>
      <c r="BD167">
        <v>0</v>
      </c>
      <c r="BE167">
        <v>0</v>
      </c>
      <c r="BF167" t="s">
        <v>1063</v>
      </c>
      <c r="BG167" t="s">
        <v>4975</v>
      </c>
      <c r="BH167">
        <v>16</v>
      </c>
      <c r="BI167" t="s">
        <v>2791</v>
      </c>
      <c r="BK167">
        <v>1871650</v>
      </c>
    </row>
    <row r="168" spans="1:63">
      <c r="A168" s="1">
        <f>HYPERLINK("https://lsnyc.legalserver.org/matter/dynamic-profile/view/1871901","18-1871901")</f>
        <v>0</v>
      </c>
      <c r="B168" t="s">
        <v>4423</v>
      </c>
      <c r="C168" t="s">
        <v>4496</v>
      </c>
      <c r="D168" t="s">
        <v>257</v>
      </c>
      <c r="E168" t="s">
        <v>4499</v>
      </c>
      <c r="F168" t="s">
        <v>273</v>
      </c>
      <c r="G168" t="s">
        <v>275</v>
      </c>
      <c r="H168">
        <v>0</v>
      </c>
      <c r="I168" t="s">
        <v>274</v>
      </c>
      <c r="K168" t="s">
        <v>3711</v>
      </c>
      <c r="O168" t="s">
        <v>275</v>
      </c>
      <c r="Q168" t="s">
        <v>501</v>
      </c>
      <c r="S168" t="s">
        <v>503</v>
      </c>
      <c r="T168" t="s">
        <v>507</v>
      </c>
      <c r="U168" t="s">
        <v>511</v>
      </c>
      <c r="V168">
        <v>10459</v>
      </c>
      <c r="W168" t="s">
        <v>518</v>
      </c>
      <c r="X168" t="s">
        <v>549</v>
      </c>
      <c r="Z168" t="s">
        <v>4650</v>
      </c>
      <c r="AA168" t="s">
        <v>4786</v>
      </c>
      <c r="AB168" t="s">
        <v>902</v>
      </c>
      <c r="AC168" t="s">
        <v>906</v>
      </c>
      <c r="AF168" t="s">
        <v>926</v>
      </c>
      <c r="AI168">
        <v>37.1</v>
      </c>
      <c r="AJ168" t="s">
        <v>558</v>
      </c>
      <c r="AK168" t="s">
        <v>3268</v>
      </c>
      <c r="AL168" t="s">
        <v>274</v>
      </c>
      <c r="AM168" t="s">
        <v>973</v>
      </c>
      <c r="AN168" t="s">
        <v>393</v>
      </c>
      <c r="AT168">
        <v>0</v>
      </c>
      <c r="AU168">
        <v>1</v>
      </c>
      <c r="AV168" t="s">
        <v>273</v>
      </c>
      <c r="AY168" t="s">
        <v>273</v>
      </c>
      <c r="BB168">
        <v>0</v>
      </c>
      <c r="BC168">
        <v>0</v>
      </c>
      <c r="BD168">
        <v>0</v>
      </c>
      <c r="BE168">
        <v>0</v>
      </c>
      <c r="BF168" t="s">
        <v>1063</v>
      </c>
      <c r="BG168" t="s">
        <v>4985</v>
      </c>
      <c r="BH168">
        <v>38</v>
      </c>
      <c r="BI168" t="s">
        <v>1247</v>
      </c>
      <c r="BK168">
        <v>810273</v>
      </c>
    </row>
    <row r="169" spans="1:63">
      <c r="A169" s="1">
        <f>HYPERLINK("https://lsnyc.legalserver.org/matter/dynamic-profile/view/1871019","18-1871019")</f>
        <v>0</v>
      </c>
      <c r="B169" t="s">
        <v>4424</v>
      </c>
      <c r="C169" t="s">
        <v>4496</v>
      </c>
      <c r="D169" t="s">
        <v>254</v>
      </c>
      <c r="E169" t="s">
        <v>4501</v>
      </c>
      <c r="F169" t="s">
        <v>273</v>
      </c>
      <c r="G169" t="s">
        <v>275</v>
      </c>
      <c r="H169">
        <v>17.78</v>
      </c>
      <c r="K169" t="s">
        <v>2999</v>
      </c>
      <c r="Q169" t="s">
        <v>501</v>
      </c>
      <c r="S169" t="s">
        <v>503</v>
      </c>
      <c r="T169" t="s">
        <v>507</v>
      </c>
      <c r="U169" t="s">
        <v>511</v>
      </c>
      <c r="V169">
        <v>10301</v>
      </c>
      <c r="W169" t="s">
        <v>1832</v>
      </c>
      <c r="X169" t="s">
        <v>548</v>
      </c>
      <c r="Z169" t="s">
        <v>4651</v>
      </c>
      <c r="AA169" t="s">
        <v>2241</v>
      </c>
      <c r="AB169" t="s">
        <v>902</v>
      </c>
      <c r="AC169" t="s">
        <v>911</v>
      </c>
      <c r="AF169" t="s">
        <v>926</v>
      </c>
      <c r="AI169">
        <v>22.9</v>
      </c>
      <c r="AK169" t="s">
        <v>933</v>
      </c>
      <c r="AT169">
        <v>3</v>
      </c>
      <c r="AU169">
        <v>3</v>
      </c>
      <c r="AV169" t="s">
        <v>273</v>
      </c>
      <c r="AY169" t="s">
        <v>273</v>
      </c>
      <c r="BB169">
        <v>0</v>
      </c>
      <c r="BC169">
        <v>0</v>
      </c>
      <c r="BD169">
        <v>0</v>
      </c>
      <c r="BE169">
        <v>0</v>
      </c>
      <c r="BF169" t="s">
        <v>1063</v>
      </c>
      <c r="BG169" t="s">
        <v>4986</v>
      </c>
      <c r="BH169">
        <v>37</v>
      </c>
      <c r="BI169" t="s">
        <v>1266</v>
      </c>
      <c r="BK169">
        <v>822200</v>
      </c>
    </row>
    <row r="170" spans="1:63">
      <c r="A170" s="1">
        <f>HYPERLINK("https://lsnyc.legalserver.org/matter/dynamic-profile/view/1871009","18-1871009")</f>
        <v>0</v>
      </c>
      <c r="B170" t="s">
        <v>4425</v>
      </c>
      <c r="C170" t="s">
        <v>4496</v>
      </c>
      <c r="D170" t="s">
        <v>254</v>
      </c>
      <c r="E170" t="s">
        <v>4500</v>
      </c>
      <c r="F170" t="s">
        <v>273</v>
      </c>
      <c r="G170" t="s">
        <v>275</v>
      </c>
      <c r="H170">
        <v>77.45</v>
      </c>
      <c r="I170" t="s">
        <v>274</v>
      </c>
      <c r="K170" t="s">
        <v>4511</v>
      </c>
      <c r="Q170" t="s">
        <v>501</v>
      </c>
      <c r="S170" t="s">
        <v>503</v>
      </c>
      <c r="T170" t="s">
        <v>508</v>
      </c>
      <c r="U170" t="s">
        <v>511</v>
      </c>
      <c r="V170">
        <v>10314</v>
      </c>
      <c r="W170" t="s">
        <v>528</v>
      </c>
      <c r="X170" t="s">
        <v>549</v>
      </c>
      <c r="Z170" t="s">
        <v>4652</v>
      </c>
      <c r="AA170" t="s">
        <v>4787</v>
      </c>
      <c r="AB170" t="s">
        <v>902</v>
      </c>
      <c r="AC170" t="s">
        <v>905</v>
      </c>
      <c r="AF170" t="s">
        <v>923</v>
      </c>
      <c r="AI170">
        <v>7.9</v>
      </c>
      <c r="AK170" t="s">
        <v>957</v>
      </c>
      <c r="AL170" t="s">
        <v>274</v>
      </c>
      <c r="AM170" t="s">
        <v>973</v>
      </c>
      <c r="AN170" t="s">
        <v>2998</v>
      </c>
      <c r="AT170">
        <v>3</v>
      </c>
      <c r="AU170">
        <v>1</v>
      </c>
      <c r="AV170" t="s">
        <v>273</v>
      </c>
      <c r="AY170" t="s">
        <v>273</v>
      </c>
      <c r="BB170">
        <v>0</v>
      </c>
      <c r="BC170">
        <v>0</v>
      </c>
      <c r="BD170">
        <v>0</v>
      </c>
      <c r="BE170">
        <v>0</v>
      </c>
      <c r="BF170" t="s">
        <v>1063</v>
      </c>
      <c r="BG170" t="s">
        <v>4987</v>
      </c>
      <c r="BH170">
        <v>39</v>
      </c>
      <c r="BI170" t="s">
        <v>5066</v>
      </c>
      <c r="BK170">
        <v>1858063</v>
      </c>
    </row>
    <row r="171" spans="1:63">
      <c r="A171" s="1">
        <f>HYPERLINK("https://lsnyc.legalserver.org/matter/dynamic-profile/view/1871015","18-1871015")</f>
        <v>0</v>
      </c>
      <c r="B171" t="s">
        <v>4366</v>
      </c>
      <c r="C171" t="s">
        <v>4496</v>
      </c>
      <c r="D171" t="s">
        <v>252</v>
      </c>
      <c r="E171" t="s">
        <v>4500</v>
      </c>
      <c r="F171" t="s">
        <v>273</v>
      </c>
      <c r="G171" t="s">
        <v>275</v>
      </c>
      <c r="H171">
        <v>143.99</v>
      </c>
      <c r="I171" t="s">
        <v>274</v>
      </c>
      <c r="K171" t="s">
        <v>4511</v>
      </c>
      <c r="Q171" t="s">
        <v>501</v>
      </c>
      <c r="S171" t="s">
        <v>503</v>
      </c>
      <c r="T171" t="s">
        <v>508</v>
      </c>
      <c r="U171" t="s">
        <v>511</v>
      </c>
      <c r="V171">
        <v>11220</v>
      </c>
      <c r="W171" t="s">
        <v>528</v>
      </c>
      <c r="X171" t="s">
        <v>548</v>
      </c>
      <c r="Z171" t="s">
        <v>3889</v>
      </c>
      <c r="AA171" t="s">
        <v>2102</v>
      </c>
      <c r="AB171" t="s">
        <v>902</v>
      </c>
      <c r="AC171" t="s">
        <v>905</v>
      </c>
      <c r="AF171" t="s">
        <v>923</v>
      </c>
      <c r="AI171">
        <v>13.6</v>
      </c>
      <c r="AK171" t="s">
        <v>949</v>
      </c>
      <c r="AL171" t="s">
        <v>274</v>
      </c>
      <c r="AM171" t="s">
        <v>973</v>
      </c>
      <c r="AN171" t="s">
        <v>370</v>
      </c>
      <c r="AT171">
        <v>1</v>
      </c>
      <c r="AU171">
        <v>1</v>
      </c>
      <c r="AV171" t="s">
        <v>273</v>
      </c>
      <c r="AY171" t="s">
        <v>273</v>
      </c>
      <c r="BB171">
        <v>0</v>
      </c>
      <c r="BC171">
        <v>0</v>
      </c>
      <c r="BD171">
        <v>0</v>
      </c>
      <c r="BE171">
        <v>0</v>
      </c>
      <c r="BF171" t="s">
        <v>1063</v>
      </c>
      <c r="BG171" t="s">
        <v>4932</v>
      </c>
      <c r="BH171">
        <v>53</v>
      </c>
      <c r="BI171" t="s">
        <v>5061</v>
      </c>
      <c r="BK171">
        <v>1863930</v>
      </c>
    </row>
    <row r="172" spans="1:63">
      <c r="A172" s="1">
        <f>HYPERLINK("https://lsnyc.legalserver.org/matter/dynamic-profile/view/1871017","18-1871017")</f>
        <v>0</v>
      </c>
      <c r="B172" t="s">
        <v>4426</v>
      </c>
      <c r="C172" t="s">
        <v>4496</v>
      </c>
      <c r="D172" t="s">
        <v>254</v>
      </c>
      <c r="E172" t="s">
        <v>4499</v>
      </c>
      <c r="F172" t="s">
        <v>273</v>
      </c>
      <c r="G172" t="s">
        <v>275</v>
      </c>
      <c r="H172">
        <v>17.78</v>
      </c>
      <c r="I172" t="s">
        <v>274</v>
      </c>
      <c r="K172" t="s">
        <v>4511</v>
      </c>
      <c r="Q172" t="s">
        <v>501</v>
      </c>
      <c r="S172" t="s">
        <v>503</v>
      </c>
      <c r="T172" t="s">
        <v>507</v>
      </c>
      <c r="U172" t="s">
        <v>511</v>
      </c>
      <c r="V172">
        <v>10301</v>
      </c>
      <c r="W172" t="s">
        <v>1832</v>
      </c>
      <c r="X172" t="s">
        <v>548</v>
      </c>
      <c r="Z172" t="s">
        <v>602</v>
      </c>
      <c r="AA172" t="s">
        <v>4788</v>
      </c>
      <c r="AB172" t="s">
        <v>902</v>
      </c>
      <c r="AC172" t="s">
        <v>911</v>
      </c>
      <c r="AF172" t="s">
        <v>926</v>
      </c>
      <c r="AI172">
        <v>22</v>
      </c>
      <c r="AK172" t="s">
        <v>933</v>
      </c>
      <c r="AL172" t="s">
        <v>274</v>
      </c>
      <c r="AM172" t="s">
        <v>973</v>
      </c>
      <c r="AN172" t="s">
        <v>370</v>
      </c>
      <c r="AT172">
        <v>3</v>
      </c>
      <c r="AU172">
        <v>3</v>
      </c>
      <c r="AV172" t="s">
        <v>273</v>
      </c>
      <c r="AY172" t="s">
        <v>273</v>
      </c>
      <c r="BB172">
        <v>0</v>
      </c>
      <c r="BC172">
        <v>0</v>
      </c>
      <c r="BD172">
        <v>0</v>
      </c>
      <c r="BE172">
        <v>0</v>
      </c>
      <c r="BF172" t="s">
        <v>1063</v>
      </c>
      <c r="BG172" t="s">
        <v>4988</v>
      </c>
      <c r="BH172">
        <v>38</v>
      </c>
      <c r="BI172" t="s">
        <v>1266</v>
      </c>
      <c r="BK172">
        <v>822200</v>
      </c>
    </row>
    <row r="173" spans="1:63">
      <c r="A173" s="1">
        <f>HYPERLINK("https://lsnyc.legalserver.org/matter/dynamic-profile/view/1867556","18-1867556")</f>
        <v>0</v>
      </c>
      <c r="B173" t="s">
        <v>4386</v>
      </c>
      <c r="C173" t="s">
        <v>4496</v>
      </c>
      <c r="D173" t="s">
        <v>254</v>
      </c>
      <c r="E173" t="s">
        <v>4502</v>
      </c>
      <c r="F173" t="s">
        <v>273</v>
      </c>
      <c r="G173" t="s">
        <v>275</v>
      </c>
      <c r="H173">
        <v>0</v>
      </c>
      <c r="I173" t="s">
        <v>274</v>
      </c>
      <c r="K173" t="s">
        <v>1738</v>
      </c>
      <c r="P173" t="s">
        <v>492</v>
      </c>
      <c r="Q173" t="s">
        <v>501</v>
      </c>
      <c r="S173" t="s">
        <v>503</v>
      </c>
      <c r="T173" t="s">
        <v>508</v>
      </c>
      <c r="U173" t="s">
        <v>511</v>
      </c>
      <c r="V173">
        <v>10302</v>
      </c>
      <c r="W173" t="s">
        <v>532</v>
      </c>
      <c r="X173" t="s">
        <v>548</v>
      </c>
      <c r="Z173" t="s">
        <v>2085</v>
      </c>
      <c r="AA173" t="s">
        <v>2102</v>
      </c>
      <c r="AB173" t="s">
        <v>902</v>
      </c>
      <c r="AC173" t="s">
        <v>905</v>
      </c>
      <c r="AF173" t="s">
        <v>923</v>
      </c>
      <c r="AI173">
        <v>10.6</v>
      </c>
      <c r="AK173" t="s">
        <v>933</v>
      </c>
      <c r="AL173" t="s">
        <v>274</v>
      </c>
      <c r="AM173" t="s">
        <v>973</v>
      </c>
      <c r="AN173" t="s">
        <v>991</v>
      </c>
      <c r="AT173">
        <v>4</v>
      </c>
      <c r="AU173">
        <v>1</v>
      </c>
      <c r="AV173" t="s">
        <v>273</v>
      </c>
      <c r="AY173" t="s">
        <v>273</v>
      </c>
      <c r="BB173">
        <v>0</v>
      </c>
      <c r="BC173">
        <v>0</v>
      </c>
      <c r="BD173">
        <v>0</v>
      </c>
      <c r="BE173">
        <v>0</v>
      </c>
      <c r="BF173" t="s">
        <v>1063</v>
      </c>
      <c r="BG173" t="s">
        <v>4952</v>
      </c>
      <c r="BH173">
        <v>36</v>
      </c>
      <c r="BI173" t="s">
        <v>1247</v>
      </c>
      <c r="BK173">
        <v>1868021</v>
      </c>
    </row>
    <row r="174" spans="1:63">
      <c r="A174" s="1">
        <f>HYPERLINK("https://lsnyc.legalserver.org/matter/dynamic-profile/view/1867030","18-1867030")</f>
        <v>0</v>
      </c>
      <c r="B174" t="s">
        <v>4427</v>
      </c>
      <c r="C174" t="s">
        <v>4496</v>
      </c>
      <c r="D174" t="s">
        <v>254</v>
      </c>
      <c r="E174" t="s">
        <v>4499</v>
      </c>
      <c r="F174" t="s">
        <v>273</v>
      </c>
      <c r="G174" t="s">
        <v>275</v>
      </c>
      <c r="H174">
        <v>0</v>
      </c>
      <c r="I174" t="s">
        <v>274</v>
      </c>
      <c r="K174" t="s">
        <v>4512</v>
      </c>
      <c r="P174" t="s">
        <v>492</v>
      </c>
      <c r="Q174" t="s">
        <v>501</v>
      </c>
      <c r="S174" t="s">
        <v>503</v>
      </c>
      <c r="T174" t="s">
        <v>508</v>
      </c>
      <c r="U174" t="s">
        <v>511</v>
      </c>
      <c r="V174">
        <v>10304</v>
      </c>
      <c r="W174" t="s">
        <v>519</v>
      </c>
      <c r="X174" t="s">
        <v>548</v>
      </c>
      <c r="Z174" t="s">
        <v>4653</v>
      </c>
      <c r="AA174" t="s">
        <v>4789</v>
      </c>
      <c r="AB174" t="s">
        <v>902</v>
      </c>
      <c r="AC174" t="s">
        <v>905</v>
      </c>
      <c r="AF174" t="s">
        <v>926</v>
      </c>
      <c r="AI174">
        <v>38.45</v>
      </c>
      <c r="AJ174" t="s">
        <v>558</v>
      </c>
      <c r="AK174" t="s">
        <v>934</v>
      </c>
      <c r="AL174" t="s">
        <v>275</v>
      </c>
      <c r="AM174" t="s">
        <v>973</v>
      </c>
      <c r="AN174" t="s">
        <v>377</v>
      </c>
      <c r="AT174">
        <v>1</v>
      </c>
      <c r="AU174">
        <v>3</v>
      </c>
      <c r="AV174" t="s">
        <v>274</v>
      </c>
      <c r="AW174" t="s">
        <v>4859</v>
      </c>
      <c r="AX174">
        <v>3459</v>
      </c>
      <c r="AY174" t="s">
        <v>273</v>
      </c>
      <c r="BB174">
        <v>0</v>
      </c>
      <c r="BC174">
        <v>0</v>
      </c>
      <c r="BD174">
        <v>0</v>
      </c>
      <c r="BE174">
        <v>0</v>
      </c>
      <c r="BF174" t="s">
        <v>1063</v>
      </c>
      <c r="BG174" t="s">
        <v>4989</v>
      </c>
      <c r="BH174">
        <v>25</v>
      </c>
      <c r="BI174" t="s">
        <v>1247</v>
      </c>
      <c r="BK174">
        <v>1867622</v>
      </c>
    </row>
    <row r="175" spans="1:63">
      <c r="A175" s="1">
        <f>HYPERLINK("https://lsnyc.legalserver.org/matter/dynamic-profile/view/1865036","18-1865036")</f>
        <v>0</v>
      </c>
      <c r="B175" t="s">
        <v>4428</v>
      </c>
      <c r="C175" t="s">
        <v>4496</v>
      </c>
      <c r="D175" t="s">
        <v>252</v>
      </c>
      <c r="E175" t="s">
        <v>4500</v>
      </c>
      <c r="F175" t="s">
        <v>273</v>
      </c>
      <c r="G175" t="s">
        <v>275</v>
      </c>
      <c r="H175">
        <v>82.37</v>
      </c>
      <c r="I175" t="s">
        <v>274</v>
      </c>
      <c r="K175" t="s">
        <v>3003</v>
      </c>
      <c r="O175" t="s">
        <v>275</v>
      </c>
      <c r="Q175" t="s">
        <v>501</v>
      </c>
      <c r="S175" t="s">
        <v>503</v>
      </c>
      <c r="T175" t="s">
        <v>507</v>
      </c>
      <c r="U175" t="s">
        <v>511</v>
      </c>
      <c r="V175">
        <v>11219</v>
      </c>
      <c r="W175" t="s">
        <v>519</v>
      </c>
      <c r="X175" t="s">
        <v>549</v>
      </c>
      <c r="Z175" t="s">
        <v>681</v>
      </c>
      <c r="AA175" t="s">
        <v>4790</v>
      </c>
      <c r="AB175" t="s">
        <v>902</v>
      </c>
      <c r="AC175" t="s">
        <v>910</v>
      </c>
      <c r="AF175" t="s">
        <v>926</v>
      </c>
      <c r="AI175">
        <v>24.1</v>
      </c>
      <c r="AJ175" t="s">
        <v>558</v>
      </c>
      <c r="AK175" t="s">
        <v>948</v>
      </c>
      <c r="AL175" t="s">
        <v>275</v>
      </c>
      <c r="AT175">
        <v>0</v>
      </c>
      <c r="AU175">
        <v>1</v>
      </c>
      <c r="AV175" t="s">
        <v>273</v>
      </c>
      <c r="AY175" t="s">
        <v>273</v>
      </c>
      <c r="BB175">
        <v>0</v>
      </c>
      <c r="BC175">
        <v>0</v>
      </c>
      <c r="BD175">
        <v>0</v>
      </c>
      <c r="BE175">
        <v>0</v>
      </c>
      <c r="BF175" t="s">
        <v>1063</v>
      </c>
      <c r="BG175" t="s">
        <v>4990</v>
      </c>
      <c r="BH175">
        <v>44</v>
      </c>
      <c r="BI175" t="s">
        <v>1268</v>
      </c>
      <c r="BK175">
        <v>1865623</v>
      </c>
    </row>
    <row r="176" spans="1:63">
      <c r="A176" s="1">
        <f>HYPERLINK("https://lsnyc.legalserver.org/matter/dynamic-profile/view/1867119","18-1867119")</f>
        <v>0</v>
      </c>
      <c r="B176" t="s">
        <v>4429</v>
      </c>
      <c r="C176" t="s">
        <v>4496</v>
      </c>
      <c r="D176" t="s">
        <v>254</v>
      </c>
      <c r="E176" t="s">
        <v>4501</v>
      </c>
      <c r="F176" t="s">
        <v>273</v>
      </c>
      <c r="G176" t="s">
        <v>275</v>
      </c>
      <c r="H176">
        <v>0</v>
      </c>
      <c r="K176" t="s">
        <v>1745</v>
      </c>
      <c r="P176" t="s">
        <v>492</v>
      </c>
      <c r="Q176" t="s">
        <v>502</v>
      </c>
      <c r="S176" t="s">
        <v>503</v>
      </c>
      <c r="T176" t="s">
        <v>508</v>
      </c>
      <c r="U176" t="s">
        <v>511</v>
      </c>
      <c r="V176">
        <v>10303</v>
      </c>
      <c r="W176" t="s">
        <v>529</v>
      </c>
      <c r="X176" t="s">
        <v>548</v>
      </c>
      <c r="Z176" t="s">
        <v>4654</v>
      </c>
      <c r="AA176" t="s">
        <v>4791</v>
      </c>
      <c r="AB176" t="s">
        <v>902</v>
      </c>
      <c r="AC176" t="s">
        <v>906</v>
      </c>
      <c r="AF176" t="s">
        <v>923</v>
      </c>
      <c r="AI176">
        <v>3.7</v>
      </c>
      <c r="AK176" t="s">
        <v>934</v>
      </c>
      <c r="AM176" t="s">
        <v>973</v>
      </c>
      <c r="AN176" t="s">
        <v>4839</v>
      </c>
      <c r="AT176">
        <v>3</v>
      </c>
      <c r="AU176">
        <v>1</v>
      </c>
      <c r="AV176" t="s">
        <v>273</v>
      </c>
      <c r="AY176" t="s">
        <v>273</v>
      </c>
      <c r="BB176">
        <v>0</v>
      </c>
      <c r="BC176">
        <v>0</v>
      </c>
      <c r="BD176">
        <v>0</v>
      </c>
      <c r="BE176">
        <v>0</v>
      </c>
      <c r="BF176" t="s">
        <v>1063</v>
      </c>
      <c r="BG176" t="s">
        <v>4991</v>
      </c>
      <c r="BH176">
        <v>12</v>
      </c>
      <c r="BI176" t="s">
        <v>1247</v>
      </c>
      <c r="BK176">
        <v>1845563</v>
      </c>
    </row>
    <row r="177" spans="1:63">
      <c r="A177" s="1">
        <f>HYPERLINK("https://lsnyc.legalserver.org/matter/dynamic-profile/view/1867135","18-1867135")</f>
        <v>0</v>
      </c>
      <c r="B177" t="s">
        <v>4430</v>
      </c>
      <c r="C177" t="s">
        <v>4496</v>
      </c>
      <c r="D177" t="s">
        <v>254</v>
      </c>
      <c r="E177" t="s">
        <v>4501</v>
      </c>
      <c r="F177" t="s">
        <v>273</v>
      </c>
      <c r="G177" t="s">
        <v>275</v>
      </c>
      <c r="H177">
        <v>0</v>
      </c>
      <c r="K177" t="s">
        <v>1745</v>
      </c>
      <c r="P177" t="s">
        <v>492</v>
      </c>
      <c r="Q177" t="s">
        <v>502</v>
      </c>
      <c r="S177" t="s">
        <v>503</v>
      </c>
      <c r="T177" t="s">
        <v>508</v>
      </c>
      <c r="U177" t="s">
        <v>511</v>
      </c>
      <c r="V177">
        <v>10303</v>
      </c>
      <c r="W177" t="s">
        <v>529</v>
      </c>
      <c r="X177" t="s">
        <v>548</v>
      </c>
      <c r="Z177" t="s">
        <v>3797</v>
      </c>
      <c r="AA177" t="s">
        <v>4791</v>
      </c>
      <c r="AB177" t="s">
        <v>902</v>
      </c>
      <c r="AC177" t="s">
        <v>906</v>
      </c>
      <c r="AF177" t="s">
        <v>923</v>
      </c>
      <c r="AI177">
        <v>3.6</v>
      </c>
      <c r="AK177" t="s">
        <v>934</v>
      </c>
      <c r="AM177" t="s">
        <v>973</v>
      </c>
      <c r="AN177" t="s">
        <v>4839</v>
      </c>
      <c r="AT177">
        <v>3</v>
      </c>
      <c r="AU177">
        <v>1</v>
      </c>
      <c r="AV177" t="s">
        <v>273</v>
      </c>
      <c r="AY177" t="s">
        <v>273</v>
      </c>
      <c r="BB177">
        <v>0</v>
      </c>
      <c r="BC177">
        <v>0</v>
      </c>
      <c r="BD177">
        <v>0</v>
      </c>
      <c r="BE177">
        <v>0</v>
      </c>
      <c r="BF177" t="s">
        <v>1063</v>
      </c>
      <c r="BG177" t="s">
        <v>4083</v>
      </c>
      <c r="BH177">
        <v>11</v>
      </c>
      <c r="BI177" t="s">
        <v>1247</v>
      </c>
      <c r="BK177">
        <v>1845563</v>
      </c>
    </row>
    <row r="178" spans="1:63">
      <c r="A178" s="1">
        <f>HYPERLINK("https://lsnyc.legalserver.org/matter/dynamic-profile/view/1867139","18-1867139")</f>
        <v>0</v>
      </c>
      <c r="B178" t="s">
        <v>4431</v>
      </c>
      <c r="C178" t="s">
        <v>4496</v>
      </c>
      <c r="D178" t="s">
        <v>254</v>
      </c>
      <c r="E178" t="s">
        <v>4501</v>
      </c>
      <c r="F178" t="s">
        <v>273</v>
      </c>
      <c r="G178" t="s">
        <v>275</v>
      </c>
      <c r="H178">
        <v>0</v>
      </c>
      <c r="K178" t="s">
        <v>1745</v>
      </c>
      <c r="P178" t="s">
        <v>492</v>
      </c>
      <c r="Q178" t="s">
        <v>502</v>
      </c>
      <c r="S178" t="s">
        <v>503</v>
      </c>
      <c r="T178" t="s">
        <v>507</v>
      </c>
      <c r="U178" t="s">
        <v>511</v>
      </c>
      <c r="V178">
        <v>10303</v>
      </c>
      <c r="W178" t="s">
        <v>529</v>
      </c>
      <c r="X178" t="s">
        <v>548</v>
      </c>
      <c r="Z178" t="s">
        <v>656</v>
      </c>
      <c r="AA178" t="s">
        <v>4791</v>
      </c>
      <c r="AB178" t="s">
        <v>902</v>
      </c>
      <c r="AC178" t="s">
        <v>906</v>
      </c>
      <c r="AF178" t="s">
        <v>923</v>
      </c>
      <c r="AI178">
        <v>3.6</v>
      </c>
      <c r="AK178" t="s">
        <v>934</v>
      </c>
      <c r="AM178" t="s">
        <v>973</v>
      </c>
      <c r="AN178" t="s">
        <v>4839</v>
      </c>
      <c r="AT178">
        <v>3</v>
      </c>
      <c r="AU178">
        <v>1</v>
      </c>
      <c r="AV178" t="s">
        <v>273</v>
      </c>
      <c r="AY178" t="s">
        <v>273</v>
      </c>
      <c r="BB178">
        <v>0</v>
      </c>
      <c r="BC178">
        <v>0</v>
      </c>
      <c r="BD178">
        <v>0</v>
      </c>
      <c r="BE178">
        <v>0</v>
      </c>
      <c r="BF178" t="s">
        <v>1063</v>
      </c>
      <c r="BG178" t="s">
        <v>4992</v>
      </c>
      <c r="BH178">
        <v>4</v>
      </c>
      <c r="BI178" t="s">
        <v>1247</v>
      </c>
      <c r="BK178">
        <v>1845563</v>
      </c>
    </row>
    <row r="179" spans="1:63">
      <c r="A179" s="1">
        <f>HYPERLINK("https://lsnyc.legalserver.org/matter/dynamic-profile/view/1867108","18-1867108")</f>
        <v>0</v>
      </c>
      <c r="B179" t="s">
        <v>4432</v>
      </c>
      <c r="C179" t="s">
        <v>4496</v>
      </c>
      <c r="D179" t="s">
        <v>254</v>
      </c>
      <c r="E179" t="s">
        <v>4500</v>
      </c>
      <c r="F179" t="s">
        <v>273</v>
      </c>
      <c r="G179" t="s">
        <v>275</v>
      </c>
      <c r="H179">
        <v>0</v>
      </c>
      <c r="I179" t="s">
        <v>274</v>
      </c>
      <c r="K179" t="s">
        <v>1746</v>
      </c>
      <c r="P179" t="s">
        <v>492</v>
      </c>
      <c r="Q179" t="s">
        <v>502</v>
      </c>
      <c r="S179" t="s">
        <v>503</v>
      </c>
      <c r="T179" t="s">
        <v>507</v>
      </c>
      <c r="U179" t="s">
        <v>511</v>
      </c>
      <c r="V179">
        <v>10304</v>
      </c>
      <c r="W179" t="s">
        <v>529</v>
      </c>
      <c r="X179" t="s">
        <v>548</v>
      </c>
      <c r="Z179" t="s">
        <v>4655</v>
      </c>
      <c r="AA179" t="s">
        <v>4792</v>
      </c>
      <c r="AB179" t="s">
        <v>902</v>
      </c>
      <c r="AC179" t="s">
        <v>905</v>
      </c>
      <c r="AF179" t="s">
        <v>923</v>
      </c>
      <c r="AI179">
        <v>2.5</v>
      </c>
      <c r="AK179" t="s">
        <v>941</v>
      </c>
      <c r="AL179" t="s">
        <v>274</v>
      </c>
      <c r="AM179" t="s">
        <v>973</v>
      </c>
      <c r="AN179" t="s">
        <v>1745</v>
      </c>
      <c r="AT179">
        <v>1</v>
      </c>
      <c r="AU179">
        <v>1</v>
      </c>
      <c r="AV179" t="s">
        <v>273</v>
      </c>
      <c r="AY179" t="s">
        <v>273</v>
      </c>
      <c r="BB179">
        <v>0</v>
      </c>
      <c r="BC179">
        <v>0</v>
      </c>
      <c r="BD179">
        <v>0</v>
      </c>
      <c r="BE179">
        <v>0</v>
      </c>
      <c r="BF179" t="s">
        <v>1063</v>
      </c>
      <c r="BG179" t="s">
        <v>4993</v>
      </c>
      <c r="BH179">
        <v>3</v>
      </c>
      <c r="BI179" t="s">
        <v>1247</v>
      </c>
      <c r="BK179">
        <v>829575</v>
      </c>
    </row>
    <row r="180" spans="1:63">
      <c r="A180" s="1">
        <f>HYPERLINK("https://lsnyc.legalserver.org/matter/dynamic-profile/view/1864265","18-1864265")</f>
        <v>0</v>
      </c>
      <c r="B180" t="s">
        <v>4433</v>
      </c>
      <c r="C180" t="s">
        <v>4496</v>
      </c>
      <c r="D180" t="s">
        <v>253</v>
      </c>
      <c r="E180" t="s">
        <v>4498</v>
      </c>
      <c r="F180" t="s">
        <v>275</v>
      </c>
      <c r="G180" t="s">
        <v>275</v>
      </c>
      <c r="H180">
        <v>0</v>
      </c>
      <c r="I180" t="s">
        <v>274</v>
      </c>
      <c r="K180" t="s">
        <v>4513</v>
      </c>
      <c r="L180" t="s">
        <v>289</v>
      </c>
      <c r="O180" t="s">
        <v>275</v>
      </c>
      <c r="P180" t="s">
        <v>493</v>
      </c>
      <c r="Q180" t="s">
        <v>501</v>
      </c>
      <c r="S180" t="s">
        <v>503</v>
      </c>
      <c r="T180" t="s">
        <v>508</v>
      </c>
      <c r="U180" t="s">
        <v>511</v>
      </c>
      <c r="V180">
        <v>11372</v>
      </c>
      <c r="W180" t="s">
        <v>518</v>
      </c>
      <c r="X180" t="s">
        <v>548</v>
      </c>
      <c r="Z180" t="s">
        <v>4656</v>
      </c>
      <c r="AA180" t="s">
        <v>4793</v>
      </c>
      <c r="AB180" t="s">
        <v>902</v>
      </c>
      <c r="AC180" t="s">
        <v>906</v>
      </c>
      <c r="AD180" t="s">
        <v>275</v>
      </c>
      <c r="AE180" t="s">
        <v>922</v>
      </c>
      <c r="AF180" t="s">
        <v>929</v>
      </c>
      <c r="AI180">
        <v>7.9</v>
      </c>
      <c r="AJ180" t="s">
        <v>558</v>
      </c>
      <c r="AK180" t="s">
        <v>934</v>
      </c>
      <c r="AQ180" t="s">
        <v>1033</v>
      </c>
      <c r="AR180" t="s">
        <v>1051</v>
      </c>
      <c r="AT180">
        <v>0</v>
      </c>
      <c r="AU180">
        <v>1</v>
      </c>
      <c r="AV180" t="s">
        <v>274</v>
      </c>
      <c r="AW180" t="s">
        <v>3713</v>
      </c>
      <c r="AX180">
        <v>3459</v>
      </c>
      <c r="AY180" t="s">
        <v>273</v>
      </c>
      <c r="BB180">
        <v>0</v>
      </c>
      <c r="BC180">
        <v>0</v>
      </c>
      <c r="BD180">
        <v>0</v>
      </c>
      <c r="BE180">
        <v>0</v>
      </c>
      <c r="BF180" t="s">
        <v>493</v>
      </c>
      <c r="BG180" t="s">
        <v>4994</v>
      </c>
      <c r="BH180">
        <v>27</v>
      </c>
      <c r="BI180" t="s">
        <v>1247</v>
      </c>
      <c r="BK180">
        <v>1864848</v>
      </c>
    </row>
    <row r="181" spans="1:63">
      <c r="A181" s="1">
        <f>HYPERLINK("https://lsnyc.legalserver.org/matter/dynamic-profile/view/1863349","18-1863349")</f>
        <v>0</v>
      </c>
      <c r="B181" t="s">
        <v>4366</v>
      </c>
      <c r="C181" t="s">
        <v>4496</v>
      </c>
      <c r="D181" t="s">
        <v>252</v>
      </c>
      <c r="E181" t="s">
        <v>4500</v>
      </c>
      <c r="F181" t="s">
        <v>273</v>
      </c>
      <c r="G181" t="s">
        <v>275</v>
      </c>
      <c r="H181">
        <v>143.99</v>
      </c>
      <c r="I181" t="s">
        <v>274</v>
      </c>
      <c r="K181" t="s">
        <v>4514</v>
      </c>
      <c r="Q181" t="s">
        <v>501</v>
      </c>
      <c r="S181" t="s">
        <v>503</v>
      </c>
      <c r="T181" t="s">
        <v>508</v>
      </c>
      <c r="U181" t="s">
        <v>511</v>
      </c>
      <c r="V181">
        <v>11220</v>
      </c>
      <c r="W181" t="s">
        <v>518</v>
      </c>
      <c r="X181" t="s">
        <v>548</v>
      </c>
      <c r="Y181" t="s">
        <v>275</v>
      </c>
      <c r="Z181" t="s">
        <v>3889</v>
      </c>
      <c r="AA181" t="s">
        <v>2102</v>
      </c>
      <c r="AB181" t="s">
        <v>902</v>
      </c>
      <c r="AC181" t="s">
        <v>905</v>
      </c>
      <c r="AF181" t="s">
        <v>926</v>
      </c>
      <c r="AI181">
        <v>44.65</v>
      </c>
      <c r="AJ181" t="s">
        <v>558</v>
      </c>
      <c r="AK181" t="s">
        <v>949</v>
      </c>
      <c r="AT181">
        <v>1</v>
      </c>
      <c r="AU181">
        <v>1</v>
      </c>
      <c r="AV181" t="s">
        <v>274</v>
      </c>
      <c r="AW181" t="s">
        <v>3713</v>
      </c>
      <c r="AX181">
        <v>3459</v>
      </c>
      <c r="AY181" t="s">
        <v>273</v>
      </c>
      <c r="BB181">
        <v>0</v>
      </c>
      <c r="BC181">
        <v>0</v>
      </c>
      <c r="BD181">
        <v>0</v>
      </c>
      <c r="BE181">
        <v>0</v>
      </c>
      <c r="BF181" t="s">
        <v>1063</v>
      </c>
      <c r="BG181" t="s">
        <v>4932</v>
      </c>
      <c r="BH181">
        <v>53</v>
      </c>
      <c r="BI181" t="s">
        <v>5061</v>
      </c>
      <c r="BK181">
        <v>1863930</v>
      </c>
    </row>
    <row r="182" spans="1:63">
      <c r="A182" s="1">
        <f>HYPERLINK("https://lsnyc.legalserver.org/matter/dynamic-profile/view/1859554","18-1859554")</f>
        <v>0</v>
      </c>
      <c r="B182" t="s">
        <v>4390</v>
      </c>
      <c r="C182" t="s">
        <v>4496</v>
      </c>
      <c r="D182" t="s">
        <v>254</v>
      </c>
      <c r="E182" t="s">
        <v>4501</v>
      </c>
      <c r="F182" t="s">
        <v>273</v>
      </c>
      <c r="G182" t="s">
        <v>275</v>
      </c>
      <c r="H182">
        <v>53.74</v>
      </c>
      <c r="I182" t="s">
        <v>274</v>
      </c>
      <c r="K182" t="s">
        <v>1754</v>
      </c>
      <c r="O182" t="s">
        <v>275</v>
      </c>
      <c r="P182" t="s">
        <v>492</v>
      </c>
      <c r="Q182" t="s">
        <v>501</v>
      </c>
      <c r="S182" t="s">
        <v>503</v>
      </c>
      <c r="T182" t="s">
        <v>508</v>
      </c>
      <c r="U182" t="s">
        <v>511</v>
      </c>
      <c r="V182">
        <v>10302</v>
      </c>
      <c r="W182" t="s">
        <v>532</v>
      </c>
      <c r="X182" t="s">
        <v>548</v>
      </c>
      <c r="Z182" t="s">
        <v>4627</v>
      </c>
      <c r="AA182" t="s">
        <v>4762</v>
      </c>
      <c r="AB182" t="s">
        <v>902</v>
      </c>
      <c r="AC182" t="s">
        <v>905</v>
      </c>
      <c r="AF182" t="s">
        <v>923</v>
      </c>
      <c r="AI182">
        <v>27.05</v>
      </c>
      <c r="AK182" t="s">
        <v>933</v>
      </c>
      <c r="AL182" t="s">
        <v>274</v>
      </c>
      <c r="AM182" t="s">
        <v>973</v>
      </c>
      <c r="AN182" t="s">
        <v>1714</v>
      </c>
      <c r="AT182">
        <v>5</v>
      </c>
      <c r="AU182">
        <v>1</v>
      </c>
      <c r="AV182" t="s">
        <v>273</v>
      </c>
      <c r="AY182" t="s">
        <v>273</v>
      </c>
      <c r="BB182">
        <v>0</v>
      </c>
      <c r="BC182">
        <v>0</v>
      </c>
      <c r="BD182">
        <v>0</v>
      </c>
      <c r="BE182">
        <v>0</v>
      </c>
      <c r="BF182" t="s">
        <v>1063</v>
      </c>
      <c r="BG182" t="s">
        <v>4956</v>
      </c>
      <c r="BH182">
        <v>41</v>
      </c>
      <c r="BI182" t="s">
        <v>5063</v>
      </c>
      <c r="BK182">
        <v>1860129</v>
      </c>
    </row>
    <row r="183" spans="1:63">
      <c r="A183" s="1">
        <f>HYPERLINK("https://lsnyc.legalserver.org/matter/dynamic-profile/view/1863361","18-1863361")</f>
        <v>0</v>
      </c>
      <c r="B183" t="s">
        <v>4434</v>
      </c>
      <c r="C183" t="s">
        <v>4496</v>
      </c>
      <c r="D183" t="s">
        <v>254</v>
      </c>
      <c r="E183" t="s">
        <v>4501</v>
      </c>
      <c r="F183" t="s">
        <v>273</v>
      </c>
      <c r="G183" t="s">
        <v>275</v>
      </c>
      <c r="H183">
        <v>0</v>
      </c>
      <c r="I183" t="s">
        <v>274</v>
      </c>
      <c r="K183" t="s">
        <v>4515</v>
      </c>
      <c r="P183" t="s">
        <v>492</v>
      </c>
      <c r="Q183" t="s">
        <v>502</v>
      </c>
      <c r="S183" t="s">
        <v>503</v>
      </c>
      <c r="T183" t="s">
        <v>507</v>
      </c>
      <c r="U183" t="s">
        <v>511</v>
      </c>
      <c r="V183">
        <v>10303</v>
      </c>
      <c r="W183" t="s">
        <v>1822</v>
      </c>
      <c r="X183" t="s">
        <v>548</v>
      </c>
      <c r="Z183" t="s">
        <v>3773</v>
      </c>
      <c r="AA183" t="s">
        <v>4794</v>
      </c>
      <c r="AB183" t="s">
        <v>902</v>
      </c>
      <c r="AC183" t="s">
        <v>906</v>
      </c>
      <c r="AF183" t="s">
        <v>923</v>
      </c>
      <c r="AI183">
        <v>1.9</v>
      </c>
      <c r="AK183" t="s">
        <v>934</v>
      </c>
      <c r="AL183" t="s">
        <v>274</v>
      </c>
      <c r="AM183" t="s">
        <v>973</v>
      </c>
      <c r="AN183" t="s">
        <v>4840</v>
      </c>
      <c r="AT183">
        <v>1</v>
      </c>
      <c r="AU183">
        <v>2</v>
      </c>
      <c r="AV183" t="s">
        <v>273</v>
      </c>
      <c r="AY183" t="s">
        <v>273</v>
      </c>
      <c r="BB183">
        <v>0</v>
      </c>
      <c r="BC183">
        <v>0</v>
      </c>
      <c r="BD183">
        <v>0</v>
      </c>
      <c r="BE183">
        <v>0</v>
      </c>
      <c r="BF183" t="s">
        <v>1063</v>
      </c>
      <c r="BG183" t="s">
        <v>4995</v>
      </c>
      <c r="BH183">
        <v>6</v>
      </c>
      <c r="BI183" t="s">
        <v>1254</v>
      </c>
      <c r="BK183">
        <v>1852479</v>
      </c>
    </row>
    <row r="184" spans="1:63">
      <c r="A184" s="1">
        <f>HYPERLINK("https://lsnyc.legalserver.org/matter/dynamic-profile/view/1863362","18-1863362")</f>
        <v>0</v>
      </c>
      <c r="B184" t="s">
        <v>4434</v>
      </c>
      <c r="C184" t="s">
        <v>4496</v>
      </c>
      <c r="D184" t="s">
        <v>254</v>
      </c>
      <c r="E184" t="s">
        <v>4501</v>
      </c>
      <c r="F184" t="s">
        <v>273</v>
      </c>
      <c r="G184" t="s">
        <v>275</v>
      </c>
      <c r="H184">
        <v>0</v>
      </c>
      <c r="I184" t="s">
        <v>274</v>
      </c>
      <c r="K184" t="s">
        <v>4515</v>
      </c>
      <c r="P184" t="s">
        <v>492</v>
      </c>
      <c r="Q184" t="s">
        <v>501</v>
      </c>
      <c r="S184" t="s">
        <v>503</v>
      </c>
      <c r="T184" t="s">
        <v>507</v>
      </c>
      <c r="U184" t="s">
        <v>511</v>
      </c>
      <c r="V184">
        <v>10303</v>
      </c>
      <c r="W184" t="s">
        <v>528</v>
      </c>
      <c r="X184" t="s">
        <v>548</v>
      </c>
      <c r="Y184" t="s">
        <v>275</v>
      </c>
      <c r="Z184" t="s">
        <v>3773</v>
      </c>
      <c r="AA184" t="s">
        <v>4794</v>
      </c>
      <c r="AB184" t="s">
        <v>902</v>
      </c>
      <c r="AC184" t="s">
        <v>906</v>
      </c>
      <c r="AF184" t="s">
        <v>923</v>
      </c>
      <c r="AI184">
        <v>1.1</v>
      </c>
      <c r="AJ184" t="s">
        <v>558</v>
      </c>
      <c r="AK184" t="s">
        <v>934</v>
      </c>
      <c r="AM184" t="s">
        <v>973</v>
      </c>
      <c r="AN184" t="s">
        <v>4840</v>
      </c>
      <c r="AT184">
        <v>1</v>
      </c>
      <c r="AU184">
        <v>2</v>
      </c>
      <c r="AV184" t="s">
        <v>274</v>
      </c>
      <c r="AW184" t="s">
        <v>3713</v>
      </c>
      <c r="AX184">
        <v>3459</v>
      </c>
      <c r="AY184" t="s">
        <v>273</v>
      </c>
      <c r="BB184">
        <v>0</v>
      </c>
      <c r="BC184">
        <v>0</v>
      </c>
      <c r="BD184">
        <v>0</v>
      </c>
      <c r="BE184">
        <v>0</v>
      </c>
      <c r="BF184" t="s">
        <v>1063</v>
      </c>
      <c r="BG184" t="s">
        <v>4995</v>
      </c>
      <c r="BH184">
        <v>6</v>
      </c>
      <c r="BI184" t="s">
        <v>1254</v>
      </c>
      <c r="BK184">
        <v>1852479</v>
      </c>
    </row>
    <row r="185" spans="1:63">
      <c r="A185" s="1">
        <f>HYPERLINK("https://lsnyc.legalserver.org/matter/dynamic-profile/view/1861618","18-1861618")</f>
        <v>0</v>
      </c>
      <c r="B185" t="s">
        <v>4435</v>
      </c>
      <c r="C185" t="s">
        <v>4496</v>
      </c>
      <c r="D185" t="s">
        <v>254</v>
      </c>
      <c r="E185" t="s">
        <v>4501</v>
      </c>
      <c r="F185" t="s">
        <v>273</v>
      </c>
      <c r="G185" t="s">
        <v>275</v>
      </c>
      <c r="H185">
        <v>0</v>
      </c>
      <c r="I185" t="s">
        <v>274</v>
      </c>
      <c r="K185" t="s">
        <v>1014</v>
      </c>
      <c r="P185" t="s">
        <v>492</v>
      </c>
      <c r="Q185" t="s">
        <v>502</v>
      </c>
      <c r="S185" t="s">
        <v>503</v>
      </c>
      <c r="T185" t="s">
        <v>508</v>
      </c>
      <c r="U185" t="s">
        <v>511</v>
      </c>
      <c r="V185">
        <v>10301</v>
      </c>
      <c r="W185" t="s">
        <v>518</v>
      </c>
      <c r="X185" t="s">
        <v>548</v>
      </c>
      <c r="Z185" t="s">
        <v>657</v>
      </c>
      <c r="AA185" t="s">
        <v>4795</v>
      </c>
      <c r="AB185" t="s">
        <v>902</v>
      </c>
      <c r="AC185" t="s">
        <v>905</v>
      </c>
      <c r="AF185" t="s">
        <v>926</v>
      </c>
      <c r="AI185">
        <v>7.8</v>
      </c>
      <c r="AK185" t="s">
        <v>934</v>
      </c>
      <c r="AT185">
        <v>2</v>
      </c>
      <c r="AU185">
        <v>1</v>
      </c>
      <c r="AV185" t="s">
        <v>273</v>
      </c>
      <c r="AY185" t="s">
        <v>273</v>
      </c>
      <c r="BB185">
        <v>0</v>
      </c>
      <c r="BC185">
        <v>0</v>
      </c>
      <c r="BD185">
        <v>0</v>
      </c>
      <c r="BE185">
        <v>0</v>
      </c>
      <c r="BF185" t="s">
        <v>1063</v>
      </c>
      <c r="BG185" t="s">
        <v>4996</v>
      </c>
      <c r="BH185">
        <v>3</v>
      </c>
      <c r="BI185" t="s">
        <v>1247</v>
      </c>
      <c r="BK185">
        <v>1854406</v>
      </c>
    </row>
    <row r="186" spans="1:63">
      <c r="A186" s="1">
        <f>HYPERLINK("https://lsnyc.legalserver.org/matter/dynamic-profile/view/1861630","18-1861630")</f>
        <v>0</v>
      </c>
      <c r="B186" t="s">
        <v>4434</v>
      </c>
      <c r="C186" t="s">
        <v>4496</v>
      </c>
      <c r="D186" t="s">
        <v>254</v>
      </c>
      <c r="E186" t="s">
        <v>4501</v>
      </c>
      <c r="F186" t="s">
        <v>273</v>
      </c>
      <c r="G186" t="s">
        <v>275</v>
      </c>
      <c r="H186">
        <v>0</v>
      </c>
      <c r="K186" t="s">
        <v>1014</v>
      </c>
      <c r="P186" t="s">
        <v>492</v>
      </c>
      <c r="Q186" t="s">
        <v>502</v>
      </c>
      <c r="S186" t="s">
        <v>503</v>
      </c>
      <c r="T186" t="s">
        <v>507</v>
      </c>
      <c r="U186" t="s">
        <v>511</v>
      </c>
      <c r="V186">
        <v>10303</v>
      </c>
      <c r="W186" t="s">
        <v>518</v>
      </c>
      <c r="X186" t="s">
        <v>548</v>
      </c>
      <c r="Z186" t="s">
        <v>3773</v>
      </c>
      <c r="AA186" t="s">
        <v>4794</v>
      </c>
      <c r="AB186" t="s">
        <v>902</v>
      </c>
      <c r="AC186" t="s">
        <v>906</v>
      </c>
      <c r="AF186" t="s">
        <v>926</v>
      </c>
      <c r="AI186">
        <v>10.8</v>
      </c>
      <c r="AK186" t="s">
        <v>934</v>
      </c>
      <c r="AT186">
        <v>1</v>
      </c>
      <c r="AU186">
        <v>2</v>
      </c>
      <c r="AV186" t="s">
        <v>273</v>
      </c>
      <c r="AY186" t="s">
        <v>273</v>
      </c>
      <c r="BB186">
        <v>0</v>
      </c>
      <c r="BC186">
        <v>0</v>
      </c>
      <c r="BD186">
        <v>0</v>
      </c>
      <c r="BE186">
        <v>0</v>
      </c>
      <c r="BF186" t="s">
        <v>1063</v>
      </c>
      <c r="BG186" t="s">
        <v>4995</v>
      </c>
      <c r="BH186">
        <v>5</v>
      </c>
      <c r="BI186" t="s">
        <v>1254</v>
      </c>
      <c r="BK186">
        <v>1852479</v>
      </c>
    </row>
    <row r="187" spans="1:63">
      <c r="A187" s="1">
        <f>HYPERLINK("https://lsnyc.legalserver.org/matter/dynamic-profile/view/1861640","18-1861640")</f>
        <v>0</v>
      </c>
      <c r="B187" t="s">
        <v>4436</v>
      </c>
      <c r="C187" t="s">
        <v>4496</v>
      </c>
      <c r="D187" t="s">
        <v>251</v>
      </c>
      <c r="E187" t="s">
        <v>4500</v>
      </c>
      <c r="F187" t="s">
        <v>273</v>
      </c>
      <c r="G187" t="s">
        <v>275</v>
      </c>
      <c r="H187">
        <v>0</v>
      </c>
      <c r="I187" t="s">
        <v>274</v>
      </c>
      <c r="K187" t="s">
        <v>1014</v>
      </c>
      <c r="P187" t="s">
        <v>492</v>
      </c>
      <c r="Q187" t="s">
        <v>502</v>
      </c>
      <c r="S187" t="s">
        <v>503</v>
      </c>
      <c r="T187" t="s">
        <v>508</v>
      </c>
      <c r="U187" t="s">
        <v>511</v>
      </c>
      <c r="V187">
        <v>11901</v>
      </c>
      <c r="W187" t="s">
        <v>518</v>
      </c>
      <c r="X187" t="s">
        <v>548</v>
      </c>
      <c r="Z187" t="s">
        <v>4657</v>
      </c>
      <c r="AA187" t="s">
        <v>4796</v>
      </c>
      <c r="AB187" t="s">
        <v>902</v>
      </c>
      <c r="AC187" t="s">
        <v>905</v>
      </c>
      <c r="AF187" t="s">
        <v>926</v>
      </c>
      <c r="AI187">
        <v>5</v>
      </c>
      <c r="AK187" t="s">
        <v>941</v>
      </c>
      <c r="AT187">
        <v>1</v>
      </c>
      <c r="AU187">
        <v>1</v>
      </c>
      <c r="AV187" t="s">
        <v>273</v>
      </c>
      <c r="AY187" t="s">
        <v>273</v>
      </c>
      <c r="BB187">
        <v>0</v>
      </c>
      <c r="BC187">
        <v>0</v>
      </c>
      <c r="BD187">
        <v>0</v>
      </c>
      <c r="BE187">
        <v>0</v>
      </c>
      <c r="BF187" t="s">
        <v>1063</v>
      </c>
      <c r="BG187" t="s">
        <v>4997</v>
      </c>
      <c r="BH187">
        <v>8</v>
      </c>
      <c r="BI187" t="s">
        <v>1247</v>
      </c>
      <c r="BK187">
        <v>1853562</v>
      </c>
    </row>
    <row r="188" spans="1:63">
      <c r="A188" s="1">
        <f>HYPERLINK("https://lsnyc.legalserver.org/matter/dynamic-profile/view/1861647","18-1861647")</f>
        <v>0</v>
      </c>
      <c r="B188" t="s">
        <v>4432</v>
      </c>
      <c r="C188" t="s">
        <v>4496</v>
      </c>
      <c r="D188" t="s">
        <v>254</v>
      </c>
      <c r="E188" t="s">
        <v>4500</v>
      </c>
      <c r="F188" t="s">
        <v>273</v>
      </c>
      <c r="G188" t="s">
        <v>275</v>
      </c>
      <c r="H188">
        <v>0</v>
      </c>
      <c r="K188" t="s">
        <v>1014</v>
      </c>
      <c r="O188" t="s">
        <v>275</v>
      </c>
      <c r="P188" t="s">
        <v>492</v>
      </c>
      <c r="Q188" t="s">
        <v>502</v>
      </c>
      <c r="S188" t="s">
        <v>503</v>
      </c>
      <c r="T188" t="s">
        <v>507</v>
      </c>
      <c r="U188" t="s">
        <v>511</v>
      </c>
      <c r="V188">
        <v>10304</v>
      </c>
      <c r="W188" t="s">
        <v>518</v>
      </c>
      <c r="X188" t="s">
        <v>548</v>
      </c>
      <c r="Z188" t="s">
        <v>4655</v>
      </c>
      <c r="AA188" t="s">
        <v>4792</v>
      </c>
      <c r="AB188" t="s">
        <v>902</v>
      </c>
      <c r="AC188" t="s">
        <v>905</v>
      </c>
      <c r="AF188" t="s">
        <v>926</v>
      </c>
      <c r="AI188">
        <v>0.4</v>
      </c>
      <c r="AK188" t="s">
        <v>941</v>
      </c>
      <c r="AT188">
        <v>1</v>
      </c>
      <c r="AU188">
        <v>1</v>
      </c>
      <c r="AV188" t="s">
        <v>273</v>
      </c>
      <c r="AY188" t="s">
        <v>273</v>
      </c>
      <c r="BB188">
        <v>0</v>
      </c>
      <c r="BC188">
        <v>0</v>
      </c>
      <c r="BD188">
        <v>0</v>
      </c>
      <c r="BE188">
        <v>0</v>
      </c>
      <c r="BF188" t="s">
        <v>1063</v>
      </c>
      <c r="BG188" t="s">
        <v>4993</v>
      </c>
      <c r="BH188">
        <v>3</v>
      </c>
      <c r="BI188" t="s">
        <v>1247</v>
      </c>
      <c r="BK188">
        <v>829575</v>
      </c>
    </row>
    <row r="189" spans="1:63">
      <c r="A189" s="1">
        <f>HYPERLINK("https://lsnyc.legalserver.org/matter/dynamic-profile/view/1861652","18-1861652")</f>
        <v>0</v>
      </c>
      <c r="B189" t="s">
        <v>4430</v>
      </c>
      <c r="C189" t="s">
        <v>4496</v>
      </c>
      <c r="D189" t="s">
        <v>254</v>
      </c>
      <c r="E189" t="s">
        <v>4501</v>
      </c>
      <c r="F189" t="s">
        <v>273</v>
      </c>
      <c r="G189" t="s">
        <v>275</v>
      </c>
      <c r="H189">
        <v>0</v>
      </c>
      <c r="K189" t="s">
        <v>1014</v>
      </c>
      <c r="P189" t="s">
        <v>492</v>
      </c>
      <c r="Q189" t="s">
        <v>502</v>
      </c>
      <c r="S189" t="s">
        <v>503</v>
      </c>
      <c r="T189" t="s">
        <v>508</v>
      </c>
      <c r="U189" t="s">
        <v>511</v>
      </c>
      <c r="V189">
        <v>10303</v>
      </c>
      <c r="W189" t="s">
        <v>518</v>
      </c>
      <c r="X189" t="s">
        <v>548</v>
      </c>
      <c r="Z189" t="s">
        <v>3797</v>
      </c>
      <c r="AA189" t="s">
        <v>4791</v>
      </c>
      <c r="AB189" t="s">
        <v>902</v>
      </c>
      <c r="AC189" t="s">
        <v>906</v>
      </c>
      <c r="AF189" t="s">
        <v>926</v>
      </c>
      <c r="AI189">
        <v>2.1</v>
      </c>
      <c r="AK189" t="s">
        <v>934</v>
      </c>
      <c r="AT189">
        <v>3</v>
      </c>
      <c r="AU189">
        <v>1</v>
      </c>
      <c r="AV189" t="s">
        <v>273</v>
      </c>
      <c r="AY189" t="s">
        <v>273</v>
      </c>
      <c r="BB189">
        <v>0</v>
      </c>
      <c r="BC189">
        <v>0</v>
      </c>
      <c r="BD189">
        <v>0</v>
      </c>
      <c r="BE189">
        <v>0</v>
      </c>
      <c r="BF189" t="s">
        <v>1063</v>
      </c>
      <c r="BG189" t="s">
        <v>4083</v>
      </c>
      <c r="BH189">
        <v>11</v>
      </c>
      <c r="BI189" t="s">
        <v>1247</v>
      </c>
      <c r="BK189">
        <v>1845563</v>
      </c>
    </row>
    <row r="190" spans="1:63">
      <c r="A190" s="1">
        <f>HYPERLINK("https://lsnyc.legalserver.org/matter/dynamic-profile/view/1861656","18-1861656")</f>
        <v>0</v>
      </c>
      <c r="B190" t="s">
        <v>4431</v>
      </c>
      <c r="C190" t="s">
        <v>4496</v>
      </c>
      <c r="D190" t="s">
        <v>254</v>
      </c>
      <c r="E190" t="s">
        <v>4501</v>
      </c>
      <c r="F190" t="s">
        <v>273</v>
      </c>
      <c r="G190" t="s">
        <v>275</v>
      </c>
      <c r="H190">
        <v>0</v>
      </c>
      <c r="K190" t="s">
        <v>1014</v>
      </c>
      <c r="P190" t="s">
        <v>492</v>
      </c>
      <c r="Q190" t="s">
        <v>502</v>
      </c>
      <c r="S190" t="s">
        <v>503</v>
      </c>
      <c r="T190" t="s">
        <v>507</v>
      </c>
      <c r="U190" t="s">
        <v>511</v>
      </c>
      <c r="V190">
        <v>10303</v>
      </c>
      <c r="W190" t="s">
        <v>518</v>
      </c>
      <c r="X190" t="s">
        <v>548</v>
      </c>
      <c r="Z190" t="s">
        <v>656</v>
      </c>
      <c r="AA190" t="s">
        <v>4791</v>
      </c>
      <c r="AB190" t="s">
        <v>902</v>
      </c>
      <c r="AC190" t="s">
        <v>906</v>
      </c>
      <c r="AF190" t="s">
        <v>926</v>
      </c>
      <c r="AI190">
        <v>2.1</v>
      </c>
      <c r="AK190" t="s">
        <v>934</v>
      </c>
      <c r="AT190">
        <v>3</v>
      </c>
      <c r="AU190">
        <v>1</v>
      </c>
      <c r="AV190" t="s">
        <v>273</v>
      </c>
      <c r="AY190" t="s">
        <v>273</v>
      </c>
      <c r="BB190">
        <v>0</v>
      </c>
      <c r="BC190">
        <v>0</v>
      </c>
      <c r="BD190">
        <v>0</v>
      </c>
      <c r="BE190">
        <v>0</v>
      </c>
      <c r="BF190" t="s">
        <v>1063</v>
      </c>
      <c r="BG190" t="s">
        <v>4992</v>
      </c>
      <c r="BH190">
        <v>4</v>
      </c>
      <c r="BI190" t="s">
        <v>1247</v>
      </c>
      <c r="BK190">
        <v>1845563</v>
      </c>
    </row>
    <row r="191" spans="1:63">
      <c r="A191" s="1">
        <f>HYPERLINK("https://lsnyc.legalserver.org/matter/dynamic-profile/view/1861659","18-1861659")</f>
        <v>0</v>
      </c>
      <c r="B191" t="s">
        <v>4429</v>
      </c>
      <c r="C191" t="s">
        <v>4496</v>
      </c>
      <c r="D191" t="s">
        <v>254</v>
      </c>
      <c r="E191" t="s">
        <v>4501</v>
      </c>
      <c r="F191" t="s">
        <v>273</v>
      </c>
      <c r="G191" t="s">
        <v>275</v>
      </c>
      <c r="H191">
        <v>0</v>
      </c>
      <c r="K191" t="s">
        <v>1014</v>
      </c>
      <c r="O191" t="s">
        <v>275</v>
      </c>
      <c r="P191" t="s">
        <v>492</v>
      </c>
      <c r="Q191" t="s">
        <v>502</v>
      </c>
      <c r="S191" t="s">
        <v>503</v>
      </c>
      <c r="T191" t="s">
        <v>508</v>
      </c>
      <c r="U191" t="s">
        <v>511</v>
      </c>
      <c r="V191">
        <v>10303</v>
      </c>
      <c r="W191" t="s">
        <v>518</v>
      </c>
      <c r="X191" t="s">
        <v>548</v>
      </c>
      <c r="Z191" t="s">
        <v>4654</v>
      </c>
      <c r="AA191" t="s">
        <v>4791</v>
      </c>
      <c r="AB191" t="s">
        <v>902</v>
      </c>
      <c r="AC191" t="s">
        <v>906</v>
      </c>
      <c r="AF191" t="s">
        <v>926</v>
      </c>
      <c r="AI191">
        <v>2</v>
      </c>
      <c r="AK191" t="s">
        <v>934</v>
      </c>
      <c r="AT191">
        <v>3</v>
      </c>
      <c r="AU191">
        <v>1</v>
      </c>
      <c r="AV191" t="s">
        <v>273</v>
      </c>
      <c r="AY191" t="s">
        <v>273</v>
      </c>
      <c r="BB191">
        <v>0</v>
      </c>
      <c r="BC191">
        <v>0</v>
      </c>
      <c r="BD191">
        <v>0</v>
      </c>
      <c r="BE191">
        <v>0</v>
      </c>
      <c r="BF191" t="s">
        <v>1063</v>
      </c>
      <c r="BG191" t="s">
        <v>4991</v>
      </c>
      <c r="BH191">
        <v>12</v>
      </c>
      <c r="BI191" t="s">
        <v>1247</v>
      </c>
      <c r="BK191">
        <v>1845563</v>
      </c>
    </row>
    <row r="192" spans="1:63">
      <c r="A192" s="1">
        <f>HYPERLINK("https://lsnyc.legalserver.org/matter/dynamic-profile/view/1858565","18-1858565")</f>
        <v>0</v>
      </c>
      <c r="B192" t="s">
        <v>4437</v>
      </c>
      <c r="C192" t="s">
        <v>4496</v>
      </c>
      <c r="D192" t="s">
        <v>254</v>
      </c>
      <c r="E192" t="s">
        <v>4501</v>
      </c>
      <c r="F192" t="s">
        <v>273</v>
      </c>
      <c r="G192" t="s">
        <v>275</v>
      </c>
      <c r="H192">
        <v>0</v>
      </c>
      <c r="I192" t="s">
        <v>274</v>
      </c>
      <c r="K192" t="s">
        <v>4516</v>
      </c>
      <c r="O192" t="s">
        <v>275</v>
      </c>
      <c r="P192" t="s">
        <v>492</v>
      </c>
      <c r="Q192" t="s">
        <v>501</v>
      </c>
      <c r="S192" t="s">
        <v>503</v>
      </c>
      <c r="T192" t="s">
        <v>508</v>
      </c>
      <c r="U192" t="s">
        <v>511</v>
      </c>
      <c r="V192">
        <v>10304</v>
      </c>
      <c r="W192" t="s">
        <v>518</v>
      </c>
      <c r="X192" t="s">
        <v>548</v>
      </c>
      <c r="Z192" t="s">
        <v>4658</v>
      </c>
      <c r="AA192" t="s">
        <v>4797</v>
      </c>
      <c r="AB192" t="s">
        <v>902</v>
      </c>
      <c r="AC192" t="s">
        <v>906</v>
      </c>
      <c r="AF192" t="s">
        <v>926</v>
      </c>
      <c r="AI192">
        <v>19.2</v>
      </c>
      <c r="AJ192" t="s">
        <v>558</v>
      </c>
      <c r="AK192" t="s">
        <v>934</v>
      </c>
      <c r="AM192" t="s">
        <v>973</v>
      </c>
      <c r="AN192" t="s">
        <v>3703</v>
      </c>
      <c r="AT192">
        <v>1</v>
      </c>
      <c r="AU192">
        <v>1</v>
      </c>
      <c r="AV192" t="s">
        <v>274</v>
      </c>
      <c r="AW192" t="s">
        <v>3713</v>
      </c>
      <c r="AX192">
        <v>3459</v>
      </c>
      <c r="AY192" t="s">
        <v>273</v>
      </c>
      <c r="BB192">
        <v>0</v>
      </c>
      <c r="BC192">
        <v>0</v>
      </c>
      <c r="BD192">
        <v>0</v>
      </c>
      <c r="BE192">
        <v>0</v>
      </c>
      <c r="BF192" t="s">
        <v>1063</v>
      </c>
      <c r="BG192" t="s">
        <v>4998</v>
      </c>
      <c r="BH192">
        <v>34</v>
      </c>
      <c r="BI192" t="s">
        <v>1247</v>
      </c>
      <c r="BK192">
        <v>1859139</v>
      </c>
    </row>
    <row r="193" spans="1:63">
      <c r="A193" s="1">
        <f>HYPERLINK("https://lsnyc.legalserver.org/matter/dynamic-profile/view/1861614","18-1861614")</f>
        <v>0</v>
      </c>
      <c r="B193" t="s">
        <v>4438</v>
      </c>
      <c r="C193" t="s">
        <v>4496</v>
      </c>
      <c r="D193" t="s">
        <v>254</v>
      </c>
      <c r="E193" t="s">
        <v>4501</v>
      </c>
      <c r="F193" t="s">
        <v>273</v>
      </c>
      <c r="G193" t="s">
        <v>275</v>
      </c>
      <c r="H193">
        <v>0</v>
      </c>
      <c r="I193" t="s">
        <v>274</v>
      </c>
      <c r="K193" t="s">
        <v>4517</v>
      </c>
      <c r="O193" t="s">
        <v>275</v>
      </c>
      <c r="P193" t="s">
        <v>492</v>
      </c>
      <c r="Q193" t="s">
        <v>502</v>
      </c>
      <c r="S193" t="s">
        <v>503</v>
      </c>
      <c r="T193" t="s">
        <v>508</v>
      </c>
      <c r="U193" t="s">
        <v>511</v>
      </c>
      <c r="V193">
        <v>10301</v>
      </c>
      <c r="W193" t="s">
        <v>519</v>
      </c>
      <c r="X193" t="s">
        <v>548</v>
      </c>
      <c r="Z193" t="s">
        <v>4659</v>
      </c>
      <c r="AA193" t="s">
        <v>4798</v>
      </c>
      <c r="AB193" t="s">
        <v>902</v>
      </c>
      <c r="AC193" t="s">
        <v>905</v>
      </c>
      <c r="AF193" t="s">
        <v>926</v>
      </c>
      <c r="AI193">
        <v>8.6</v>
      </c>
      <c r="AK193" t="s">
        <v>934</v>
      </c>
      <c r="AL193" t="s">
        <v>274</v>
      </c>
      <c r="AM193" t="s">
        <v>973</v>
      </c>
      <c r="AN193" t="s">
        <v>4517</v>
      </c>
      <c r="AT193">
        <v>2</v>
      </c>
      <c r="AU193">
        <v>1</v>
      </c>
      <c r="AV193" t="s">
        <v>273</v>
      </c>
      <c r="AY193" t="s">
        <v>273</v>
      </c>
      <c r="BB193">
        <v>0</v>
      </c>
      <c r="BC193">
        <v>0</v>
      </c>
      <c r="BD193">
        <v>0</v>
      </c>
      <c r="BE193">
        <v>0</v>
      </c>
      <c r="BF193" t="s">
        <v>1063</v>
      </c>
      <c r="BG193" t="s">
        <v>4999</v>
      </c>
      <c r="BH193">
        <v>7</v>
      </c>
      <c r="BI193" t="s">
        <v>1247</v>
      </c>
      <c r="BK193">
        <v>1854406</v>
      </c>
    </row>
    <row r="194" spans="1:63">
      <c r="A194" s="1">
        <f>HYPERLINK("https://lsnyc.legalserver.org/matter/dynamic-profile/view/1860655","18-1860655")</f>
        <v>0</v>
      </c>
      <c r="B194" t="s">
        <v>4439</v>
      </c>
      <c r="C194" t="s">
        <v>4496</v>
      </c>
      <c r="D194" t="s">
        <v>253</v>
      </c>
      <c r="E194" t="s">
        <v>4498</v>
      </c>
      <c r="F194" t="s">
        <v>275</v>
      </c>
      <c r="G194" t="s">
        <v>275</v>
      </c>
      <c r="H194">
        <v>0</v>
      </c>
      <c r="I194" t="s">
        <v>274</v>
      </c>
      <c r="K194" t="s">
        <v>1757</v>
      </c>
      <c r="L194" t="s">
        <v>289</v>
      </c>
      <c r="O194" t="s">
        <v>275</v>
      </c>
      <c r="P194" t="s">
        <v>493</v>
      </c>
      <c r="Q194" t="s">
        <v>501</v>
      </c>
      <c r="R194" t="s">
        <v>501</v>
      </c>
      <c r="S194" t="s">
        <v>503</v>
      </c>
      <c r="T194" t="s">
        <v>508</v>
      </c>
      <c r="U194" t="s">
        <v>511</v>
      </c>
      <c r="V194">
        <v>11372</v>
      </c>
      <c r="W194" t="s">
        <v>521</v>
      </c>
      <c r="Y194" t="s">
        <v>275</v>
      </c>
      <c r="Z194" t="s">
        <v>4660</v>
      </c>
      <c r="AA194" t="s">
        <v>4799</v>
      </c>
      <c r="AB194" t="s">
        <v>902</v>
      </c>
      <c r="AC194" t="s">
        <v>905</v>
      </c>
      <c r="AD194" t="s">
        <v>275</v>
      </c>
      <c r="AE194" t="s">
        <v>922</v>
      </c>
      <c r="AF194" t="s">
        <v>929</v>
      </c>
      <c r="AI194">
        <v>24</v>
      </c>
      <c r="AJ194" t="s">
        <v>558</v>
      </c>
      <c r="AK194" t="s">
        <v>933</v>
      </c>
      <c r="AQ194" t="s">
        <v>1033</v>
      </c>
      <c r="AR194" t="s">
        <v>1051</v>
      </c>
      <c r="AT194">
        <v>0</v>
      </c>
      <c r="AU194">
        <v>1</v>
      </c>
      <c r="AV194" t="s">
        <v>274</v>
      </c>
      <c r="AW194" t="s">
        <v>3713</v>
      </c>
      <c r="AX194">
        <v>3459</v>
      </c>
      <c r="AY194" t="s">
        <v>273</v>
      </c>
      <c r="BB194">
        <v>0</v>
      </c>
      <c r="BC194">
        <v>0</v>
      </c>
      <c r="BD194">
        <v>0</v>
      </c>
      <c r="BE194">
        <v>0</v>
      </c>
      <c r="BF194" t="s">
        <v>493</v>
      </c>
      <c r="BG194" t="s">
        <v>5000</v>
      </c>
      <c r="BH194">
        <v>28</v>
      </c>
      <c r="BI194" t="s">
        <v>1247</v>
      </c>
      <c r="BK194">
        <v>1861232</v>
      </c>
    </row>
    <row r="195" spans="1:63">
      <c r="A195" s="1">
        <f>HYPERLINK("https://lsnyc.legalserver.org/matter/dynamic-profile/view/1857574","18-1857574")</f>
        <v>0</v>
      </c>
      <c r="B195" t="s">
        <v>4440</v>
      </c>
      <c r="C195" t="s">
        <v>4496</v>
      </c>
      <c r="D195" t="s">
        <v>254</v>
      </c>
      <c r="E195" t="s">
        <v>4499</v>
      </c>
      <c r="F195" t="s">
        <v>273</v>
      </c>
      <c r="G195" t="s">
        <v>275</v>
      </c>
      <c r="H195">
        <v>0</v>
      </c>
      <c r="I195" t="s">
        <v>274</v>
      </c>
      <c r="K195" t="s">
        <v>4518</v>
      </c>
      <c r="O195" t="s">
        <v>275</v>
      </c>
      <c r="P195" t="s">
        <v>492</v>
      </c>
      <c r="Q195" t="s">
        <v>501</v>
      </c>
      <c r="S195" t="s">
        <v>503</v>
      </c>
      <c r="T195" t="s">
        <v>508</v>
      </c>
      <c r="U195" t="s">
        <v>511</v>
      </c>
      <c r="V195">
        <v>10305</v>
      </c>
      <c r="W195" t="s">
        <v>518</v>
      </c>
      <c r="X195" t="s">
        <v>548</v>
      </c>
      <c r="Y195" t="s">
        <v>275</v>
      </c>
      <c r="Z195" t="s">
        <v>4661</v>
      </c>
      <c r="AA195" t="s">
        <v>4800</v>
      </c>
      <c r="AB195" t="s">
        <v>902</v>
      </c>
      <c r="AC195" t="s">
        <v>905</v>
      </c>
      <c r="AF195" t="s">
        <v>926</v>
      </c>
      <c r="AI195">
        <v>15.05</v>
      </c>
      <c r="AJ195" t="s">
        <v>558</v>
      </c>
      <c r="AK195" t="s">
        <v>934</v>
      </c>
      <c r="AM195" t="s">
        <v>977</v>
      </c>
      <c r="AN195" t="s">
        <v>1753</v>
      </c>
      <c r="AT195">
        <v>5</v>
      </c>
      <c r="AU195">
        <v>5</v>
      </c>
      <c r="AV195" t="s">
        <v>274</v>
      </c>
      <c r="AW195" t="s">
        <v>3713</v>
      </c>
      <c r="AX195">
        <v>3459</v>
      </c>
      <c r="AY195" t="s">
        <v>273</v>
      </c>
      <c r="BB195">
        <v>0</v>
      </c>
      <c r="BC195">
        <v>0</v>
      </c>
      <c r="BD195">
        <v>0</v>
      </c>
      <c r="BE195">
        <v>0</v>
      </c>
      <c r="BF195" t="s">
        <v>1063</v>
      </c>
      <c r="BG195" t="s">
        <v>5001</v>
      </c>
      <c r="BH195">
        <v>8</v>
      </c>
      <c r="BI195" t="s">
        <v>1247</v>
      </c>
      <c r="BK195">
        <v>810726</v>
      </c>
    </row>
    <row r="196" spans="1:63">
      <c r="A196" s="1">
        <f>HYPERLINK("https://lsnyc.legalserver.org/matter/dynamic-profile/view/1857575","18-1857575")</f>
        <v>0</v>
      </c>
      <c r="B196" t="s">
        <v>4441</v>
      </c>
      <c r="C196" t="s">
        <v>4496</v>
      </c>
      <c r="D196" t="s">
        <v>254</v>
      </c>
      <c r="E196" t="s">
        <v>4499</v>
      </c>
      <c r="F196" t="s">
        <v>273</v>
      </c>
      <c r="G196" t="s">
        <v>275</v>
      </c>
      <c r="H196">
        <v>0</v>
      </c>
      <c r="I196" t="s">
        <v>274</v>
      </c>
      <c r="K196" t="s">
        <v>4518</v>
      </c>
      <c r="O196" t="s">
        <v>275</v>
      </c>
      <c r="P196" t="s">
        <v>492</v>
      </c>
      <c r="Q196" t="s">
        <v>501</v>
      </c>
      <c r="S196" t="s">
        <v>503</v>
      </c>
      <c r="T196" t="s">
        <v>507</v>
      </c>
      <c r="U196" t="s">
        <v>511</v>
      </c>
      <c r="V196">
        <v>10305</v>
      </c>
      <c r="W196" t="s">
        <v>518</v>
      </c>
      <c r="X196" t="s">
        <v>548</v>
      </c>
      <c r="Z196" t="s">
        <v>3101</v>
      </c>
      <c r="AA196" t="s">
        <v>4800</v>
      </c>
      <c r="AB196" t="s">
        <v>902</v>
      </c>
      <c r="AC196" t="s">
        <v>905</v>
      </c>
      <c r="AF196" t="s">
        <v>926</v>
      </c>
      <c r="AI196">
        <v>14.45</v>
      </c>
      <c r="AJ196" t="s">
        <v>558</v>
      </c>
      <c r="AK196" t="s">
        <v>934</v>
      </c>
      <c r="AM196" t="s">
        <v>977</v>
      </c>
      <c r="AN196" t="s">
        <v>1753</v>
      </c>
      <c r="AT196">
        <v>5</v>
      </c>
      <c r="AU196">
        <v>5</v>
      </c>
      <c r="AV196" t="s">
        <v>274</v>
      </c>
      <c r="AW196" t="s">
        <v>3713</v>
      </c>
      <c r="AX196">
        <v>3459</v>
      </c>
      <c r="AY196" t="s">
        <v>273</v>
      </c>
      <c r="BB196">
        <v>0</v>
      </c>
      <c r="BC196">
        <v>0</v>
      </c>
      <c r="BD196">
        <v>0</v>
      </c>
      <c r="BE196">
        <v>0</v>
      </c>
      <c r="BF196" t="s">
        <v>1063</v>
      </c>
      <c r="BG196" t="s">
        <v>5002</v>
      </c>
      <c r="BH196">
        <v>6</v>
      </c>
      <c r="BI196" t="s">
        <v>1247</v>
      </c>
      <c r="BK196">
        <v>810726</v>
      </c>
    </row>
    <row r="197" spans="1:63">
      <c r="A197" s="1">
        <f>HYPERLINK("https://lsnyc.legalserver.org/matter/dynamic-profile/view/1857576","18-1857576")</f>
        <v>0</v>
      </c>
      <c r="B197" t="s">
        <v>4442</v>
      </c>
      <c r="C197" t="s">
        <v>4496</v>
      </c>
      <c r="D197" t="s">
        <v>254</v>
      </c>
      <c r="E197" t="s">
        <v>4499</v>
      </c>
      <c r="F197" t="s">
        <v>273</v>
      </c>
      <c r="G197" t="s">
        <v>275</v>
      </c>
      <c r="H197">
        <v>0</v>
      </c>
      <c r="I197" t="s">
        <v>274</v>
      </c>
      <c r="K197" t="s">
        <v>4518</v>
      </c>
      <c r="O197" t="s">
        <v>275</v>
      </c>
      <c r="P197" t="s">
        <v>492</v>
      </c>
      <c r="Q197" t="s">
        <v>501</v>
      </c>
      <c r="S197" t="s">
        <v>503</v>
      </c>
      <c r="T197" t="s">
        <v>508</v>
      </c>
      <c r="U197" t="s">
        <v>511</v>
      </c>
      <c r="V197">
        <v>10305</v>
      </c>
      <c r="W197" t="s">
        <v>518</v>
      </c>
      <c r="X197" t="s">
        <v>548</v>
      </c>
      <c r="Y197" t="s">
        <v>275</v>
      </c>
      <c r="Z197" t="s">
        <v>4662</v>
      </c>
      <c r="AA197" t="s">
        <v>4800</v>
      </c>
      <c r="AB197" t="s">
        <v>902</v>
      </c>
      <c r="AC197" t="s">
        <v>906</v>
      </c>
      <c r="AF197" t="s">
        <v>926</v>
      </c>
      <c r="AI197">
        <v>10.4</v>
      </c>
      <c r="AJ197" t="s">
        <v>558</v>
      </c>
      <c r="AK197" t="s">
        <v>934</v>
      </c>
      <c r="AT197">
        <v>5</v>
      </c>
      <c r="AU197">
        <v>5</v>
      </c>
      <c r="AV197" t="s">
        <v>274</v>
      </c>
      <c r="AW197" t="s">
        <v>3713</v>
      </c>
      <c r="AX197">
        <v>3459</v>
      </c>
      <c r="AY197" t="s">
        <v>273</v>
      </c>
      <c r="BB197">
        <v>0</v>
      </c>
      <c r="BC197">
        <v>0</v>
      </c>
      <c r="BD197">
        <v>0</v>
      </c>
      <c r="BE197">
        <v>0</v>
      </c>
      <c r="BF197" t="s">
        <v>1063</v>
      </c>
      <c r="BG197" t="s">
        <v>5003</v>
      </c>
      <c r="BH197">
        <v>11</v>
      </c>
      <c r="BI197" t="s">
        <v>1247</v>
      </c>
      <c r="BK197">
        <v>810726</v>
      </c>
    </row>
    <row r="198" spans="1:63">
      <c r="A198" s="1">
        <f>HYPERLINK("https://lsnyc.legalserver.org/matter/dynamic-profile/view/1860042","18-1860042")</f>
        <v>0</v>
      </c>
      <c r="B198" t="s">
        <v>4363</v>
      </c>
      <c r="C198" t="s">
        <v>4496</v>
      </c>
      <c r="D198" t="s">
        <v>254</v>
      </c>
      <c r="E198" t="s">
        <v>4499</v>
      </c>
      <c r="F198" t="s">
        <v>273</v>
      </c>
      <c r="G198" t="s">
        <v>275</v>
      </c>
      <c r="H198">
        <v>165.74</v>
      </c>
      <c r="I198" t="s">
        <v>274</v>
      </c>
      <c r="K198" t="s">
        <v>2397</v>
      </c>
      <c r="O198" t="s">
        <v>275</v>
      </c>
      <c r="Q198" t="s">
        <v>501</v>
      </c>
      <c r="S198" t="s">
        <v>503</v>
      </c>
      <c r="T198" t="s">
        <v>507</v>
      </c>
      <c r="U198" t="s">
        <v>511</v>
      </c>
      <c r="V198">
        <v>10312</v>
      </c>
      <c r="W198" t="s">
        <v>518</v>
      </c>
      <c r="X198" t="s">
        <v>548</v>
      </c>
      <c r="Y198" t="s">
        <v>275</v>
      </c>
      <c r="Z198" t="s">
        <v>2005</v>
      </c>
      <c r="AA198" t="s">
        <v>4745</v>
      </c>
      <c r="AB198" t="s">
        <v>902</v>
      </c>
      <c r="AC198" t="s">
        <v>908</v>
      </c>
      <c r="AF198" t="s">
        <v>926</v>
      </c>
      <c r="AI198">
        <v>4.5</v>
      </c>
      <c r="AJ198" t="s">
        <v>558</v>
      </c>
      <c r="AK198" t="s">
        <v>936</v>
      </c>
      <c r="AT198">
        <v>2</v>
      </c>
      <c r="AU198">
        <v>2</v>
      </c>
      <c r="AV198" t="s">
        <v>274</v>
      </c>
      <c r="AW198" t="s">
        <v>3713</v>
      </c>
      <c r="AX198">
        <v>3459</v>
      </c>
      <c r="AY198" t="s">
        <v>273</v>
      </c>
      <c r="BB198">
        <v>0</v>
      </c>
      <c r="BC198">
        <v>0</v>
      </c>
      <c r="BD198">
        <v>0</v>
      </c>
      <c r="BE198">
        <v>0</v>
      </c>
      <c r="BF198" t="s">
        <v>1063</v>
      </c>
      <c r="BG198" t="s">
        <v>4929</v>
      </c>
      <c r="BH198">
        <v>3</v>
      </c>
      <c r="BI198" t="s">
        <v>5067</v>
      </c>
      <c r="BK198">
        <v>1853039</v>
      </c>
    </row>
    <row r="199" spans="1:63">
      <c r="A199" s="1">
        <f>HYPERLINK("https://lsnyc.legalserver.org/matter/dynamic-profile/view/1860046","18-1860046")</f>
        <v>0</v>
      </c>
      <c r="B199" t="s">
        <v>4364</v>
      </c>
      <c r="C199" t="s">
        <v>4496</v>
      </c>
      <c r="D199" t="s">
        <v>254</v>
      </c>
      <c r="E199" t="s">
        <v>4499</v>
      </c>
      <c r="F199" t="s">
        <v>273</v>
      </c>
      <c r="G199" t="s">
        <v>275</v>
      </c>
      <c r="H199">
        <v>165.74</v>
      </c>
      <c r="I199" t="s">
        <v>274</v>
      </c>
      <c r="K199" t="s">
        <v>2397</v>
      </c>
      <c r="Q199" t="s">
        <v>501</v>
      </c>
      <c r="S199" t="s">
        <v>503</v>
      </c>
      <c r="T199" t="s">
        <v>508</v>
      </c>
      <c r="U199" t="s">
        <v>511</v>
      </c>
      <c r="V199">
        <v>10312</v>
      </c>
      <c r="W199" t="s">
        <v>518</v>
      </c>
      <c r="X199" t="s">
        <v>548</v>
      </c>
      <c r="Y199" t="s">
        <v>275</v>
      </c>
      <c r="Z199" t="s">
        <v>685</v>
      </c>
      <c r="AA199" t="s">
        <v>4745</v>
      </c>
      <c r="AB199" t="s">
        <v>902</v>
      </c>
      <c r="AC199" t="s">
        <v>908</v>
      </c>
      <c r="AF199" t="s">
        <v>926</v>
      </c>
      <c r="AI199">
        <v>3.9</v>
      </c>
      <c r="AJ199" t="s">
        <v>558</v>
      </c>
      <c r="AK199" t="s">
        <v>936</v>
      </c>
      <c r="AL199" t="s">
        <v>274</v>
      </c>
      <c r="AT199">
        <v>2</v>
      </c>
      <c r="AU199">
        <v>2</v>
      </c>
      <c r="AV199" t="s">
        <v>274</v>
      </c>
      <c r="AW199" t="s">
        <v>3713</v>
      </c>
      <c r="AX199">
        <v>3459</v>
      </c>
      <c r="AY199" t="s">
        <v>273</v>
      </c>
      <c r="BB199">
        <v>0</v>
      </c>
      <c r="BC199">
        <v>0</v>
      </c>
      <c r="BD199">
        <v>0</v>
      </c>
      <c r="BE199">
        <v>0</v>
      </c>
      <c r="BF199" t="s">
        <v>1063</v>
      </c>
      <c r="BG199" t="s">
        <v>4930</v>
      </c>
      <c r="BH199">
        <v>7</v>
      </c>
      <c r="BI199" t="s">
        <v>5067</v>
      </c>
      <c r="BK199">
        <v>1853039</v>
      </c>
    </row>
    <row r="200" spans="1:63">
      <c r="A200" s="1">
        <f>HYPERLINK("https://lsnyc.legalserver.org/matter/dynamic-profile/view/1858214","18-1858214")</f>
        <v>0</v>
      </c>
      <c r="B200" t="s">
        <v>4443</v>
      </c>
      <c r="C200" t="s">
        <v>4496</v>
      </c>
      <c r="D200" t="s">
        <v>254</v>
      </c>
      <c r="E200" t="s">
        <v>4502</v>
      </c>
      <c r="F200" t="s">
        <v>273</v>
      </c>
      <c r="G200" t="s">
        <v>275</v>
      </c>
      <c r="H200">
        <v>34.45</v>
      </c>
      <c r="I200" t="s">
        <v>274</v>
      </c>
      <c r="K200" t="s">
        <v>3719</v>
      </c>
      <c r="O200" t="s">
        <v>274</v>
      </c>
      <c r="P200" t="s">
        <v>497</v>
      </c>
      <c r="Q200" t="s">
        <v>501</v>
      </c>
      <c r="S200" t="s">
        <v>503</v>
      </c>
      <c r="T200" t="s">
        <v>508</v>
      </c>
      <c r="U200" t="s">
        <v>511</v>
      </c>
      <c r="V200">
        <v>10310</v>
      </c>
      <c r="W200" t="s">
        <v>520</v>
      </c>
      <c r="X200" t="s">
        <v>548</v>
      </c>
      <c r="Y200" t="s">
        <v>275</v>
      </c>
      <c r="Z200" t="s">
        <v>4663</v>
      </c>
      <c r="AA200" t="s">
        <v>4023</v>
      </c>
      <c r="AB200" t="s">
        <v>902</v>
      </c>
      <c r="AC200" t="s">
        <v>907</v>
      </c>
      <c r="AF200" t="s">
        <v>923</v>
      </c>
      <c r="AI200">
        <v>0.97</v>
      </c>
      <c r="AJ200" t="s">
        <v>558</v>
      </c>
      <c r="AK200" t="s">
        <v>933</v>
      </c>
      <c r="AM200" t="s">
        <v>973</v>
      </c>
      <c r="AN200" t="s">
        <v>392</v>
      </c>
      <c r="AT200">
        <v>6</v>
      </c>
      <c r="AU200">
        <v>2</v>
      </c>
      <c r="AV200" t="s">
        <v>274</v>
      </c>
      <c r="AW200" t="s">
        <v>3713</v>
      </c>
      <c r="AX200">
        <v>3459</v>
      </c>
      <c r="AY200" t="s">
        <v>273</v>
      </c>
      <c r="BB200">
        <v>0</v>
      </c>
      <c r="BC200">
        <v>0</v>
      </c>
      <c r="BD200">
        <v>0</v>
      </c>
      <c r="BE200">
        <v>0</v>
      </c>
      <c r="BF200" t="s">
        <v>1063</v>
      </c>
      <c r="BG200" t="s">
        <v>5004</v>
      </c>
      <c r="BH200">
        <v>41</v>
      </c>
      <c r="BI200" t="s">
        <v>5068</v>
      </c>
      <c r="BK200">
        <v>821118</v>
      </c>
    </row>
    <row r="201" spans="1:63">
      <c r="A201" s="1">
        <f>HYPERLINK("https://lsnyc.legalserver.org/matter/dynamic-profile/view/1858217","18-1858217")</f>
        <v>0</v>
      </c>
      <c r="B201" t="s">
        <v>4443</v>
      </c>
      <c r="C201" t="s">
        <v>4496</v>
      </c>
      <c r="D201" t="s">
        <v>254</v>
      </c>
      <c r="E201" t="s">
        <v>4502</v>
      </c>
      <c r="F201" t="s">
        <v>273</v>
      </c>
      <c r="G201" t="s">
        <v>275</v>
      </c>
      <c r="H201">
        <v>34.45</v>
      </c>
      <c r="I201" t="s">
        <v>274</v>
      </c>
      <c r="K201" t="s">
        <v>3719</v>
      </c>
      <c r="P201" t="s">
        <v>497</v>
      </c>
      <c r="Q201" t="s">
        <v>501</v>
      </c>
      <c r="S201" t="s">
        <v>503</v>
      </c>
      <c r="T201" t="s">
        <v>508</v>
      </c>
      <c r="U201" t="s">
        <v>511</v>
      </c>
      <c r="V201">
        <v>10310</v>
      </c>
      <c r="W201" t="s">
        <v>528</v>
      </c>
      <c r="X201" t="s">
        <v>548</v>
      </c>
      <c r="Y201" t="s">
        <v>275</v>
      </c>
      <c r="Z201" t="s">
        <v>4663</v>
      </c>
      <c r="AA201" t="s">
        <v>4023</v>
      </c>
      <c r="AB201" t="s">
        <v>902</v>
      </c>
      <c r="AC201" t="s">
        <v>907</v>
      </c>
      <c r="AF201" t="s">
        <v>923</v>
      </c>
      <c r="AI201">
        <v>2.12</v>
      </c>
      <c r="AJ201" t="s">
        <v>558</v>
      </c>
      <c r="AK201" t="s">
        <v>933</v>
      </c>
      <c r="AL201" t="s">
        <v>275</v>
      </c>
      <c r="AM201" t="s">
        <v>973</v>
      </c>
      <c r="AN201" t="s">
        <v>392</v>
      </c>
      <c r="AT201">
        <v>6</v>
      </c>
      <c r="AU201">
        <v>2</v>
      </c>
      <c r="AV201" t="s">
        <v>274</v>
      </c>
      <c r="AW201" t="s">
        <v>3713</v>
      </c>
      <c r="AX201">
        <v>3459</v>
      </c>
      <c r="AY201" t="s">
        <v>273</v>
      </c>
      <c r="BB201">
        <v>0</v>
      </c>
      <c r="BC201">
        <v>0</v>
      </c>
      <c r="BD201">
        <v>0</v>
      </c>
      <c r="BE201">
        <v>0</v>
      </c>
      <c r="BF201" t="s">
        <v>1063</v>
      </c>
      <c r="BG201" t="s">
        <v>5004</v>
      </c>
      <c r="BH201">
        <v>41</v>
      </c>
      <c r="BI201" t="s">
        <v>5068</v>
      </c>
      <c r="BK201">
        <v>821118</v>
      </c>
    </row>
    <row r="202" spans="1:63">
      <c r="A202" s="1">
        <f>HYPERLINK("https://lsnyc.legalserver.org/matter/dynamic-profile/view/1858230","18-1858230")</f>
        <v>0</v>
      </c>
      <c r="B202" t="s">
        <v>4444</v>
      </c>
      <c r="C202" t="s">
        <v>4496</v>
      </c>
      <c r="D202" t="s">
        <v>254</v>
      </c>
      <c r="E202" t="s">
        <v>4502</v>
      </c>
      <c r="F202" t="s">
        <v>273</v>
      </c>
      <c r="G202" t="s">
        <v>275</v>
      </c>
      <c r="H202">
        <v>0</v>
      </c>
      <c r="I202" t="s">
        <v>274</v>
      </c>
      <c r="K202" t="s">
        <v>3719</v>
      </c>
      <c r="P202" t="s">
        <v>492</v>
      </c>
      <c r="Q202" t="s">
        <v>501</v>
      </c>
      <c r="S202" t="s">
        <v>503</v>
      </c>
      <c r="T202" t="s">
        <v>508</v>
      </c>
      <c r="U202" t="s">
        <v>511</v>
      </c>
      <c r="V202">
        <v>10303</v>
      </c>
      <c r="W202" t="s">
        <v>520</v>
      </c>
      <c r="X202" t="s">
        <v>548</v>
      </c>
      <c r="Z202" t="s">
        <v>1881</v>
      </c>
      <c r="AA202" t="s">
        <v>4801</v>
      </c>
      <c r="AB202" t="s">
        <v>902</v>
      </c>
      <c r="AC202" t="s">
        <v>905</v>
      </c>
      <c r="AD202" t="s">
        <v>274</v>
      </c>
      <c r="AF202" t="s">
        <v>923</v>
      </c>
      <c r="AI202">
        <v>0.86</v>
      </c>
      <c r="AJ202" t="s">
        <v>558</v>
      </c>
      <c r="AK202" t="s">
        <v>933</v>
      </c>
      <c r="AM202" t="s">
        <v>973</v>
      </c>
      <c r="AN202" t="s">
        <v>3715</v>
      </c>
      <c r="AT202">
        <v>2</v>
      </c>
      <c r="AU202">
        <v>1</v>
      </c>
      <c r="AV202" t="s">
        <v>274</v>
      </c>
      <c r="AW202" t="s">
        <v>3713</v>
      </c>
      <c r="AX202">
        <v>3459</v>
      </c>
      <c r="AY202" t="s">
        <v>273</v>
      </c>
      <c r="BB202">
        <v>0</v>
      </c>
      <c r="BC202">
        <v>0</v>
      </c>
      <c r="BD202">
        <v>0</v>
      </c>
      <c r="BE202">
        <v>0</v>
      </c>
      <c r="BF202" t="s">
        <v>1063</v>
      </c>
      <c r="BG202" t="s">
        <v>4862</v>
      </c>
      <c r="BH202">
        <v>33</v>
      </c>
      <c r="BI202" t="s">
        <v>1247</v>
      </c>
      <c r="BK202">
        <v>1833489</v>
      </c>
    </row>
    <row r="203" spans="1:63">
      <c r="A203" s="1">
        <f>HYPERLINK("https://lsnyc.legalserver.org/matter/dynamic-profile/view/1858233","18-1858233")</f>
        <v>0</v>
      </c>
      <c r="B203" t="s">
        <v>4444</v>
      </c>
      <c r="C203" t="s">
        <v>4496</v>
      </c>
      <c r="D203" t="s">
        <v>254</v>
      </c>
      <c r="E203" t="s">
        <v>4502</v>
      </c>
      <c r="F203" t="s">
        <v>273</v>
      </c>
      <c r="G203" t="s">
        <v>275</v>
      </c>
      <c r="H203">
        <v>0</v>
      </c>
      <c r="I203" t="s">
        <v>274</v>
      </c>
      <c r="K203" t="s">
        <v>3719</v>
      </c>
      <c r="P203" t="s">
        <v>492</v>
      </c>
      <c r="Q203" t="s">
        <v>501</v>
      </c>
      <c r="S203" t="s">
        <v>503</v>
      </c>
      <c r="T203" t="s">
        <v>508</v>
      </c>
      <c r="U203" t="s">
        <v>511</v>
      </c>
      <c r="V203">
        <v>10303</v>
      </c>
      <c r="W203" t="s">
        <v>528</v>
      </c>
      <c r="X203" t="s">
        <v>548</v>
      </c>
      <c r="Y203" t="s">
        <v>275</v>
      </c>
      <c r="Z203" t="s">
        <v>1881</v>
      </c>
      <c r="AA203" t="s">
        <v>4801</v>
      </c>
      <c r="AB203" t="s">
        <v>902</v>
      </c>
      <c r="AC203" t="s">
        <v>908</v>
      </c>
      <c r="AD203" t="s">
        <v>274</v>
      </c>
      <c r="AF203" t="s">
        <v>923</v>
      </c>
      <c r="AI203">
        <v>0.66</v>
      </c>
      <c r="AJ203" t="s">
        <v>558</v>
      </c>
      <c r="AK203" t="s">
        <v>933</v>
      </c>
      <c r="AM203" t="s">
        <v>973</v>
      </c>
      <c r="AN203" t="s">
        <v>3715</v>
      </c>
      <c r="AT203">
        <v>2</v>
      </c>
      <c r="AU203">
        <v>1</v>
      </c>
      <c r="AV203" t="s">
        <v>274</v>
      </c>
      <c r="AW203" t="s">
        <v>3713</v>
      </c>
      <c r="AX203">
        <v>3459</v>
      </c>
      <c r="AY203" t="s">
        <v>273</v>
      </c>
      <c r="BB203">
        <v>0</v>
      </c>
      <c r="BC203">
        <v>0</v>
      </c>
      <c r="BD203">
        <v>0</v>
      </c>
      <c r="BE203">
        <v>0</v>
      </c>
      <c r="BF203" t="s">
        <v>1063</v>
      </c>
      <c r="BG203" t="s">
        <v>5005</v>
      </c>
      <c r="BH203">
        <v>33</v>
      </c>
      <c r="BI203" t="s">
        <v>1247</v>
      </c>
      <c r="BK203">
        <v>1833489</v>
      </c>
    </row>
    <row r="204" spans="1:63">
      <c r="A204" s="1">
        <f>HYPERLINK("https://lsnyc.legalserver.org/matter/dynamic-profile/view/1858241","18-1858241")</f>
        <v>0</v>
      </c>
      <c r="B204" t="s">
        <v>4445</v>
      </c>
      <c r="C204" t="s">
        <v>4496</v>
      </c>
      <c r="D204" t="s">
        <v>254</v>
      </c>
      <c r="E204" t="s">
        <v>4502</v>
      </c>
      <c r="F204" t="s">
        <v>273</v>
      </c>
      <c r="G204" t="s">
        <v>275</v>
      </c>
      <c r="H204">
        <v>124.22</v>
      </c>
      <c r="I204" t="s">
        <v>274</v>
      </c>
      <c r="K204" t="s">
        <v>3719</v>
      </c>
      <c r="O204" t="s">
        <v>275</v>
      </c>
      <c r="P204" t="s">
        <v>492</v>
      </c>
      <c r="Q204" t="s">
        <v>501</v>
      </c>
      <c r="S204" t="s">
        <v>503</v>
      </c>
      <c r="T204" t="s">
        <v>507</v>
      </c>
      <c r="U204" t="s">
        <v>511</v>
      </c>
      <c r="V204">
        <v>10301</v>
      </c>
      <c r="W204" t="s">
        <v>528</v>
      </c>
      <c r="X204" t="s">
        <v>548</v>
      </c>
      <c r="Y204" t="s">
        <v>275</v>
      </c>
      <c r="Z204" t="s">
        <v>4664</v>
      </c>
      <c r="AA204" t="s">
        <v>4802</v>
      </c>
      <c r="AB204" t="s">
        <v>902</v>
      </c>
      <c r="AC204" t="s">
        <v>906</v>
      </c>
      <c r="AF204" t="s">
        <v>923</v>
      </c>
      <c r="AI204">
        <v>1.8</v>
      </c>
      <c r="AJ204" t="s">
        <v>558</v>
      </c>
      <c r="AK204" t="s">
        <v>933</v>
      </c>
      <c r="AM204" t="s">
        <v>973</v>
      </c>
      <c r="AN204" t="s">
        <v>4516</v>
      </c>
      <c r="AT204">
        <v>0</v>
      </c>
      <c r="AU204">
        <v>1</v>
      </c>
      <c r="AV204" t="s">
        <v>274</v>
      </c>
      <c r="AW204" t="s">
        <v>3713</v>
      </c>
      <c r="AY204" t="s">
        <v>273</v>
      </c>
      <c r="BB204">
        <v>0</v>
      </c>
      <c r="BC204">
        <v>0</v>
      </c>
      <c r="BD204">
        <v>0</v>
      </c>
      <c r="BE204">
        <v>0</v>
      </c>
      <c r="BF204" t="s">
        <v>1063</v>
      </c>
      <c r="BG204" t="s">
        <v>5006</v>
      </c>
      <c r="BH204">
        <v>36</v>
      </c>
      <c r="BI204" t="s">
        <v>5069</v>
      </c>
      <c r="BK204">
        <v>805615</v>
      </c>
    </row>
    <row r="205" spans="1:63">
      <c r="A205" s="1">
        <f>HYPERLINK("https://lsnyc.legalserver.org/matter/dynamic-profile/view/1858246","18-1858246")</f>
        <v>0</v>
      </c>
      <c r="B205" t="s">
        <v>4446</v>
      </c>
      <c r="C205" t="s">
        <v>4496</v>
      </c>
      <c r="D205" t="s">
        <v>254</v>
      </c>
      <c r="E205" t="s">
        <v>4502</v>
      </c>
      <c r="F205" t="s">
        <v>273</v>
      </c>
      <c r="G205" t="s">
        <v>275</v>
      </c>
      <c r="H205">
        <v>54.11</v>
      </c>
      <c r="I205" t="s">
        <v>274</v>
      </c>
      <c r="K205" t="s">
        <v>3719</v>
      </c>
      <c r="O205" t="s">
        <v>275</v>
      </c>
      <c r="P205" t="s">
        <v>492</v>
      </c>
      <c r="Q205" t="s">
        <v>501</v>
      </c>
      <c r="S205" t="s">
        <v>503</v>
      </c>
      <c r="T205" t="s">
        <v>508</v>
      </c>
      <c r="U205" t="s">
        <v>511</v>
      </c>
      <c r="V205">
        <v>10301</v>
      </c>
      <c r="W205" t="s">
        <v>528</v>
      </c>
      <c r="X205" t="s">
        <v>548</v>
      </c>
      <c r="Y205" t="s">
        <v>275</v>
      </c>
      <c r="Z205" t="s">
        <v>3859</v>
      </c>
      <c r="AA205" t="s">
        <v>2162</v>
      </c>
      <c r="AB205" t="s">
        <v>902</v>
      </c>
      <c r="AC205" t="s">
        <v>905</v>
      </c>
      <c r="AF205" t="s">
        <v>923</v>
      </c>
      <c r="AI205">
        <v>0.55</v>
      </c>
      <c r="AJ205" t="s">
        <v>558</v>
      </c>
      <c r="AK205" t="s">
        <v>934</v>
      </c>
      <c r="AM205" t="s">
        <v>973</v>
      </c>
      <c r="AN205" t="s">
        <v>397</v>
      </c>
      <c r="AT205">
        <v>3</v>
      </c>
      <c r="AU205">
        <v>1</v>
      </c>
      <c r="AV205" t="s">
        <v>274</v>
      </c>
      <c r="AW205" t="s">
        <v>3713</v>
      </c>
      <c r="AX205">
        <v>3459</v>
      </c>
      <c r="AY205" t="s">
        <v>273</v>
      </c>
      <c r="BB205">
        <v>0</v>
      </c>
      <c r="BC205">
        <v>0</v>
      </c>
      <c r="BD205">
        <v>0</v>
      </c>
      <c r="BE205">
        <v>0</v>
      </c>
      <c r="BF205" t="s">
        <v>1063</v>
      </c>
      <c r="BG205" t="s">
        <v>5007</v>
      </c>
      <c r="BH205">
        <v>26</v>
      </c>
      <c r="BI205" t="s">
        <v>5070</v>
      </c>
      <c r="BK205">
        <v>828816</v>
      </c>
    </row>
    <row r="206" spans="1:63">
      <c r="A206" s="1">
        <f>HYPERLINK("https://lsnyc.legalserver.org/matter/dynamic-profile/view/1858248","18-1858248")</f>
        <v>0</v>
      </c>
      <c r="B206" t="s">
        <v>4446</v>
      </c>
      <c r="C206" t="s">
        <v>4496</v>
      </c>
      <c r="D206" t="s">
        <v>254</v>
      </c>
      <c r="E206" t="s">
        <v>4502</v>
      </c>
      <c r="F206" t="s">
        <v>273</v>
      </c>
      <c r="G206" t="s">
        <v>275</v>
      </c>
      <c r="H206">
        <v>54.11</v>
      </c>
      <c r="I206" t="s">
        <v>274</v>
      </c>
      <c r="K206" t="s">
        <v>3719</v>
      </c>
      <c r="P206" t="s">
        <v>492</v>
      </c>
      <c r="Q206" t="s">
        <v>501</v>
      </c>
      <c r="S206" t="s">
        <v>503</v>
      </c>
      <c r="T206" t="s">
        <v>508</v>
      </c>
      <c r="U206" t="s">
        <v>511</v>
      </c>
      <c r="V206">
        <v>10301</v>
      </c>
      <c r="W206" t="s">
        <v>520</v>
      </c>
      <c r="X206" t="s">
        <v>548</v>
      </c>
      <c r="Y206" t="s">
        <v>275</v>
      </c>
      <c r="Z206" t="s">
        <v>3859</v>
      </c>
      <c r="AA206" t="s">
        <v>2162</v>
      </c>
      <c r="AB206" t="s">
        <v>902</v>
      </c>
      <c r="AC206" t="s">
        <v>905</v>
      </c>
      <c r="AF206" t="s">
        <v>923</v>
      </c>
      <c r="AI206">
        <v>0.55</v>
      </c>
      <c r="AJ206" t="s">
        <v>558</v>
      </c>
      <c r="AK206" t="s">
        <v>934</v>
      </c>
      <c r="AM206" t="s">
        <v>973</v>
      </c>
      <c r="AN206" t="s">
        <v>397</v>
      </c>
      <c r="AT206">
        <v>3</v>
      </c>
      <c r="AU206">
        <v>1</v>
      </c>
      <c r="AV206" t="s">
        <v>274</v>
      </c>
      <c r="AW206" t="s">
        <v>3713</v>
      </c>
      <c r="AX206">
        <v>3459</v>
      </c>
      <c r="AY206" t="s">
        <v>273</v>
      </c>
      <c r="BB206">
        <v>0</v>
      </c>
      <c r="BC206">
        <v>0</v>
      </c>
      <c r="BD206">
        <v>0</v>
      </c>
      <c r="BE206">
        <v>0</v>
      </c>
      <c r="BF206" t="s">
        <v>1063</v>
      </c>
      <c r="BG206" t="s">
        <v>5007</v>
      </c>
      <c r="BH206">
        <v>26</v>
      </c>
      <c r="BI206" t="s">
        <v>5070</v>
      </c>
      <c r="BK206">
        <v>828816</v>
      </c>
    </row>
    <row r="207" spans="1:63">
      <c r="A207" s="1">
        <f>HYPERLINK("https://lsnyc.legalserver.org/matter/dynamic-profile/view/1858250","18-1858250")</f>
        <v>0</v>
      </c>
      <c r="B207" t="s">
        <v>4447</v>
      </c>
      <c r="C207" t="s">
        <v>4496</v>
      </c>
      <c r="D207" t="s">
        <v>254</v>
      </c>
      <c r="E207" t="s">
        <v>4502</v>
      </c>
      <c r="F207" t="s">
        <v>273</v>
      </c>
      <c r="G207" t="s">
        <v>275</v>
      </c>
      <c r="H207">
        <v>25.45</v>
      </c>
      <c r="I207" t="s">
        <v>274</v>
      </c>
      <c r="K207" t="s">
        <v>3719</v>
      </c>
      <c r="O207" t="s">
        <v>275</v>
      </c>
      <c r="P207" t="s">
        <v>497</v>
      </c>
      <c r="Q207" t="s">
        <v>501</v>
      </c>
      <c r="S207" t="s">
        <v>503</v>
      </c>
      <c r="T207" t="s">
        <v>508</v>
      </c>
      <c r="U207" t="s">
        <v>511</v>
      </c>
      <c r="V207">
        <v>10304</v>
      </c>
      <c r="W207" t="s">
        <v>528</v>
      </c>
      <c r="X207" t="s">
        <v>549</v>
      </c>
      <c r="Y207" t="s">
        <v>275</v>
      </c>
      <c r="Z207" t="s">
        <v>4665</v>
      </c>
      <c r="AA207" t="s">
        <v>4803</v>
      </c>
      <c r="AB207" t="s">
        <v>902</v>
      </c>
      <c r="AC207" t="s">
        <v>906</v>
      </c>
      <c r="AF207" t="s">
        <v>923</v>
      </c>
      <c r="AI207">
        <v>0.07000000000000001</v>
      </c>
      <c r="AJ207" t="s">
        <v>558</v>
      </c>
      <c r="AK207" t="s">
        <v>933</v>
      </c>
      <c r="AT207">
        <v>3</v>
      </c>
      <c r="AU207">
        <v>3</v>
      </c>
      <c r="AV207" t="s">
        <v>274</v>
      </c>
      <c r="AW207" t="s">
        <v>3713</v>
      </c>
      <c r="AX207">
        <v>3459</v>
      </c>
      <c r="AY207" t="s">
        <v>273</v>
      </c>
      <c r="BB207">
        <v>0</v>
      </c>
      <c r="BC207">
        <v>0</v>
      </c>
      <c r="BD207">
        <v>0</v>
      </c>
      <c r="BE207">
        <v>0</v>
      </c>
      <c r="BF207" t="s">
        <v>1063</v>
      </c>
      <c r="BG207" t="s">
        <v>5008</v>
      </c>
      <c r="BH207">
        <v>54</v>
      </c>
      <c r="BI207" t="s">
        <v>5071</v>
      </c>
      <c r="BK207">
        <v>822073</v>
      </c>
    </row>
    <row r="208" spans="1:63">
      <c r="A208" s="1">
        <f>HYPERLINK("https://lsnyc.legalserver.org/matter/dynamic-profile/view/1858252","18-1858252")</f>
        <v>0</v>
      </c>
      <c r="B208" t="s">
        <v>4447</v>
      </c>
      <c r="C208" t="s">
        <v>4496</v>
      </c>
      <c r="D208" t="s">
        <v>254</v>
      </c>
      <c r="E208" t="s">
        <v>4502</v>
      </c>
      <c r="F208" t="s">
        <v>273</v>
      </c>
      <c r="G208" t="s">
        <v>275</v>
      </c>
      <c r="H208">
        <v>25.45</v>
      </c>
      <c r="I208" t="s">
        <v>274</v>
      </c>
      <c r="K208" t="s">
        <v>3719</v>
      </c>
      <c r="P208" t="s">
        <v>497</v>
      </c>
      <c r="Q208" t="s">
        <v>501</v>
      </c>
      <c r="S208" t="s">
        <v>503</v>
      </c>
      <c r="T208" t="s">
        <v>508</v>
      </c>
      <c r="U208" t="s">
        <v>511</v>
      </c>
      <c r="V208">
        <v>10304</v>
      </c>
      <c r="W208" t="s">
        <v>520</v>
      </c>
      <c r="X208" t="s">
        <v>549</v>
      </c>
      <c r="Y208" t="s">
        <v>275</v>
      </c>
      <c r="Z208" t="s">
        <v>4665</v>
      </c>
      <c r="AA208" t="s">
        <v>4803</v>
      </c>
      <c r="AB208" t="s">
        <v>902</v>
      </c>
      <c r="AC208" t="s">
        <v>906</v>
      </c>
      <c r="AF208" t="s">
        <v>923</v>
      </c>
      <c r="AI208">
        <v>0.07000000000000001</v>
      </c>
      <c r="AJ208" t="s">
        <v>558</v>
      </c>
      <c r="AK208" t="s">
        <v>933</v>
      </c>
      <c r="AT208">
        <v>3</v>
      </c>
      <c r="AU208">
        <v>3</v>
      </c>
      <c r="AV208" t="s">
        <v>274</v>
      </c>
      <c r="AW208" t="s">
        <v>3713</v>
      </c>
      <c r="AX208">
        <v>3459</v>
      </c>
      <c r="AY208" t="s">
        <v>273</v>
      </c>
      <c r="BB208">
        <v>0</v>
      </c>
      <c r="BC208">
        <v>0</v>
      </c>
      <c r="BD208">
        <v>0</v>
      </c>
      <c r="BE208">
        <v>0</v>
      </c>
      <c r="BF208" t="s">
        <v>1063</v>
      </c>
      <c r="BG208" t="s">
        <v>5008</v>
      </c>
      <c r="BH208">
        <v>54</v>
      </c>
      <c r="BI208" t="s">
        <v>5071</v>
      </c>
      <c r="BK208">
        <v>822073</v>
      </c>
    </row>
    <row r="209" spans="1:63">
      <c r="A209" s="1">
        <f>HYPERLINK("https://lsnyc.legalserver.org/matter/dynamic-profile/view/1858254","18-1858254")</f>
        <v>0</v>
      </c>
      <c r="B209" t="s">
        <v>4448</v>
      </c>
      <c r="C209" t="s">
        <v>4496</v>
      </c>
      <c r="D209" t="s">
        <v>254</v>
      </c>
      <c r="E209" t="s">
        <v>4502</v>
      </c>
      <c r="F209" t="s">
        <v>273</v>
      </c>
      <c r="G209" t="s">
        <v>275</v>
      </c>
      <c r="H209">
        <v>29.13</v>
      </c>
      <c r="I209" t="s">
        <v>274</v>
      </c>
      <c r="K209" t="s">
        <v>3719</v>
      </c>
      <c r="O209" t="s">
        <v>275</v>
      </c>
      <c r="P209" t="s">
        <v>497</v>
      </c>
      <c r="Q209" t="s">
        <v>501</v>
      </c>
      <c r="S209" t="s">
        <v>503</v>
      </c>
      <c r="T209" t="s">
        <v>508</v>
      </c>
      <c r="U209" t="s">
        <v>511</v>
      </c>
      <c r="V209">
        <v>10304</v>
      </c>
      <c r="W209" t="s">
        <v>528</v>
      </c>
      <c r="X209" t="s">
        <v>548</v>
      </c>
      <c r="Y209" t="s">
        <v>275</v>
      </c>
      <c r="Z209" t="s">
        <v>4666</v>
      </c>
      <c r="AA209" t="s">
        <v>815</v>
      </c>
      <c r="AB209" t="s">
        <v>902</v>
      </c>
      <c r="AC209" t="s">
        <v>906</v>
      </c>
      <c r="AF209" t="s">
        <v>923</v>
      </c>
      <c r="AI209">
        <v>0.27</v>
      </c>
      <c r="AJ209" t="s">
        <v>558</v>
      </c>
      <c r="AK209" t="s">
        <v>933</v>
      </c>
      <c r="AM209" t="s">
        <v>973</v>
      </c>
      <c r="AN209" t="s">
        <v>1751</v>
      </c>
      <c r="AT209">
        <v>3</v>
      </c>
      <c r="AU209">
        <v>3</v>
      </c>
      <c r="AV209" t="s">
        <v>274</v>
      </c>
      <c r="AW209" t="s">
        <v>3713</v>
      </c>
      <c r="AX209">
        <v>3459</v>
      </c>
      <c r="AY209" t="s">
        <v>273</v>
      </c>
      <c r="BB209">
        <v>0</v>
      </c>
      <c r="BC209">
        <v>0</v>
      </c>
      <c r="BD209">
        <v>0</v>
      </c>
      <c r="BE209">
        <v>0</v>
      </c>
      <c r="BF209" t="s">
        <v>1063</v>
      </c>
      <c r="BG209" t="s">
        <v>3341</v>
      </c>
      <c r="BH209">
        <v>36</v>
      </c>
      <c r="BI209" t="s">
        <v>1280</v>
      </c>
      <c r="BK209">
        <v>822073</v>
      </c>
    </row>
    <row r="210" spans="1:63">
      <c r="A210" s="1">
        <f>HYPERLINK("https://lsnyc.legalserver.org/matter/dynamic-profile/view/1858257","18-1858257")</f>
        <v>0</v>
      </c>
      <c r="B210" t="s">
        <v>4448</v>
      </c>
      <c r="C210" t="s">
        <v>4496</v>
      </c>
      <c r="D210" t="s">
        <v>254</v>
      </c>
      <c r="E210" t="s">
        <v>4502</v>
      </c>
      <c r="F210" t="s">
        <v>273</v>
      </c>
      <c r="G210" t="s">
        <v>275</v>
      </c>
      <c r="H210">
        <v>29.13</v>
      </c>
      <c r="I210" t="s">
        <v>274</v>
      </c>
      <c r="K210" t="s">
        <v>3719</v>
      </c>
      <c r="P210" t="s">
        <v>497</v>
      </c>
      <c r="Q210" t="s">
        <v>501</v>
      </c>
      <c r="S210" t="s">
        <v>503</v>
      </c>
      <c r="T210" t="s">
        <v>508</v>
      </c>
      <c r="U210" t="s">
        <v>511</v>
      </c>
      <c r="V210">
        <v>10304</v>
      </c>
      <c r="W210" t="s">
        <v>520</v>
      </c>
      <c r="X210" t="s">
        <v>548</v>
      </c>
      <c r="Y210" t="s">
        <v>275</v>
      </c>
      <c r="Z210" t="s">
        <v>4666</v>
      </c>
      <c r="AA210" t="s">
        <v>815</v>
      </c>
      <c r="AB210" t="s">
        <v>902</v>
      </c>
      <c r="AC210" t="s">
        <v>906</v>
      </c>
      <c r="AF210" t="s">
        <v>923</v>
      </c>
      <c r="AI210">
        <v>0.27</v>
      </c>
      <c r="AJ210" t="s">
        <v>558</v>
      </c>
      <c r="AK210" t="s">
        <v>933</v>
      </c>
      <c r="AM210" t="s">
        <v>973</v>
      </c>
      <c r="AN210" t="s">
        <v>1751</v>
      </c>
      <c r="AT210">
        <v>3</v>
      </c>
      <c r="AU210">
        <v>3</v>
      </c>
      <c r="AV210" t="s">
        <v>274</v>
      </c>
      <c r="AW210" t="s">
        <v>3713</v>
      </c>
      <c r="AX210">
        <v>3459</v>
      </c>
      <c r="AY210" t="s">
        <v>273</v>
      </c>
      <c r="BB210">
        <v>0</v>
      </c>
      <c r="BC210">
        <v>0</v>
      </c>
      <c r="BD210">
        <v>0</v>
      </c>
      <c r="BE210">
        <v>0</v>
      </c>
      <c r="BF210" t="s">
        <v>1063</v>
      </c>
      <c r="BG210" t="s">
        <v>3341</v>
      </c>
      <c r="BH210">
        <v>36</v>
      </c>
      <c r="BI210" t="s">
        <v>1280</v>
      </c>
      <c r="BK210">
        <v>822073</v>
      </c>
    </row>
    <row r="211" spans="1:63">
      <c r="A211" s="1">
        <f>HYPERLINK("https://lsnyc.legalserver.org/matter/dynamic-profile/view/1858405","18-1858405")</f>
        <v>0</v>
      </c>
      <c r="B211" t="s">
        <v>4449</v>
      </c>
      <c r="C211" t="s">
        <v>4496</v>
      </c>
      <c r="D211" t="s">
        <v>254</v>
      </c>
      <c r="E211" t="s">
        <v>4499</v>
      </c>
      <c r="F211" t="s">
        <v>274</v>
      </c>
      <c r="G211" t="s">
        <v>274</v>
      </c>
      <c r="H211">
        <v>134.15</v>
      </c>
      <c r="I211" t="s">
        <v>274</v>
      </c>
      <c r="K211" t="s">
        <v>1761</v>
      </c>
      <c r="O211" t="s">
        <v>274</v>
      </c>
      <c r="P211" t="s">
        <v>499</v>
      </c>
      <c r="Q211" t="s">
        <v>501</v>
      </c>
      <c r="S211" t="s">
        <v>503</v>
      </c>
      <c r="T211" t="s">
        <v>507</v>
      </c>
      <c r="U211" t="s">
        <v>511</v>
      </c>
      <c r="V211">
        <v>10314</v>
      </c>
      <c r="W211" t="s">
        <v>517</v>
      </c>
      <c r="X211" t="s">
        <v>549</v>
      </c>
      <c r="Y211" t="s">
        <v>275</v>
      </c>
      <c r="Z211" t="s">
        <v>2021</v>
      </c>
      <c r="AA211" t="s">
        <v>4804</v>
      </c>
      <c r="AB211" t="s">
        <v>902</v>
      </c>
      <c r="AC211" t="s">
        <v>904</v>
      </c>
      <c r="AF211" t="s">
        <v>923</v>
      </c>
      <c r="AI211">
        <v>3.6</v>
      </c>
      <c r="AJ211" t="s">
        <v>558</v>
      </c>
      <c r="AK211" t="s">
        <v>954</v>
      </c>
      <c r="AT211">
        <v>1</v>
      </c>
      <c r="AU211">
        <v>3</v>
      </c>
      <c r="AV211" t="s">
        <v>273</v>
      </c>
      <c r="AY211" t="s">
        <v>273</v>
      </c>
      <c r="BB211">
        <v>0</v>
      </c>
      <c r="BC211">
        <v>0</v>
      </c>
      <c r="BD211">
        <v>0</v>
      </c>
      <c r="BE211">
        <v>0</v>
      </c>
      <c r="BF211" t="s">
        <v>1063</v>
      </c>
      <c r="BG211" t="s">
        <v>5009</v>
      </c>
      <c r="BH211">
        <v>20</v>
      </c>
      <c r="BI211" t="s">
        <v>1277</v>
      </c>
      <c r="BK211">
        <v>1858975</v>
      </c>
    </row>
    <row r="212" spans="1:63">
      <c r="A212" s="1">
        <f>HYPERLINK("https://lsnyc.legalserver.org/matter/dynamic-profile/view/1858410","18-1858410")</f>
        <v>0</v>
      </c>
      <c r="B212" t="s">
        <v>4450</v>
      </c>
      <c r="C212" t="s">
        <v>4496</v>
      </c>
      <c r="D212" t="s">
        <v>254</v>
      </c>
      <c r="E212" t="s">
        <v>4499</v>
      </c>
      <c r="F212" t="s">
        <v>274</v>
      </c>
      <c r="G212" t="s">
        <v>274</v>
      </c>
      <c r="H212">
        <v>134.15</v>
      </c>
      <c r="I212" t="s">
        <v>274</v>
      </c>
      <c r="K212" t="s">
        <v>1761</v>
      </c>
      <c r="O212" t="s">
        <v>274</v>
      </c>
      <c r="P212" t="s">
        <v>497</v>
      </c>
      <c r="Q212" t="s">
        <v>501</v>
      </c>
      <c r="S212" t="s">
        <v>503</v>
      </c>
      <c r="T212" t="s">
        <v>508</v>
      </c>
      <c r="U212" t="s">
        <v>511</v>
      </c>
      <c r="V212">
        <v>10314</v>
      </c>
      <c r="W212" t="s">
        <v>517</v>
      </c>
      <c r="X212" t="s">
        <v>549</v>
      </c>
      <c r="Y212" t="s">
        <v>275</v>
      </c>
      <c r="Z212" t="s">
        <v>3860</v>
      </c>
      <c r="AA212" t="s">
        <v>4804</v>
      </c>
      <c r="AB212" t="s">
        <v>902</v>
      </c>
      <c r="AC212" t="s">
        <v>904</v>
      </c>
      <c r="AF212" t="s">
        <v>923</v>
      </c>
      <c r="AI212">
        <v>2.8</v>
      </c>
      <c r="AJ212" t="s">
        <v>558</v>
      </c>
      <c r="AK212" t="s">
        <v>954</v>
      </c>
      <c r="AT212">
        <v>1</v>
      </c>
      <c r="AU212">
        <v>3</v>
      </c>
      <c r="AV212" t="s">
        <v>273</v>
      </c>
      <c r="AY212" t="s">
        <v>273</v>
      </c>
      <c r="BB212">
        <v>0</v>
      </c>
      <c r="BC212">
        <v>0</v>
      </c>
      <c r="BD212">
        <v>0</v>
      </c>
      <c r="BE212">
        <v>0</v>
      </c>
      <c r="BF212" t="s">
        <v>1063</v>
      </c>
      <c r="BG212" t="s">
        <v>5010</v>
      </c>
      <c r="BH212">
        <v>17</v>
      </c>
      <c r="BI212" t="s">
        <v>1277</v>
      </c>
      <c r="BK212">
        <v>1858980</v>
      </c>
    </row>
    <row r="213" spans="1:63">
      <c r="A213" s="1">
        <f>HYPERLINK("https://lsnyc.legalserver.org/matter/dynamic-profile/view/1857821","18-1857821")</f>
        <v>0</v>
      </c>
      <c r="B213" t="s">
        <v>4451</v>
      </c>
      <c r="C213" t="s">
        <v>4496</v>
      </c>
      <c r="D213" t="s">
        <v>254</v>
      </c>
      <c r="E213" t="s">
        <v>4501</v>
      </c>
      <c r="F213" t="s">
        <v>273</v>
      </c>
      <c r="G213" t="s">
        <v>275</v>
      </c>
      <c r="H213">
        <v>22.17</v>
      </c>
      <c r="I213" t="s">
        <v>274</v>
      </c>
      <c r="K213" t="s">
        <v>1763</v>
      </c>
      <c r="O213" t="s">
        <v>275</v>
      </c>
      <c r="P213" t="s">
        <v>492</v>
      </c>
      <c r="Q213" t="s">
        <v>501</v>
      </c>
      <c r="S213" t="s">
        <v>503</v>
      </c>
      <c r="T213" t="s">
        <v>508</v>
      </c>
      <c r="U213" t="s">
        <v>511</v>
      </c>
      <c r="V213">
        <v>10302</v>
      </c>
      <c r="W213" t="s">
        <v>518</v>
      </c>
      <c r="X213" t="s">
        <v>548</v>
      </c>
      <c r="Z213" t="s">
        <v>625</v>
      </c>
      <c r="AA213" t="s">
        <v>2214</v>
      </c>
      <c r="AB213" t="s">
        <v>902</v>
      </c>
      <c r="AC213" t="s">
        <v>906</v>
      </c>
      <c r="AF213" t="s">
        <v>926</v>
      </c>
      <c r="AI213">
        <v>8.5</v>
      </c>
      <c r="AJ213" t="s">
        <v>558</v>
      </c>
      <c r="AK213" t="s">
        <v>936</v>
      </c>
      <c r="AT213">
        <v>0</v>
      </c>
      <c r="AU213">
        <v>2</v>
      </c>
      <c r="AV213" t="s">
        <v>274</v>
      </c>
      <c r="AW213" t="s">
        <v>3713</v>
      </c>
      <c r="AX213">
        <v>3459</v>
      </c>
      <c r="AY213" t="s">
        <v>273</v>
      </c>
      <c r="BB213">
        <v>0</v>
      </c>
      <c r="BC213">
        <v>0</v>
      </c>
      <c r="BD213">
        <v>0</v>
      </c>
      <c r="BE213">
        <v>0</v>
      </c>
      <c r="BF213" t="s">
        <v>1063</v>
      </c>
      <c r="BG213" t="s">
        <v>5011</v>
      </c>
      <c r="BH213">
        <v>26</v>
      </c>
      <c r="BI213" t="s">
        <v>2731</v>
      </c>
      <c r="BK213">
        <v>1848549</v>
      </c>
    </row>
    <row r="214" spans="1:63">
      <c r="A214" s="1">
        <f>HYPERLINK("https://lsnyc.legalserver.org/matter/dynamic-profile/view/1857828","18-1857828")</f>
        <v>0</v>
      </c>
      <c r="B214" t="s">
        <v>4452</v>
      </c>
      <c r="C214" t="s">
        <v>4496</v>
      </c>
      <c r="D214" t="s">
        <v>254</v>
      </c>
      <c r="E214" t="s">
        <v>4502</v>
      </c>
      <c r="F214" t="s">
        <v>273</v>
      </c>
      <c r="G214" t="s">
        <v>275</v>
      </c>
      <c r="H214">
        <v>16.68</v>
      </c>
      <c r="I214" t="s">
        <v>274</v>
      </c>
      <c r="K214" t="s">
        <v>1763</v>
      </c>
      <c r="O214" t="s">
        <v>275</v>
      </c>
      <c r="P214" t="s">
        <v>497</v>
      </c>
      <c r="Q214" t="s">
        <v>501</v>
      </c>
      <c r="S214" t="s">
        <v>503</v>
      </c>
      <c r="T214" t="s">
        <v>508</v>
      </c>
      <c r="U214" t="s">
        <v>511</v>
      </c>
      <c r="V214">
        <v>10302</v>
      </c>
      <c r="W214" t="s">
        <v>528</v>
      </c>
      <c r="X214" t="s">
        <v>548</v>
      </c>
      <c r="Z214" t="s">
        <v>3050</v>
      </c>
      <c r="AA214" t="s">
        <v>4805</v>
      </c>
      <c r="AB214" t="s">
        <v>902</v>
      </c>
      <c r="AC214" t="s">
        <v>911</v>
      </c>
      <c r="AF214" t="s">
        <v>923</v>
      </c>
      <c r="AI214">
        <v>0.57</v>
      </c>
      <c r="AJ214" t="s">
        <v>558</v>
      </c>
      <c r="AK214" t="s">
        <v>933</v>
      </c>
      <c r="AM214" t="s">
        <v>973</v>
      </c>
      <c r="AN214" t="s">
        <v>1750</v>
      </c>
      <c r="AT214">
        <v>3</v>
      </c>
      <c r="AU214">
        <v>2</v>
      </c>
      <c r="AV214" t="s">
        <v>274</v>
      </c>
      <c r="AW214" t="s">
        <v>3713</v>
      </c>
      <c r="AX214">
        <v>3459</v>
      </c>
      <c r="AY214" t="s">
        <v>273</v>
      </c>
      <c r="BB214">
        <v>0</v>
      </c>
      <c r="BC214">
        <v>0</v>
      </c>
      <c r="BD214">
        <v>0</v>
      </c>
      <c r="BE214">
        <v>0</v>
      </c>
      <c r="BF214" t="s">
        <v>1063</v>
      </c>
      <c r="BG214" t="s">
        <v>4171</v>
      </c>
      <c r="BH214">
        <v>37</v>
      </c>
      <c r="BI214" t="s">
        <v>2726</v>
      </c>
      <c r="BK214">
        <v>1839901</v>
      </c>
    </row>
    <row r="215" spans="1:63">
      <c r="A215" s="1">
        <f>HYPERLINK("https://lsnyc.legalserver.org/matter/dynamic-profile/view/1857832","18-1857832")</f>
        <v>0</v>
      </c>
      <c r="B215" t="s">
        <v>4452</v>
      </c>
      <c r="C215" t="s">
        <v>4496</v>
      </c>
      <c r="D215" t="s">
        <v>254</v>
      </c>
      <c r="E215" t="s">
        <v>4502</v>
      </c>
      <c r="F215" t="s">
        <v>273</v>
      </c>
      <c r="G215" t="s">
        <v>275</v>
      </c>
      <c r="H215">
        <v>16.68</v>
      </c>
      <c r="I215" t="s">
        <v>274</v>
      </c>
      <c r="K215" t="s">
        <v>1763</v>
      </c>
      <c r="P215" t="s">
        <v>497</v>
      </c>
      <c r="Q215" t="s">
        <v>501</v>
      </c>
      <c r="S215" t="s">
        <v>503</v>
      </c>
      <c r="T215" t="s">
        <v>508</v>
      </c>
      <c r="U215" t="s">
        <v>511</v>
      </c>
      <c r="V215">
        <v>10302</v>
      </c>
      <c r="W215" t="s">
        <v>520</v>
      </c>
      <c r="X215" t="s">
        <v>548</v>
      </c>
      <c r="Z215" t="s">
        <v>3050</v>
      </c>
      <c r="AA215" t="s">
        <v>4805</v>
      </c>
      <c r="AB215" t="s">
        <v>902</v>
      </c>
      <c r="AC215" t="s">
        <v>911</v>
      </c>
      <c r="AF215" t="s">
        <v>923</v>
      </c>
      <c r="AI215">
        <v>0.77</v>
      </c>
      <c r="AJ215" t="s">
        <v>558</v>
      </c>
      <c r="AK215" t="s">
        <v>933</v>
      </c>
      <c r="AM215" t="s">
        <v>973</v>
      </c>
      <c r="AN215" t="s">
        <v>1750</v>
      </c>
      <c r="AT215">
        <v>3</v>
      </c>
      <c r="AU215">
        <v>2</v>
      </c>
      <c r="AV215" t="s">
        <v>274</v>
      </c>
      <c r="AW215" t="s">
        <v>3713</v>
      </c>
      <c r="AX215">
        <v>3459</v>
      </c>
      <c r="AY215" t="s">
        <v>273</v>
      </c>
      <c r="BB215">
        <v>0</v>
      </c>
      <c r="BC215">
        <v>0</v>
      </c>
      <c r="BD215">
        <v>0</v>
      </c>
      <c r="BE215">
        <v>0</v>
      </c>
      <c r="BF215" t="s">
        <v>1063</v>
      </c>
      <c r="BG215" t="s">
        <v>4171</v>
      </c>
      <c r="BH215">
        <v>37</v>
      </c>
      <c r="BI215" t="s">
        <v>2726</v>
      </c>
      <c r="BK215">
        <v>1839901</v>
      </c>
    </row>
    <row r="216" spans="1:63">
      <c r="A216" s="1">
        <f>HYPERLINK("https://lsnyc.legalserver.org/matter/dynamic-profile/view/1857471","18-1857471")</f>
        <v>0</v>
      </c>
      <c r="B216" t="s">
        <v>4453</v>
      </c>
      <c r="C216" t="s">
        <v>4496</v>
      </c>
      <c r="D216" t="s">
        <v>254</v>
      </c>
      <c r="E216" t="s">
        <v>4501</v>
      </c>
      <c r="F216" t="s">
        <v>273</v>
      </c>
      <c r="G216" t="s">
        <v>275</v>
      </c>
      <c r="H216">
        <v>192.12</v>
      </c>
      <c r="I216" t="s">
        <v>274</v>
      </c>
      <c r="K216" t="s">
        <v>4519</v>
      </c>
      <c r="P216" t="s">
        <v>492</v>
      </c>
      <c r="Q216" t="s">
        <v>501</v>
      </c>
      <c r="S216" t="s">
        <v>503</v>
      </c>
      <c r="T216" t="s">
        <v>508</v>
      </c>
      <c r="U216" t="s">
        <v>511</v>
      </c>
      <c r="V216">
        <v>10303</v>
      </c>
      <c r="W216" t="s">
        <v>1829</v>
      </c>
      <c r="X216" t="s">
        <v>548</v>
      </c>
      <c r="Z216" t="s">
        <v>1905</v>
      </c>
      <c r="AA216" t="s">
        <v>773</v>
      </c>
      <c r="AB216" t="s">
        <v>902</v>
      </c>
      <c r="AC216" t="s">
        <v>906</v>
      </c>
      <c r="AF216" t="s">
        <v>923</v>
      </c>
      <c r="AI216">
        <v>26.4</v>
      </c>
      <c r="AJ216" t="s">
        <v>558</v>
      </c>
      <c r="AK216" t="s">
        <v>934</v>
      </c>
      <c r="AM216" t="s">
        <v>973</v>
      </c>
      <c r="AN216" t="s">
        <v>4840</v>
      </c>
      <c r="AT216">
        <v>0</v>
      </c>
      <c r="AU216">
        <v>2</v>
      </c>
      <c r="AV216" t="s">
        <v>274</v>
      </c>
      <c r="AW216" t="s">
        <v>3713</v>
      </c>
      <c r="AX216">
        <v>3459</v>
      </c>
      <c r="AY216" t="s">
        <v>273</v>
      </c>
      <c r="BB216">
        <v>0</v>
      </c>
      <c r="BC216">
        <v>0</v>
      </c>
      <c r="BD216">
        <v>0</v>
      </c>
      <c r="BE216">
        <v>0</v>
      </c>
      <c r="BF216" t="s">
        <v>1063</v>
      </c>
      <c r="BG216" t="s">
        <v>2685</v>
      </c>
      <c r="BH216">
        <v>28</v>
      </c>
      <c r="BI216" t="s">
        <v>2766</v>
      </c>
      <c r="BK216">
        <v>1852479</v>
      </c>
    </row>
    <row r="217" spans="1:63">
      <c r="A217" s="1">
        <f>HYPERLINK("https://lsnyc.legalserver.org/matter/dynamic-profile/view/1853857","17-1853857")</f>
        <v>0</v>
      </c>
      <c r="B217" t="s">
        <v>4454</v>
      </c>
      <c r="C217" t="s">
        <v>4496</v>
      </c>
      <c r="D217" t="s">
        <v>254</v>
      </c>
      <c r="E217" t="s">
        <v>4501</v>
      </c>
      <c r="F217" t="s">
        <v>273</v>
      </c>
      <c r="G217" t="s">
        <v>275</v>
      </c>
      <c r="H217">
        <v>50.93</v>
      </c>
      <c r="I217" t="s">
        <v>274</v>
      </c>
      <c r="K217" t="s">
        <v>4520</v>
      </c>
      <c r="O217" t="s">
        <v>275</v>
      </c>
      <c r="P217" t="s">
        <v>492</v>
      </c>
      <c r="Q217" t="s">
        <v>501</v>
      </c>
      <c r="S217" t="s">
        <v>503</v>
      </c>
      <c r="T217" t="s">
        <v>508</v>
      </c>
      <c r="U217" t="s">
        <v>511</v>
      </c>
      <c r="V217">
        <v>10301</v>
      </c>
      <c r="W217" t="s">
        <v>518</v>
      </c>
      <c r="X217" t="s">
        <v>548</v>
      </c>
      <c r="Z217" t="s">
        <v>4667</v>
      </c>
      <c r="AA217" t="s">
        <v>4798</v>
      </c>
      <c r="AB217" t="s">
        <v>902</v>
      </c>
      <c r="AC217" t="s">
        <v>905</v>
      </c>
      <c r="AF217" t="s">
        <v>926</v>
      </c>
      <c r="AI217">
        <v>78</v>
      </c>
      <c r="AK217" t="s">
        <v>934</v>
      </c>
      <c r="AL217" t="s">
        <v>274</v>
      </c>
      <c r="AM217" t="s">
        <v>973</v>
      </c>
      <c r="AN217" t="s">
        <v>4517</v>
      </c>
      <c r="AT217">
        <v>2</v>
      </c>
      <c r="AU217">
        <v>1</v>
      </c>
      <c r="AV217" t="s">
        <v>273</v>
      </c>
      <c r="AY217" t="s">
        <v>273</v>
      </c>
      <c r="BB217">
        <v>0</v>
      </c>
      <c r="BC217">
        <v>0</v>
      </c>
      <c r="BD217">
        <v>0</v>
      </c>
      <c r="BE217">
        <v>0</v>
      </c>
      <c r="BF217" t="s">
        <v>1063</v>
      </c>
      <c r="BG217" t="s">
        <v>5012</v>
      </c>
      <c r="BH217">
        <v>28</v>
      </c>
      <c r="BI217" t="s">
        <v>1301</v>
      </c>
      <c r="BK217">
        <v>1854406</v>
      </c>
    </row>
    <row r="218" spans="1:63">
      <c r="A218" s="1">
        <f>HYPERLINK("https://lsnyc.legalserver.org/matter/dynamic-profile/view/1857090","18-1857090")</f>
        <v>0</v>
      </c>
      <c r="B218" t="s">
        <v>4455</v>
      </c>
      <c r="C218" t="s">
        <v>4496</v>
      </c>
      <c r="D218" t="s">
        <v>254</v>
      </c>
      <c r="E218" t="s">
        <v>4499</v>
      </c>
      <c r="F218" t="s">
        <v>273</v>
      </c>
      <c r="G218" t="s">
        <v>275</v>
      </c>
      <c r="H218">
        <v>36.41</v>
      </c>
      <c r="I218" t="s">
        <v>274</v>
      </c>
      <c r="K218" t="s">
        <v>4521</v>
      </c>
      <c r="Q218" t="s">
        <v>501</v>
      </c>
      <c r="S218" t="s">
        <v>503</v>
      </c>
      <c r="T218" t="s">
        <v>508</v>
      </c>
      <c r="U218" t="s">
        <v>511</v>
      </c>
      <c r="V218">
        <v>10302</v>
      </c>
      <c r="W218" t="s">
        <v>518</v>
      </c>
      <c r="X218" t="s">
        <v>548</v>
      </c>
      <c r="Y218" t="s">
        <v>275</v>
      </c>
      <c r="Z218" t="s">
        <v>4668</v>
      </c>
      <c r="AA218" t="s">
        <v>4806</v>
      </c>
      <c r="AB218" t="s">
        <v>902</v>
      </c>
      <c r="AC218" t="s">
        <v>906</v>
      </c>
      <c r="AF218" t="s">
        <v>926</v>
      </c>
      <c r="AI218">
        <v>4.7</v>
      </c>
      <c r="AJ218" t="s">
        <v>558</v>
      </c>
      <c r="AK218" t="s">
        <v>941</v>
      </c>
      <c r="AT218">
        <v>4</v>
      </c>
      <c r="AU218">
        <v>2</v>
      </c>
      <c r="AV218" t="s">
        <v>274</v>
      </c>
      <c r="AW218" t="s">
        <v>3713</v>
      </c>
      <c r="AX218">
        <v>3459</v>
      </c>
      <c r="AY218" t="s">
        <v>273</v>
      </c>
      <c r="BB218">
        <v>0</v>
      </c>
      <c r="BC218">
        <v>0</v>
      </c>
      <c r="BD218">
        <v>0</v>
      </c>
      <c r="BE218">
        <v>0</v>
      </c>
      <c r="BF218" t="s">
        <v>1063</v>
      </c>
      <c r="BG218" t="s">
        <v>5013</v>
      </c>
      <c r="BH218">
        <v>14</v>
      </c>
      <c r="BI218" t="s">
        <v>1267</v>
      </c>
      <c r="BK218">
        <v>817334</v>
      </c>
    </row>
    <row r="219" spans="1:63">
      <c r="A219" s="1">
        <f>HYPERLINK("https://lsnyc.legalserver.org/matter/dynamic-profile/view/1857097","18-1857097")</f>
        <v>0</v>
      </c>
      <c r="B219" t="s">
        <v>4456</v>
      </c>
      <c r="C219" t="s">
        <v>4496</v>
      </c>
      <c r="D219" t="s">
        <v>254</v>
      </c>
      <c r="E219" t="s">
        <v>4499</v>
      </c>
      <c r="F219" t="s">
        <v>273</v>
      </c>
      <c r="G219" t="s">
        <v>275</v>
      </c>
      <c r="H219">
        <v>36.41</v>
      </c>
      <c r="I219" t="s">
        <v>274</v>
      </c>
      <c r="K219" t="s">
        <v>4521</v>
      </c>
      <c r="P219" t="s">
        <v>492</v>
      </c>
      <c r="Q219" t="s">
        <v>501</v>
      </c>
      <c r="S219" t="s">
        <v>503</v>
      </c>
      <c r="T219" t="s">
        <v>508</v>
      </c>
      <c r="U219" t="s">
        <v>511</v>
      </c>
      <c r="V219">
        <v>10302</v>
      </c>
      <c r="W219" t="s">
        <v>518</v>
      </c>
      <c r="X219" t="s">
        <v>548</v>
      </c>
      <c r="Y219" t="s">
        <v>275</v>
      </c>
      <c r="Z219" t="s">
        <v>1952</v>
      </c>
      <c r="AA219" t="s">
        <v>4806</v>
      </c>
      <c r="AB219" t="s">
        <v>902</v>
      </c>
      <c r="AC219" t="s">
        <v>906</v>
      </c>
      <c r="AF219" t="s">
        <v>926</v>
      </c>
      <c r="AI219">
        <v>4.5</v>
      </c>
      <c r="AJ219" t="s">
        <v>558</v>
      </c>
      <c r="AK219" t="s">
        <v>941</v>
      </c>
      <c r="AT219">
        <v>4</v>
      </c>
      <c r="AU219">
        <v>2</v>
      </c>
      <c r="AV219" t="s">
        <v>274</v>
      </c>
      <c r="AW219" t="s">
        <v>3713</v>
      </c>
      <c r="AX219">
        <v>3459</v>
      </c>
      <c r="AY219" t="s">
        <v>273</v>
      </c>
      <c r="BB219">
        <v>0</v>
      </c>
      <c r="BC219">
        <v>0</v>
      </c>
      <c r="BD219">
        <v>0</v>
      </c>
      <c r="BE219">
        <v>0</v>
      </c>
      <c r="BF219" t="s">
        <v>1063</v>
      </c>
      <c r="BG219" t="s">
        <v>5014</v>
      </c>
      <c r="BH219">
        <v>12</v>
      </c>
      <c r="BI219" t="s">
        <v>1267</v>
      </c>
      <c r="BK219">
        <v>817334</v>
      </c>
    </row>
    <row r="220" spans="1:63">
      <c r="A220" s="1">
        <f>HYPERLINK("https://lsnyc.legalserver.org/matter/dynamic-profile/view/1856186","18-1856186")</f>
        <v>0</v>
      </c>
      <c r="B220" t="s">
        <v>4387</v>
      </c>
      <c r="C220" t="s">
        <v>4496</v>
      </c>
      <c r="D220" t="s">
        <v>254</v>
      </c>
      <c r="E220" t="s">
        <v>4499</v>
      </c>
      <c r="F220" t="s">
        <v>273</v>
      </c>
      <c r="G220" t="s">
        <v>275</v>
      </c>
      <c r="H220">
        <v>0</v>
      </c>
      <c r="I220" t="s">
        <v>274</v>
      </c>
      <c r="K220" t="s">
        <v>1019</v>
      </c>
      <c r="Q220" t="s">
        <v>501</v>
      </c>
      <c r="S220" t="s">
        <v>503</v>
      </c>
      <c r="T220" t="s">
        <v>507</v>
      </c>
      <c r="U220" t="s">
        <v>511</v>
      </c>
      <c r="V220">
        <v>10314</v>
      </c>
      <c r="W220" t="s">
        <v>541</v>
      </c>
      <c r="X220" t="s">
        <v>549</v>
      </c>
      <c r="Y220" t="s">
        <v>275</v>
      </c>
      <c r="Z220" t="s">
        <v>4624</v>
      </c>
      <c r="AA220" t="s">
        <v>3160</v>
      </c>
      <c r="AB220" t="s">
        <v>902</v>
      </c>
      <c r="AC220" t="s">
        <v>910</v>
      </c>
      <c r="AF220" t="s">
        <v>923</v>
      </c>
      <c r="AI220">
        <v>4</v>
      </c>
      <c r="AJ220" t="s">
        <v>558</v>
      </c>
      <c r="AK220" t="s">
        <v>954</v>
      </c>
      <c r="AM220" t="s">
        <v>973</v>
      </c>
      <c r="AN220" t="s">
        <v>1019</v>
      </c>
      <c r="AT220">
        <v>0</v>
      </c>
      <c r="AU220">
        <v>1</v>
      </c>
      <c r="AV220" t="s">
        <v>274</v>
      </c>
      <c r="AW220" t="s">
        <v>4860</v>
      </c>
      <c r="AX220">
        <v>3459</v>
      </c>
      <c r="AY220" t="s">
        <v>273</v>
      </c>
      <c r="BB220">
        <v>0</v>
      </c>
      <c r="BC220">
        <v>0</v>
      </c>
      <c r="BD220">
        <v>0</v>
      </c>
      <c r="BE220">
        <v>0</v>
      </c>
      <c r="BF220" t="s">
        <v>1063</v>
      </c>
      <c r="BG220" t="s">
        <v>4953</v>
      </c>
      <c r="BH220">
        <v>57</v>
      </c>
      <c r="BI220" t="s">
        <v>1247</v>
      </c>
      <c r="BK220">
        <v>818859</v>
      </c>
    </row>
    <row r="221" spans="1:63">
      <c r="A221" s="1">
        <f>HYPERLINK("https://lsnyc.legalserver.org/matter/dynamic-profile/view/1856261","18-1856261")</f>
        <v>0</v>
      </c>
      <c r="B221" t="s">
        <v>4457</v>
      </c>
      <c r="C221" t="s">
        <v>4496</v>
      </c>
      <c r="D221" t="s">
        <v>254</v>
      </c>
      <c r="E221" t="s">
        <v>4499</v>
      </c>
      <c r="F221" t="s">
        <v>273</v>
      </c>
      <c r="G221" t="s">
        <v>275</v>
      </c>
      <c r="H221">
        <v>81.95</v>
      </c>
      <c r="I221" t="s">
        <v>274</v>
      </c>
      <c r="K221" t="s">
        <v>1019</v>
      </c>
      <c r="P221" t="s">
        <v>492</v>
      </c>
      <c r="Q221" t="s">
        <v>501</v>
      </c>
      <c r="S221" t="s">
        <v>503</v>
      </c>
      <c r="T221" t="s">
        <v>508</v>
      </c>
      <c r="U221" t="s">
        <v>511</v>
      </c>
      <c r="V221">
        <v>10301</v>
      </c>
      <c r="W221" t="s">
        <v>518</v>
      </c>
      <c r="X221" t="s">
        <v>548</v>
      </c>
      <c r="Y221" t="s">
        <v>275</v>
      </c>
      <c r="Z221" t="s">
        <v>4669</v>
      </c>
      <c r="AA221" t="s">
        <v>4807</v>
      </c>
      <c r="AB221" t="s">
        <v>902</v>
      </c>
      <c r="AC221" t="s">
        <v>912</v>
      </c>
      <c r="AF221" t="s">
        <v>926</v>
      </c>
      <c r="AI221">
        <v>2.8</v>
      </c>
      <c r="AJ221" t="s">
        <v>558</v>
      </c>
      <c r="AK221" t="s">
        <v>934</v>
      </c>
      <c r="AT221">
        <v>2</v>
      </c>
      <c r="AU221">
        <v>2</v>
      </c>
      <c r="AV221" t="s">
        <v>274</v>
      </c>
      <c r="AW221" t="s">
        <v>3713</v>
      </c>
      <c r="AX221">
        <v>3459</v>
      </c>
      <c r="AY221" t="s">
        <v>273</v>
      </c>
      <c r="BB221">
        <v>0</v>
      </c>
      <c r="BC221">
        <v>0</v>
      </c>
      <c r="BD221">
        <v>0</v>
      </c>
      <c r="BE221">
        <v>0</v>
      </c>
      <c r="BF221" t="s">
        <v>1063</v>
      </c>
      <c r="BG221" t="s">
        <v>5015</v>
      </c>
      <c r="BH221">
        <v>6</v>
      </c>
      <c r="BI221" t="s">
        <v>5072</v>
      </c>
      <c r="BK221">
        <v>821935</v>
      </c>
    </row>
    <row r="222" spans="1:63">
      <c r="A222" s="1">
        <f>HYPERLINK("https://lsnyc.legalserver.org/matter/dynamic-profile/view/1856264","18-1856264")</f>
        <v>0</v>
      </c>
      <c r="B222" t="s">
        <v>4458</v>
      </c>
      <c r="C222" t="s">
        <v>4496</v>
      </c>
      <c r="D222" t="s">
        <v>254</v>
      </c>
      <c r="E222" t="s">
        <v>4499</v>
      </c>
      <c r="F222" t="s">
        <v>273</v>
      </c>
      <c r="G222" t="s">
        <v>275</v>
      </c>
      <c r="H222">
        <v>0</v>
      </c>
      <c r="I222" t="s">
        <v>274</v>
      </c>
      <c r="K222" t="s">
        <v>1019</v>
      </c>
      <c r="O222" t="s">
        <v>275</v>
      </c>
      <c r="P222" t="s">
        <v>492</v>
      </c>
      <c r="Q222" t="s">
        <v>501</v>
      </c>
      <c r="S222" t="s">
        <v>503</v>
      </c>
      <c r="T222" t="s">
        <v>508</v>
      </c>
      <c r="U222" t="s">
        <v>511</v>
      </c>
      <c r="V222">
        <v>10305</v>
      </c>
      <c r="W222" t="s">
        <v>518</v>
      </c>
      <c r="X222" t="s">
        <v>548</v>
      </c>
      <c r="Y222" t="s">
        <v>275</v>
      </c>
      <c r="Z222" t="s">
        <v>4670</v>
      </c>
      <c r="AA222" t="s">
        <v>4808</v>
      </c>
      <c r="AB222" t="s">
        <v>902</v>
      </c>
      <c r="AC222" t="s">
        <v>2358</v>
      </c>
      <c r="AF222" t="s">
        <v>926</v>
      </c>
      <c r="AI222">
        <v>3.2</v>
      </c>
      <c r="AJ222" t="s">
        <v>558</v>
      </c>
      <c r="AK222" t="s">
        <v>934</v>
      </c>
      <c r="AT222">
        <v>3</v>
      </c>
      <c r="AU222">
        <v>3</v>
      </c>
      <c r="AV222" t="s">
        <v>274</v>
      </c>
      <c r="AW222" t="s">
        <v>3713</v>
      </c>
      <c r="AX222">
        <v>3459</v>
      </c>
      <c r="AY222" t="s">
        <v>273</v>
      </c>
      <c r="BB222">
        <v>0</v>
      </c>
      <c r="BC222">
        <v>0</v>
      </c>
      <c r="BD222">
        <v>0</v>
      </c>
      <c r="BE222">
        <v>0</v>
      </c>
      <c r="BF222" t="s">
        <v>1063</v>
      </c>
      <c r="BG222" t="s">
        <v>5016</v>
      </c>
      <c r="BH222">
        <v>4</v>
      </c>
      <c r="BI222" t="s">
        <v>1247</v>
      </c>
      <c r="BK222">
        <v>809213</v>
      </c>
    </row>
    <row r="223" spans="1:63">
      <c r="A223" s="1">
        <f>HYPERLINK("https://lsnyc.legalserver.org/matter/dynamic-profile/view/1853018","17-1853018")</f>
        <v>0</v>
      </c>
      <c r="B223" t="s">
        <v>4459</v>
      </c>
      <c r="C223" t="s">
        <v>4496</v>
      </c>
      <c r="D223" t="s">
        <v>251</v>
      </c>
      <c r="E223" t="s">
        <v>4500</v>
      </c>
      <c r="F223" t="s">
        <v>273</v>
      </c>
      <c r="G223" t="s">
        <v>275</v>
      </c>
      <c r="H223">
        <v>0</v>
      </c>
      <c r="I223" t="s">
        <v>274</v>
      </c>
      <c r="K223" t="s">
        <v>4522</v>
      </c>
      <c r="O223" t="s">
        <v>275</v>
      </c>
      <c r="P223" t="s">
        <v>492</v>
      </c>
      <c r="Q223" t="s">
        <v>501</v>
      </c>
      <c r="S223" t="s">
        <v>503</v>
      </c>
      <c r="T223" t="s">
        <v>508</v>
      </c>
      <c r="U223" t="s">
        <v>511</v>
      </c>
      <c r="V223">
        <v>11901</v>
      </c>
      <c r="W223" t="s">
        <v>519</v>
      </c>
      <c r="X223" t="s">
        <v>548</v>
      </c>
      <c r="Z223" t="s">
        <v>584</v>
      </c>
      <c r="AA223" t="s">
        <v>4809</v>
      </c>
      <c r="AB223" t="s">
        <v>902</v>
      </c>
      <c r="AC223" t="s">
        <v>905</v>
      </c>
      <c r="AF223" t="s">
        <v>926</v>
      </c>
      <c r="AI223">
        <v>27</v>
      </c>
      <c r="AK223" t="s">
        <v>941</v>
      </c>
      <c r="AM223" t="s">
        <v>973</v>
      </c>
      <c r="AN223" t="s">
        <v>4518</v>
      </c>
      <c r="AT223">
        <v>1</v>
      </c>
      <c r="AU223">
        <v>1</v>
      </c>
      <c r="AV223" t="s">
        <v>273</v>
      </c>
      <c r="AY223" t="s">
        <v>273</v>
      </c>
      <c r="BB223">
        <v>0</v>
      </c>
      <c r="BC223">
        <v>0</v>
      </c>
      <c r="BD223">
        <v>0</v>
      </c>
      <c r="BE223">
        <v>0</v>
      </c>
      <c r="BF223" t="s">
        <v>1063</v>
      </c>
      <c r="BG223" t="s">
        <v>1086</v>
      </c>
      <c r="BH223">
        <v>42</v>
      </c>
      <c r="BI223" t="s">
        <v>1247</v>
      </c>
      <c r="BK223">
        <v>1853562</v>
      </c>
    </row>
    <row r="224" spans="1:63">
      <c r="A224" s="1">
        <f>HYPERLINK("https://lsnyc.legalserver.org/matter/dynamic-profile/view/1853057","17-1853057")</f>
        <v>0</v>
      </c>
      <c r="B224" t="s">
        <v>4460</v>
      </c>
      <c r="C224" t="s">
        <v>4496</v>
      </c>
      <c r="D224" t="s">
        <v>254</v>
      </c>
      <c r="E224" t="s">
        <v>4499</v>
      </c>
      <c r="F224" t="s">
        <v>273</v>
      </c>
      <c r="G224" t="s">
        <v>275</v>
      </c>
      <c r="H224">
        <v>0</v>
      </c>
      <c r="I224" t="s">
        <v>274</v>
      </c>
      <c r="K224" t="s">
        <v>4522</v>
      </c>
      <c r="O224" t="s">
        <v>275</v>
      </c>
      <c r="Q224" t="s">
        <v>501</v>
      </c>
      <c r="S224" t="s">
        <v>503</v>
      </c>
      <c r="T224" t="s">
        <v>507</v>
      </c>
      <c r="U224" t="s">
        <v>511</v>
      </c>
      <c r="V224">
        <v>10304</v>
      </c>
      <c r="W224" t="s">
        <v>532</v>
      </c>
      <c r="X224" t="s">
        <v>548</v>
      </c>
      <c r="Y224" t="s">
        <v>275</v>
      </c>
      <c r="Z224" t="s">
        <v>4671</v>
      </c>
      <c r="AA224" t="s">
        <v>611</v>
      </c>
      <c r="AB224" t="s">
        <v>902</v>
      </c>
      <c r="AC224" t="s">
        <v>907</v>
      </c>
      <c r="AF224" t="s">
        <v>923</v>
      </c>
      <c r="AI224">
        <v>29.4</v>
      </c>
      <c r="AJ224" t="s">
        <v>558</v>
      </c>
      <c r="AK224" t="s">
        <v>933</v>
      </c>
      <c r="AT224">
        <v>2</v>
      </c>
      <c r="AU224">
        <v>2</v>
      </c>
      <c r="AV224" t="s">
        <v>274</v>
      </c>
      <c r="AW224" t="s">
        <v>3713</v>
      </c>
      <c r="AX224">
        <v>3459</v>
      </c>
      <c r="AY224" t="s">
        <v>273</v>
      </c>
      <c r="BB224">
        <v>0</v>
      </c>
      <c r="BC224">
        <v>0</v>
      </c>
      <c r="BD224">
        <v>0</v>
      </c>
      <c r="BE224">
        <v>0</v>
      </c>
      <c r="BF224" t="s">
        <v>1063</v>
      </c>
      <c r="BG224" t="s">
        <v>5017</v>
      </c>
      <c r="BH224">
        <v>36</v>
      </c>
      <c r="BI224" t="s">
        <v>1247</v>
      </c>
      <c r="BK224">
        <v>1853601</v>
      </c>
    </row>
    <row r="225" spans="1:63">
      <c r="A225" s="1">
        <f>HYPERLINK("https://lsnyc.legalserver.org/matter/dynamic-profile/view/1854223","17-1854223")</f>
        <v>0</v>
      </c>
      <c r="B225" t="s">
        <v>4408</v>
      </c>
      <c r="C225" t="s">
        <v>4496</v>
      </c>
      <c r="D225" t="s">
        <v>254</v>
      </c>
      <c r="E225" t="s">
        <v>4502</v>
      </c>
      <c r="F225" t="s">
        <v>273</v>
      </c>
      <c r="G225" t="s">
        <v>275</v>
      </c>
      <c r="H225">
        <v>116.26</v>
      </c>
      <c r="I225" t="s">
        <v>274</v>
      </c>
      <c r="K225" t="s">
        <v>4523</v>
      </c>
      <c r="O225" t="s">
        <v>275</v>
      </c>
      <c r="P225" t="s">
        <v>492</v>
      </c>
      <c r="Q225" t="s">
        <v>501</v>
      </c>
      <c r="S225" t="s">
        <v>503</v>
      </c>
      <c r="T225" t="s">
        <v>508</v>
      </c>
      <c r="U225" t="s">
        <v>511</v>
      </c>
      <c r="V225">
        <v>10304</v>
      </c>
      <c r="W225" t="s">
        <v>532</v>
      </c>
      <c r="X225" t="s">
        <v>548</v>
      </c>
      <c r="Z225" t="s">
        <v>4638</v>
      </c>
      <c r="AA225" t="s">
        <v>824</v>
      </c>
      <c r="AB225" t="s">
        <v>902</v>
      </c>
      <c r="AC225" t="s">
        <v>905</v>
      </c>
      <c r="AF225" t="s">
        <v>923</v>
      </c>
      <c r="AI225">
        <v>29.15</v>
      </c>
      <c r="AK225" t="s">
        <v>933</v>
      </c>
      <c r="AM225" t="s">
        <v>973</v>
      </c>
      <c r="AN225" t="s">
        <v>3708</v>
      </c>
      <c r="AT225">
        <v>2</v>
      </c>
      <c r="AU225">
        <v>2</v>
      </c>
      <c r="AV225" t="s">
        <v>273</v>
      </c>
      <c r="AY225" t="s">
        <v>273</v>
      </c>
      <c r="BB225">
        <v>0</v>
      </c>
      <c r="BC225">
        <v>0</v>
      </c>
      <c r="BD225">
        <v>0</v>
      </c>
      <c r="BE225">
        <v>0</v>
      </c>
      <c r="BF225" t="s">
        <v>1063</v>
      </c>
      <c r="BG225" t="s">
        <v>4972</v>
      </c>
      <c r="BH225">
        <v>39</v>
      </c>
      <c r="BI225" t="s">
        <v>4265</v>
      </c>
      <c r="BK225">
        <v>237814</v>
      </c>
    </row>
    <row r="226" spans="1:63">
      <c r="A226" s="1">
        <f>HYPERLINK("https://lsnyc.legalserver.org/matter/dynamic-profile/view/1854178","17-1854178")</f>
        <v>0</v>
      </c>
      <c r="B226" t="s">
        <v>4461</v>
      </c>
      <c r="C226" t="s">
        <v>4496</v>
      </c>
      <c r="D226" t="s">
        <v>253</v>
      </c>
      <c r="E226" t="s">
        <v>4501</v>
      </c>
      <c r="F226" t="s">
        <v>273</v>
      </c>
      <c r="G226" t="s">
        <v>275</v>
      </c>
      <c r="H226">
        <v>107.79</v>
      </c>
      <c r="I226" t="s">
        <v>274</v>
      </c>
      <c r="K226" t="s">
        <v>2399</v>
      </c>
      <c r="O226" t="s">
        <v>275</v>
      </c>
      <c r="P226" t="s">
        <v>492</v>
      </c>
      <c r="Q226" t="s">
        <v>501</v>
      </c>
      <c r="S226" t="s">
        <v>503</v>
      </c>
      <c r="T226" t="s">
        <v>507</v>
      </c>
      <c r="U226" t="s">
        <v>511</v>
      </c>
      <c r="V226">
        <v>11416</v>
      </c>
      <c r="W226" t="s">
        <v>521</v>
      </c>
      <c r="X226" t="s">
        <v>1842</v>
      </c>
      <c r="Z226" t="s">
        <v>4672</v>
      </c>
      <c r="AA226" t="s">
        <v>4810</v>
      </c>
      <c r="AB226" t="s">
        <v>902</v>
      </c>
      <c r="AC226" t="s">
        <v>910</v>
      </c>
      <c r="AF226" t="s">
        <v>923</v>
      </c>
      <c r="AI226">
        <v>17.95</v>
      </c>
      <c r="AJ226" t="s">
        <v>558</v>
      </c>
      <c r="AK226" t="s">
        <v>2375</v>
      </c>
      <c r="AT226">
        <v>0</v>
      </c>
      <c r="AU226">
        <v>1</v>
      </c>
      <c r="AV226" t="s">
        <v>273</v>
      </c>
      <c r="AW226" t="s">
        <v>3713</v>
      </c>
      <c r="AX226">
        <v>3459</v>
      </c>
      <c r="AY226" t="s">
        <v>273</v>
      </c>
      <c r="BB226">
        <v>0</v>
      </c>
      <c r="BC226">
        <v>0</v>
      </c>
      <c r="BD226">
        <v>0</v>
      </c>
      <c r="BE226">
        <v>0</v>
      </c>
      <c r="BF226" t="s">
        <v>1063</v>
      </c>
      <c r="BG226" t="s">
        <v>5018</v>
      </c>
      <c r="BH226">
        <v>25</v>
      </c>
      <c r="BI226" t="s">
        <v>1264</v>
      </c>
      <c r="BK226">
        <v>1854730</v>
      </c>
    </row>
    <row r="227" spans="1:63">
      <c r="A227" s="1">
        <f>HYPERLINK("https://lsnyc.legalserver.org/matter/dynamic-profile/view/1851939","17-1851939")</f>
        <v>0</v>
      </c>
      <c r="B227" t="s">
        <v>4453</v>
      </c>
      <c r="C227" t="s">
        <v>4496</v>
      </c>
      <c r="D227" t="s">
        <v>254</v>
      </c>
      <c r="E227" t="s">
        <v>4501</v>
      </c>
      <c r="F227" t="s">
        <v>273</v>
      </c>
      <c r="G227" t="s">
        <v>275</v>
      </c>
      <c r="H227">
        <v>192.12</v>
      </c>
      <c r="K227" t="s">
        <v>1767</v>
      </c>
      <c r="P227" t="s">
        <v>492</v>
      </c>
      <c r="Q227" t="s">
        <v>501</v>
      </c>
      <c r="S227" t="s">
        <v>503</v>
      </c>
      <c r="T227" t="s">
        <v>508</v>
      </c>
      <c r="U227" t="s">
        <v>511</v>
      </c>
      <c r="V227">
        <v>10303</v>
      </c>
      <c r="W227" t="s">
        <v>518</v>
      </c>
      <c r="X227" t="s">
        <v>548</v>
      </c>
      <c r="Y227" t="s">
        <v>275</v>
      </c>
      <c r="Z227" t="s">
        <v>1905</v>
      </c>
      <c r="AA227" t="s">
        <v>773</v>
      </c>
      <c r="AB227" t="s">
        <v>902</v>
      </c>
      <c r="AC227" t="s">
        <v>906</v>
      </c>
      <c r="AF227" t="s">
        <v>926</v>
      </c>
      <c r="AI227">
        <v>37.5</v>
      </c>
      <c r="AK227" t="s">
        <v>934</v>
      </c>
      <c r="AT227">
        <v>0</v>
      </c>
      <c r="AU227">
        <v>2</v>
      </c>
      <c r="AV227" t="s">
        <v>274</v>
      </c>
      <c r="AW227" t="s">
        <v>3713</v>
      </c>
      <c r="AX227">
        <v>3459</v>
      </c>
      <c r="AY227" t="s">
        <v>273</v>
      </c>
      <c r="BB227">
        <v>0</v>
      </c>
      <c r="BC227">
        <v>0</v>
      </c>
      <c r="BD227">
        <v>0</v>
      </c>
      <c r="BE227">
        <v>0</v>
      </c>
      <c r="BF227" t="s">
        <v>1063</v>
      </c>
      <c r="BG227" t="s">
        <v>2685</v>
      </c>
      <c r="BH227">
        <v>28</v>
      </c>
      <c r="BI227" t="s">
        <v>1254</v>
      </c>
      <c r="BK227">
        <v>1852479</v>
      </c>
    </row>
    <row r="228" spans="1:63">
      <c r="A228" s="1">
        <f>HYPERLINK("https://lsnyc.legalserver.org/matter/dynamic-profile/view/1852970","17-1852970")</f>
        <v>0</v>
      </c>
      <c r="B228" t="s">
        <v>4462</v>
      </c>
      <c r="C228" t="s">
        <v>4496</v>
      </c>
      <c r="D228" t="s">
        <v>254</v>
      </c>
      <c r="E228" t="s">
        <v>4500</v>
      </c>
      <c r="F228" t="s">
        <v>273</v>
      </c>
      <c r="G228" t="s">
        <v>275</v>
      </c>
      <c r="H228">
        <v>96.06</v>
      </c>
      <c r="I228" t="s">
        <v>274</v>
      </c>
      <c r="K228" t="s">
        <v>4524</v>
      </c>
      <c r="P228" t="s">
        <v>492</v>
      </c>
      <c r="Q228" t="s">
        <v>501</v>
      </c>
      <c r="S228" t="s">
        <v>504</v>
      </c>
      <c r="T228" t="s">
        <v>508</v>
      </c>
      <c r="U228" t="s">
        <v>512</v>
      </c>
      <c r="V228">
        <v>10302</v>
      </c>
      <c r="X228" t="s">
        <v>548</v>
      </c>
      <c r="Z228" t="s">
        <v>4673</v>
      </c>
      <c r="AA228" t="s">
        <v>4811</v>
      </c>
      <c r="AB228" t="s">
        <v>902</v>
      </c>
      <c r="AC228" t="s">
        <v>911</v>
      </c>
      <c r="AF228" t="s">
        <v>924</v>
      </c>
      <c r="AI228">
        <v>29.5</v>
      </c>
      <c r="AK228" t="s">
        <v>933</v>
      </c>
      <c r="AL228" t="s">
        <v>274</v>
      </c>
      <c r="AT228">
        <v>1</v>
      </c>
      <c r="AU228">
        <v>1</v>
      </c>
      <c r="AV228" t="s">
        <v>273</v>
      </c>
      <c r="AY228" t="s">
        <v>273</v>
      </c>
      <c r="BB228">
        <v>0</v>
      </c>
      <c r="BC228">
        <v>0</v>
      </c>
      <c r="BD228">
        <v>0</v>
      </c>
      <c r="BE228">
        <v>0</v>
      </c>
      <c r="BF228" t="s">
        <v>1063</v>
      </c>
      <c r="BG228" t="s">
        <v>5019</v>
      </c>
      <c r="BH228">
        <v>30</v>
      </c>
      <c r="BI228" t="s">
        <v>1270</v>
      </c>
      <c r="BK228">
        <v>1853514</v>
      </c>
    </row>
    <row r="229" spans="1:63">
      <c r="A229" s="1">
        <f>HYPERLINK("https://lsnyc.legalserver.org/matter/dynamic-profile/view/1852495","17-1852495")</f>
        <v>0</v>
      </c>
      <c r="B229" t="s">
        <v>4463</v>
      </c>
      <c r="C229" t="s">
        <v>4496</v>
      </c>
      <c r="D229" t="s">
        <v>4497</v>
      </c>
      <c r="E229" t="s">
        <v>4499</v>
      </c>
      <c r="F229" t="s">
        <v>273</v>
      </c>
      <c r="G229" t="s">
        <v>275</v>
      </c>
      <c r="H229">
        <v>169.11</v>
      </c>
      <c r="I229" t="s">
        <v>274</v>
      </c>
      <c r="K229" t="s">
        <v>3726</v>
      </c>
      <c r="O229" t="s">
        <v>275</v>
      </c>
      <c r="Q229" t="s">
        <v>501</v>
      </c>
      <c r="S229" t="s">
        <v>503</v>
      </c>
      <c r="T229" t="s">
        <v>508</v>
      </c>
      <c r="U229" t="s">
        <v>511</v>
      </c>
      <c r="V229">
        <v>8854</v>
      </c>
      <c r="W229" t="s">
        <v>519</v>
      </c>
      <c r="X229" t="s">
        <v>548</v>
      </c>
      <c r="Y229" t="s">
        <v>275</v>
      </c>
      <c r="Z229" t="s">
        <v>4674</v>
      </c>
      <c r="AA229" t="s">
        <v>4812</v>
      </c>
      <c r="AB229" t="s">
        <v>902</v>
      </c>
      <c r="AC229" t="s">
        <v>906</v>
      </c>
      <c r="AD229" t="s">
        <v>275</v>
      </c>
      <c r="AF229" t="s">
        <v>926</v>
      </c>
      <c r="AI229">
        <v>21.1</v>
      </c>
      <c r="AJ229" t="s">
        <v>558</v>
      </c>
      <c r="AK229" t="s">
        <v>936</v>
      </c>
      <c r="AQ229" t="s">
        <v>1033</v>
      </c>
      <c r="AR229" t="s">
        <v>1051</v>
      </c>
      <c r="AT229">
        <v>2</v>
      </c>
      <c r="AU229">
        <v>2</v>
      </c>
      <c r="AV229" t="s">
        <v>274</v>
      </c>
      <c r="AW229" t="s">
        <v>3713</v>
      </c>
      <c r="AX229">
        <v>3459</v>
      </c>
      <c r="AY229" t="s">
        <v>273</v>
      </c>
      <c r="BB229">
        <v>0</v>
      </c>
      <c r="BC229">
        <v>0</v>
      </c>
      <c r="BD229">
        <v>0</v>
      </c>
      <c r="BE229">
        <v>0</v>
      </c>
      <c r="BF229" t="s">
        <v>1063</v>
      </c>
      <c r="BG229" t="s">
        <v>5020</v>
      </c>
      <c r="BH229">
        <v>27</v>
      </c>
      <c r="BI229" t="s">
        <v>2721</v>
      </c>
      <c r="BK229">
        <v>1853039</v>
      </c>
    </row>
    <row r="230" spans="1:63">
      <c r="A230" s="1">
        <f>HYPERLINK("https://lsnyc.legalserver.org/matter/dynamic-profile/view/1852227","17-1852227")</f>
        <v>0</v>
      </c>
      <c r="B230" t="s">
        <v>4319</v>
      </c>
      <c r="C230" t="s">
        <v>4496</v>
      </c>
      <c r="D230" t="s">
        <v>254</v>
      </c>
      <c r="E230" t="s">
        <v>4498</v>
      </c>
      <c r="F230" t="s">
        <v>275</v>
      </c>
      <c r="G230" t="s">
        <v>275</v>
      </c>
      <c r="H230">
        <v>184.11</v>
      </c>
      <c r="I230" t="s">
        <v>274</v>
      </c>
      <c r="K230" t="s">
        <v>4525</v>
      </c>
      <c r="L230" t="s">
        <v>289</v>
      </c>
      <c r="O230" t="s">
        <v>275</v>
      </c>
      <c r="P230" t="s">
        <v>493</v>
      </c>
      <c r="Q230" t="s">
        <v>501</v>
      </c>
      <c r="S230" t="s">
        <v>503</v>
      </c>
      <c r="T230" t="s">
        <v>507</v>
      </c>
      <c r="U230" t="s">
        <v>511</v>
      </c>
      <c r="V230">
        <v>10310</v>
      </c>
      <c r="W230" t="s">
        <v>519</v>
      </c>
      <c r="X230" t="s">
        <v>549</v>
      </c>
      <c r="Z230" t="s">
        <v>4581</v>
      </c>
      <c r="AA230" t="s">
        <v>4711</v>
      </c>
      <c r="AB230" t="s">
        <v>902</v>
      </c>
      <c r="AC230" t="s">
        <v>909</v>
      </c>
      <c r="AD230" t="s">
        <v>275</v>
      </c>
      <c r="AE230" t="s">
        <v>919</v>
      </c>
      <c r="AF230" t="s">
        <v>926</v>
      </c>
      <c r="AI230">
        <v>99.44</v>
      </c>
      <c r="AJ230" t="s">
        <v>558</v>
      </c>
      <c r="AK230" t="s">
        <v>4836</v>
      </c>
      <c r="AQ230" t="s">
        <v>1039</v>
      </c>
      <c r="AR230" t="s">
        <v>1051</v>
      </c>
      <c r="AT230">
        <v>0</v>
      </c>
      <c r="AU230">
        <v>2</v>
      </c>
      <c r="AV230" t="s">
        <v>274</v>
      </c>
      <c r="AW230" t="s">
        <v>3713</v>
      </c>
      <c r="AX230">
        <v>3459</v>
      </c>
      <c r="AY230" t="s">
        <v>273</v>
      </c>
      <c r="BB230">
        <v>0</v>
      </c>
      <c r="BC230">
        <v>0</v>
      </c>
      <c r="BD230">
        <v>0</v>
      </c>
      <c r="BE230">
        <v>0</v>
      </c>
      <c r="BF230" t="s">
        <v>493</v>
      </c>
      <c r="BG230" t="s">
        <v>4887</v>
      </c>
      <c r="BH230">
        <v>26</v>
      </c>
      <c r="BI230" t="s">
        <v>2773</v>
      </c>
      <c r="BK230">
        <v>1852770</v>
      </c>
    </row>
    <row r="231" spans="1:63">
      <c r="A231" s="1">
        <f>HYPERLINK("https://lsnyc.legalserver.org/matter/dynamic-profile/view/1848890","17-1848890")</f>
        <v>0</v>
      </c>
      <c r="B231" t="s">
        <v>4337</v>
      </c>
      <c r="C231" t="s">
        <v>4496</v>
      </c>
      <c r="D231" t="s">
        <v>254</v>
      </c>
      <c r="E231" t="s">
        <v>4502</v>
      </c>
      <c r="F231" t="s">
        <v>273</v>
      </c>
      <c r="G231" t="s">
        <v>275</v>
      </c>
      <c r="H231">
        <v>129.35</v>
      </c>
      <c r="K231" t="s">
        <v>4526</v>
      </c>
      <c r="O231" t="s">
        <v>275</v>
      </c>
      <c r="P231" t="s">
        <v>492</v>
      </c>
      <c r="Q231" t="s">
        <v>501</v>
      </c>
      <c r="S231" t="s">
        <v>503</v>
      </c>
      <c r="T231" t="s">
        <v>507</v>
      </c>
      <c r="U231" t="s">
        <v>511</v>
      </c>
      <c r="V231">
        <v>11104</v>
      </c>
      <c r="W231" t="s">
        <v>536</v>
      </c>
      <c r="X231" t="s">
        <v>548</v>
      </c>
      <c r="Z231" t="s">
        <v>602</v>
      </c>
      <c r="AA231" t="s">
        <v>4726</v>
      </c>
      <c r="AB231" t="s">
        <v>902</v>
      </c>
      <c r="AC231" t="s">
        <v>909</v>
      </c>
      <c r="AF231" t="s">
        <v>923</v>
      </c>
      <c r="AI231">
        <v>29.65</v>
      </c>
      <c r="AK231" t="s">
        <v>933</v>
      </c>
      <c r="AM231" t="s">
        <v>973</v>
      </c>
      <c r="AN231" t="s">
        <v>1738</v>
      </c>
      <c r="AT231">
        <v>0</v>
      </c>
      <c r="AU231">
        <v>1</v>
      </c>
      <c r="AV231" t="s">
        <v>273</v>
      </c>
      <c r="AY231" t="s">
        <v>273</v>
      </c>
      <c r="BB231">
        <v>0</v>
      </c>
      <c r="BC231">
        <v>0</v>
      </c>
      <c r="BD231">
        <v>0</v>
      </c>
      <c r="BE231">
        <v>0</v>
      </c>
      <c r="BF231" t="s">
        <v>1063</v>
      </c>
      <c r="BG231" t="s">
        <v>4904</v>
      </c>
      <c r="BH231">
        <v>36</v>
      </c>
      <c r="BI231" t="s">
        <v>1270</v>
      </c>
      <c r="BK231">
        <v>1849417</v>
      </c>
    </row>
    <row r="232" spans="1:63">
      <c r="A232" s="1">
        <f>HYPERLINK("https://lsnyc.legalserver.org/matter/dynamic-profile/view/1850295","17-1850295")</f>
        <v>0</v>
      </c>
      <c r="B232" t="s">
        <v>4426</v>
      </c>
      <c r="C232" t="s">
        <v>4496</v>
      </c>
      <c r="D232" t="s">
        <v>254</v>
      </c>
      <c r="E232" t="s">
        <v>4499</v>
      </c>
      <c r="F232" t="s">
        <v>273</v>
      </c>
      <c r="G232" t="s">
        <v>275</v>
      </c>
      <c r="H232">
        <v>78.88</v>
      </c>
      <c r="I232" t="s">
        <v>274</v>
      </c>
      <c r="K232" t="s">
        <v>4527</v>
      </c>
      <c r="O232" t="s">
        <v>275</v>
      </c>
      <c r="P232" t="s">
        <v>492</v>
      </c>
      <c r="Q232" t="s">
        <v>501</v>
      </c>
      <c r="S232" t="s">
        <v>503</v>
      </c>
      <c r="T232" t="s">
        <v>507</v>
      </c>
      <c r="U232" t="s">
        <v>511</v>
      </c>
      <c r="V232">
        <v>10301</v>
      </c>
      <c r="W232" t="s">
        <v>519</v>
      </c>
      <c r="X232" t="s">
        <v>548</v>
      </c>
      <c r="Y232" t="s">
        <v>275</v>
      </c>
      <c r="Z232" t="s">
        <v>602</v>
      </c>
      <c r="AA232" t="s">
        <v>4788</v>
      </c>
      <c r="AB232" t="s">
        <v>902</v>
      </c>
      <c r="AC232" t="s">
        <v>911</v>
      </c>
      <c r="AF232" t="s">
        <v>926</v>
      </c>
      <c r="AI232">
        <v>11.5</v>
      </c>
      <c r="AJ232" t="s">
        <v>558</v>
      </c>
      <c r="AK232" t="s">
        <v>933</v>
      </c>
      <c r="AT232">
        <v>3</v>
      </c>
      <c r="AU232">
        <v>3</v>
      </c>
      <c r="AV232" t="s">
        <v>274</v>
      </c>
      <c r="AW232" t="s">
        <v>3713</v>
      </c>
      <c r="AX232">
        <v>3459</v>
      </c>
      <c r="AY232" t="s">
        <v>273</v>
      </c>
      <c r="BB232">
        <v>0</v>
      </c>
      <c r="BC232">
        <v>0</v>
      </c>
      <c r="BD232">
        <v>0</v>
      </c>
      <c r="BE232">
        <v>0</v>
      </c>
      <c r="BF232" t="s">
        <v>1063</v>
      </c>
      <c r="BG232" t="s">
        <v>4988</v>
      </c>
      <c r="BH232">
        <v>37</v>
      </c>
      <c r="BI232" t="s">
        <v>1279</v>
      </c>
      <c r="BK232">
        <v>822200</v>
      </c>
    </row>
    <row r="233" spans="1:63">
      <c r="A233" s="1">
        <f>HYPERLINK("https://lsnyc.legalserver.org/matter/dynamic-profile/view/1850299","17-1850299")</f>
        <v>0</v>
      </c>
      <c r="B233" t="s">
        <v>4424</v>
      </c>
      <c r="C233" t="s">
        <v>4496</v>
      </c>
      <c r="D233" t="s">
        <v>254</v>
      </c>
      <c r="E233" t="s">
        <v>4501</v>
      </c>
      <c r="F233" t="s">
        <v>273</v>
      </c>
      <c r="G233" t="s">
        <v>275</v>
      </c>
      <c r="H233">
        <v>78.88</v>
      </c>
      <c r="I233" t="s">
        <v>274</v>
      </c>
      <c r="K233" t="s">
        <v>4527</v>
      </c>
      <c r="P233" t="s">
        <v>492</v>
      </c>
      <c r="Q233" t="s">
        <v>501</v>
      </c>
      <c r="S233" t="s">
        <v>503</v>
      </c>
      <c r="T233" t="s">
        <v>507</v>
      </c>
      <c r="U233" t="s">
        <v>511</v>
      </c>
      <c r="V233">
        <v>10301</v>
      </c>
      <c r="W233" t="s">
        <v>519</v>
      </c>
      <c r="X233" t="s">
        <v>548</v>
      </c>
      <c r="Z233" t="s">
        <v>4651</v>
      </c>
      <c r="AA233" t="s">
        <v>2241</v>
      </c>
      <c r="AB233" t="s">
        <v>902</v>
      </c>
      <c r="AC233" t="s">
        <v>911</v>
      </c>
      <c r="AF233" t="s">
        <v>926</v>
      </c>
      <c r="AI233">
        <v>11.1</v>
      </c>
      <c r="AJ233" t="s">
        <v>558</v>
      </c>
      <c r="AK233" t="s">
        <v>933</v>
      </c>
      <c r="AT233">
        <v>3</v>
      </c>
      <c r="AU233">
        <v>3</v>
      </c>
      <c r="AV233" t="s">
        <v>275</v>
      </c>
      <c r="AW233" t="s">
        <v>3713</v>
      </c>
      <c r="AX233">
        <v>3459</v>
      </c>
      <c r="AY233" t="s">
        <v>273</v>
      </c>
      <c r="BB233">
        <v>0</v>
      </c>
      <c r="BC233">
        <v>0</v>
      </c>
      <c r="BD233">
        <v>0</v>
      </c>
      <c r="BE233">
        <v>0</v>
      </c>
      <c r="BF233" t="s">
        <v>1063</v>
      </c>
      <c r="BG233" t="s">
        <v>4986</v>
      </c>
      <c r="BH233">
        <v>37</v>
      </c>
      <c r="BI233" t="s">
        <v>1279</v>
      </c>
      <c r="BK233">
        <v>822200</v>
      </c>
    </row>
    <row r="234" spans="1:63">
      <c r="A234" s="1">
        <f>HYPERLINK("https://lsnyc.legalserver.org/matter/dynamic-profile/view/1850235","17-1850235")</f>
        <v>0</v>
      </c>
      <c r="B234" t="s">
        <v>4464</v>
      </c>
      <c r="C234" t="s">
        <v>4496</v>
      </c>
      <c r="D234" t="s">
        <v>253</v>
      </c>
      <c r="E234" t="s">
        <v>4500</v>
      </c>
      <c r="F234" t="s">
        <v>273</v>
      </c>
      <c r="G234" t="s">
        <v>275</v>
      </c>
      <c r="H234">
        <v>150.91</v>
      </c>
      <c r="I234" t="s">
        <v>274</v>
      </c>
      <c r="K234" t="s">
        <v>4528</v>
      </c>
      <c r="O234" t="s">
        <v>275</v>
      </c>
      <c r="P234" t="s">
        <v>492</v>
      </c>
      <c r="Q234" t="s">
        <v>501</v>
      </c>
      <c r="S234" t="s">
        <v>503</v>
      </c>
      <c r="T234" t="s">
        <v>507</v>
      </c>
      <c r="U234" t="s">
        <v>511</v>
      </c>
      <c r="V234">
        <v>11375</v>
      </c>
      <c r="W234" t="s">
        <v>521</v>
      </c>
      <c r="X234" t="s">
        <v>549</v>
      </c>
      <c r="Z234" t="s">
        <v>4675</v>
      </c>
      <c r="AA234" t="s">
        <v>4813</v>
      </c>
      <c r="AB234" t="s">
        <v>902</v>
      </c>
      <c r="AC234" t="s">
        <v>906</v>
      </c>
      <c r="AF234" t="s">
        <v>923</v>
      </c>
      <c r="AI234">
        <v>19.5</v>
      </c>
      <c r="AJ234" t="s">
        <v>558</v>
      </c>
      <c r="AK234" t="s">
        <v>2375</v>
      </c>
      <c r="AT234">
        <v>0</v>
      </c>
      <c r="AU234">
        <v>1</v>
      </c>
      <c r="AV234" t="s">
        <v>274</v>
      </c>
      <c r="AW234" t="s">
        <v>3713</v>
      </c>
      <c r="AX234">
        <v>3459</v>
      </c>
      <c r="AY234" t="s">
        <v>273</v>
      </c>
      <c r="BB234">
        <v>0</v>
      </c>
      <c r="BC234">
        <v>0</v>
      </c>
      <c r="BD234">
        <v>0</v>
      </c>
      <c r="BE234">
        <v>0</v>
      </c>
      <c r="BF234" t="s">
        <v>1063</v>
      </c>
      <c r="BG234" t="s">
        <v>5021</v>
      </c>
      <c r="BH234">
        <v>22</v>
      </c>
      <c r="BI234" t="s">
        <v>1260</v>
      </c>
      <c r="BK234">
        <v>1850771</v>
      </c>
    </row>
    <row r="235" spans="1:63">
      <c r="A235" s="1">
        <f>HYPERLINK("https://lsnyc.legalserver.org/matter/dynamic-profile/view/1847378","17-1847378")</f>
        <v>0</v>
      </c>
      <c r="B235" t="s">
        <v>4465</v>
      </c>
      <c r="C235" t="s">
        <v>4496</v>
      </c>
      <c r="D235" t="s">
        <v>252</v>
      </c>
      <c r="E235" t="s">
        <v>4502</v>
      </c>
      <c r="F235" t="s">
        <v>273</v>
      </c>
      <c r="G235" t="s">
        <v>275</v>
      </c>
      <c r="H235">
        <v>66.33</v>
      </c>
      <c r="I235" t="s">
        <v>274</v>
      </c>
      <c r="K235" t="s">
        <v>4529</v>
      </c>
      <c r="O235" t="s">
        <v>275</v>
      </c>
      <c r="P235" t="s">
        <v>492</v>
      </c>
      <c r="Q235" t="s">
        <v>501</v>
      </c>
      <c r="S235" t="s">
        <v>503</v>
      </c>
      <c r="T235" t="s">
        <v>508</v>
      </c>
      <c r="U235" t="s">
        <v>511</v>
      </c>
      <c r="V235">
        <v>11224</v>
      </c>
      <c r="W235" t="s">
        <v>516</v>
      </c>
      <c r="X235" t="s">
        <v>553</v>
      </c>
      <c r="Z235" t="s">
        <v>4676</v>
      </c>
      <c r="AA235" t="s">
        <v>4814</v>
      </c>
      <c r="AB235" t="s">
        <v>902</v>
      </c>
      <c r="AC235" t="s">
        <v>904</v>
      </c>
      <c r="AF235" t="s">
        <v>923</v>
      </c>
      <c r="AI235">
        <v>60.25</v>
      </c>
      <c r="AK235" t="s">
        <v>948</v>
      </c>
      <c r="AM235" t="s">
        <v>973</v>
      </c>
      <c r="AN235" t="s">
        <v>1769</v>
      </c>
      <c r="AT235">
        <v>0</v>
      </c>
      <c r="AU235">
        <v>1</v>
      </c>
      <c r="AV235" t="s">
        <v>273</v>
      </c>
      <c r="AY235" t="s">
        <v>273</v>
      </c>
      <c r="BB235">
        <v>0</v>
      </c>
      <c r="BC235">
        <v>0</v>
      </c>
      <c r="BD235">
        <v>0</v>
      </c>
      <c r="BE235">
        <v>0</v>
      </c>
      <c r="BF235" t="s">
        <v>1063</v>
      </c>
      <c r="BG235" t="s">
        <v>5022</v>
      </c>
      <c r="BH235">
        <v>72</v>
      </c>
      <c r="BI235" t="s">
        <v>2758</v>
      </c>
      <c r="BK235">
        <v>1847901</v>
      </c>
    </row>
    <row r="236" spans="1:63">
      <c r="A236" s="1">
        <f>HYPERLINK("https://lsnyc.legalserver.org/matter/dynamic-profile/view/1849685","17-1849685")</f>
        <v>0</v>
      </c>
      <c r="B236" t="s">
        <v>4466</v>
      </c>
      <c r="C236" t="s">
        <v>4496</v>
      </c>
      <c r="D236" t="s">
        <v>254</v>
      </c>
      <c r="E236" t="s">
        <v>4501</v>
      </c>
      <c r="F236" t="s">
        <v>273</v>
      </c>
      <c r="G236" t="s">
        <v>275</v>
      </c>
      <c r="H236">
        <v>80.05</v>
      </c>
      <c r="I236" t="s">
        <v>274</v>
      </c>
      <c r="K236" t="s">
        <v>4529</v>
      </c>
      <c r="O236" t="s">
        <v>275</v>
      </c>
      <c r="P236" t="s">
        <v>492</v>
      </c>
      <c r="Q236" t="s">
        <v>501</v>
      </c>
      <c r="S236" t="s">
        <v>503</v>
      </c>
      <c r="T236" t="s">
        <v>507</v>
      </c>
      <c r="U236" t="s">
        <v>511</v>
      </c>
      <c r="V236">
        <v>10302</v>
      </c>
      <c r="W236" t="s">
        <v>518</v>
      </c>
      <c r="X236" t="s">
        <v>548</v>
      </c>
      <c r="Z236" t="s">
        <v>1933</v>
      </c>
      <c r="AA236" t="s">
        <v>4815</v>
      </c>
      <c r="AB236" t="s">
        <v>902</v>
      </c>
      <c r="AC236" t="s">
        <v>906</v>
      </c>
      <c r="AF236" t="s">
        <v>926</v>
      </c>
      <c r="AI236">
        <v>58.5</v>
      </c>
      <c r="AK236" t="s">
        <v>936</v>
      </c>
      <c r="AL236" t="s">
        <v>274</v>
      </c>
      <c r="AM236" t="s">
        <v>973</v>
      </c>
      <c r="AN236" t="s">
        <v>4841</v>
      </c>
      <c r="AT236">
        <v>0</v>
      </c>
      <c r="AU236">
        <v>2</v>
      </c>
      <c r="AV236" t="s">
        <v>273</v>
      </c>
      <c r="AY236" t="s">
        <v>273</v>
      </c>
      <c r="BB236">
        <v>0</v>
      </c>
      <c r="BC236">
        <v>0</v>
      </c>
      <c r="BD236">
        <v>0</v>
      </c>
      <c r="BE236">
        <v>0</v>
      </c>
      <c r="BF236" t="s">
        <v>1063</v>
      </c>
      <c r="BG236" t="s">
        <v>3342</v>
      </c>
      <c r="BH236">
        <v>33</v>
      </c>
      <c r="BI236" t="s">
        <v>1264</v>
      </c>
      <c r="BK236">
        <v>1850219</v>
      </c>
    </row>
    <row r="237" spans="1:63">
      <c r="A237" s="1">
        <f>HYPERLINK("https://lsnyc.legalserver.org/matter/dynamic-profile/view/1847651","17-1847651")</f>
        <v>0</v>
      </c>
      <c r="B237" t="s">
        <v>4467</v>
      </c>
      <c r="C237" t="s">
        <v>4496</v>
      </c>
      <c r="D237" t="s">
        <v>254</v>
      </c>
      <c r="E237" t="s">
        <v>4500</v>
      </c>
      <c r="F237" t="s">
        <v>273</v>
      </c>
      <c r="G237" t="s">
        <v>275</v>
      </c>
      <c r="H237">
        <v>253.66</v>
      </c>
      <c r="I237" t="s">
        <v>274</v>
      </c>
      <c r="J237" t="s">
        <v>4506</v>
      </c>
      <c r="K237" t="s">
        <v>3728</v>
      </c>
      <c r="O237" t="s">
        <v>275</v>
      </c>
      <c r="P237" t="s">
        <v>492</v>
      </c>
      <c r="Q237" t="s">
        <v>501</v>
      </c>
      <c r="S237" t="s">
        <v>503</v>
      </c>
      <c r="T237" t="s">
        <v>507</v>
      </c>
      <c r="U237" t="s">
        <v>511</v>
      </c>
      <c r="V237">
        <v>10303</v>
      </c>
      <c r="W237" t="s">
        <v>518</v>
      </c>
      <c r="X237" t="s">
        <v>1839</v>
      </c>
      <c r="Y237" t="s">
        <v>275</v>
      </c>
      <c r="Z237" t="s">
        <v>4677</v>
      </c>
      <c r="AA237" t="s">
        <v>4784</v>
      </c>
      <c r="AB237" t="s">
        <v>902</v>
      </c>
      <c r="AC237" t="s">
        <v>904</v>
      </c>
      <c r="AF237" t="s">
        <v>926</v>
      </c>
      <c r="AI237">
        <v>33.2</v>
      </c>
      <c r="AJ237" t="s">
        <v>558</v>
      </c>
      <c r="AK237" t="s">
        <v>954</v>
      </c>
      <c r="AT237">
        <v>1</v>
      </c>
      <c r="AU237">
        <v>3</v>
      </c>
      <c r="AV237" t="s">
        <v>274</v>
      </c>
      <c r="AW237" t="s">
        <v>3713</v>
      </c>
      <c r="AX237">
        <v>3459</v>
      </c>
      <c r="AY237" t="s">
        <v>273</v>
      </c>
      <c r="BB237">
        <v>0</v>
      </c>
      <c r="BC237">
        <v>0</v>
      </c>
      <c r="BD237">
        <v>0</v>
      </c>
      <c r="BE237">
        <v>0</v>
      </c>
      <c r="BF237" t="s">
        <v>1063</v>
      </c>
      <c r="BG237" t="s">
        <v>5023</v>
      </c>
      <c r="BH237">
        <v>57</v>
      </c>
      <c r="BI237" t="s">
        <v>2766</v>
      </c>
      <c r="BK237">
        <v>1848174</v>
      </c>
    </row>
    <row r="238" spans="1:63">
      <c r="A238" s="1">
        <f>HYPERLINK("https://lsnyc.legalserver.org/matter/dynamic-profile/view/1848676","17-1848676")</f>
        <v>0</v>
      </c>
      <c r="B238" t="s">
        <v>4468</v>
      </c>
      <c r="C238" t="s">
        <v>4496</v>
      </c>
      <c r="D238" t="s">
        <v>254</v>
      </c>
      <c r="E238" t="s">
        <v>4501</v>
      </c>
      <c r="F238" t="s">
        <v>273</v>
      </c>
      <c r="G238" t="s">
        <v>275</v>
      </c>
      <c r="H238">
        <v>0</v>
      </c>
      <c r="K238" t="s">
        <v>418</v>
      </c>
      <c r="O238" t="s">
        <v>275</v>
      </c>
      <c r="P238" t="s">
        <v>492</v>
      </c>
      <c r="Q238" t="s">
        <v>501</v>
      </c>
      <c r="S238" t="s">
        <v>503</v>
      </c>
      <c r="T238" t="s">
        <v>507</v>
      </c>
      <c r="U238" t="s">
        <v>511</v>
      </c>
      <c r="V238">
        <v>10302</v>
      </c>
      <c r="W238" t="s">
        <v>521</v>
      </c>
      <c r="X238" t="s">
        <v>549</v>
      </c>
      <c r="Z238" t="s">
        <v>2079</v>
      </c>
      <c r="AA238" t="s">
        <v>4816</v>
      </c>
      <c r="AB238" t="s">
        <v>902</v>
      </c>
      <c r="AC238" t="s">
        <v>905</v>
      </c>
      <c r="AF238" t="s">
        <v>923</v>
      </c>
      <c r="AI238">
        <v>47.7</v>
      </c>
      <c r="AK238" t="s">
        <v>961</v>
      </c>
      <c r="AM238" t="s">
        <v>973</v>
      </c>
      <c r="AN238" t="s">
        <v>1774</v>
      </c>
      <c r="AT238">
        <v>0</v>
      </c>
      <c r="AU238">
        <v>1</v>
      </c>
      <c r="AV238" t="s">
        <v>273</v>
      </c>
      <c r="AY238" t="s">
        <v>273</v>
      </c>
      <c r="BB238">
        <v>0</v>
      </c>
      <c r="BC238">
        <v>0</v>
      </c>
      <c r="BD238">
        <v>0</v>
      </c>
      <c r="BE238">
        <v>0</v>
      </c>
      <c r="BF238" t="s">
        <v>1063</v>
      </c>
      <c r="BG238" t="s">
        <v>5024</v>
      </c>
      <c r="BH238">
        <v>20</v>
      </c>
      <c r="BI238" t="s">
        <v>1247</v>
      </c>
      <c r="BK238">
        <v>1845410</v>
      </c>
    </row>
    <row r="239" spans="1:63">
      <c r="A239" s="1">
        <f>HYPERLINK("https://lsnyc.legalserver.org/matter/dynamic-profile/view/1848026","17-1848026")</f>
        <v>0</v>
      </c>
      <c r="B239" t="s">
        <v>4451</v>
      </c>
      <c r="C239" t="s">
        <v>4496</v>
      </c>
      <c r="D239" t="s">
        <v>254</v>
      </c>
      <c r="E239" t="s">
        <v>4501</v>
      </c>
      <c r="F239" t="s">
        <v>273</v>
      </c>
      <c r="G239" t="s">
        <v>275</v>
      </c>
      <c r="H239">
        <v>96.06</v>
      </c>
      <c r="K239" t="s">
        <v>4530</v>
      </c>
      <c r="P239" t="s">
        <v>492</v>
      </c>
      <c r="Q239" t="s">
        <v>501</v>
      </c>
      <c r="S239" t="s">
        <v>503</v>
      </c>
      <c r="T239" t="s">
        <v>508</v>
      </c>
      <c r="U239" t="s">
        <v>511</v>
      </c>
      <c r="V239">
        <v>10302</v>
      </c>
      <c r="W239" t="s">
        <v>521</v>
      </c>
      <c r="X239" t="s">
        <v>548</v>
      </c>
      <c r="Z239" t="s">
        <v>625</v>
      </c>
      <c r="AA239" t="s">
        <v>2214</v>
      </c>
      <c r="AB239" t="s">
        <v>902</v>
      </c>
      <c r="AC239" t="s">
        <v>906</v>
      </c>
      <c r="AF239" t="s">
        <v>923</v>
      </c>
      <c r="AI239">
        <v>97.2</v>
      </c>
      <c r="AJ239" t="s">
        <v>558</v>
      </c>
      <c r="AK239" t="s">
        <v>936</v>
      </c>
      <c r="AM239" t="s">
        <v>973</v>
      </c>
      <c r="AN239" t="s">
        <v>1777</v>
      </c>
      <c r="AT239">
        <v>0</v>
      </c>
      <c r="AU239">
        <v>2</v>
      </c>
      <c r="AV239" t="s">
        <v>274</v>
      </c>
      <c r="AW239" t="s">
        <v>3713</v>
      </c>
      <c r="AX239">
        <v>3459</v>
      </c>
      <c r="AY239" t="s">
        <v>273</v>
      </c>
      <c r="BB239">
        <v>0</v>
      </c>
      <c r="BC239">
        <v>0</v>
      </c>
      <c r="BD239">
        <v>0</v>
      </c>
      <c r="BE239">
        <v>0</v>
      </c>
      <c r="BF239" t="s">
        <v>1063</v>
      </c>
      <c r="BG239" t="s">
        <v>5011</v>
      </c>
      <c r="BH239">
        <v>26</v>
      </c>
      <c r="BI239" t="s">
        <v>1270</v>
      </c>
      <c r="BK239">
        <v>1848549</v>
      </c>
    </row>
    <row r="240" spans="1:63">
      <c r="A240" s="1">
        <f>HYPERLINK("https://lsnyc.legalserver.org/matter/dynamic-profile/view/1845051","17-1845051")</f>
        <v>0</v>
      </c>
      <c r="B240" t="s">
        <v>4469</v>
      </c>
      <c r="C240" t="s">
        <v>4496</v>
      </c>
      <c r="D240" t="s">
        <v>254</v>
      </c>
      <c r="E240" t="s">
        <v>4501</v>
      </c>
      <c r="F240" t="s">
        <v>273</v>
      </c>
      <c r="G240" t="s">
        <v>275</v>
      </c>
      <c r="H240">
        <v>0</v>
      </c>
      <c r="I240" t="s">
        <v>274</v>
      </c>
      <c r="K240" t="s">
        <v>1787</v>
      </c>
      <c r="O240" t="s">
        <v>275</v>
      </c>
      <c r="P240" t="s">
        <v>492</v>
      </c>
      <c r="Q240" t="s">
        <v>501</v>
      </c>
      <c r="S240" t="s">
        <v>503</v>
      </c>
      <c r="T240" t="s">
        <v>508</v>
      </c>
      <c r="U240" t="s">
        <v>511</v>
      </c>
      <c r="V240">
        <v>10303</v>
      </c>
      <c r="W240" t="s">
        <v>519</v>
      </c>
      <c r="X240" t="s">
        <v>548</v>
      </c>
      <c r="Z240" t="s">
        <v>4678</v>
      </c>
      <c r="AA240" t="s">
        <v>4817</v>
      </c>
      <c r="AB240" t="s">
        <v>902</v>
      </c>
      <c r="AC240" t="s">
        <v>906</v>
      </c>
      <c r="AF240" t="s">
        <v>926</v>
      </c>
      <c r="AI240">
        <v>45.8</v>
      </c>
      <c r="AK240" t="s">
        <v>934</v>
      </c>
      <c r="AM240" t="s">
        <v>973</v>
      </c>
      <c r="AN240" t="s">
        <v>1781</v>
      </c>
      <c r="AT240">
        <v>3</v>
      </c>
      <c r="AU240">
        <v>1</v>
      </c>
      <c r="AV240" t="s">
        <v>273</v>
      </c>
      <c r="AY240" t="s">
        <v>273</v>
      </c>
      <c r="BB240">
        <v>0</v>
      </c>
      <c r="BC240">
        <v>0</v>
      </c>
      <c r="BD240">
        <v>0</v>
      </c>
      <c r="BE240">
        <v>0</v>
      </c>
      <c r="BF240" t="s">
        <v>1063</v>
      </c>
      <c r="BG240" t="s">
        <v>5025</v>
      </c>
      <c r="BH240">
        <v>29</v>
      </c>
      <c r="BI240" t="s">
        <v>1247</v>
      </c>
      <c r="BK240">
        <v>1845563</v>
      </c>
    </row>
    <row r="241" spans="1:63">
      <c r="A241" s="1">
        <f>HYPERLINK("https://lsnyc.legalserver.org/matter/dynamic-profile/view/1845531","17-1845531")</f>
        <v>0</v>
      </c>
      <c r="B241" t="s">
        <v>4441</v>
      </c>
      <c r="C241" t="s">
        <v>4496</v>
      </c>
      <c r="D241" t="s">
        <v>254</v>
      </c>
      <c r="E241" t="s">
        <v>4499</v>
      </c>
      <c r="F241" t="s">
        <v>273</v>
      </c>
      <c r="G241" t="s">
        <v>275</v>
      </c>
      <c r="H241">
        <v>0</v>
      </c>
      <c r="I241" t="s">
        <v>274</v>
      </c>
      <c r="K241" t="s">
        <v>423</v>
      </c>
      <c r="O241" t="s">
        <v>275</v>
      </c>
      <c r="P241" t="s">
        <v>492</v>
      </c>
      <c r="Q241" t="s">
        <v>501</v>
      </c>
      <c r="S241" t="s">
        <v>504</v>
      </c>
      <c r="T241" t="s">
        <v>507</v>
      </c>
      <c r="U241" t="s">
        <v>512</v>
      </c>
      <c r="V241">
        <v>10305</v>
      </c>
      <c r="X241" t="s">
        <v>548</v>
      </c>
      <c r="Y241" t="s">
        <v>275</v>
      </c>
      <c r="Z241" t="s">
        <v>3101</v>
      </c>
      <c r="AA241" t="s">
        <v>4800</v>
      </c>
      <c r="AB241" t="s">
        <v>902</v>
      </c>
      <c r="AC241" t="s">
        <v>905</v>
      </c>
      <c r="AF241" t="s">
        <v>924</v>
      </c>
      <c r="AI241">
        <v>9.699999999999999</v>
      </c>
      <c r="AJ241" t="s">
        <v>558</v>
      </c>
      <c r="AK241" t="s">
        <v>934</v>
      </c>
      <c r="AM241" t="s">
        <v>977</v>
      </c>
      <c r="AN241" t="s">
        <v>4842</v>
      </c>
      <c r="AT241">
        <v>5</v>
      </c>
      <c r="AU241">
        <v>5</v>
      </c>
      <c r="AV241" t="s">
        <v>274</v>
      </c>
      <c r="AW241" t="s">
        <v>3713</v>
      </c>
      <c r="AX241">
        <v>3459</v>
      </c>
      <c r="AY241" t="s">
        <v>273</v>
      </c>
      <c r="BB241">
        <v>0</v>
      </c>
      <c r="BC241">
        <v>0</v>
      </c>
      <c r="BD241">
        <v>0</v>
      </c>
      <c r="BE241">
        <v>0</v>
      </c>
      <c r="BF241" t="s">
        <v>1063</v>
      </c>
      <c r="BG241" t="s">
        <v>5002</v>
      </c>
      <c r="BH241">
        <v>6</v>
      </c>
      <c r="BI241" t="s">
        <v>1247</v>
      </c>
      <c r="BK241">
        <v>810726</v>
      </c>
    </row>
    <row r="242" spans="1:63">
      <c r="A242" s="1">
        <f>HYPERLINK("https://lsnyc.legalserver.org/matter/dynamic-profile/view/1844898","17-1844898")</f>
        <v>0</v>
      </c>
      <c r="B242" t="s">
        <v>4468</v>
      </c>
      <c r="C242" t="s">
        <v>4496</v>
      </c>
      <c r="D242" t="s">
        <v>254</v>
      </c>
      <c r="E242" t="s">
        <v>4501</v>
      </c>
      <c r="F242" t="s">
        <v>273</v>
      </c>
      <c r="G242" t="s">
        <v>275</v>
      </c>
      <c r="H242">
        <v>0</v>
      </c>
      <c r="I242" t="s">
        <v>274</v>
      </c>
      <c r="K242" t="s">
        <v>4531</v>
      </c>
      <c r="O242" t="s">
        <v>275</v>
      </c>
      <c r="P242" t="s">
        <v>492</v>
      </c>
      <c r="Q242" t="s">
        <v>501</v>
      </c>
      <c r="S242" t="s">
        <v>503</v>
      </c>
      <c r="T242" t="s">
        <v>507</v>
      </c>
      <c r="U242" t="s">
        <v>511</v>
      </c>
      <c r="V242">
        <v>10302</v>
      </c>
      <c r="W242" t="s">
        <v>529</v>
      </c>
      <c r="X242" t="s">
        <v>549</v>
      </c>
      <c r="Z242" t="s">
        <v>2079</v>
      </c>
      <c r="AA242" t="s">
        <v>4816</v>
      </c>
      <c r="AB242" t="s">
        <v>902</v>
      </c>
      <c r="AC242" t="s">
        <v>905</v>
      </c>
      <c r="AF242" t="s">
        <v>923</v>
      </c>
      <c r="AI242">
        <v>74.09999999999999</v>
      </c>
      <c r="AK242" t="s">
        <v>961</v>
      </c>
      <c r="AL242" t="s">
        <v>274</v>
      </c>
      <c r="AM242" t="s">
        <v>973</v>
      </c>
      <c r="AN242" t="s">
        <v>4843</v>
      </c>
      <c r="AT242">
        <v>0</v>
      </c>
      <c r="AU242">
        <v>1</v>
      </c>
      <c r="AV242" t="s">
        <v>273</v>
      </c>
      <c r="AY242" t="s">
        <v>273</v>
      </c>
      <c r="BB242">
        <v>0</v>
      </c>
      <c r="BC242">
        <v>0</v>
      </c>
      <c r="BD242">
        <v>0</v>
      </c>
      <c r="BE242">
        <v>0</v>
      </c>
      <c r="BF242" t="s">
        <v>1063</v>
      </c>
      <c r="BG242" t="s">
        <v>5024</v>
      </c>
      <c r="BH242">
        <v>20</v>
      </c>
      <c r="BI242" t="s">
        <v>1247</v>
      </c>
      <c r="BK242">
        <v>1845410</v>
      </c>
    </row>
    <row r="243" spans="1:63">
      <c r="A243" s="1">
        <f>HYPERLINK("https://lsnyc.legalserver.org/matter/dynamic-profile/view/1842600","17-1842600")</f>
        <v>0</v>
      </c>
      <c r="B243" t="s">
        <v>4470</v>
      </c>
      <c r="C243" t="s">
        <v>4496</v>
      </c>
      <c r="D243" t="s">
        <v>252</v>
      </c>
      <c r="E243" t="s">
        <v>4499</v>
      </c>
      <c r="F243" t="s">
        <v>273</v>
      </c>
      <c r="G243" t="s">
        <v>275</v>
      </c>
      <c r="H243">
        <v>0</v>
      </c>
      <c r="I243" t="s">
        <v>274</v>
      </c>
      <c r="K243" t="s">
        <v>426</v>
      </c>
      <c r="O243" t="s">
        <v>275</v>
      </c>
      <c r="P243" t="s">
        <v>492</v>
      </c>
      <c r="Q243" t="s">
        <v>501</v>
      </c>
      <c r="S243" t="s">
        <v>503</v>
      </c>
      <c r="T243" t="s">
        <v>508</v>
      </c>
      <c r="U243" t="s">
        <v>511</v>
      </c>
      <c r="V243">
        <v>11216</v>
      </c>
      <c r="W243" t="s">
        <v>521</v>
      </c>
      <c r="X243" t="s">
        <v>549</v>
      </c>
      <c r="Z243" t="s">
        <v>4679</v>
      </c>
      <c r="AA243" t="s">
        <v>4818</v>
      </c>
      <c r="AB243" t="s">
        <v>902</v>
      </c>
      <c r="AC243" t="s">
        <v>908</v>
      </c>
      <c r="AF243" t="s">
        <v>923</v>
      </c>
      <c r="AI243">
        <v>15.4</v>
      </c>
      <c r="AJ243" t="s">
        <v>558</v>
      </c>
      <c r="AK243" t="s">
        <v>2381</v>
      </c>
      <c r="AM243" t="s">
        <v>973</v>
      </c>
      <c r="AN243" t="s">
        <v>1782</v>
      </c>
      <c r="AT243">
        <v>0</v>
      </c>
      <c r="AU243">
        <v>1</v>
      </c>
      <c r="AV243" t="s">
        <v>274</v>
      </c>
      <c r="AW243" t="s">
        <v>3713</v>
      </c>
      <c r="AX243">
        <v>3459</v>
      </c>
      <c r="AY243" t="s">
        <v>273</v>
      </c>
      <c r="BB243">
        <v>0</v>
      </c>
      <c r="BC243">
        <v>0</v>
      </c>
      <c r="BD243">
        <v>0</v>
      </c>
      <c r="BE243">
        <v>0</v>
      </c>
      <c r="BF243" t="s">
        <v>1063</v>
      </c>
      <c r="BG243" t="s">
        <v>5026</v>
      </c>
      <c r="BH243">
        <v>22</v>
      </c>
      <c r="BI243" t="s">
        <v>1247</v>
      </c>
      <c r="BK243">
        <v>1843109</v>
      </c>
    </row>
    <row r="244" spans="1:63">
      <c r="A244" s="1">
        <f>HYPERLINK("https://lsnyc.legalserver.org/matter/dynamic-profile/view/1839168","17-1839168")</f>
        <v>0</v>
      </c>
      <c r="B244" t="s">
        <v>4471</v>
      </c>
      <c r="C244" t="s">
        <v>4496</v>
      </c>
      <c r="D244" t="s">
        <v>254</v>
      </c>
      <c r="E244" t="s">
        <v>4502</v>
      </c>
      <c r="F244" t="s">
        <v>273</v>
      </c>
      <c r="G244" t="s">
        <v>275</v>
      </c>
      <c r="H244">
        <v>19.39</v>
      </c>
      <c r="I244" t="s">
        <v>274</v>
      </c>
      <c r="K244" t="s">
        <v>4532</v>
      </c>
      <c r="O244" t="s">
        <v>275</v>
      </c>
      <c r="P244" t="s">
        <v>492</v>
      </c>
      <c r="Q244" t="s">
        <v>501</v>
      </c>
      <c r="S244" t="s">
        <v>503</v>
      </c>
      <c r="T244" t="s">
        <v>508</v>
      </c>
      <c r="U244" t="s">
        <v>511</v>
      </c>
      <c r="V244">
        <v>10308</v>
      </c>
      <c r="W244" t="s">
        <v>532</v>
      </c>
      <c r="X244" t="s">
        <v>548</v>
      </c>
      <c r="Z244" t="s">
        <v>1928</v>
      </c>
      <c r="AA244" t="s">
        <v>2143</v>
      </c>
      <c r="AB244" t="s">
        <v>902</v>
      </c>
      <c r="AC244" t="s">
        <v>906</v>
      </c>
      <c r="AF244" t="s">
        <v>923</v>
      </c>
      <c r="AI244">
        <v>35.75</v>
      </c>
      <c r="AK244" t="s">
        <v>933</v>
      </c>
      <c r="AM244" t="s">
        <v>973</v>
      </c>
      <c r="AN244" t="s">
        <v>3722</v>
      </c>
      <c r="AT244">
        <v>0</v>
      </c>
      <c r="AU244">
        <v>3</v>
      </c>
      <c r="AV244" t="s">
        <v>273</v>
      </c>
      <c r="AY244" t="s">
        <v>273</v>
      </c>
      <c r="BB244">
        <v>0</v>
      </c>
      <c r="BC244">
        <v>0</v>
      </c>
      <c r="BD244">
        <v>0</v>
      </c>
      <c r="BE244">
        <v>0</v>
      </c>
      <c r="BF244" t="s">
        <v>1063</v>
      </c>
      <c r="BG244" t="s">
        <v>5027</v>
      </c>
      <c r="BH244">
        <v>39</v>
      </c>
      <c r="BI244" t="s">
        <v>5073</v>
      </c>
      <c r="BK244">
        <v>780369</v>
      </c>
    </row>
    <row r="245" spans="1:63">
      <c r="A245" s="1">
        <f>HYPERLINK("https://lsnyc.legalserver.org/matter/dynamic-profile/view/1836339","17-1836339")</f>
        <v>0</v>
      </c>
      <c r="B245" t="s">
        <v>4472</v>
      </c>
      <c r="C245" t="s">
        <v>4496</v>
      </c>
      <c r="D245" t="s">
        <v>254</v>
      </c>
      <c r="E245" t="s">
        <v>4501</v>
      </c>
      <c r="F245" t="s">
        <v>273</v>
      </c>
      <c r="G245" t="s">
        <v>275</v>
      </c>
      <c r="H245">
        <v>0</v>
      </c>
      <c r="K245" t="s">
        <v>4533</v>
      </c>
      <c r="O245" t="s">
        <v>275</v>
      </c>
      <c r="P245" t="s">
        <v>492</v>
      </c>
      <c r="Q245" t="s">
        <v>501</v>
      </c>
      <c r="S245" t="s">
        <v>503</v>
      </c>
      <c r="T245" t="s">
        <v>507</v>
      </c>
      <c r="U245" t="s">
        <v>511</v>
      </c>
      <c r="V245">
        <v>10303</v>
      </c>
      <c r="W245" t="s">
        <v>521</v>
      </c>
      <c r="X245" t="s">
        <v>548</v>
      </c>
      <c r="Z245" t="s">
        <v>1883</v>
      </c>
      <c r="AA245" t="s">
        <v>4819</v>
      </c>
      <c r="AB245" t="s">
        <v>902</v>
      </c>
      <c r="AC245" t="s">
        <v>906</v>
      </c>
      <c r="AF245" t="s">
        <v>923</v>
      </c>
      <c r="AI245">
        <v>11.7</v>
      </c>
      <c r="AK245" t="s">
        <v>945</v>
      </c>
      <c r="AM245" t="s">
        <v>973</v>
      </c>
      <c r="AN245" t="s">
        <v>3733</v>
      </c>
      <c r="AT245">
        <v>0</v>
      </c>
      <c r="AU245">
        <v>2</v>
      </c>
      <c r="AV245" t="s">
        <v>273</v>
      </c>
      <c r="AY245" t="s">
        <v>273</v>
      </c>
      <c r="BB245">
        <v>0</v>
      </c>
      <c r="BC245">
        <v>0</v>
      </c>
      <c r="BD245">
        <v>0</v>
      </c>
      <c r="BE245">
        <v>0</v>
      </c>
      <c r="BF245" t="s">
        <v>1063</v>
      </c>
      <c r="BG245" t="s">
        <v>5028</v>
      </c>
      <c r="BH245">
        <v>50</v>
      </c>
      <c r="BI245" t="s">
        <v>1247</v>
      </c>
      <c r="BK245">
        <v>1836828</v>
      </c>
    </row>
    <row r="246" spans="1:63">
      <c r="A246" s="1">
        <f>HYPERLINK("https://lsnyc.legalserver.org/matter/dynamic-profile/view/1834992","17-1834992")</f>
        <v>0</v>
      </c>
      <c r="B246" t="s">
        <v>4473</v>
      </c>
      <c r="C246" t="s">
        <v>4496</v>
      </c>
      <c r="D246" t="s">
        <v>254</v>
      </c>
      <c r="E246" t="s">
        <v>4500</v>
      </c>
      <c r="F246" t="s">
        <v>273</v>
      </c>
      <c r="G246" t="s">
        <v>275</v>
      </c>
      <c r="H246">
        <v>14.78</v>
      </c>
      <c r="I246" t="s">
        <v>274</v>
      </c>
      <c r="K246" t="s">
        <v>4534</v>
      </c>
      <c r="O246" t="s">
        <v>275</v>
      </c>
      <c r="P246" t="s">
        <v>498</v>
      </c>
      <c r="Q246" t="s">
        <v>501</v>
      </c>
      <c r="S246" t="s">
        <v>503</v>
      </c>
      <c r="T246" t="s">
        <v>508</v>
      </c>
      <c r="U246" t="s">
        <v>511</v>
      </c>
      <c r="V246">
        <v>10304</v>
      </c>
      <c r="W246" t="s">
        <v>519</v>
      </c>
      <c r="X246" t="s">
        <v>548</v>
      </c>
      <c r="Y246" t="s">
        <v>275</v>
      </c>
      <c r="Z246" t="s">
        <v>4680</v>
      </c>
      <c r="AA246" t="s">
        <v>4820</v>
      </c>
      <c r="AB246" t="s">
        <v>902</v>
      </c>
      <c r="AC246" t="s">
        <v>910</v>
      </c>
      <c r="AF246" t="s">
        <v>926</v>
      </c>
      <c r="AI246">
        <v>81.59999999999999</v>
      </c>
      <c r="AJ246" t="s">
        <v>558</v>
      </c>
      <c r="AK246" t="s">
        <v>941</v>
      </c>
      <c r="AM246" t="s">
        <v>973</v>
      </c>
      <c r="AN246" t="s">
        <v>4531</v>
      </c>
      <c r="AT246">
        <v>0</v>
      </c>
      <c r="AU246">
        <v>2</v>
      </c>
      <c r="AV246" t="s">
        <v>274</v>
      </c>
      <c r="AW246" t="s">
        <v>3713</v>
      </c>
      <c r="AY246" t="s">
        <v>273</v>
      </c>
      <c r="BB246">
        <v>0</v>
      </c>
      <c r="BC246">
        <v>0</v>
      </c>
      <c r="BD246">
        <v>0</v>
      </c>
      <c r="BE246">
        <v>0</v>
      </c>
      <c r="BF246" t="s">
        <v>1063</v>
      </c>
      <c r="BG246" t="s">
        <v>5029</v>
      </c>
      <c r="BH246">
        <v>21</v>
      </c>
      <c r="BI246" t="s">
        <v>1291</v>
      </c>
      <c r="BK246">
        <v>1835478</v>
      </c>
    </row>
    <row r="247" spans="1:63">
      <c r="A247" s="1">
        <f>HYPERLINK("https://lsnyc.legalserver.org/matter/dynamic-profile/view/0831971","17-0831971")</f>
        <v>0</v>
      </c>
      <c r="B247" t="s">
        <v>4474</v>
      </c>
      <c r="C247" t="s">
        <v>4496</v>
      </c>
      <c r="D247" t="s">
        <v>254</v>
      </c>
      <c r="E247" t="s">
        <v>4499</v>
      </c>
      <c r="F247" t="s">
        <v>273</v>
      </c>
      <c r="G247" t="s">
        <v>275</v>
      </c>
      <c r="H247">
        <v>136.59</v>
      </c>
      <c r="K247" t="s">
        <v>4535</v>
      </c>
      <c r="O247" t="s">
        <v>275</v>
      </c>
      <c r="P247" t="s">
        <v>498</v>
      </c>
      <c r="Q247" t="s">
        <v>501</v>
      </c>
      <c r="S247" t="s">
        <v>503</v>
      </c>
      <c r="T247" t="s">
        <v>507</v>
      </c>
      <c r="U247" t="s">
        <v>511</v>
      </c>
      <c r="V247">
        <v>10302</v>
      </c>
      <c r="W247" t="s">
        <v>532</v>
      </c>
      <c r="X247" t="s">
        <v>548</v>
      </c>
      <c r="Y247" t="s">
        <v>275</v>
      </c>
      <c r="Z247" t="s">
        <v>617</v>
      </c>
      <c r="AA247" t="s">
        <v>815</v>
      </c>
      <c r="AB247" t="s">
        <v>902</v>
      </c>
      <c r="AC247" t="s">
        <v>906</v>
      </c>
      <c r="AF247" t="s">
        <v>923</v>
      </c>
      <c r="AI247">
        <v>5.9</v>
      </c>
      <c r="AJ247" t="s">
        <v>558</v>
      </c>
      <c r="AK247" t="s">
        <v>933</v>
      </c>
      <c r="AM247" t="s">
        <v>973</v>
      </c>
      <c r="AN247" t="s">
        <v>4844</v>
      </c>
      <c r="AT247">
        <v>2</v>
      </c>
      <c r="AU247">
        <v>2</v>
      </c>
      <c r="AV247" t="s">
        <v>274</v>
      </c>
      <c r="AW247" t="s">
        <v>3713</v>
      </c>
      <c r="AX247">
        <v>3459</v>
      </c>
      <c r="AY247" t="s">
        <v>273</v>
      </c>
      <c r="BB247">
        <v>0</v>
      </c>
      <c r="BC247">
        <v>0</v>
      </c>
      <c r="BD247">
        <v>0</v>
      </c>
      <c r="BE247">
        <v>0</v>
      </c>
      <c r="BF247" t="s">
        <v>1063</v>
      </c>
      <c r="BG247" t="s">
        <v>5030</v>
      </c>
      <c r="BH247">
        <v>33</v>
      </c>
      <c r="BI247" t="s">
        <v>2757</v>
      </c>
      <c r="BK247">
        <v>781248</v>
      </c>
    </row>
    <row r="248" spans="1:63">
      <c r="A248" s="1">
        <f>HYPERLINK("https://lsnyc.legalserver.org/matter/dynamic-profile/view/0830473","17-0830473")</f>
        <v>0</v>
      </c>
      <c r="B248" t="s">
        <v>4475</v>
      </c>
      <c r="C248" t="s">
        <v>4496</v>
      </c>
      <c r="D248" t="s">
        <v>254</v>
      </c>
      <c r="E248" t="s">
        <v>4499</v>
      </c>
      <c r="F248" t="s">
        <v>273</v>
      </c>
      <c r="G248" t="s">
        <v>275</v>
      </c>
      <c r="H248">
        <v>0</v>
      </c>
      <c r="I248" t="s">
        <v>274</v>
      </c>
      <c r="K248" t="s">
        <v>1801</v>
      </c>
      <c r="O248" t="s">
        <v>275</v>
      </c>
      <c r="P248" t="s">
        <v>492</v>
      </c>
      <c r="Q248" t="s">
        <v>501</v>
      </c>
      <c r="S248" t="s">
        <v>503</v>
      </c>
      <c r="T248" t="s">
        <v>507</v>
      </c>
      <c r="U248" t="s">
        <v>511</v>
      </c>
      <c r="V248">
        <v>10305</v>
      </c>
      <c r="W248" t="s">
        <v>521</v>
      </c>
      <c r="X248" t="s">
        <v>548</v>
      </c>
      <c r="Y248" t="s">
        <v>275</v>
      </c>
      <c r="Z248" t="s">
        <v>4681</v>
      </c>
      <c r="AA248" t="s">
        <v>4807</v>
      </c>
      <c r="AB248" t="s">
        <v>902</v>
      </c>
      <c r="AC248" t="s">
        <v>906</v>
      </c>
      <c r="AF248" t="s">
        <v>923</v>
      </c>
      <c r="AI248">
        <v>74.59999999999999</v>
      </c>
      <c r="AJ248" t="s">
        <v>558</v>
      </c>
      <c r="AK248" t="s">
        <v>934</v>
      </c>
      <c r="AM248" t="s">
        <v>973</v>
      </c>
      <c r="AN248" t="s">
        <v>4845</v>
      </c>
      <c r="AT248">
        <v>2</v>
      </c>
      <c r="AU248">
        <v>2</v>
      </c>
      <c r="AV248" t="s">
        <v>274</v>
      </c>
      <c r="AW248" t="s">
        <v>3713</v>
      </c>
      <c r="AX248">
        <v>3459</v>
      </c>
      <c r="AY248" t="s">
        <v>273</v>
      </c>
      <c r="BB248">
        <v>0</v>
      </c>
      <c r="BC248">
        <v>0</v>
      </c>
      <c r="BD248">
        <v>0</v>
      </c>
      <c r="BE248">
        <v>0</v>
      </c>
      <c r="BF248" t="s">
        <v>1063</v>
      </c>
      <c r="BG248" t="s">
        <v>5031</v>
      </c>
      <c r="BH248">
        <v>8</v>
      </c>
      <c r="BI248" t="s">
        <v>1247</v>
      </c>
      <c r="BK248">
        <v>821935</v>
      </c>
    </row>
    <row r="249" spans="1:63">
      <c r="A249" s="1">
        <f>HYPERLINK("https://lsnyc.legalserver.org/matter/dynamic-profile/view/0830466","17-0830466")</f>
        <v>0</v>
      </c>
      <c r="B249" t="s">
        <v>4442</v>
      </c>
      <c r="C249" t="s">
        <v>4496</v>
      </c>
      <c r="D249" t="s">
        <v>254</v>
      </c>
      <c r="E249" t="s">
        <v>4499</v>
      </c>
      <c r="F249" t="s">
        <v>273</v>
      </c>
      <c r="G249" t="s">
        <v>275</v>
      </c>
      <c r="H249">
        <v>0</v>
      </c>
      <c r="I249" t="s">
        <v>274</v>
      </c>
      <c r="K249" t="s">
        <v>4536</v>
      </c>
      <c r="P249" t="s">
        <v>4556</v>
      </c>
      <c r="Q249" t="s">
        <v>501</v>
      </c>
      <c r="S249" t="s">
        <v>504</v>
      </c>
      <c r="T249" t="s">
        <v>508</v>
      </c>
      <c r="U249" t="s">
        <v>512</v>
      </c>
      <c r="V249">
        <v>10305</v>
      </c>
      <c r="X249" t="s">
        <v>548</v>
      </c>
      <c r="Z249" t="s">
        <v>4662</v>
      </c>
      <c r="AA249" t="s">
        <v>4800</v>
      </c>
      <c r="AB249" t="s">
        <v>902</v>
      </c>
      <c r="AC249" t="s">
        <v>906</v>
      </c>
      <c r="AF249" t="s">
        <v>924</v>
      </c>
      <c r="AI249">
        <v>5.3</v>
      </c>
      <c r="AJ249" t="s">
        <v>558</v>
      </c>
      <c r="AK249" t="s">
        <v>934</v>
      </c>
      <c r="AM249" t="s">
        <v>977</v>
      </c>
      <c r="AN249" t="s">
        <v>4842</v>
      </c>
      <c r="AT249">
        <v>5</v>
      </c>
      <c r="AU249">
        <v>5</v>
      </c>
      <c r="AV249" t="s">
        <v>274</v>
      </c>
      <c r="AW249" t="s">
        <v>3713</v>
      </c>
      <c r="AX249">
        <v>3459</v>
      </c>
      <c r="AY249" t="s">
        <v>273</v>
      </c>
      <c r="BB249">
        <v>0</v>
      </c>
      <c r="BC249">
        <v>0</v>
      </c>
      <c r="BD249">
        <v>0</v>
      </c>
      <c r="BE249">
        <v>0</v>
      </c>
      <c r="BF249" t="s">
        <v>1063</v>
      </c>
      <c r="BG249" t="s">
        <v>5003</v>
      </c>
      <c r="BH249">
        <v>10</v>
      </c>
      <c r="BI249" t="s">
        <v>1247</v>
      </c>
      <c r="BK249">
        <v>810726</v>
      </c>
    </row>
    <row r="250" spans="1:63">
      <c r="A250" s="1">
        <f>HYPERLINK("https://lsnyc.legalserver.org/matter/dynamic-profile/view/0828965","17-0828965")</f>
        <v>0</v>
      </c>
      <c r="B250" t="s">
        <v>4476</v>
      </c>
      <c r="C250" t="s">
        <v>4496</v>
      </c>
      <c r="D250" t="s">
        <v>254</v>
      </c>
      <c r="E250" t="s">
        <v>4500</v>
      </c>
      <c r="F250" t="s">
        <v>273</v>
      </c>
      <c r="G250" t="s">
        <v>275</v>
      </c>
      <c r="H250">
        <v>152.2</v>
      </c>
      <c r="K250" t="s">
        <v>4537</v>
      </c>
      <c r="O250" t="s">
        <v>275</v>
      </c>
      <c r="P250" t="s">
        <v>492</v>
      </c>
      <c r="Q250" t="s">
        <v>501</v>
      </c>
      <c r="S250" t="s">
        <v>503</v>
      </c>
      <c r="T250" t="s">
        <v>507</v>
      </c>
      <c r="U250" t="s">
        <v>511</v>
      </c>
      <c r="V250">
        <v>10314</v>
      </c>
      <c r="W250" t="s">
        <v>532</v>
      </c>
      <c r="X250" t="s">
        <v>548</v>
      </c>
      <c r="Y250" t="s">
        <v>274</v>
      </c>
      <c r="Z250" t="s">
        <v>571</v>
      </c>
      <c r="AA250" t="s">
        <v>4821</v>
      </c>
      <c r="AB250" t="s">
        <v>902</v>
      </c>
      <c r="AC250" t="s">
        <v>906</v>
      </c>
      <c r="AD250" t="s">
        <v>275</v>
      </c>
      <c r="AF250" t="s">
        <v>923</v>
      </c>
      <c r="AI250">
        <v>39.7</v>
      </c>
      <c r="AJ250" t="s">
        <v>558</v>
      </c>
      <c r="AK250" t="s">
        <v>933</v>
      </c>
      <c r="AQ250" t="s">
        <v>1033</v>
      </c>
      <c r="AR250" t="s">
        <v>1051</v>
      </c>
      <c r="AT250">
        <v>2</v>
      </c>
      <c r="AU250">
        <v>2</v>
      </c>
      <c r="AV250" t="s">
        <v>274</v>
      </c>
      <c r="AW250" t="s">
        <v>3713</v>
      </c>
      <c r="AX250">
        <v>3459</v>
      </c>
      <c r="AY250" t="s">
        <v>273</v>
      </c>
      <c r="BB250">
        <v>0</v>
      </c>
      <c r="BC250">
        <v>0</v>
      </c>
      <c r="BD250">
        <v>0</v>
      </c>
      <c r="BE250">
        <v>0</v>
      </c>
      <c r="BF250" t="s">
        <v>1063</v>
      </c>
      <c r="BG250" t="s">
        <v>5032</v>
      </c>
      <c r="BH250">
        <v>41</v>
      </c>
      <c r="BI250" t="s">
        <v>2794</v>
      </c>
      <c r="BK250">
        <v>829440</v>
      </c>
    </row>
    <row r="251" spans="1:63">
      <c r="A251" s="1">
        <f>HYPERLINK("https://lsnyc.legalserver.org/matter/dynamic-profile/view/0830460","17-0830460")</f>
        <v>0</v>
      </c>
      <c r="B251" t="s">
        <v>4402</v>
      </c>
      <c r="C251" t="s">
        <v>4496</v>
      </c>
      <c r="D251" t="s">
        <v>254</v>
      </c>
      <c r="E251" t="s">
        <v>4499</v>
      </c>
      <c r="F251" t="s">
        <v>273</v>
      </c>
      <c r="G251" t="s">
        <v>275</v>
      </c>
      <c r="H251">
        <v>14.78</v>
      </c>
      <c r="I251" t="s">
        <v>274</v>
      </c>
      <c r="K251" t="s">
        <v>4538</v>
      </c>
      <c r="O251" t="s">
        <v>275</v>
      </c>
      <c r="P251" t="s">
        <v>4556</v>
      </c>
      <c r="Q251" t="s">
        <v>501</v>
      </c>
      <c r="S251" t="s">
        <v>503</v>
      </c>
      <c r="T251" t="s">
        <v>507</v>
      </c>
      <c r="U251" t="s">
        <v>511</v>
      </c>
      <c r="V251">
        <v>10314</v>
      </c>
      <c r="W251" t="s">
        <v>529</v>
      </c>
      <c r="X251" t="s">
        <v>548</v>
      </c>
      <c r="Y251" t="s">
        <v>275</v>
      </c>
      <c r="Z251" t="s">
        <v>3892</v>
      </c>
      <c r="AA251" t="s">
        <v>4770</v>
      </c>
      <c r="AB251" t="s">
        <v>902</v>
      </c>
      <c r="AC251" t="s">
        <v>905</v>
      </c>
      <c r="AF251" t="s">
        <v>923</v>
      </c>
      <c r="AI251">
        <v>32.9</v>
      </c>
      <c r="AJ251" t="s">
        <v>558</v>
      </c>
      <c r="AK251" t="s">
        <v>934</v>
      </c>
      <c r="AM251" t="s">
        <v>973</v>
      </c>
      <c r="AN251" t="s">
        <v>4842</v>
      </c>
      <c r="AT251">
        <v>1</v>
      </c>
      <c r="AU251">
        <v>1</v>
      </c>
      <c r="AV251" t="s">
        <v>274</v>
      </c>
      <c r="AW251" t="s">
        <v>3713</v>
      </c>
      <c r="AX251">
        <v>3459</v>
      </c>
      <c r="AY251" t="s">
        <v>273</v>
      </c>
      <c r="BB251">
        <v>0</v>
      </c>
      <c r="BC251">
        <v>0</v>
      </c>
      <c r="BD251">
        <v>0</v>
      </c>
      <c r="BE251">
        <v>0</v>
      </c>
      <c r="BF251" t="s">
        <v>1063</v>
      </c>
      <c r="BG251" t="s">
        <v>4966</v>
      </c>
      <c r="BH251">
        <v>7</v>
      </c>
      <c r="BI251" t="s">
        <v>1291</v>
      </c>
      <c r="BK251">
        <v>808061</v>
      </c>
    </row>
    <row r="252" spans="1:63">
      <c r="A252" s="1">
        <f>HYPERLINK("https://lsnyc.legalserver.org/matter/dynamic-profile/view/0829100","17-0829100")</f>
        <v>0</v>
      </c>
      <c r="B252" t="s">
        <v>4477</v>
      </c>
      <c r="C252" t="s">
        <v>4496</v>
      </c>
      <c r="D252" t="s">
        <v>254</v>
      </c>
      <c r="E252" t="s">
        <v>4500</v>
      </c>
      <c r="F252" t="s">
        <v>273</v>
      </c>
      <c r="G252" t="s">
        <v>275</v>
      </c>
      <c r="H252">
        <v>0</v>
      </c>
      <c r="I252" t="s">
        <v>274</v>
      </c>
      <c r="K252" t="s">
        <v>4539</v>
      </c>
      <c r="O252" t="s">
        <v>275</v>
      </c>
      <c r="P252" t="s">
        <v>492</v>
      </c>
      <c r="Q252" t="s">
        <v>501</v>
      </c>
      <c r="S252" t="s">
        <v>503</v>
      </c>
      <c r="T252" t="s">
        <v>508</v>
      </c>
      <c r="U252" t="s">
        <v>511</v>
      </c>
      <c r="V252">
        <v>10304</v>
      </c>
      <c r="W252" t="s">
        <v>518</v>
      </c>
      <c r="X252" t="s">
        <v>548</v>
      </c>
      <c r="Z252" t="s">
        <v>4674</v>
      </c>
      <c r="AA252" t="s">
        <v>828</v>
      </c>
      <c r="AB252" t="s">
        <v>902</v>
      </c>
      <c r="AC252" t="s">
        <v>905</v>
      </c>
      <c r="AF252" t="s">
        <v>926</v>
      </c>
      <c r="AI252">
        <v>36.75</v>
      </c>
      <c r="AK252" t="s">
        <v>941</v>
      </c>
      <c r="AM252" t="s">
        <v>973</v>
      </c>
      <c r="AN252" t="s">
        <v>431</v>
      </c>
      <c r="AT252">
        <v>1</v>
      </c>
      <c r="AU252">
        <v>1</v>
      </c>
      <c r="AV252" t="s">
        <v>273</v>
      </c>
      <c r="AY252" t="s">
        <v>273</v>
      </c>
      <c r="BB252">
        <v>0</v>
      </c>
      <c r="BC252">
        <v>0</v>
      </c>
      <c r="BD252">
        <v>0</v>
      </c>
      <c r="BE252">
        <v>0</v>
      </c>
      <c r="BF252" t="s">
        <v>1063</v>
      </c>
      <c r="BG252" t="s">
        <v>5033</v>
      </c>
      <c r="BH252">
        <v>19</v>
      </c>
      <c r="BI252" t="s">
        <v>1247</v>
      </c>
      <c r="BK252">
        <v>829575</v>
      </c>
    </row>
    <row r="253" spans="1:63">
      <c r="A253" s="1">
        <f>HYPERLINK("https://lsnyc.legalserver.org/matter/dynamic-profile/view/0824182","17-0824182")</f>
        <v>0</v>
      </c>
      <c r="B253" t="s">
        <v>4478</v>
      </c>
      <c r="C253" t="s">
        <v>4496</v>
      </c>
      <c r="D253" t="s">
        <v>254</v>
      </c>
      <c r="E253" t="s">
        <v>4499</v>
      </c>
      <c r="F253" t="s">
        <v>273</v>
      </c>
      <c r="G253" t="s">
        <v>275</v>
      </c>
      <c r="H253">
        <v>0</v>
      </c>
      <c r="I253" t="s">
        <v>274</v>
      </c>
      <c r="K253" t="s">
        <v>4540</v>
      </c>
      <c r="O253" t="s">
        <v>275</v>
      </c>
      <c r="Q253" t="s">
        <v>501</v>
      </c>
      <c r="S253" t="s">
        <v>503</v>
      </c>
      <c r="T253" t="s">
        <v>507</v>
      </c>
      <c r="U253" t="s">
        <v>511</v>
      </c>
      <c r="V253">
        <v>10306</v>
      </c>
      <c r="W253" t="s">
        <v>521</v>
      </c>
      <c r="X253" t="s">
        <v>553</v>
      </c>
      <c r="Y253" t="s">
        <v>275</v>
      </c>
      <c r="Z253" t="s">
        <v>725</v>
      </c>
      <c r="AA253" t="s">
        <v>4822</v>
      </c>
      <c r="AB253" t="s">
        <v>902</v>
      </c>
      <c r="AC253" t="s">
        <v>910</v>
      </c>
      <c r="AF253" t="s">
        <v>923</v>
      </c>
      <c r="AI253">
        <v>17</v>
      </c>
      <c r="AJ253" t="s">
        <v>558</v>
      </c>
      <c r="AK253" t="s">
        <v>948</v>
      </c>
      <c r="AM253" t="s">
        <v>973</v>
      </c>
      <c r="AN253" t="s">
        <v>4846</v>
      </c>
      <c r="AT253">
        <v>0</v>
      </c>
      <c r="AU253">
        <v>1</v>
      </c>
      <c r="AV253" t="s">
        <v>274</v>
      </c>
      <c r="AW253" t="s">
        <v>3713</v>
      </c>
      <c r="AX253">
        <v>3459</v>
      </c>
      <c r="AY253" t="s">
        <v>273</v>
      </c>
      <c r="BB253">
        <v>0</v>
      </c>
      <c r="BC253">
        <v>0</v>
      </c>
      <c r="BD253">
        <v>0</v>
      </c>
      <c r="BE253">
        <v>0</v>
      </c>
      <c r="BF253" t="s">
        <v>1063</v>
      </c>
      <c r="BG253" t="s">
        <v>5034</v>
      </c>
      <c r="BH253">
        <v>29</v>
      </c>
      <c r="BI253" t="s">
        <v>1247</v>
      </c>
      <c r="BK253">
        <v>824649</v>
      </c>
    </row>
    <row r="254" spans="1:63">
      <c r="A254" s="1">
        <f>HYPERLINK("https://lsnyc.legalserver.org/matter/dynamic-profile/view/0823353","16-0823353")</f>
        <v>0</v>
      </c>
      <c r="B254" t="s">
        <v>4479</v>
      </c>
      <c r="C254" t="s">
        <v>4496</v>
      </c>
      <c r="D254" t="s">
        <v>254</v>
      </c>
      <c r="E254" t="s">
        <v>4499</v>
      </c>
      <c r="F254" t="s">
        <v>273</v>
      </c>
      <c r="G254" t="s">
        <v>275</v>
      </c>
      <c r="H254">
        <v>0</v>
      </c>
      <c r="I254" t="s">
        <v>274</v>
      </c>
      <c r="K254" t="s">
        <v>4070</v>
      </c>
      <c r="P254" t="s">
        <v>4556</v>
      </c>
      <c r="Q254" t="s">
        <v>501</v>
      </c>
      <c r="S254" t="s">
        <v>503</v>
      </c>
      <c r="T254" t="s">
        <v>508</v>
      </c>
      <c r="U254" t="s">
        <v>511</v>
      </c>
      <c r="V254">
        <v>10305</v>
      </c>
      <c r="W254" t="s">
        <v>519</v>
      </c>
      <c r="X254" t="s">
        <v>548</v>
      </c>
      <c r="Y254" t="s">
        <v>275</v>
      </c>
      <c r="Z254" t="s">
        <v>4682</v>
      </c>
      <c r="AA254" t="s">
        <v>824</v>
      </c>
      <c r="AB254" t="s">
        <v>902</v>
      </c>
      <c r="AC254" t="s">
        <v>906</v>
      </c>
      <c r="AF254" t="s">
        <v>926</v>
      </c>
      <c r="AI254">
        <v>30.55</v>
      </c>
      <c r="AJ254" t="s">
        <v>558</v>
      </c>
      <c r="AK254" t="s">
        <v>934</v>
      </c>
      <c r="AM254" t="s">
        <v>973</v>
      </c>
      <c r="AN254" t="s">
        <v>4847</v>
      </c>
      <c r="AT254">
        <v>3</v>
      </c>
      <c r="AU254">
        <v>3</v>
      </c>
      <c r="AV254" t="s">
        <v>274</v>
      </c>
      <c r="AW254" t="s">
        <v>3713</v>
      </c>
      <c r="AY254" t="s">
        <v>273</v>
      </c>
      <c r="BB254">
        <v>0</v>
      </c>
      <c r="BC254">
        <v>0</v>
      </c>
      <c r="BD254">
        <v>0</v>
      </c>
      <c r="BE254">
        <v>0</v>
      </c>
      <c r="BF254" t="s">
        <v>1063</v>
      </c>
      <c r="BG254" t="s">
        <v>5035</v>
      </c>
      <c r="BH254">
        <v>21</v>
      </c>
      <c r="BI254" t="s">
        <v>1247</v>
      </c>
      <c r="BK254">
        <v>809213</v>
      </c>
    </row>
    <row r="255" spans="1:63">
      <c r="A255" s="1">
        <f>HYPERLINK("https://lsnyc.legalserver.org/matter/dynamic-profile/view/0821375","16-0821375")</f>
        <v>0</v>
      </c>
      <c r="B255" t="s">
        <v>4480</v>
      </c>
      <c r="C255" t="s">
        <v>4496</v>
      </c>
      <c r="D255" t="s">
        <v>254</v>
      </c>
      <c r="E255" t="s">
        <v>4499</v>
      </c>
      <c r="F255" t="s">
        <v>273</v>
      </c>
      <c r="G255" t="s">
        <v>275</v>
      </c>
      <c r="H255">
        <v>188.26</v>
      </c>
      <c r="K255" t="s">
        <v>4541</v>
      </c>
      <c r="P255" t="s">
        <v>500</v>
      </c>
      <c r="Q255" t="s">
        <v>501</v>
      </c>
      <c r="S255" t="s">
        <v>503</v>
      </c>
      <c r="T255" t="s">
        <v>508</v>
      </c>
      <c r="U255" t="s">
        <v>511</v>
      </c>
      <c r="V255">
        <v>10302</v>
      </c>
      <c r="W255" t="s">
        <v>519</v>
      </c>
      <c r="X255" t="s">
        <v>548</v>
      </c>
      <c r="Y255" t="s">
        <v>275</v>
      </c>
      <c r="Z255" t="s">
        <v>4683</v>
      </c>
      <c r="AA255" t="s">
        <v>2128</v>
      </c>
      <c r="AB255" t="s">
        <v>902</v>
      </c>
      <c r="AC255" t="s">
        <v>910</v>
      </c>
      <c r="AF255" t="s">
        <v>926</v>
      </c>
      <c r="AI255">
        <v>77.95</v>
      </c>
      <c r="AJ255" t="s">
        <v>558</v>
      </c>
      <c r="AK255" t="s">
        <v>934</v>
      </c>
      <c r="AT255">
        <v>0</v>
      </c>
      <c r="AU255">
        <v>2</v>
      </c>
      <c r="AV255" t="s">
        <v>274</v>
      </c>
      <c r="AW255" t="s">
        <v>3713</v>
      </c>
      <c r="AX255">
        <v>3459</v>
      </c>
      <c r="AY255" t="s">
        <v>273</v>
      </c>
      <c r="BB255">
        <v>0</v>
      </c>
      <c r="BC255">
        <v>0</v>
      </c>
      <c r="BD255">
        <v>0</v>
      </c>
      <c r="BE255">
        <v>0</v>
      </c>
      <c r="BF255" t="s">
        <v>1063</v>
      </c>
      <c r="BG255" t="s">
        <v>5036</v>
      </c>
      <c r="BH255">
        <v>33</v>
      </c>
      <c r="BI255" t="s">
        <v>5051</v>
      </c>
      <c r="BK255">
        <v>821835</v>
      </c>
    </row>
    <row r="256" spans="1:63">
      <c r="A256" s="1">
        <f>HYPERLINK("https://lsnyc.legalserver.org/matter/dynamic-profile/view/0821475","16-0821475")</f>
        <v>0</v>
      </c>
      <c r="B256" t="s">
        <v>4481</v>
      </c>
      <c r="C256" t="s">
        <v>4496</v>
      </c>
      <c r="D256" t="s">
        <v>254</v>
      </c>
      <c r="E256" t="s">
        <v>4499</v>
      </c>
      <c r="F256" t="s">
        <v>273</v>
      </c>
      <c r="G256" t="s">
        <v>275</v>
      </c>
      <c r="H256">
        <v>82.95999999999999</v>
      </c>
      <c r="I256" t="s">
        <v>274</v>
      </c>
      <c r="K256" t="s">
        <v>4541</v>
      </c>
      <c r="P256" t="s">
        <v>500</v>
      </c>
      <c r="Q256" t="s">
        <v>501</v>
      </c>
      <c r="S256" t="s">
        <v>503</v>
      </c>
      <c r="T256" t="s">
        <v>508</v>
      </c>
      <c r="U256" t="s">
        <v>511</v>
      </c>
      <c r="V256">
        <v>10305</v>
      </c>
      <c r="W256" t="s">
        <v>519</v>
      </c>
      <c r="X256" t="s">
        <v>548</v>
      </c>
      <c r="Y256" t="s">
        <v>275</v>
      </c>
      <c r="Z256" t="s">
        <v>4610</v>
      </c>
      <c r="AA256" t="s">
        <v>4823</v>
      </c>
      <c r="AB256" t="s">
        <v>902</v>
      </c>
      <c r="AC256" t="s">
        <v>912</v>
      </c>
      <c r="AF256" t="s">
        <v>926</v>
      </c>
      <c r="AI256">
        <v>64.95</v>
      </c>
      <c r="AJ256" t="s">
        <v>558</v>
      </c>
      <c r="AK256" t="s">
        <v>934</v>
      </c>
      <c r="AM256" t="s">
        <v>973</v>
      </c>
      <c r="AN256" t="s">
        <v>4845</v>
      </c>
      <c r="AT256">
        <v>2</v>
      </c>
      <c r="AU256">
        <v>2</v>
      </c>
      <c r="AV256" t="s">
        <v>274</v>
      </c>
      <c r="AW256" t="s">
        <v>3713</v>
      </c>
      <c r="AX256">
        <v>3459</v>
      </c>
      <c r="AY256" t="s">
        <v>273</v>
      </c>
      <c r="BB256">
        <v>0</v>
      </c>
      <c r="BC256">
        <v>0</v>
      </c>
      <c r="BD256">
        <v>0</v>
      </c>
      <c r="BE256">
        <v>0</v>
      </c>
      <c r="BF256" t="s">
        <v>1063</v>
      </c>
      <c r="BG256" t="s">
        <v>5037</v>
      </c>
      <c r="BH256">
        <v>27</v>
      </c>
      <c r="BI256" t="s">
        <v>5072</v>
      </c>
      <c r="BK256">
        <v>821935</v>
      </c>
    </row>
    <row r="257" spans="1:63">
      <c r="A257" s="1">
        <f>HYPERLINK("https://lsnyc.legalserver.org/matter/dynamic-profile/view/0821055","16-0821055")</f>
        <v>0</v>
      </c>
      <c r="B257" t="s">
        <v>4482</v>
      </c>
      <c r="C257" t="s">
        <v>4496</v>
      </c>
      <c r="D257" t="s">
        <v>252</v>
      </c>
      <c r="E257" t="s">
        <v>4499</v>
      </c>
      <c r="F257" t="s">
        <v>273</v>
      </c>
      <c r="G257" t="s">
        <v>275</v>
      </c>
      <c r="H257">
        <v>0</v>
      </c>
      <c r="I257" t="s">
        <v>274</v>
      </c>
      <c r="K257" t="s">
        <v>4542</v>
      </c>
      <c r="Q257" t="s">
        <v>501</v>
      </c>
      <c r="R257" t="s">
        <v>4558</v>
      </c>
      <c r="S257" t="s">
        <v>503</v>
      </c>
      <c r="T257" t="s">
        <v>507</v>
      </c>
      <c r="U257" t="s">
        <v>511</v>
      </c>
      <c r="V257">
        <v>11214</v>
      </c>
      <c r="W257" t="s">
        <v>521</v>
      </c>
      <c r="X257" t="s">
        <v>553</v>
      </c>
      <c r="Y257" t="s">
        <v>275</v>
      </c>
      <c r="Z257" t="s">
        <v>726</v>
      </c>
      <c r="AA257" t="s">
        <v>4824</v>
      </c>
      <c r="AB257" t="s">
        <v>902</v>
      </c>
      <c r="AC257" t="s">
        <v>910</v>
      </c>
      <c r="AF257" t="s">
        <v>923</v>
      </c>
      <c r="AI257">
        <v>37.9</v>
      </c>
      <c r="AJ257" t="s">
        <v>558</v>
      </c>
      <c r="AK257" t="s">
        <v>948</v>
      </c>
      <c r="AM257" t="s">
        <v>973</v>
      </c>
      <c r="AN257" t="s">
        <v>4848</v>
      </c>
      <c r="AT257">
        <v>0</v>
      </c>
      <c r="AU257">
        <v>2</v>
      </c>
      <c r="AV257" t="s">
        <v>274</v>
      </c>
      <c r="AW257" t="s">
        <v>3713</v>
      </c>
      <c r="AX257">
        <v>3459</v>
      </c>
      <c r="AY257" t="s">
        <v>273</v>
      </c>
      <c r="BB257">
        <v>0</v>
      </c>
      <c r="BC257">
        <v>0</v>
      </c>
      <c r="BD257">
        <v>0</v>
      </c>
      <c r="BE257">
        <v>0</v>
      </c>
      <c r="BF257" t="s">
        <v>1063</v>
      </c>
      <c r="BG257" t="s">
        <v>5038</v>
      </c>
      <c r="BH257">
        <v>29</v>
      </c>
      <c r="BI257" t="s">
        <v>1247</v>
      </c>
      <c r="BK257">
        <v>821515</v>
      </c>
    </row>
    <row r="258" spans="1:63">
      <c r="A258" s="1">
        <f>HYPERLINK("https://lsnyc.legalserver.org/matter/dynamic-profile/view/0819697","16-0819697")</f>
        <v>0</v>
      </c>
      <c r="B258" t="s">
        <v>4483</v>
      </c>
      <c r="C258" t="s">
        <v>4496</v>
      </c>
      <c r="D258" t="s">
        <v>252</v>
      </c>
      <c r="E258" t="s">
        <v>4499</v>
      </c>
      <c r="F258" t="s">
        <v>274</v>
      </c>
      <c r="G258" t="s">
        <v>274</v>
      </c>
      <c r="H258">
        <v>0</v>
      </c>
      <c r="I258" t="s">
        <v>274</v>
      </c>
      <c r="K258" t="s">
        <v>4543</v>
      </c>
      <c r="P258" t="s">
        <v>500</v>
      </c>
      <c r="Q258" t="s">
        <v>501</v>
      </c>
      <c r="S258" t="s">
        <v>503</v>
      </c>
      <c r="T258" t="s">
        <v>507</v>
      </c>
      <c r="U258" t="s">
        <v>511</v>
      </c>
      <c r="V258">
        <v>11223</v>
      </c>
      <c r="W258" t="s">
        <v>521</v>
      </c>
      <c r="X258" t="s">
        <v>553</v>
      </c>
      <c r="Y258" t="s">
        <v>275</v>
      </c>
      <c r="Z258" t="s">
        <v>4684</v>
      </c>
      <c r="AA258" t="s">
        <v>4825</v>
      </c>
      <c r="AB258" t="s">
        <v>902</v>
      </c>
      <c r="AC258" t="s">
        <v>905</v>
      </c>
      <c r="AF258" t="s">
        <v>923</v>
      </c>
      <c r="AI258">
        <v>8.800000000000001</v>
      </c>
      <c r="AJ258" t="s">
        <v>558</v>
      </c>
      <c r="AK258" t="s">
        <v>948</v>
      </c>
      <c r="AT258">
        <v>0</v>
      </c>
      <c r="AU258">
        <v>1</v>
      </c>
      <c r="AV258" t="s">
        <v>274</v>
      </c>
      <c r="AW258" t="s">
        <v>3713</v>
      </c>
      <c r="AX258">
        <v>3459</v>
      </c>
      <c r="AY258" t="s">
        <v>273</v>
      </c>
      <c r="BB258">
        <v>0</v>
      </c>
      <c r="BC258">
        <v>0</v>
      </c>
      <c r="BD258">
        <v>0</v>
      </c>
      <c r="BE258">
        <v>0</v>
      </c>
      <c r="BF258" t="s">
        <v>1063</v>
      </c>
      <c r="BG258" t="s">
        <v>5039</v>
      </c>
      <c r="BH258">
        <v>31</v>
      </c>
      <c r="BI258" t="s">
        <v>1247</v>
      </c>
      <c r="BK258">
        <v>820154</v>
      </c>
    </row>
    <row r="259" spans="1:63">
      <c r="A259" s="1">
        <f>HYPERLINK("https://lsnyc.legalserver.org/matter/dynamic-profile/view/0816343","16-0816343")</f>
        <v>0</v>
      </c>
      <c r="B259" t="s">
        <v>4484</v>
      </c>
      <c r="C259" t="s">
        <v>4496</v>
      </c>
      <c r="D259" t="s">
        <v>254</v>
      </c>
      <c r="E259" t="s">
        <v>4499</v>
      </c>
      <c r="F259" t="s">
        <v>273</v>
      </c>
      <c r="G259" t="s">
        <v>275</v>
      </c>
      <c r="H259">
        <v>194.76</v>
      </c>
      <c r="K259" t="s">
        <v>4544</v>
      </c>
      <c r="P259" t="s">
        <v>4556</v>
      </c>
      <c r="Q259" t="s">
        <v>501</v>
      </c>
      <c r="S259" t="s">
        <v>503</v>
      </c>
      <c r="T259" t="s">
        <v>507</v>
      </c>
      <c r="U259" t="s">
        <v>511</v>
      </c>
      <c r="V259">
        <v>10301</v>
      </c>
      <c r="W259" t="s">
        <v>518</v>
      </c>
      <c r="X259" t="s">
        <v>548</v>
      </c>
      <c r="Y259" t="s">
        <v>275</v>
      </c>
      <c r="Z259" t="s">
        <v>4685</v>
      </c>
      <c r="AA259" t="s">
        <v>4826</v>
      </c>
      <c r="AB259" t="s">
        <v>902</v>
      </c>
      <c r="AC259" t="s">
        <v>910</v>
      </c>
      <c r="AF259" t="s">
        <v>926</v>
      </c>
      <c r="AI259">
        <v>61.88</v>
      </c>
      <c r="AJ259" t="s">
        <v>558</v>
      </c>
      <c r="AK259" t="s">
        <v>941</v>
      </c>
      <c r="AT259">
        <v>0</v>
      </c>
      <c r="AU259">
        <v>2</v>
      </c>
      <c r="AV259" t="s">
        <v>274</v>
      </c>
      <c r="AW259" t="s">
        <v>3713</v>
      </c>
      <c r="AX259">
        <v>3459</v>
      </c>
      <c r="AY259" t="s">
        <v>273</v>
      </c>
      <c r="BB259">
        <v>0</v>
      </c>
      <c r="BC259">
        <v>0</v>
      </c>
      <c r="BD259">
        <v>0</v>
      </c>
      <c r="BE259">
        <v>0</v>
      </c>
      <c r="BF259" t="s">
        <v>1063</v>
      </c>
      <c r="BG259" t="s">
        <v>5040</v>
      </c>
      <c r="BH259">
        <v>21</v>
      </c>
      <c r="BI259" t="s">
        <v>1254</v>
      </c>
      <c r="BK259">
        <v>816793</v>
      </c>
    </row>
    <row r="260" spans="1:63">
      <c r="A260" s="1">
        <f>HYPERLINK("https://lsnyc.legalserver.org/matter/dynamic-profile/view/0811496","16-0811496")</f>
        <v>0</v>
      </c>
      <c r="B260" t="s">
        <v>4485</v>
      </c>
      <c r="C260" t="s">
        <v>4496</v>
      </c>
      <c r="D260" t="s">
        <v>254</v>
      </c>
      <c r="E260" t="s">
        <v>4502</v>
      </c>
      <c r="F260" t="s">
        <v>273</v>
      </c>
      <c r="G260" t="s">
        <v>275</v>
      </c>
      <c r="H260">
        <v>0</v>
      </c>
      <c r="I260" t="s">
        <v>274</v>
      </c>
      <c r="K260" t="s">
        <v>4545</v>
      </c>
      <c r="P260" t="s">
        <v>500</v>
      </c>
      <c r="Q260" t="s">
        <v>501</v>
      </c>
      <c r="S260" t="s">
        <v>503</v>
      </c>
      <c r="T260" t="s">
        <v>508</v>
      </c>
      <c r="U260" t="s">
        <v>511</v>
      </c>
      <c r="V260">
        <v>10302</v>
      </c>
      <c r="W260" t="s">
        <v>532</v>
      </c>
      <c r="X260" t="s">
        <v>548</v>
      </c>
      <c r="Z260" t="s">
        <v>4686</v>
      </c>
      <c r="AA260" t="s">
        <v>4827</v>
      </c>
      <c r="AB260" t="s">
        <v>902</v>
      </c>
      <c r="AC260" t="s">
        <v>905</v>
      </c>
      <c r="AF260" t="s">
        <v>923</v>
      </c>
      <c r="AI260">
        <v>42.9</v>
      </c>
      <c r="AJ260" t="s">
        <v>558</v>
      </c>
      <c r="AK260" t="s">
        <v>933</v>
      </c>
      <c r="AM260" t="s">
        <v>973</v>
      </c>
      <c r="AN260" t="s">
        <v>1804</v>
      </c>
      <c r="AT260">
        <v>1</v>
      </c>
      <c r="AU260">
        <v>1</v>
      </c>
      <c r="AV260" t="s">
        <v>274</v>
      </c>
      <c r="AW260" t="s">
        <v>3713</v>
      </c>
      <c r="AX260">
        <v>3459</v>
      </c>
      <c r="AY260" t="s">
        <v>273</v>
      </c>
      <c r="BB260">
        <v>0</v>
      </c>
      <c r="BC260">
        <v>0</v>
      </c>
      <c r="BD260">
        <v>0</v>
      </c>
      <c r="BE260">
        <v>0</v>
      </c>
      <c r="BF260" t="s">
        <v>1063</v>
      </c>
      <c r="BG260" t="s">
        <v>5041</v>
      </c>
      <c r="BH260">
        <v>20</v>
      </c>
      <c r="BI260" t="s">
        <v>1247</v>
      </c>
      <c r="BK260">
        <v>811237</v>
      </c>
    </row>
    <row r="261" spans="1:63">
      <c r="A261" s="1">
        <f>HYPERLINK("https://lsnyc.legalserver.org/matter/dynamic-profile/view/0812450","16-0812450")</f>
        <v>0</v>
      </c>
      <c r="B261" t="s">
        <v>4486</v>
      </c>
      <c r="C261" t="s">
        <v>4496</v>
      </c>
      <c r="D261" t="s">
        <v>252</v>
      </c>
      <c r="E261" t="s">
        <v>4501</v>
      </c>
      <c r="F261" t="s">
        <v>273</v>
      </c>
      <c r="G261" t="s">
        <v>275</v>
      </c>
      <c r="H261">
        <v>8.42</v>
      </c>
      <c r="I261" t="s">
        <v>274</v>
      </c>
      <c r="K261" t="s">
        <v>4546</v>
      </c>
      <c r="P261" t="s">
        <v>492</v>
      </c>
      <c r="Q261" t="s">
        <v>501</v>
      </c>
      <c r="R261" t="s">
        <v>4558</v>
      </c>
      <c r="S261" t="s">
        <v>503</v>
      </c>
      <c r="T261" t="s">
        <v>507</v>
      </c>
      <c r="U261" t="s">
        <v>511</v>
      </c>
      <c r="V261">
        <v>11229</v>
      </c>
      <c r="W261" t="s">
        <v>521</v>
      </c>
      <c r="X261" t="s">
        <v>553</v>
      </c>
      <c r="Z261" t="s">
        <v>616</v>
      </c>
      <c r="AA261" t="s">
        <v>4828</v>
      </c>
      <c r="AB261" t="s">
        <v>902</v>
      </c>
      <c r="AC261" t="s">
        <v>905</v>
      </c>
      <c r="AF261" t="s">
        <v>923</v>
      </c>
      <c r="AI261">
        <v>6.8</v>
      </c>
      <c r="AK261" t="s">
        <v>948</v>
      </c>
      <c r="AM261" t="s">
        <v>973</v>
      </c>
      <c r="AN261" t="s">
        <v>4546</v>
      </c>
      <c r="AT261">
        <v>0</v>
      </c>
      <c r="AU261">
        <v>1</v>
      </c>
      <c r="AV261" t="s">
        <v>273</v>
      </c>
      <c r="AY261" t="s">
        <v>273</v>
      </c>
      <c r="BB261">
        <v>0</v>
      </c>
      <c r="BC261">
        <v>0</v>
      </c>
      <c r="BD261">
        <v>0</v>
      </c>
      <c r="BE261">
        <v>0</v>
      </c>
      <c r="BF261" t="s">
        <v>1063</v>
      </c>
      <c r="BG261" t="s">
        <v>5042</v>
      </c>
      <c r="BH261">
        <v>36</v>
      </c>
      <c r="BI261" t="s">
        <v>2741</v>
      </c>
      <c r="BK261">
        <v>812889</v>
      </c>
    </row>
    <row r="262" spans="1:63">
      <c r="A262" s="1">
        <f>HYPERLINK("https://lsnyc.legalserver.org/matter/dynamic-profile/view/0810288","16-0810288")</f>
        <v>0</v>
      </c>
      <c r="B262" t="s">
        <v>4487</v>
      </c>
      <c r="C262" t="s">
        <v>4496</v>
      </c>
      <c r="D262" t="s">
        <v>254</v>
      </c>
      <c r="E262" t="s">
        <v>4499</v>
      </c>
      <c r="F262" t="s">
        <v>273</v>
      </c>
      <c r="G262" t="s">
        <v>275</v>
      </c>
      <c r="H262">
        <v>0</v>
      </c>
      <c r="I262" t="s">
        <v>274</v>
      </c>
      <c r="K262" t="s">
        <v>4547</v>
      </c>
      <c r="P262" t="s">
        <v>4556</v>
      </c>
      <c r="Q262" t="s">
        <v>501</v>
      </c>
      <c r="S262" t="s">
        <v>503</v>
      </c>
      <c r="T262" t="s">
        <v>508</v>
      </c>
      <c r="U262" t="s">
        <v>511</v>
      </c>
      <c r="V262">
        <v>10305</v>
      </c>
      <c r="W262" t="s">
        <v>519</v>
      </c>
      <c r="X262" t="s">
        <v>548</v>
      </c>
      <c r="Y262" t="s">
        <v>275</v>
      </c>
      <c r="Z262" t="s">
        <v>4687</v>
      </c>
      <c r="AA262" t="s">
        <v>4829</v>
      </c>
      <c r="AB262" t="s">
        <v>902</v>
      </c>
      <c r="AC262" t="s">
        <v>906</v>
      </c>
      <c r="AF262" t="s">
        <v>926</v>
      </c>
      <c r="AI262">
        <v>76.33</v>
      </c>
      <c r="AK262" t="s">
        <v>934</v>
      </c>
      <c r="AM262" t="s">
        <v>973</v>
      </c>
      <c r="AN262" t="s">
        <v>4540</v>
      </c>
      <c r="AT262">
        <v>5</v>
      </c>
      <c r="AU262">
        <v>5</v>
      </c>
      <c r="AV262" t="s">
        <v>274</v>
      </c>
      <c r="AW262" t="s">
        <v>3713</v>
      </c>
      <c r="AX262">
        <v>3459</v>
      </c>
      <c r="AY262" t="s">
        <v>273</v>
      </c>
      <c r="BB262">
        <v>0</v>
      </c>
      <c r="BC262">
        <v>0</v>
      </c>
      <c r="BD262">
        <v>0</v>
      </c>
      <c r="BE262">
        <v>0</v>
      </c>
      <c r="BF262" t="s">
        <v>1063</v>
      </c>
      <c r="BG262" t="s">
        <v>5043</v>
      </c>
      <c r="BH262">
        <v>28</v>
      </c>
      <c r="BI262" t="s">
        <v>1247</v>
      </c>
      <c r="BK262">
        <v>810726</v>
      </c>
    </row>
    <row r="263" spans="1:63">
      <c r="A263" s="1">
        <f>HYPERLINK("https://lsnyc.legalserver.org/matter/dynamic-profile/view/0790424","15-0790424")</f>
        <v>0</v>
      </c>
      <c r="B263" t="s">
        <v>4488</v>
      </c>
      <c r="C263" t="s">
        <v>4496</v>
      </c>
      <c r="D263" t="s">
        <v>254</v>
      </c>
      <c r="E263" t="s">
        <v>4502</v>
      </c>
      <c r="F263" t="s">
        <v>273</v>
      </c>
      <c r="G263" t="s">
        <v>275</v>
      </c>
      <c r="H263">
        <v>179.19</v>
      </c>
      <c r="I263" t="s">
        <v>274</v>
      </c>
      <c r="K263" t="s">
        <v>4548</v>
      </c>
      <c r="P263" t="s">
        <v>492</v>
      </c>
      <c r="Q263" t="s">
        <v>501</v>
      </c>
      <c r="S263" t="s">
        <v>503</v>
      </c>
      <c r="T263" t="s">
        <v>508</v>
      </c>
      <c r="U263" t="s">
        <v>511</v>
      </c>
      <c r="V263">
        <v>10304</v>
      </c>
      <c r="W263" t="s">
        <v>523</v>
      </c>
      <c r="X263" t="s">
        <v>549</v>
      </c>
      <c r="Z263" t="s">
        <v>4564</v>
      </c>
      <c r="AA263" t="s">
        <v>4830</v>
      </c>
      <c r="AB263" t="s">
        <v>903</v>
      </c>
      <c r="AF263" t="s">
        <v>923</v>
      </c>
      <c r="AI263">
        <v>1.85</v>
      </c>
      <c r="AJ263" t="s">
        <v>558</v>
      </c>
      <c r="AK263" t="s">
        <v>3268</v>
      </c>
      <c r="AM263" t="s">
        <v>973</v>
      </c>
      <c r="AN263" t="s">
        <v>4548</v>
      </c>
      <c r="AT263">
        <v>1</v>
      </c>
      <c r="AU263">
        <v>2</v>
      </c>
      <c r="AV263" t="s">
        <v>274</v>
      </c>
      <c r="AW263" t="s">
        <v>3713</v>
      </c>
      <c r="AX263">
        <v>3459</v>
      </c>
      <c r="AY263" t="s">
        <v>273</v>
      </c>
      <c r="BB263">
        <v>0</v>
      </c>
      <c r="BC263">
        <v>0</v>
      </c>
      <c r="BD263">
        <v>0</v>
      </c>
      <c r="BE263">
        <v>0</v>
      </c>
      <c r="BF263" t="s">
        <v>1063</v>
      </c>
      <c r="BG263" t="s">
        <v>5044</v>
      </c>
      <c r="BH263">
        <v>53</v>
      </c>
      <c r="BI263" t="s">
        <v>2748</v>
      </c>
      <c r="BK263">
        <v>790802</v>
      </c>
    </row>
    <row r="264" spans="1:63">
      <c r="A264" s="1">
        <f>HYPERLINK("https://lsnyc.legalserver.org/matter/dynamic-profile/view/0780000","15-0780000")</f>
        <v>0</v>
      </c>
      <c r="B264" t="s">
        <v>4489</v>
      </c>
      <c r="C264" t="s">
        <v>4496</v>
      </c>
      <c r="D264" t="s">
        <v>254</v>
      </c>
      <c r="E264" t="s">
        <v>4502</v>
      </c>
      <c r="F264" t="s">
        <v>273</v>
      </c>
      <c r="G264" t="s">
        <v>275</v>
      </c>
      <c r="H264">
        <v>161.39</v>
      </c>
      <c r="I264" t="s">
        <v>274</v>
      </c>
      <c r="K264" t="s">
        <v>4549</v>
      </c>
      <c r="P264" t="s">
        <v>492</v>
      </c>
      <c r="Q264" t="s">
        <v>501</v>
      </c>
      <c r="R264" t="s">
        <v>4559</v>
      </c>
      <c r="S264" t="s">
        <v>503</v>
      </c>
      <c r="T264" t="s">
        <v>507</v>
      </c>
      <c r="U264" t="s">
        <v>511</v>
      </c>
      <c r="V264">
        <v>10301</v>
      </c>
      <c r="W264" t="s">
        <v>532</v>
      </c>
      <c r="X264" t="s">
        <v>548</v>
      </c>
      <c r="Z264" t="s">
        <v>4613</v>
      </c>
      <c r="AA264" t="s">
        <v>4725</v>
      </c>
      <c r="AB264" t="s">
        <v>902</v>
      </c>
      <c r="AC264" t="s">
        <v>906</v>
      </c>
      <c r="AD264" t="s">
        <v>275</v>
      </c>
      <c r="AF264" t="s">
        <v>923</v>
      </c>
      <c r="AI264">
        <v>16.45</v>
      </c>
      <c r="AJ264" t="s">
        <v>558</v>
      </c>
      <c r="AK264" t="s">
        <v>933</v>
      </c>
      <c r="AM264" t="s">
        <v>973</v>
      </c>
      <c r="AN264" t="s">
        <v>4849</v>
      </c>
      <c r="AQ264" t="s">
        <v>1033</v>
      </c>
      <c r="AR264" t="s">
        <v>1051</v>
      </c>
      <c r="AS264" t="s">
        <v>4857</v>
      </c>
      <c r="AT264">
        <v>4</v>
      </c>
      <c r="AU264">
        <v>3</v>
      </c>
      <c r="AV264" t="s">
        <v>274</v>
      </c>
      <c r="AW264" t="s">
        <v>3713</v>
      </c>
      <c r="AX264">
        <v>3459</v>
      </c>
      <c r="AY264" t="s">
        <v>273</v>
      </c>
      <c r="BB264">
        <v>0</v>
      </c>
      <c r="BC264">
        <v>0</v>
      </c>
      <c r="BD264">
        <v>0</v>
      </c>
      <c r="BE264">
        <v>0</v>
      </c>
      <c r="BF264" t="s">
        <v>1063</v>
      </c>
      <c r="BG264" t="s">
        <v>5045</v>
      </c>
      <c r="BH264">
        <v>38</v>
      </c>
      <c r="BI264" t="s">
        <v>5056</v>
      </c>
      <c r="BK264">
        <v>780357</v>
      </c>
    </row>
    <row r="265" spans="1:63">
      <c r="A265" s="1">
        <f>HYPERLINK("https://lsnyc.legalserver.org/matter/dynamic-profile/view/0777569","15-0777569")</f>
        <v>0</v>
      </c>
      <c r="B265" t="s">
        <v>4490</v>
      </c>
      <c r="C265" t="s">
        <v>4496</v>
      </c>
      <c r="D265" t="s">
        <v>254</v>
      </c>
      <c r="E265" t="s">
        <v>4502</v>
      </c>
      <c r="F265" t="s">
        <v>273</v>
      </c>
      <c r="G265" t="s">
        <v>275</v>
      </c>
      <c r="H265">
        <v>87.81</v>
      </c>
      <c r="I265" t="s">
        <v>274</v>
      </c>
      <c r="K265" t="s">
        <v>4550</v>
      </c>
      <c r="P265" t="s">
        <v>500</v>
      </c>
      <c r="Q265" t="s">
        <v>501</v>
      </c>
      <c r="S265" t="s">
        <v>503</v>
      </c>
      <c r="T265" t="s">
        <v>507</v>
      </c>
      <c r="U265" t="s">
        <v>511</v>
      </c>
      <c r="V265">
        <v>10301</v>
      </c>
      <c r="W265" t="s">
        <v>532</v>
      </c>
      <c r="X265" t="s">
        <v>548</v>
      </c>
      <c r="Z265" t="s">
        <v>4688</v>
      </c>
      <c r="AA265" t="s">
        <v>4831</v>
      </c>
      <c r="AB265" t="s">
        <v>902</v>
      </c>
      <c r="AC265" t="s">
        <v>906</v>
      </c>
      <c r="AF265" t="s">
        <v>923</v>
      </c>
      <c r="AI265">
        <v>18.9</v>
      </c>
      <c r="AJ265" t="s">
        <v>558</v>
      </c>
      <c r="AK265" t="s">
        <v>933</v>
      </c>
      <c r="AM265" t="s">
        <v>973</v>
      </c>
      <c r="AN265" t="s">
        <v>4850</v>
      </c>
      <c r="AT265">
        <v>3</v>
      </c>
      <c r="AU265">
        <v>3</v>
      </c>
      <c r="AV265" t="s">
        <v>274</v>
      </c>
      <c r="AW265" t="s">
        <v>3713</v>
      </c>
      <c r="AX265">
        <v>3459</v>
      </c>
      <c r="AY265" t="s">
        <v>273</v>
      </c>
      <c r="BB265">
        <v>0</v>
      </c>
      <c r="BC265">
        <v>0</v>
      </c>
      <c r="BD265">
        <v>0</v>
      </c>
      <c r="BE265">
        <v>0</v>
      </c>
      <c r="BF265" t="s">
        <v>1063</v>
      </c>
      <c r="BG265" t="s">
        <v>5046</v>
      </c>
      <c r="BH265">
        <v>34</v>
      </c>
      <c r="BI265" t="s">
        <v>4265</v>
      </c>
      <c r="BK265">
        <v>754546</v>
      </c>
    </row>
    <row r="266" spans="1:63">
      <c r="A266" s="1">
        <f>HYPERLINK("https://lsnyc.legalserver.org/matter/dynamic-profile/view/0775726","15-0775726")</f>
        <v>0</v>
      </c>
      <c r="B266" t="s">
        <v>4491</v>
      </c>
      <c r="C266" t="s">
        <v>4496</v>
      </c>
      <c r="D266" t="s">
        <v>254</v>
      </c>
      <c r="E266" t="s">
        <v>4502</v>
      </c>
      <c r="F266" t="s">
        <v>273</v>
      </c>
      <c r="G266" t="s">
        <v>275</v>
      </c>
      <c r="H266">
        <v>114.25</v>
      </c>
      <c r="K266" t="s">
        <v>4551</v>
      </c>
      <c r="P266" t="s">
        <v>500</v>
      </c>
      <c r="Q266" t="s">
        <v>501</v>
      </c>
      <c r="S266" t="s">
        <v>503</v>
      </c>
      <c r="T266" t="s">
        <v>507</v>
      </c>
      <c r="U266" t="s">
        <v>511</v>
      </c>
      <c r="V266">
        <v>10302</v>
      </c>
      <c r="W266" t="s">
        <v>532</v>
      </c>
      <c r="X266" t="s">
        <v>548</v>
      </c>
      <c r="Z266" t="s">
        <v>567</v>
      </c>
      <c r="AA266" t="s">
        <v>4742</v>
      </c>
      <c r="AB266" t="s">
        <v>902</v>
      </c>
      <c r="AC266" t="s">
        <v>906</v>
      </c>
      <c r="AF266" t="s">
        <v>923</v>
      </c>
      <c r="AI266">
        <v>17.05</v>
      </c>
      <c r="AJ266" t="s">
        <v>558</v>
      </c>
      <c r="AK266" t="s">
        <v>933</v>
      </c>
      <c r="AM266" t="s">
        <v>973</v>
      </c>
      <c r="AN266" t="s">
        <v>4851</v>
      </c>
      <c r="AS266" t="s">
        <v>4857</v>
      </c>
      <c r="AT266">
        <v>0</v>
      </c>
      <c r="AU266">
        <v>2</v>
      </c>
      <c r="AV266" t="s">
        <v>274</v>
      </c>
      <c r="AW266" t="s">
        <v>3713</v>
      </c>
      <c r="AX266">
        <v>3459</v>
      </c>
      <c r="AY266" t="s">
        <v>273</v>
      </c>
      <c r="BB266">
        <v>0</v>
      </c>
      <c r="BC266">
        <v>0</v>
      </c>
      <c r="BD266">
        <v>0</v>
      </c>
      <c r="BE266">
        <v>0</v>
      </c>
      <c r="BF266" t="s">
        <v>1063</v>
      </c>
      <c r="BG266" t="s">
        <v>5047</v>
      </c>
      <c r="BH266">
        <v>50</v>
      </c>
      <c r="BI266" t="s">
        <v>1260</v>
      </c>
      <c r="BK266">
        <v>776079</v>
      </c>
    </row>
    <row r="267" spans="1:63">
      <c r="A267" s="1">
        <f>HYPERLINK("https://lsnyc.legalserver.org/matter/dynamic-profile/view/0775166","15-0775166")</f>
        <v>0</v>
      </c>
      <c r="B267" t="s">
        <v>4492</v>
      </c>
      <c r="C267" t="s">
        <v>4496</v>
      </c>
      <c r="D267" t="s">
        <v>254</v>
      </c>
      <c r="E267" t="s">
        <v>4502</v>
      </c>
      <c r="F267" t="s">
        <v>273</v>
      </c>
      <c r="G267" t="s">
        <v>275</v>
      </c>
      <c r="H267">
        <v>132.26</v>
      </c>
      <c r="I267" t="s">
        <v>274</v>
      </c>
      <c r="K267" t="s">
        <v>3745</v>
      </c>
      <c r="P267" t="s">
        <v>500</v>
      </c>
      <c r="Q267" t="s">
        <v>501</v>
      </c>
      <c r="S267" t="s">
        <v>503</v>
      </c>
      <c r="T267" t="s">
        <v>508</v>
      </c>
      <c r="U267" t="s">
        <v>511</v>
      </c>
      <c r="V267">
        <v>10310</v>
      </c>
      <c r="W267" t="s">
        <v>532</v>
      </c>
      <c r="X267" t="s">
        <v>548</v>
      </c>
      <c r="Z267" t="s">
        <v>584</v>
      </c>
      <c r="AA267" t="s">
        <v>824</v>
      </c>
      <c r="AB267" t="s">
        <v>903</v>
      </c>
      <c r="AF267" t="s">
        <v>923</v>
      </c>
      <c r="AI267">
        <v>61.75</v>
      </c>
      <c r="AJ267" t="s">
        <v>558</v>
      </c>
      <c r="AK267" t="s">
        <v>933</v>
      </c>
      <c r="AM267" t="s">
        <v>973</v>
      </c>
      <c r="AN267" t="s">
        <v>4852</v>
      </c>
      <c r="AT267">
        <v>1</v>
      </c>
      <c r="AU267">
        <v>2</v>
      </c>
      <c r="AV267" t="s">
        <v>274</v>
      </c>
      <c r="AW267" t="s">
        <v>3713</v>
      </c>
      <c r="AX267">
        <v>3459</v>
      </c>
      <c r="AY267" t="s">
        <v>273</v>
      </c>
      <c r="BB267">
        <v>0</v>
      </c>
      <c r="BC267">
        <v>0</v>
      </c>
      <c r="BD267">
        <v>0</v>
      </c>
      <c r="BE267">
        <v>0</v>
      </c>
      <c r="BF267" t="s">
        <v>1063</v>
      </c>
      <c r="BG267" t="s">
        <v>5048</v>
      </c>
      <c r="BH267">
        <v>56</v>
      </c>
      <c r="BI267" t="s">
        <v>5074</v>
      </c>
      <c r="BK267">
        <v>775519</v>
      </c>
    </row>
    <row r="268" spans="1:63">
      <c r="A268" s="1">
        <f>HYPERLINK("https://lsnyc.legalserver.org/matter/dynamic-profile/view/0771215","15-0771215")</f>
        <v>0</v>
      </c>
      <c r="B268" t="s">
        <v>4493</v>
      </c>
      <c r="C268" t="s">
        <v>4496</v>
      </c>
      <c r="D268" t="s">
        <v>254</v>
      </c>
      <c r="E268" t="s">
        <v>4502</v>
      </c>
      <c r="F268" t="s">
        <v>273</v>
      </c>
      <c r="G268" t="s">
        <v>275</v>
      </c>
      <c r="H268">
        <v>47.9</v>
      </c>
      <c r="I268" t="s">
        <v>274</v>
      </c>
      <c r="K268" t="s">
        <v>4552</v>
      </c>
      <c r="P268" t="s">
        <v>492</v>
      </c>
      <c r="Q268" t="s">
        <v>501</v>
      </c>
      <c r="S268" t="s">
        <v>503</v>
      </c>
      <c r="T268" t="s">
        <v>508</v>
      </c>
      <c r="U268" t="s">
        <v>511</v>
      </c>
      <c r="V268">
        <v>10303</v>
      </c>
      <c r="W268" t="s">
        <v>532</v>
      </c>
      <c r="X268" t="s">
        <v>548</v>
      </c>
      <c r="Z268" t="s">
        <v>4689</v>
      </c>
      <c r="AA268" t="s">
        <v>4832</v>
      </c>
      <c r="AB268" t="s">
        <v>902</v>
      </c>
      <c r="AC268" t="s">
        <v>905</v>
      </c>
      <c r="AF268" t="s">
        <v>923</v>
      </c>
      <c r="AI268">
        <v>14.55</v>
      </c>
      <c r="AJ268" t="s">
        <v>558</v>
      </c>
      <c r="AK268" t="s">
        <v>933</v>
      </c>
      <c r="AL268" t="s">
        <v>274</v>
      </c>
      <c r="AM268" t="s">
        <v>973</v>
      </c>
      <c r="AN268" t="s">
        <v>4853</v>
      </c>
      <c r="AT268">
        <v>4</v>
      </c>
      <c r="AU268">
        <v>2</v>
      </c>
      <c r="AV268" t="s">
        <v>274</v>
      </c>
      <c r="AW268" t="s">
        <v>3713</v>
      </c>
      <c r="AX268">
        <v>3459</v>
      </c>
      <c r="AY268" t="s">
        <v>273</v>
      </c>
      <c r="BB268">
        <v>0</v>
      </c>
      <c r="BC268">
        <v>0</v>
      </c>
      <c r="BD268">
        <v>0</v>
      </c>
      <c r="BE268">
        <v>0</v>
      </c>
      <c r="BF268" t="s">
        <v>1063</v>
      </c>
      <c r="BG268" t="s">
        <v>5017</v>
      </c>
      <c r="BH268">
        <v>33</v>
      </c>
      <c r="BI268" t="s">
        <v>1270</v>
      </c>
      <c r="BK268">
        <v>771561</v>
      </c>
    </row>
    <row r="269" spans="1:63">
      <c r="A269" s="1">
        <f>HYPERLINK("https://lsnyc.legalserver.org/matter/dynamic-profile/view/0763592","14-0763592")</f>
        <v>0</v>
      </c>
      <c r="B269" t="s">
        <v>4494</v>
      </c>
      <c r="C269" t="s">
        <v>4496</v>
      </c>
      <c r="D269" t="s">
        <v>254</v>
      </c>
      <c r="E269" t="s">
        <v>4502</v>
      </c>
      <c r="F269" t="s">
        <v>273</v>
      </c>
      <c r="G269" t="s">
        <v>275</v>
      </c>
      <c r="H269">
        <v>34.4</v>
      </c>
      <c r="I269" t="s">
        <v>274</v>
      </c>
      <c r="K269" t="s">
        <v>4553</v>
      </c>
      <c r="P269" t="s">
        <v>492</v>
      </c>
      <c r="Q269" t="s">
        <v>501</v>
      </c>
      <c r="S269" t="s">
        <v>503</v>
      </c>
      <c r="T269" t="s">
        <v>508</v>
      </c>
      <c r="U269" t="s">
        <v>511</v>
      </c>
      <c r="V269">
        <v>10301</v>
      </c>
      <c r="W269" t="s">
        <v>532</v>
      </c>
      <c r="X269" t="s">
        <v>548</v>
      </c>
      <c r="Z269" t="s">
        <v>4690</v>
      </c>
      <c r="AA269" t="s">
        <v>4833</v>
      </c>
      <c r="AB269" t="s">
        <v>902</v>
      </c>
      <c r="AC269" t="s">
        <v>905</v>
      </c>
      <c r="AF269" t="s">
        <v>923</v>
      </c>
      <c r="AI269">
        <v>31.97</v>
      </c>
      <c r="AJ269" t="s">
        <v>558</v>
      </c>
      <c r="AK269" t="s">
        <v>933</v>
      </c>
      <c r="AM269" t="s">
        <v>973</v>
      </c>
      <c r="AN269" t="s">
        <v>4854</v>
      </c>
      <c r="AT269">
        <v>3</v>
      </c>
      <c r="AU269">
        <v>2</v>
      </c>
      <c r="AV269" t="s">
        <v>274</v>
      </c>
      <c r="AW269" t="s">
        <v>3713</v>
      </c>
      <c r="AX269">
        <v>3459</v>
      </c>
      <c r="AY269" t="s">
        <v>273</v>
      </c>
      <c r="BB269">
        <v>0</v>
      </c>
      <c r="BC269">
        <v>0</v>
      </c>
      <c r="BD269">
        <v>0</v>
      </c>
      <c r="BE269">
        <v>0</v>
      </c>
      <c r="BF269" t="s">
        <v>1063</v>
      </c>
      <c r="BG269" t="s">
        <v>5049</v>
      </c>
      <c r="BH269">
        <v>32</v>
      </c>
      <c r="BI269" t="s">
        <v>1280</v>
      </c>
      <c r="BK269">
        <v>763914</v>
      </c>
    </row>
    <row r="270" spans="1:63">
      <c r="A270" s="1">
        <f>HYPERLINK("https://lsnyc.legalserver.org/matter/dynamic-profile/view/0732424","13-0732424")</f>
        <v>0</v>
      </c>
      <c r="B270" t="s">
        <v>4495</v>
      </c>
      <c r="C270" t="s">
        <v>4496</v>
      </c>
      <c r="D270" t="s">
        <v>254</v>
      </c>
      <c r="E270" t="s">
        <v>4502</v>
      </c>
      <c r="F270" t="s">
        <v>273</v>
      </c>
      <c r="G270" t="s">
        <v>275</v>
      </c>
      <c r="H270">
        <v>109.17</v>
      </c>
      <c r="K270" t="s">
        <v>4554</v>
      </c>
      <c r="P270" t="s">
        <v>500</v>
      </c>
      <c r="Q270" t="s">
        <v>501</v>
      </c>
      <c r="S270" t="s">
        <v>503</v>
      </c>
      <c r="T270" t="s">
        <v>508</v>
      </c>
      <c r="U270" t="s">
        <v>511</v>
      </c>
      <c r="V270">
        <v>10306</v>
      </c>
      <c r="W270" t="s">
        <v>523</v>
      </c>
      <c r="X270" t="s">
        <v>553</v>
      </c>
      <c r="Z270" t="s">
        <v>4691</v>
      </c>
      <c r="AA270" t="s">
        <v>4834</v>
      </c>
      <c r="AB270" t="s">
        <v>903</v>
      </c>
      <c r="AF270" t="s">
        <v>923</v>
      </c>
      <c r="AI270">
        <v>3.1</v>
      </c>
      <c r="AJ270" t="s">
        <v>558</v>
      </c>
      <c r="AK270" t="s">
        <v>948</v>
      </c>
      <c r="AM270" t="s">
        <v>973</v>
      </c>
      <c r="AN270" t="s">
        <v>4855</v>
      </c>
      <c r="AT270">
        <v>0</v>
      </c>
      <c r="AU270">
        <v>3</v>
      </c>
      <c r="AV270" t="s">
        <v>274</v>
      </c>
      <c r="AW270" t="s">
        <v>3713</v>
      </c>
      <c r="AX270">
        <v>3459</v>
      </c>
      <c r="AY270" t="s">
        <v>273</v>
      </c>
      <c r="BB270">
        <v>0</v>
      </c>
      <c r="BC270">
        <v>0</v>
      </c>
      <c r="BD270">
        <v>0</v>
      </c>
      <c r="BE270">
        <v>0</v>
      </c>
      <c r="BF270" t="s">
        <v>1063</v>
      </c>
      <c r="BG270" t="s">
        <v>5050</v>
      </c>
      <c r="BH270">
        <v>62</v>
      </c>
      <c r="BI270" t="s">
        <v>5075</v>
      </c>
      <c r="BK270">
        <v>732632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L733"/>
  <sheetViews>
    <sheetView workbookViewId="0"/>
  </sheetViews>
  <sheetFormatPr defaultRowHeight="15"/>
  <cols>
    <col min="1" max="1" width="20.7109375" style="1" customWidth="1"/>
    <col min="2" max="702" width="25.7109375" customWidth="1"/>
  </cols>
  <sheetData>
    <row r="1" spans="1: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</row>
    <row r="2" spans="1:64">
      <c r="A2" s="1">
        <f>HYPERLINK("https://lsnyc.legalserver.org/matter/dynamic-profile/view/1915345","19-1915345")</f>
        <v>0</v>
      </c>
      <c r="B2" t="s">
        <v>5076</v>
      </c>
      <c r="C2" t="s">
        <v>5625</v>
      </c>
      <c r="D2" t="s">
        <v>257</v>
      </c>
      <c r="E2" t="s">
        <v>3694</v>
      </c>
      <c r="F2" t="s">
        <v>274</v>
      </c>
      <c r="G2" t="s">
        <v>274</v>
      </c>
      <c r="H2">
        <v>0</v>
      </c>
      <c r="K2" t="s">
        <v>982</v>
      </c>
      <c r="O2" t="s">
        <v>275</v>
      </c>
      <c r="Q2" t="s">
        <v>5680</v>
      </c>
      <c r="R2" t="s">
        <v>501</v>
      </c>
      <c r="S2" t="s">
        <v>503</v>
      </c>
      <c r="T2" t="s">
        <v>508</v>
      </c>
      <c r="U2" t="s">
        <v>511</v>
      </c>
      <c r="V2">
        <v>10452</v>
      </c>
      <c r="X2" t="s">
        <v>548</v>
      </c>
      <c r="Z2" t="s">
        <v>5684</v>
      </c>
      <c r="AA2" t="s">
        <v>6056</v>
      </c>
      <c r="AB2" t="s">
        <v>902</v>
      </c>
      <c r="AC2" t="s">
        <v>904</v>
      </c>
      <c r="AI2">
        <v>1.2</v>
      </c>
      <c r="AK2" t="s">
        <v>950</v>
      </c>
      <c r="AT2">
        <v>0</v>
      </c>
      <c r="AU2">
        <v>1</v>
      </c>
      <c r="AV2" t="s">
        <v>273</v>
      </c>
      <c r="AY2" t="s">
        <v>273</v>
      </c>
      <c r="BB2">
        <v>0</v>
      </c>
      <c r="BC2">
        <v>0</v>
      </c>
      <c r="BD2">
        <v>0</v>
      </c>
      <c r="BE2">
        <v>0</v>
      </c>
      <c r="BF2" t="s">
        <v>1063</v>
      </c>
      <c r="BG2" t="s">
        <v>6466</v>
      </c>
      <c r="BH2">
        <v>19</v>
      </c>
      <c r="BI2" t="s">
        <v>1247</v>
      </c>
      <c r="BK2">
        <v>1916009</v>
      </c>
    </row>
    <row r="3" spans="1:64">
      <c r="A3" s="1">
        <f>HYPERLINK("https://lsnyc.legalserver.org/matter/dynamic-profile/view/1915415","19-1915415")</f>
        <v>0</v>
      </c>
      <c r="B3" t="s">
        <v>5077</v>
      </c>
      <c r="C3" t="s">
        <v>5625</v>
      </c>
      <c r="D3" t="s">
        <v>252</v>
      </c>
      <c r="E3" t="s">
        <v>264</v>
      </c>
      <c r="F3" t="s">
        <v>273</v>
      </c>
      <c r="G3" t="s">
        <v>275</v>
      </c>
      <c r="H3">
        <v>0</v>
      </c>
      <c r="K3" t="s">
        <v>982</v>
      </c>
      <c r="O3" t="s">
        <v>275</v>
      </c>
      <c r="P3" t="s">
        <v>494</v>
      </c>
      <c r="Q3" t="s">
        <v>501</v>
      </c>
      <c r="S3" t="s">
        <v>503</v>
      </c>
      <c r="T3" t="s">
        <v>507</v>
      </c>
      <c r="U3" t="s">
        <v>511</v>
      </c>
      <c r="V3">
        <v>11225</v>
      </c>
      <c r="X3" t="s">
        <v>553</v>
      </c>
      <c r="Z3" t="s">
        <v>5685</v>
      </c>
      <c r="AA3" t="s">
        <v>6057</v>
      </c>
      <c r="AB3" t="s">
        <v>902</v>
      </c>
      <c r="AC3" t="s">
        <v>905</v>
      </c>
      <c r="AI3">
        <v>0.55</v>
      </c>
      <c r="AT3">
        <v>0</v>
      </c>
      <c r="AU3">
        <v>2</v>
      </c>
      <c r="AV3" t="s">
        <v>273</v>
      </c>
      <c r="AY3" t="s">
        <v>273</v>
      </c>
      <c r="BB3">
        <v>0</v>
      </c>
      <c r="BC3">
        <v>0</v>
      </c>
      <c r="BD3">
        <v>0</v>
      </c>
      <c r="BE3">
        <v>0</v>
      </c>
      <c r="BF3" t="s">
        <v>1063</v>
      </c>
      <c r="BG3" t="s">
        <v>6467</v>
      </c>
      <c r="BH3">
        <v>26</v>
      </c>
      <c r="BI3" t="s">
        <v>1247</v>
      </c>
      <c r="BK3">
        <v>1915213</v>
      </c>
    </row>
    <row r="4" spans="1:64">
      <c r="A4" s="1">
        <f>HYPERLINK("https://lsnyc.legalserver.org/matter/dynamic-profile/view/1914233","19-1914233")</f>
        <v>0</v>
      </c>
      <c r="B4" t="s">
        <v>5078</v>
      </c>
      <c r="C4" t="s">
        <v>5625</v>
      </c>
      <c r="D4" t="s">
        <v>252</v>
      </c>
      <c r="E4" t="s">
        <v>5629</v>
      </c>
      <c r="F4" t="s">
        <v>274</v>
      </c>
      <c r="G4" t="s">
        <v>274</v>
      </c>
      <c r="H4">
        <v>63.31</v>
      </c>
      <c r="I4" t="s">
        <v>274</v>
      </c>
      <c r="K4" t="s">
        <v>1810</v>
      </c>
      <c r="O4" t="s">
        <v>274</v>
      </c>
      <c r="P4" t="s">
        <v>492</v>
      </c>
      <c r="Q4" t="s">
        <v>501</v>
      </c>
      <c r="S4" t="s">
        <v>503</v>
      </c>
      <c r="T4" t="s">
        <v>508</v>
      </c>
      <c r="U4" t="s">
        <v>511</v>
      </c>
      <c r="V4">
        <v>11219</v>
      </c>
      <c r="W4" t="s">
        <v>536</v>
      </c>
      <c r="X4" t="s">
        <v>548</v>
      </c>
      <c r="Z4" t="s">
        <v>695</v>
      </c>
      <c r="AA4" t="s">
        <v>6058</v>
      </c>
      <c r="AB4" t="s">
        <v>902</v>
      </c>
      <c r="AC4" t="s">
        <v>905</v>
      </c>
      <c r="AF4" t="s">
        <v>925</v>
      </c>
      <c r="AI4">
        <v>2.42</v>
      </c>
      <c r="AJ4" t="s">
        <v>558</v>
      </c>
      <c r="AK4" t="s">
        <v>933</v>
      </c>
      <c r="AL4" t="s">
        <v>274</v>
      </c>
      <c r="AT4">
        <v>4</v>
      </c>
      <c r="AU4">
        <v>2</v>
      </c>
      <c r="AV4" t="s">
        <v>273</v>
      </c>
      <c r="AY4" t="s">
        <v>273</v>
      </c>
      <c r="BB4">
        <v>0</v>
      </c>
      <c r="BC4">
        <v>0</v>
      </c>
      <c r="BD4">
        <v>0</v>
      </c>
      <c r="BE4">
        <v>0</v>
      </c>
      <c r="BF4" t="s">
        <v>1063</v>
      </c>
      <c r="BG4" t="s">
        <v>2677</v>
      </c>
      <c r="BH4">
        <v>28</v>
      </c>
      <c r="BI4" t="s">
        <v>6971</v>
      </c>
      <c r="BK4">
        <v>1914897</v>
      </c>
    </row>
    <row r="5" spans="1:64">
      <c r="A5" s="1">
        <f>HYPERLINK("https://lsnyc.legalserver.org/matter/dynamic-profile/view/1913176","19-1913176")</f>
        <v>0</v>
      </c>
      <c r="B5" t="s">
        <v>5079</v>
      </c>
      <c r="C5" t="s">
        <v>5625</v>
      </c>
      <c r="D5" t="s">
        <v>257</v>
      </c>
      <c r="E5" t="s">
        <v>3694</v>
      </c>
      <c r="F5" t="s">
        <v>273</v>
      </c>
      <c r="G5" t="s">
        <v>275</v>
      </c>
      <c r="H5">
        <v>35.99</v>
      </c>
      <c r="I5" t="s">
        <v>274</v>
      </c>
      <c r="K5" t="s">
        <v>1663</v>
      </c>
      <c r="O5" t="s">
        <v>275</v>
      </c>
      <c r="Q5" t="s">
        <v>501</v>
      </c>
      <c r="S5" t="s">
        <v>503</v>
      </c>
      <c r="T5" t="s">
        <v>508</v>
      </c>
      <c r="U5" t="s">
        <v>511</v>
      </c>
      <c r="V5">
        <v>10457</v>
      </c>
      <c r="W5" t="s">
        <v>532</v>
      </c>
      <c r="X5" t="s">
        <v>548</v>
      </c>
      <c r="Y5" t="s">
        <v>275</v>
      </c>
      <c r="Z5" t="s">
        <v>5686</v>
      </c>
      <c r="AA5" t="s">
        <v>2337</v>
      </c>
      <c r="AB5" t="s">
        <v>902</v>
      </c>
      <c r="AC5" t="s">
        <v>905</v>
      </c>
      <c r="AF5" t="s">
        <v>925</v>
      </c>
      <c r="AI5">
        <v>4.1</v>
      </c>
      <c r="AJ5" t="s">
        <v>558</v>
      </c>
      <c r="AK5" t="s">
        <v>934</v>
      </c>
      <c r="AL5" t="s">
        <v>274</v>
      </c>
      <c r="AT5">
        <v>4</v>
      </c>
      <c r="AU5">
        <v>3</v>
      </c>
      <c r="AV5" t="s">
        <v>273</v>
      </c>
      <c r="AY5" t="s">
        <v>273</v>
      </c>
      <c r="BB5">
        <v>0</v>
      </c>
      <c r="BC5">
        <v>0</v>
      </c>
      <c r="BD5">
        <v>0</v>
      </c>
      <c r="BE5">
        <v>0</v>
      </c>
      <c r="BF5" t="s">
        <v>1063</v>
      </c>
      <c r="BG5" t="s">
        <v>6468</v>
      </c>
      <c r="BH5">
        <v>38</v>
      </c>
      <c r="BI5" t="s">
        <v>6972</v>
      </c>
      <c r="BK5">
        <v>1897287</v>
      </c>
      <c r="BL5" t="s">
        <v>274</v>
      </c>
    </row>
    <row r="6" spans="1:64">
      <c r="A6" s="1">
        <f>HYPERLINK("https://lsnyc.legalserver.org/matter/dynamic-profile/view/1913472","19-1913472")</f>
        <v>0</v>
      </c>
      <c r="B6" t="s">
        <v>5080</v>
      </c>
      <c r="C6" t="s">
        <v>5625</v>
      </c>
      <c r="D6" t="s">
        <v>257</v>
      </c>
      <c r="E6" t="s">
        <v>264</v>
      </c>
      <c r="F6" t="s">
        <v>274</v>
      </c>
      <c r="G6" t="s">
        <v>274</v>
      </c>
      <c r="H6">
        <v>0</v>
      </c>
      <c r="I6" t="s">
        <v>274</v>
      </c>
      <c r="K6" t="s">
        <v>1663</v>
      </c>
      <c r="O6" t="s">
        <v>274</v>
      </c>
      <c r="P6" t="s">
        <v>498</v>
      </c>
      <c r="Q6" t="s">
        <v>501</v>
      </c>
      <c r="S6" t="s">
        <v>503</v>
      </c>
      <c r="T6" t="s">
        <v>508</v>
      </c>
      <c r="U6" t="s">
        <v>511</v>
      </c>
      <c r="V6">
        <v>10457</v>
      </c>
      <c r="X6" t="s">
        <v>548</v>
      </c>
      <c r="Y6" t="s">
        <v>275</v>
      </c>
      <c r="Z6" t="s">
        <v>5687</v>
      </c>
      <c r="AA6" t="s">
        <v>6059</v>
      </c>
      <c r="AB6" t="s">
        <v>902</v>
      </c>
      <c r="AC6" t="s">
        <v>905</v>
      </c>
      <c r="AF6" t="s">
        <v>925</v>
      </c>
      <c r="AI6">
        <v>1.61</v>
      </c>
      <c r="AJ6" t="s">
        <v>558</v>
      </c>
      <c r="AK6" t="s">
        <v>950</v>
      </c>
      <c r="AL6" t="s">
        <v>274</v>
      </c>
      <c r="AT6">
        <v>0</v>
      </c>
      <c r="AU6">
        <v>1</v>
      </c>
      <c r="AV6" t="s">
        <v>273</v>
      </c>
      <c r="AY6" t="s">
        <v>273</v>
      </c>
      <c r="BB6">
        <v>0</v>
      </c>
      <c r="BC6">
        <v>0</v>
      </c>
      <c r="BD6">
        <v>0</v>
      </c>
      <c r="BE6">
        <v>0</v>
      </c>
      <c r="BF6" t="s">
        <v>1063</v>
      </c>
      <c r="BG6" t="s">
        <v>6469</v>
      </c>
      <c r="BH6">
        <v>64</v>
      </c>
      <c r="BI6" t="s">
        <v>1247</v>
      </c>
      <c r="BK6">
        <v>1914135</v>
      </c>
      <c r="BL6" t="s">
        <v>275</v>
      </c>
    </row>
    <row r="7" spans="1:64">
      <c r="A7" s="1">
        <f>HYPERLINK("https://lsnyc.legalserver.org/matter/dynamic-profile/view/1913236","19-1913236")</f>
        <v>0</v>
      </c>
      <c r="B7" t="s">
        <v>5081</v>
      </c>
      <c r="C7" t="s">
        <v>5625</v>
      </c>
      <c r="D7" t="s">
        <v>252</v>
      </c>
      <c r="E7" t="s">
        <v>264</v>
      </c>
      <c r="F7" t="s">
        <v>274</v>
      </c>
      <c r="G7" t="s">
        <v>274</v>
      </c>
      <c r="H7">
        <v>0</v>
      </c>
      <c r="I7" t="s">
        <v>274</v>
      </c>
      <c r="K7" t="s">
        <v>279</v>
      </c>
      <c r="O7" t="s">
        <v>274</v>
      </c>
      <c r="Q7" t="s">
        <v>501</v>
      </c>
      <c r="S7" t="s">
        <v>503</v>
      </c>
      <c r="T7" t="s">
        <v>508</v>
      </c>
      <c r="U7" t="s">
        <v>511</v>
      </c>
      <c r="V7">
        <v>11238</v>
      </c>
      <c r="X7" t="s">
        <v>549</v>
      </c>
      <c r="Y7" t="s">
        <v>275</v>
      </c>
      <c r="Z7" t="s">
        <v>5688</v>
      </c>
      <c r="AA7" t="s">
        <v>6060</v>
      </c>
      <c r="AB7" t="s">
        <v>902</v>
      </c>
      <c r="AC7" t="s">
        <v>905</v>
      </c>
      <c r="AF7" t="s">
        <v>925</v>
      </c>
      <c r="AI7">
        <v>1.55</v>
      </c>
      <c r="AJ7" t="s">
        <v>558</v>
      </c>
      <c r="AK7" t="s">
        <v>961</v>
      </c>
      <c r="AL7" t="s">
        <v>274</v>
      </c>
      <c r="AT7">
        <v>0</v>
      </c>
      <c r="AU7">
        <v>1</v>
      </c>
      <c r="AV7" t="s">
        <v>273</v>
      </c>
      <c r="AY7" t="s">
        <v>273</v>
      </c>
      <c r="BB7">
        <v>0</v>
      </c>
      <c r="BC7">
        <v>0</v>
      </c>
      <c r="BD7">
        <v>0</v>
      </c>
      <c r="BE7">
        <v>0</v>
      </c>
      <c r="BF7" t="s">
        <v>1063</v>
      </c>
      <c r="BG7" t="s">
        <v>6470</v>
      </c>
      <c r="BH7">
        <v>29</v>
      </c>
      <c r="BI7" t="s">
        <v>1247</v>
      </c>
      <c r="BK7">
        <v>1913899</v>
      </c>
      <c r="BL7" t="s">
        <v>275</v>
      </c>
    </row>
    <row r="8" spans="1:64">
      <c r="A8" s="1">
        <f>HYPERLINK("https://lsnyc.legalserver.org/matter/dynamic-profile/view/1912801","19-1912801")</f>
        <v>0</v>
      </c>
      <c r="B8" t="s">
        <v>5082</v>
      </c>
      <c r="C8" t="s">
        <v>5625</v>
      </c>
      <c r="D8" t="s">
        <v>252</v>
      </c>
      <c r="E8" t="s">
        <v>5629</v>
      </c>
      <c r="F8" t="s">
        <v>274</v>
      </c>
      <c r="G8" t="s">
        <v>274</v>
      </c>
      <c r="H8">
        <v>70.20999999999999</v>
      </c>
      <c r="I8" t="s">
        <v>274</v>
      </c>
      <c r="K8" t="s">
        <v>1811</v>
      </c>
      <c r="O8" t="s">
        <v>274</v>
      </c>
      <c r="Q8" t="s">
        <v>501</v>
      </c>
      <c r="R8" t="s">
        <v>501</v>
      </c>
      <c r="S8" t="s">
        <v>503</v>
      </c>
      <c r="T8" t="s">
        <v>508</v>
      </c>
      <c r="U8" t="s">
        <v>511</v>
      </c>
      <c r="V8">
        <v>11212</v>
      </c>
      <c r="X8" t="s">
        <v>549</v>
      </c>
      <c r="Z8" t="s">
        <v>5689</v>
      </c>
      <c r="AA8" t="s">
        <v>6061</v>
      </c>
      <c r="AB8" t="s">
        <v>902</v>
      </c>
      <c r="AC8" t="s">
        <v>905</v>
      </c>
      <c r="AF8" t="s">
        <v>925</v>
      </c>
      <c r="AI8">
        <v>2.65</v>
      </c>
      <c r="AJ8" t="s">
        <v>558</v>
      </c>
      <c r="AK8" t="s">
        <v>961</v>
      </c>
      <c r="AL8" t="s">
        <v>274</v>
      </c>
      <c r="AT8">
        <v>1</v>
      </c>
      <c r="AU8">
        <v>2</v>
      </c>
      <c r="AV8" t="s">
        <v>273</v>
      </c>
      <c r="AY8" t="s">
        <v>273</v>
      </c>
      <c r="BB8">
        <v>0</v>
      </c>
      <c r="BC8">
        <v>0</v>
      </c>
      <c r="BD8">
        <v>0</v>
      </c>
      <c r="BE8">
        <v>0</v>
      </c>
      <c r="BF8" t="s">
        <v>1063</v>
      </c>
      <c r="BG8" t="s">
        <v>6471</v>
      </c>
      <c r="BH8">
        <v>49</v>
      </c>
      <c r="BI8" t="s">
        <v>6973</v>
      </c>
      <c r="BK8">
        <v>1913464</v>
      </c>
    </row>
    <row r="9" spans="1:64">
      <c r="A9" s="1">
        <f>HYPERLINK("https://lsnyc.legalserver.org/matter/dynamic-profile/view/1912687","19-1912687")</f>
        <v>0</v>
      </c>
      <c r="B9" t="s">
        <v>5083</v>
      </c>
      <c r="C9" t="s">
        <v>5625</v>
      </c>
      <c r="D9" t="s">
        <v>252</v>
      </c>
      <c r="E9" t="s">
        <v>264</v>
      </c>
      <c r="F9" t="s">
        <v>274</v>
      </c>
      <c r="G9" t="s">
        <v>274</v>
      </c>
      <c r="H9">
        <v>6.01</v>
      </c>
      <c r="I9" t="s">
        <v>274</v>
      </c>
      <c r="K9" t="s">
        <v>446</v>
      </c>
      <c r="O9" t="s">
        <v>275</v>
      </c>
      <c r="P9" t="s">
        <v>494</v>
      </c>
      <c r="Q9" t="s">
        <v>501</v>
      </c>
      <c r="S9" t="s">
        <v>503</v>
      </c>
      <c r="T9" t="s">
        <v>508</v>
      </c>
      <c r="U9" t="s">
        <v>511</v>
      </c>
      <c r="V9">
        <v>11213</v>
      </c>
      <c r="X9" t="s">
        <v>549</v>
      </c>
      <c r="Y9" t="s">
        <v>274</v>
      </c>
      <c r="Z9" t="s">
        <v>5690</v>
      </c>
      <c r="AA9" t="s">
        <v>6062</v>
      </c>
      <c r="AB9" t="s">
        <v>902</v>
      </c>
      <c r="AC9" t="s">
        <v>905</v>
      </c>
      <c r="AF9" t="s">
        <v>925</v>
      </c>
      <c r="AI9">
        <v>2.15</v>
      </c>
      <c r="AJ9" t="s">
        <v>558</v>
      </c>
      <c r="AK9" t="s">
        <v>2379</v>
      </c>
      <c r="AL9" t="s">
        <v>274</v>
      </c>
      <c r="AT9">
        <v>3</v>
      </c>
      <c r="AU9">
        <v>1</v>
      </c>
      <c r="AV9" t="s">
        <v>273</v>
      </c>
      <c r="AY9" t="s">
        <v>273</v>
      </c>
      <c r="BB9">
        <v>0</v>
      </c>
      <c r="BC9">
        <v>0</v>
      </c>
      <c r="BD9">
        <v>0</v>
      </c>
      <c r="BE9">
        <v>0</v>
      </c>
      <c r="BF9" t="s">
        <v>1063</v>
      </c>
      <c r="BG9" t="s">
        <v>6472</v>
      </c>
      <c r="BH9">
        <v>34</v>
      </c>
      <c r="BI9" t="s">
        <v>6974</v>
      </c>
      <c r="BK9">
        <v>1913350</v>
      </c>
      <c r="BL9" t="s">
        <v>275</v>
      </c>
    </row>
    <row r="10" spans="1:64">
      <c r="A10" s="1">
        <f>HYPERLINK("https://lsnyc.legalserver.org/matter/dynamic-profile/view/1912750","19-1912750")</f>
        <v>0</v>
      </c>
      <c r="B10" t="s">
        <v>5084</v>
      </c>
      <c r="C10" t="s">
        <v>5625</v>
      </c>
      <c r="D10" t="s">
        <v>257</v>
      </c>
      <c r="E10" t="s">
        <v>5629</v>
      </c>
      <c r="F10" t="s">
        <v>274</v>
      </c>
      <c r="G10" t="s">
        <v>274</v>
      </c>
      <c r="H10">
        <v>0</v>
      </c>
      <c r="I10" t="s">
        <v>274</v>
      </c>
      <c r="K10" t="s">
        <v>446</v>
      </c>
      <c r="O10" t="s">
        <v>274</v>
      </c>
      <c r="P10" t="s">
        <v>494</v>
      </c>
      <c r="Q10" t="s">
        <v>501</v>
      </c>
      <c r="S10" t="s">
        <v>503</v>
      </c>
      <c r="T10" t="s">
        <v>508</v>
      </c>
      <c r="U10" t="s">
        <v>511</v>
      </c>
      <c r="V10">
        <v>10460</v>
      </c>
      <c r="X10" t="s">
        <v>548</v>
      </c>
      <c r="Z10" t="s">
        <v>5691</v>
      </c>
      <c r="AA10" t="s">
        <v>6063</v>
      </c>
      <c r="AB10" t="s">
        <v>902</v>
      </c>
      <c r="AC10" t="s">
        <v>905</v>
      </c>
      <c r="AF10" t="s">
        <v>925</v>
      </c>
      <c r="AI10">
        <v>2.6</v>
      </c>
      <c r="AJ10" t="s">
        <v>558</v>
      </c>
      <c r="AK10" t="s">
        <v>934</v>
      </c>
      <c r="AL10" t="s">
        <v>274</v>
      </c>
      <c r="AT10">
        <v>0</v>
      </c>
      <c r="AU10">
        <v>1</v>
      </c>
      <c r="AV10" t="s">
        <v>273</v>
      </c>
      <c r="AY10" t="s">
        <v>273</v>
      </c>
      <c r="BB10">
        <v>0</v>
      </c>
      <c r="BC10">
        <v>0</v>
      </c>
      <c r="BD10">
        <v>0</v>
      </c>
      <c r="BE10">
        <v>0</v>
      </c>
      <c r="BF10" t="s">
        <v>1063</v>
      </c>
      <c r="BG10" t="s">
        <v>6473</v>
      </c>
      <c r="BH10">
        <v>67</v>
      </c>
      <c r="BI10" t="s">
        <v>1247</v>
      </c>
      <c r="BK10">
        <v>1913413</v>
      </c>
    </row>
    <row r="11" spans="1:64">
      <c r="A11" s="1">
        <f>HYPERLINK("https://lsnyc.legalserver.org/matter/dynamic-profile/view/1912507","19-1912507")</f>
        <v>0</v>
      </c>
      <c r="B11" t="s">
        <v>212</v>
      </c>
      <c r="C11" t="s">
        <v>5625</v>
      </c>
      <c r="D11" t="s">
        <v>252</v>
      </c>
      <c r="E11" t="s">
        <v>3694</v>
      </c>
      <c r="F11" t="s">
        <v>274</v>
      </c>
      <c r="G11" t="s">
        <v>274</v>
      </c>
      <c r="H11">
        <v>184.51</v>
      </c>
      <c r="I11" t="s">
        <v>274</v>
      </c>
      <c r="K11" t="s">
        <v>480</v>
      </c>
      <c r="P11" t="s">
        <v>492</v>
      </c>
      <c r="Q11" t="s">
        <v>501</v>
      </c>
      <c r="S11" t="s">
        <v>503</v>
      </c>
      <c r="T11" t="s">
        <v>508</v>
      </c>
      <c r="U11" t="s">
        <v>511</v>
      </c>
      <c r="V11">
        <v>11234</v>
      </c>
      <c r="W11" t="s">
        <v>517</v>
      </c>
      <c r="X11" t="s">
        <v>549</v>
      </c>
      <c r="Z11" t="s">
        <v>694</v>
      </c>
      <c r="AA11" t="s">
        <v>865</v>
      </c>
      <c r="AB11" t="s">
        <v>902</v>
      </c>
      <c r="AC11" t="s">
        <v>905</v>
      </c>
      <c r="AF11" t="s">
        <v>923</v>
      </c>
      <c r="AI11">
        <v>0.85</v>
      </c>
      <c r="AJ11" t="s">
        <v>558</v>
      </c>
      <c r="AK11" t="s">
        <v>939</v>
      </c>
      <c r="AL11" t="s">
        <v>274</v>
      </c>
      <c r="AT11">
        <v>1</v>
      </c>
      <c r="AU11">
        <v>1</v>
      </c>
      <c r="AV11" t="s">
        <v>273</v>
      </c>
      <c r="AY11" t="s">
        <v>273</v>
      </c>
      <c r="BB11">
        <v>0</v>
      </c>
      <c r="BC11">
        <v>0</v>
      </c>
      <c r="BD11">
        <v>0</v>
      </c>
      <c r="BE11">
        <v>0</v>
      </c>
      <c r="BF11" t="s">
        <v>1063</v>
      </c>
      <c r="BG11" t="s">
        <v>1209</v>
      </c>
      <c r="BH11">
        <v>36</v>
      </c>
      <c r="BI11" t="s">
        <v>1254</v>
      </c>
      <c r="BK11">
        <v>1857417</v>
      </c>
    </row>
    <row r="12" spans="1:64">
      <c r="A12" s="1">
        <f>HYPERLINK("https://lsnyc.legalserver.org/matter/dynamic-profile/view/1912305","19-1912305")</f>
        <v>0</v>
      </c>
      <c r="B12" t="s">
        <v>5085</v>
      </c>
      <c r="C12" t="s">
        <v>5625</v>
      </c>
      <c r="D12" t="s">
        <v>257</v>
      </c>
      <c r="E12" t="s">
        <v>264</v>
      </c>
      <c r="F12" t="s">
        <v>274</v>
      </c>
      <c r="G12" t="s">
        <v>274</v>
      </c>
      <c r="H12">
        <v>33.31</v>
      </c>
      <c r="I12" t="s">
        <v>274</v>
      </c>
      <c r="K12" t="s">
        <v>476</v>
      </c>
      <c r="O12" t="s">
        <v>275</v>
      </c>
      <c r="P12" t="s">
        <v>494</v>
      </c>
      <c r="Q12" t="s">
        <v>501</v>
      </c>
      <c r="R12" t="s">
        <v>501</v>
      </c>
      <c r="S12" t="s">
        <v>503</v>
      </c>
      <c r="T12" t="s">
        <v>507</v>
      </c>
      <c r="U12" t="s">
        <v>511</v>
      </c>
      <c r="V12">
        <v>10460</v>
      </c>
      <c r="X12" t="s">
        <v>549</v>
      </c>
      <c r="Z12" t="s">
        <v>5692</v>
      </c>
      <c r="AA12" t="s">
        <v>6064</v>
      </c>
      <c r="AB12" t="s">
        <v>902</v>
      </c>
      <c r="AC12" t="s">
        <v>905</v>
      </c>
      <c r="AF12" t="s">
        <v>925</v>
      </c>
      <c r="AI12">
        <v>2.7</v>
      </c>
      <c r="AJ12" t="s">
        <v>558</v>
      </c>
      <c r="AK12" t="s">
        <v>965</v>
      </c>
      <c r="AL12" t="s">
        <v>274</v>
      </c>
      <c r="AT12">
        <v>0</v>
      </c>
      <c r="AU12">
        <v>1</v>
      </c>
      <c r="AV12" t="s">
        <v>273</v>
      </c>
      <c r="AY12" t="s">
        <v>273</v>
      </c>
      <c r="BB12">
        <v>0</v>
      </c>
      <c r="BC12">
        <v>0</v>
      </c>
      <c r="BD12">
        <v>0</v>
      </c>
      <c r="BE12">
        <v>0</v>
      </c>
      <c r="BF12" t="s">
        <v>1063</v>
      </c>
      <c r="BG12" t="s">
        <v>6474</v>
      </c>
      <c r="BH12">
        <v>34</v>
      </c>
      <c r="BI12" t="s">
        <v>6975</v>
      </c>
      <c r="BK12">
        <v>1912968</v>
      </c>
    </row>
    <row r="13" spans="1:64">
      <c r="A13" s="1">
        <f>HYPERLINK("https://lsnyc.legalserver.org/matter/dynamic-profile/view/1911909","19-1911909")</f>
        <v>0</v>
      </c>
      <c r="B13" t="s">
        <v>5086</v>
      </c>
      <c r="C13" t="s">
        <v>5625</v>
      </c>
      <c r="D13" t="s">
        <v>255</v>
      </c>
      <c r="E13" t="s">
        <v>5629</v>
      </c>
      <c r="F13" t="s">
        <v>274</v>
      </c>
      <c r="G13" t="s">
        <v>274</v>
      </c>
      <c r="H13">
        <v>40.03</v>
      </c>
      <c r="I13" t="s">
        <v>274</v>
      </c>
      <c r="K13" t="s">
        <v>993</v>
      </c>
      <c r="Q13" t="s">
        <v>501</v>
      </c>
      <c r="S13" t="s">
        <v>503</v>
      </c>
      <c r="T13" t="s">
        <v>509</v>
      </c>
      <c r="U13" t="s">
        <v>511</v>
      </c>
      <c r="V13">
        <v>10036</v>
      </c>
      <c r="W13" t="s">
        <v>521</v>
      </c>
      <c r="X13" t="s">
        <v>548</v>
      </c>
      <c r="Z13" t="s">
        <v>5693</v>
      </c>
      <c r="AA13" t="s">
        <v>828</v>
      </c>
      <c r="AB13" t="s">
        <v>902</v>
      </c>
      <c r="AC13" t="s">
        <v>905</v>
      </c>
      <c r="AF13" t="s">
        <v>925</v>
      </c>
      <c r="AI13">
        <v>2.6</v>
      </c>
      <c r="AJ13" t="s">
        <v>558</v>
      </c>
      <c r="AK13" t="s">
        <v>949</v>
      </c>
      <c r="AL13" t="s">
        <v>274</v>
      </c>
      <c r="AS13" t="s">
        <v>558</v>
      </c>
      <c r="AT13">
        <v>0</v>
      </c>
      <c r="AU13">
        <v>1</v>
      </c>
      <c r="AV13" t="s">
        <v>273</v>
      </c>
      <c r="AY13" t="s">
        <v>273</v>
      </c>
      <c r="BB13">
        <v>0</v>
      </c>
      <c r="BC13">
        <v>0</v>
      </c>
      <c r="BD13">
        <v>0</v>
      </c>
      <c r="BE13">
        <v>0</v>
      </c>
      <c r="BF13" t="s">
        <v>1063</v>
      </c>
      <c r="BG13" t="s">
        <v>6475</v>
      </c>
      <c r="BH13">
        <v>28</v>
      </c>
      <c r="BI13" t="s">
        <v>6976</v>
      </c>
      <c r="BK13">
        <v>1912572</v>
      </c>
    </row>
    <row r="14" spans="1:64">
      <c r="A14" s="1">
        <f>HYPERLINK("https://lsnyc.legalserver.org/matter/dynamic-profile/view/1911910","19-1911910")</f>
        <v>0</v>
      </c>
      <c r="B14" t="s">
        <v>5087</v>
      </c>
      <c r="C14" t="s">
        <v>5625</v>
      </c>
      <c r="D14" t="s">
        <v>255</v>
      </c>
      <c r="E14" t="s">
        <v>264</v>
      </c>
      <c r="F14" t="s">
        <v>274</v>
      </c>
      <c r="G14" t="s">
        <v>274</v>
      </c>
      <c r="H14">
        <v>0</v>
      </c>
      <c r="I14" t="s">
        <v>274</v>
      </c>
      <c r="K14" t="s">
        <v>993</v>
      </c>
      <c r="Q14" t="s">
        <v>501</v>
      </c>
      <c r="R14" t="s">
        <v>501</v>
      </c>
      <c r="S14" t="s">
        <v>503</v>
      </c>
      <c r="T14" t="s">
        <v>509</v>
      </c>
      <c r="U14" t="s">
        <v>511</v>
      </c>
      <c r="V14">
        <v>10032</v>
      </c>
      <c r="W14" t="s">
        <v>521</v>
      </c>
      <c r="X14" t="s">
        <v>549</v>
      </c>
      <c r="Z14" t="s">
        <v>5694</v>
      </c>
      <c r="AA14" t="s">
        <v>6065</v>
      </c>
      <c r="AB14" t="s">
        <v>902</v>
      </c>
      <c r="AC14" t="s">
        <v>905</v>
      </c>
      <c r="AF14" t="s">
        <v>925</v>
      </c>
      <c r="AI14">
        <v>2.5</v>
      </c>
      <c r="AJ14" t="s">
        <v>558</v>
      </c>
      <c r="AK14" t="s">
        <v>965</v>
      </c>
      <c r="AL14" t="s">
        <v>274</v>
      </c>
      <c r="AS14" t="s">
        <v>558</v>
      </c>
      <c r="AT14">
        <v>0</v>
      </c>
      <c r="AU14">
        <v>1</v>
      </c>
      <c r="AV14" t="s">
        <v>273</v>
      </c>
      <c r="AY14" t="s">
        <v>273</v>
      </c>
      <c r="BB14">
        <v>0</v>
      </c>
      <c r="BC14">
        <v>0</v>
      </c>
      <c r="BD14">
        <v>0</v>
      </c>
      <c r="BE14">
        <v>0</v>
      </c>
      <c r="BF14" t="s">
        <v>1063</v>
      </c>
      <c r="BG14" t="s">
        <v>6476</v>
      </c>
      <c r="BH14">
        <v>49</v>
      </c>
      <c r="BI14" t="s">
        <v>1247</v>
      </c>
      <c r="BK14">
        <v>1912573</v>
      </c>
    </row>
    <row r="15" spans="1:64">
      <c r="A15" s="1">
        <f>HYPERLINK("https://lsnyc.legalserver.org/matter/dynamic-profile/view/1912189","19-1912189")</f>
        <v>0</v>
      </c>
      <c r="B15" t="s">
        <v>5088</v>
      </c>
      <c r="C15" t="s">
        <v>5625</v>
      </c>
      <c r="D15" t="s">
        <v>255</v>
      </c>
      <c r="E15" t="s">
        <v>5629</v>
      </c>
      <c r="F15" t="s">
        <v>273</v>
      </c>
      <c r="G15" t="s">
        <v>275</v>
      </c>
      <c r="H15">
        <v>74.94</v>
      </c>
      <c r="I15" t="s">
        <v>274</v>
      </c>
      <c r="K15" t="s">
        <v>993</v>
      </c>
      <c r="O15" t="s">
        <v>275</v>
      </c>
      <c r="Q15" t="s">
        <v>501</v>
      </c>
      <c r="S15" t="s">
        <v>503</v>
      </c>
      <c r="T15" t="s">
        <v>507</v>
      </c>
      <c r="U15" t="s">
        <v>511</v>
      </c>
      <c r="V15">
        <v>10001</v>
      </c>
      <c r="X15" t="s">
        <v>548</v>
      </c>
      <c r="Z15" t="s">
        <v>1865</v>
      </c>
      <c r="AA15" t="s">
        <v>6066</v>
      </c>
      <c r="AB15" t="s">
        <v>902</v>
      </c>
      <c r="AC15" t="s">
        <v>911</v>
      </c>
      <c r="AF15" t="s">
        <v>925</v>
      </c>
      <c r="AI15">
        <v>2.4</v>
      </c>
      <c r="AJ15" t="s">
        <v>558</v>
      </c>
      <c r="AK15" t="s">
        <v>6452</v>
      </c>
      <c r="AL15" t="s">
        <v>274</v>
      </c>
      <c r="AT15">
        <v>0</v>
      </c>
      <c r="AU15">
        <v>1</v>
      </c>
      <c r="AV15" t="s">
        <v>273</v>
      </c>
      <c r="AY15" t="s">
        <v>273</v>
      </c>
      <c r="BB15">
        <v>0</v>
      </c>
      <c r="BC15">
        <v>0</v>
      </c>
      <c r="BD15">
        <v>0</v>
      </c>
      <c r="BE15">
        <v>0</v>
      </c>
      <c r="BF15" t="s">
        <v>1063</v>
      </c>
      <c r="BG15" t="s">
        <v>6477</v>
      </c>
      <c r="BH15">
        <v>36</v>
      </c>
      <c r="BI15" t="s">
        <v>6977</v>
      </c>
      <c r="BK15">
        <v>1912852</v>
      </c>
    </row>
    <row r="16" spans="1:64">
      <c r="A16" s="1">
        <f>HYPERLINK("https://lsnyc.legalserver.org/matter/dynamic-profile/view/1912232","19-1912232")</f>
        <v>0</v>
      </c>
      <c r="B16" t="s">
        <v>5089</v>
      </c>
      <c r="C16" t="s">
        <v>5625</v>
      </c>
      <c r="D16" t="s">
        <v>252</v>
      </c>
      <c r="E16" t="s">
        <v>5630</v>
      </c>
      <c r="F16" t="s">
        <v>274</v>
      </c>
      <c r="G16" t="s">
        <v>274</v>
      </c>
      <c r="H16">
        <v>0</v>
      </c>
      <c r="I16" t="s">
        <v>274</v>
      </c>
      <c r="K16" t="s">
        <v>993</v>
      </c>
      <c r="O16" t="s">
        <v>275</v>
      </c>
      <c r="P16" t="s">
        <v>498</v>
      </c>
      <c r="Q16" t="s">
        <v>501</v>
      </c>
      <c r="R16" t="s">
        <v>501</v>
      </c>
      <c r="S16" t="s">
        <v>503</v>
      </c>
      <c r="T16" t="s">
        <v>507</v>
      </c>
      <c r="U16" t="s">
        <v>511</v>
      </c>
      <c r="V16">
        <v>11226</v>
      </c>
      <c r="W16" t="s">
        <v>521</v>
      </c>
      <c r="X16" t="s">
        <v>549</v>
      </c>
      <c r="Y16" t="s">
        <v>274</v>
      </c>
      <c r="Z16" t="s">
        <v>5695</v>
      </c>
      <c r="AA16" t="s">
        <v>6067</v>
      </c>
      <c r="AB16" t="s">
        <v>902</v>
      </c>
      <c r="AC16" t="s">
        <v>905</v>
      </c>
      <c r="AF16" t="s">
        <v>923</v>
      </c>
      <c r="AI16">
        <v>3.4</v>
      </c>
      <c r="AJ16" t="s">
        <v>558</v>
      </c>
      <c r="AK16" t="s">
        <v>6453</v>
      </c>
      <c r="AL16" t="s">
        <v>274</v>
      </c>
      <c r="AT16">
        <v>0</v>
      </c>
      <c r="AU16">
        <v>1</v>
      </c>
      <c r="AV16" t="s">
        <v>273</v>
      </c>
      <c r="AY16" t="s">
        <v>273</v>
      </c>
      <c r="BB16">
        <v>0</v>
      </c>
      <c r="BC16">
        <v>0</v>
      </c>
      <c r="BD16">
        <v>0</v>
      </c>
      <c r="BE16">
        <v>0</v>
      </c>
      <c r="BF16" t="s">
        <v>1063</v>
      </c>
      <c r="BG16" t="s">
        <v>6478</v>
      </c>
      <c r="BH16">
        <v>45</v>
      </c>
      <c r="BI16" t="s">
        <v>1247</v>
      </c>
      <c r="BJ16" t="s">
        <v>1810</v>
      </c>
      <c r="BK16">
        <v>1912895</v>
      </c>
      <c r="BL16" t="s">
        <v>275</v>
      </c>
    </row>
    <row r="17" spans="1:64">
      <c r="A17" s="1">
        <f>HYPERLINK("https://lsnyc.legalserver.org/matter/dynamic-profile/view/1912245","19-1912245")</f>
        <v>0</v>
      </c>
      <c r="B17" t="s">
        <v>5090</v>
      </c>
      <c r="C17" t="s">
        <v>5625</v>
      </c>
      <c r="D17" t="s">
        <v>257</v>
      </c>
      <c r="E17" t="s">
        <v>264</v>
      </c>
      <c r="F17" t="s">
        <v>274</v>
      </c>
      <c r="G17" t="s">
        <v>274</v>
      </c>
      <c r="H17">
        <v>79.92</v>
      </c>
      <c r="I17" t="s">
        <v>274</v>
      </c>
      <c r="K17" t="s">
        <v>993</v>
      </c>
      <c r="Q17" t="s">
        <v>501</v>
      </c>
      <c r="S17" t="s">
        <v>503</v>
      </c>
      <c r="T17" t="s">
        <v>508</v>
      </c>
      <c r="U17" t="s">
        <v>511</v>
      </c>
      <c r="V17">
        <v>10456</v>
      </c>
      <c r="X17" t="s">
        <v>548</v>
      </c>
      <c r="Y17" t="s">
        <v>274</v>
      </c>
      <c r="Z17" t="s">
        <v>5696</v>
      </c>
      <c r="AA17" t="s">
        <v>6068</v>
      </c>
      <c r="AB17" t="s">
        <v>902</v>
      </c>
      <c r="AC17" t="s">
        <v>905</v>
      </c>
      <c r="AF17" t="s">
        <v>925</v>
      </c>
      <c r="AI17">
        <v>2.75</v>
      </c>
      <c r="AJ17" t="s">
        <v>558</v>
      </c>
      <c r="AK17" t="s">
        <v>950</v>
      </c>
      <c r="AL17" t="s">
        <v>274</v>
      </c>
      <c r="AT17">
        <v>3</v>
      </c>
      <c r="AU17">
        <v>1</v>
      </c>
      <c r="AV17" t="s">
        <v>273</v>
      </c>
      <c r="AY17" t="s">
        <v>273</v>
      </c>
      <c r="BB17">
        <v>0</v>
      </c>
      <c r="BC17">
        <v>0</v>
      </c>
      <c r="BD17">
        <v>0</v>
      </c>
      <c r="BE17">
        <v>0</v>
      </c>
      <c r="BF17" t="s">
        <v>1063</v>
      </c>
      <c r="BG17" t="s">
        <v>6479</v>
      </c>
      <c r="BH17">
        <v>30</v>
      </c>
      <c r="BI17" t="s">
        <v>6978</v>
      </c>
      <c r="BK17">
        <v>1907326</v>
      </c>
      <c r="BL17" t="s">
        <v>275</v>
      </c>
    </row>
    <row r="18" spans="1:64">
      <c r="A18" s="1">
        <f>HYPERLINK("https://lsnyc.legalserver.org/matter/dynamic-profile/view/1911961","19-1911961")</f>
        <v>0</v>
      </c>
      <c r="B18" t="s">
        <v>5091</v>
      </c>
      <c r="C18" t="s">
        <v>5625</v>
      </c>
      <c r="D18" t="s">
        <v>255</v>
      </c>
      <c r="E18" t="s">
        <v>264</v>
      </c>
      <c r="F18" t="s">
        <v>274</v>
      </c>
      <c r="G18" t="s">
        <v>274</v>
      </c>
      <c r="H18">
        <v>0</v>
      </c>
      <c r="I18" t="s">
        <v>274</v>
      </c>
      <c r="K18" t="s">
        <v>491</v>
      </c>
      <c r="O18" t="s">
        <v>275</v>
      </c>
      <c r="Q18" t="s">
        <v>501</v>
      </c>
      <c r="S18" t="s">
        <v>503</v>
      </c>
      <c r="T18" t="s">
        <v>507</v>
      </c>
      <c r="U18" t="s">
        <v>511</v>
      </c>
      <c r="V18">
        <v>11413</v>
      </c>
      <c r="X18" t="s">
        <v>549</v>
      </c>
      <c r="Z18" t="s">
        <v>5694</v>
      </c>
      <c r="AA18" t="s">
        <v>6069</v>
      </c>
      <c r="AB18" t="s">
        <v>902</v>
      </c>
      <c r="AC18" t="s">
        <v>905</v>
      </c>
      <c r="AF18" t="s">
        <v>925</v>
      </c>
      <c r="AI18">
        <v>2.9</v>
      </c>
      <c r="AJ18" t="s">
        <v>558</v>
      </c>
      <c r="AK18" t="s">
        <v>939</v>
      </c>
      <c r="AL18" t="s">
        <v>274</v>
      </c>
      <c r="AT18">
        <v>0</v>
      </c>
      <c r="AU18">
        <v>1</v>
      </c>
      <c r="AV18" t="s">
        <v>273</v>
      </c>
      <c r="AY18" t="s">
        <v>273</v>
      </c>
      <c r="BB18">
        <v>0</v>
      </c>
      <c r="BC18">
        <v>0</v>
      </c>
      <c r="BD18">
        <v>0</v>
      </c>
      <c r="BE18">
        <v>0</v>
      </c>
      <c r="BF18" t="s">
        <v>1063</v>
      </c>
      <c r="BG18" t="s">
        <v>3404</v>
      </c>
      <c r="BH18">
        <v>50</v>
      </c>
      <c r="BI18" t="s">
        <v>1247</v>
      </c>
      <c r="BK18">
        <v>1912624</v>
      </c>
    </row>
    <row r="19" spans="1:64">
      <c r="A19" s="1">
        <f>HYPERLINK("https://lsnyc.legalserver.org/matter/dynamic-profile/view/1908871","19-1908871")</f>
        <v>0</v>
      </c>
      <c r="B19" t="s">
        <v>5092</v>
      </c>
      <c r="C19" t="s">
        <v>5625</v>
      </c>
      <c r="D19" t="s">
        <v>257</v>
      </c>
      <c r="E19" t="s">
        <v>5630</v>
      </c>
      <c r="F19" t="s">
        <v>273</v>
      </c>
      <c r="G19" t="s">
        <v>275</v>
      </c>
      <c r="H19">
        <v>0</v>
      </c>
      <c r="K19" t="s">
        <v>282</v>
      </c>
      <c r="Q19" t="s">
        <v>501</v>
      </c>
      <c r="S19" t="s">
        <v>503</v>
      </c>
      <c r="T19" t="s">
        <v>508</v>
      </c>
      <c r="U19" t="s">
        <v>511</v>
      </c>
      <c r="V19">
        <v>10458</v>
      </c>
      <c r="W19" t="s">
        <v>520</v>
      </c>
      <c r="Z19" t="s">
        <v>5697</v>
      </c>
      <c r="AA19" t="s">
        <v>6070</v>
      </c>
      <c r="AB19" t="s">
        <v>902</v>
      </c>
      <c r="AC19" t="s">
        <v>905</v>
      </c>
      <c r="AI19">
        <v>1</v>
      </c>
      <c r="AT19">
        <v>1</v>
      </c>
      <c r="AU19">
        <v>1</v>
      </c>
      <c r="AV19" t="s">
        <v>273</v>
      </c>
      <c r="AY19" t="s">
        <v>273</v>
      </c>
      <c r="BB19">
        <v>0</v>
      </c>
      <c r="BC19">
        <v>0</v>
      </c>
      <c r="BD19">
        <v>0</v>
      </c>
      <c r="BE19">
        <v>0</v>
      </c>
      <c r="BF19" t="s">
        <v>1063</v>
      </c>
      <c r="BG19" t="s">
        <v>6480</v>
      </c>
      <c r="BH19">
        <v>25</v>
      </c>
      <c r="BI19" t="s">
        <v>1247</v>
      </c>
      <c r="BK19">
        <v>1899716</v>
      </c>
    </row>
    <row r="20" spans="1:64">
      <c r="A20" s="1">
        <f>HYPERLINK("https://lsnyc.legalserver.org/matter/dynamic-profile/view/1911705","19-1911705")</f>
        <v>0</v>
      </c>
      <c r="B20" t="s">
        <v>5093</v>
      </c>
      <c r="C20" t="s">
        <v>5625</v>
      </c>
      <c r="D20" t="s">
        <v>257</v>
      </c>
      <c r="E20" t="s">
        <v>5630</v>
      </c>
      <c r="F20" t="s">
        <v>274</v>
      </c>
      <c r="G20" t="s">
        <v>274</v>
      </c>
      <c r="H20">
        <v>0</v>
      </c>
      <c r="I20" t="s">
        <v>274</v>
      </c>
      <c r="K20" t="s">
        <v>282</v>
      </c>
      <c r="Q20" t="s">
        <v>501</v>
      </c>
      <c r="S20" t="s">
        <v>503</v>
      </c>
      <c r="T20" t="s">
        <v>508</v>
      </c>
      <c r="U20" t="s">
        <v>511</v>
      </c>
      <c r="V20">
        <v>10460</v>
      </c>
      <c r="W20" t="s">
        <v>517</v>
      </c>
      <c r="X20" t="s">
        <v>548</v>
      </c>
      <c r="Y20" t="s">
        <v>274</v>
      </c>
      <c r="Z20" t="s">
        <v>650</v>
      </c>
      <c r="AA20" t="s">
        <v>6071</v>
      </c>
      <c r="AB20" t="s">
        <v>902</v>
      </c>
      <c r="AC20" t="s">
        <v>904</v>
      </c>
      <c r="AF20" t="s">
        <v>923</v>
      </c>
      <c r="AI20">
        <v>1.55</v>
      </c>
      <c r="AJ20" t="s">
        <v>558</v>
      </c>
      <c r="AK20" t="s">
        <v>949</v>
      </c>
      <c r="AL20" t="s">
        <v>274</v>
      </c>
      <c r="AT20">
        <v>0</v>
      </c>
      <c r="AU20">
        <v>1</v>
      </c>
      <c r="AV20" t="s">
        <v>273</v>
      </c>
      <c r="AY20" t="s">
        <v>273</v>
      </c>
      <c r="BB20">
        <v>0</v>
      </c>
      <c r="BC20">
        <v>0</v>
      </c>
      <c r="BD20">
        <v>0</v>
      </c>
      <c r="BE20">
        <v>0</v>
      </c>
      <c r="BF20" t="s">
        <v>1063</v>
      </c>
      <c r="BG20" t="s">
        <v>6481</v>
      </c>
      <c r="BH20">
        <v>47</v>
      </c>
      <c r="BI20" t="s">
        <v>1247</v>
      </c>
      <c r="BK20">
        <v>828685</v>
      </c>
    </row>
    <row r="21" spans="1:64">
      <c r="A21" s="1">
        <f>HYPERLINK("https://lsnyc.legalserver.org/matter/dynamic-profile/view/1911645","19-1911645")</f>
        <v>0</v>
      </c>
      <c r="B21" t="s">
        <v>5094</v>
      </c>
      <c r="C21" t="s">
        <v>5625</v>
      </c>
      <c r="D21" t="s">
        <v>252</v>
      </c>
      <c r="E21" t="s">
        <v>3694</v>
      </c>
      <c r="F21" t="s">
        <v>273</v>
      </c>
      <c r="G21" t="s">
        <v>275</v>
      </c>
      <c r="H21">
        <v>99.92</v>
      </c>
      <c r="K21" t="s">
        <v>452</v>
      </c>
      <c r="Q21" t="s">
        <v>501</v>
      </c>
      <c r="S21" t="s">
        <v>503</v>
      </c>
      <c r="T21" t="s">
        <v>508</v>
      </c>
      <c r="U21" t="s">
        <v>511</v>
      </c>
      <c r="V21">
        <v>11237</v>
      </c>
      <c r="X21" t="s">
        <v>558</v>
      </c>
      <c r="Z21" t="s">
        <v>5698</v>
      </c>
      <c r="AA21" t="s">
        <v>6072</v>
      </c>
      <c r="AB21" t="s">
        <v>902</v>
      </c>
      <c r="AC21" t="s">
        <v>905</v>
      </c>
      <c r="AI21">
        <v>1.4</v>
      </c>
      <c r="AJ21" t="s">
        <v>558</v>
      </c>
      <c r="AK21" t="s">
        <v>951</v>
      </c>
      <c r="AT21">
        <v>0</v>
      </c>
      <c r="AU21">
        <v>1</v>
      </c>
      <c r="AV21" t="s">
        <v>273</v>
      </c>
      <c r="AY21" t="s">
        <v>273</v>
      </c>
      <c r="BB21">
        <v>0</v>
      </c>
      <c r="BC21">
        <v>0</v>
      </c>
      <c r="BD21">
        <v>0</v>
      </c>
      <c r="BE21">
        <v>0</v>
      </c>
      <c r="BF21" t="s">
        <v>1063</v>
      </c>
      <c r="BG21" t="s">
        <v>6482</v>
      </c>
      <c r="BH21">
        <v>27</v>
      </c>
      <c r="BI21" t="s">
        <v>3454</v>
      </c>
      <c r="BK21">
        <v>1912306</v>
      </c>
    </row>
    <row r="22" spans="1:64">
      <c r="A22" s="1">
        <f>HYPERLINK("https://lsnyc.legalserver.org/matter/dynamic-profile/view/1911537","19-1911537")</f>
        <v>0</v>
      </c>
      <c r="B22" t="s">
        <v>5095</v>
      </c>
      <c r="C22" t="s">
        <v>5625</v>
      </c>
      <c r="D22" t="s">
        <v>252</v>
      </c>
      <c r="E22" t="s">
        <v>5629</v>
      </c>
      <c r="F22" t="s">
        <v>274</v>
      </c>
      <c r="G22" t="s">
        <v>274</v>
      </c>
      <c r="H22">
        <v>172.21</v>
      </c>
      <c r="I22" t="s">
        <v>274</v>
      </c>
      <c r="K22" t="s">
        <v>449</v>
      </c>
      <c r="O22" t="s">
        <v>274</v>
      </c>
      <c r="Q22" t="s">
        <v>501</v>
      </c>
      <c r="S22" t="s">
        <v>503</v>
      </c>
      <c r="T22" t="s">
        <v>508</v>
      </c>
      <c r="U22" t="s">
        <v>511</v>
      </c>
      <c r="V22">
        <v>11223</v>
      </c>
      <c r="X22" t="s">
        <v>548</v>
      </c>
      <c r="Y22" t="s">
        <v>275</v>
      </c>
      <c r="Z22" t="s">
        <v>5699</v>
      </c>
      <c r="AA22" t="s">
        <v>6073</v>
      </c>
      <c r="AB22" t="s">
        <v>902</v>
      </c>
      <c r="AC22" t="s">
        <v>904</v>
      </c>
      <c r="AF22" t="s">
        <v>925</v>
      </c>
      <c r="AI22">
        <v>3.15</v>
      </c>
      <c r="AJ22" t="s">
        <v>558</v>
      </c>
      <c r="AK22" t="s">
        <v>933</v>
      </c>
      <c r="AL22" t="s">
        <v>274</v>
      </c>
      <c r="AT22">
        <v>1</v>
      </c>
      <c r="AU22">
        <v>1</v>
      </c>
      <c r="AV22" t="s">
        <v>273</v>
      </c>
      <c r="AY22" t="s">
        <v>273</v>
      </c>
      <c r="BB22">
        <v>0</v>
      </c>
      <c r="BC22">
        <v>0</v>
      </c>
      <c r="BD22">
        <v>0</v>
      </c>
      <c r="BE22">
        <v>0</v>
      </c>
      <c r="BF22" t="s">
        <v>1063</v>
      </c>
      <c r="BG22" t="s">
        <v>6483</v>
      </c>
      <c r="BH22">
        <v>47</v>
      </c>
      <c r="BI22" t="s">
        <v>6979</v>
      </c>
      <c r="BK22">
        <v>1912198</v>
      </c>
      <c r="BL22" t="s">
        <v>275</v>
      </c>
    </row>
    <row r="23" spans="1:64">
      <c r="A23" s="1">
        <f>HYPERLINK("https://lsnyc.legalserver.org/matter/dynamic-profile/view/1911347","19-1911347")</f>
        <v>0</v>
      </c>
      <c r="B23" t="s">
        <v>5096</v>
      </c>
      <c r="C23" t="s">
        <v>5625</v>
      </c>
      <c r="D23" t="s">
        <v>255</v>
      </c>
      <c r="E23" t="s">
        <v>5630</v>
      </c>
      <c r="F23" t="s">
        <v>274</v>
      </c>
      <c r="G23" t="s">
        <v>274</v>
      </c>
      <c r="H23">
        <v>36.03</v>
      </c>
      <c r="I23" t="s">
        <v>274</v>
      </c>
      <c r="K23" t="s">
        <v>460</v>
      </c>
      <c r="O23" t="s">
        <v>275</v>
      </c>
      <c r="P23" t="s">
        <v>498</v>
      </c>
      <c r="Q23" t="s">
        <v>501</v>
      </c>
      <c r="S23" t="s">
        <v>503</v>
      </c>
      <c r="T23" t="s">
        <v>509</v>
      </c>
      <c r="U23" t="s">
        <v>511</v>
      </c>
      <c r="V23">
        <v>10023</v>
      </c>
      <c r="X23" t="s">
        <v>1844</v>
      </c>
      <c r="Z23" t="s">
        <v>5700</v>
      </c>
      <c r="AA23" t="s">
        <v>6074</v>
      </c>
      <c r="AB23" t="s">
        <v>902</v>
      </c>
      <c r="AC23" t="s">
        <v>905</v>
      </c>
      <c r="AF23" t="s">
        <v>925</v>
      </c>
      <c r="AI23">
        <v>10.9</v>
      </c>
      <c r="AJ23" t="s">
        <v>558</v>
      </c>
      <c r="AK23" t="s">
        <v>2381</v>
      </c>
      <c r="AL23" t="s">
        <v>274</v>
      </c>
      <c r="AT23">
        <v>0</v>
      </c>
      <c r="AU23">
        <v>1</v>
      </c>
      <c r="AV23" t="s">
        <v>273</v>
      </c>
      <c r="AY23" t="s">
        <v>273</v>
      </c>
      <c r="BB23">
        <v>0</v>
      </c>
      <c r="BC23">
        <v>0</v>
      </c>
      <c r="BD23">
        <v>0</v>
      </c>
      <c r="BE23">
        <v>0</v>
      </c>
      <c r="BF23" t="s">
        <v>1063</v>
      </c>
      <c r="BG23" t="s">
        <v>6484</v>
      </c>
      <c r="BH23">
        <v>27</v>
      </c>
      <c r="BI23" t="s">
        <v>6980</v>
      </c>
      <c r="BK23">
        <v>1912007</v>
      </c>
    </row>
    <row r="24" spans="1:64">
      <c r="A24" s="1">
        <f>HYPERLINK("https://lsnyc.legalserver.org/matter/dynamic-profile/view/1911417","19-1911417")</f>
        <v>0</v>
      </c>
      <c r="B24" t="s">
        <v>5097</v>
      </c>
      <c r="C24" t="s">
        <v>5625</v>
      </c>
      <c r="D24" t="s">
        <v>257</v>
      </c>
      <c r="E24" t="s">
        <v>5629</v>
      </c>
      <c r="F24" t="s">
        <v>274</v>
      </c>
      <c r="G24" t="s">
        <v>274</v>
      </c>
      <c r="H24">
        <v>124.9</v>
      </c>
      <c r="I24" t="s">
        <v>274</v>
      </c>
      <c r="K24" t="s">
        <v>460</v>
      </c>
      <c r="O24" t="s">
        <v>274</v>
      </c>
      <c r="Q24" t="s">
        <v>501</v>
      </c>
      <c r="S24" t="s">
        <v>503</v>
      </c>
      <c r="T24" t="s">
        <v>508</v>
      </c>
      <c r="U24" t="s">
        <v>511</v>
      </c>
      <c r="V24">
        <v>10458</v>
      </c>
      <c r="X24" t="s">
        <v>548</v>
      </c>
      <c r="Y24" t="s">
        <v>275</v>
      </c>
      <c r="Z24" t="s">
        <v>1924</v>
      </c>
      <c r="AA24" t="s">
        <v>2102</v>
      </c>
      <c r="AB24" t="s">
        <v>902</v>
      </c>
      <c r="AC24" t="s">
        <v>905</v>
      </c>
      <c r="AF24" t="s">
        <v>925</v>
      </c>
      <c r="AI24">
        <v>3.35</v>
      </c>
      <c r="AJ24" t="s">
        <v>558</v>
      </c>
      <c r="AK24" t="s">
        <v>947</v>
      </c>
      <c r="AL24" t="s">
        <v>274</v>
      </c>
      <c r="AT24">
        <v>0</v>
      </c>
      <c r="AU24">
        <v>1</v>
      </c>
      <c r="AV24" t="s">
        <v>273</v>
      </c>
      <c r="AY24" t="s">
        <v>273</v>
      </c>
      <c r="BB24">
        <v>0</v>
      </c>
      <c r="BC24">
        <v>0</v>
      </c>
      <c r="BD24">
        <v>0</v>
      </c>
      <c r="BE24">
        <v>0</v>
      </c>
      <c r="BF24" t="s">
        <v>1063</v>
      </c>
      <c r="BG24" t="s">
        <v>6485</v>
      </c>
      <c r="BH24">
        <v>54</v>
      </c>
      <c r="BI24" t="s">
        <v>1270</v>
      </c>
      <c r="BK24">
        <v>1912077</v>
      </c>
      <c r="BL24" t="s">
        <v>275</v>
      </c>
    </row>
    <row r="25" spans="1:64">
      <c r="A25" s="1">
        <f>HYPERLINK("https://lsnyc.legalserver.org/matter/dynamic-profile/view/1911252","19-1911252")</f>
        <v>0</v>
      </c>
      <c r="B25" t="s">
        <v>5098</v>
      </c>
      <c r="C25" t="s">
        <v>5625</v>
      </c>
      <c r="D25" t="s">
        <v>254</v>
      </c>
      <c r="E25" t="s">
        <v>5629</v>
      </c>
      <c r="F25" t="s">
        <v>274</v>
      </c>
      <c r="G25" t="s">
        <v>274</v>
      </c>
      <c r="H25">
        <v>95.17</v>
      </c>
      <c r="I25" t="s">
        <v>274</v>
      </c>
      <c r="K25" t="s">
        <v>283</v>
      </c>
      <c r="O25" t="s">
        <v>274</v>
      </c>
      <c r="Q25" t="s">
        <v>501</v>
      </c>
      <c r="S25" t="s">
        <v>503</v>
      </c>
      <c r="T25" t="s">
        <v>508</v>
      </c>
      <c r="U25" t="s">
        <v>511</v>
      </c>
      <c r="V25">
        <v>10304</v>
      </c>
      <c r="X25" t="s">
        <v>549</v>
      </c>
      <c r="Y25" t="s">
        <v>275</v>
      </c>
      <c r="Z25" t="s">
        <v>5701</v>
      </c>
      <c r="AA25" t="s">
        <v>6075</v>
      </c>
      <c r="AB25" t="s">
        <v>902</v>
      </c>
      <c r="AC25" t="s">
        <v>904</v>
      </c>
      <c r="AF25" t="s">
        <v>925</v>
      </c>
      <c r="AI25">
        <v>1.9</v>
      </c>
      <c r="AJ25" t="s">
        <v>558</v>
      </c>
      <c r="AK25" t="s">
        <v>2384</v>
      </c>
      <c r="AL25" t="s">
        <v>274</v>
      </c>
      <c r="AT25">
        <v>1</v>
      </c>
      <c r="AU25">
        <v>2</v>
      </c>
      <c r="AV25" t="s">
        <v>273</v>
      </c>
      <c r="AY25" t="s">
        <v>273</v>
      </c>
      <c r="BB25">
        <v>0</v>
      </c>
      <c r="BC25">
        <v>0</v>
      </c>
      <c r="BD25">
        <v>0</v>
      </c>
      <c r="BE25">
        <v>0</v>
      </c>
      <c r="BF25" t="s">
        <v>1063</v>
      </c>
      <c r="BG25" t="s">
        <v>6486</v>
      </c>
      <c r="BH25">
        <v>37</v>
      </c>
      <c r="BI25" t="s">
        <v>6981</v>
      </c>
      <c r="BK25">
        <v>746852</v>
      </c>
      <c r="BL25" t="s">
        <v>275</v>
      </c>
    </row>
    <row r="26" spans="1:64">
      <c r="A26" s="1">
        <f>HYPERLINK("https://lsnyc.legalserver.org/matter/dynamic-profile/view/1911254","19-1911254")</f>
        <v>0</v>
      </c>
      <c r="B26" t="s">
        <v>5099</v>
      </c>
      <c r="C26" t="s">
        <v>5625</v>
      </c>
      <c r="D26" t="s">
        <v>253</v>
      </c>
      <c r="E26" t="s">
        <v>264</v>
      </c>
      <c r="F26" t="s">
        <v>274</v>
      </c>
      <c r="G26" t="s">
        <v>274</v>
      </c>
      <c r="H26">
        <v>175.87</v>
      </c>
      <c r="I26" t="s">
        <v>274</v>
      </c>
      <c r="K26" t="s">
        <v>283</v>
      </c>
      <c r="O26" t="s">
        <v>274</v>
      </c>
      <c r="Q26" t="s">
        <v>501</v>
      </c>
      <c r="S26" t="s">
        <v>503</v>
      </c>
      <c r="T26" t="s">
        <v>507</v>
      </c>
      <c r="U26" t="s">
        <v>511</v>
      </c>
      <c r="V26">
        <v>11415</v>
      </c>
      <c r="X26" t="s">
        <v>549</v>
      </c>
      <c r="Y26" t="s">
        <v>275</v>
      </c>
      <c r="Z26" t="s">
        <v>5702</v>
      </c>
      <c r="AA26" t="s">
        <v>6076</v>
      </c>
      <c r="AB26" t="s">
        <v>902</v>
      </c>
      <c r="AC26" t="s">
        <v>904</v>
      </c>
      <c r="AF26" t="s">
        <v>925</v>
      </c>
      <c r="AI26">
        <v>1.9</v>
      </c>
      <c r="AJ26" t="s">
        <v>558</v>
      </c>
      <c r="AK26" t="s">
        <v>965</v>
      </c>
      <c r="AL26" t="s">
        <v>274</v>
      </c>
      <c r="AT26">
        <v>0</v>
      </c>
      <c r="AU26">
        <v>2</v>
      </c>
      <c r="AV26" t="s">
        <v>273</v>
      </c>
      <c r="AY26" t="s">
        <v>273</v>
      </c>
      <c r="BB26">
        <v>0</v>
      </c>
      <c r="BC26">
        <v>0</v>
      </c>
      <c r="BD26">
        <v>0</v>
      </c>
      <c r="BE26">
        <v>0</v>
      </c>
      <c r="BF26" t="s">
        <v>1063</v>
      </c>
      <c r="BG26" t="s">
        <v>6487</v>
      </c>
      <c r="BH26">
        <v>53</v>
      </c>
      <c r="BI26" t="s">
        <v>6982</v>
      </c>
      <c r="BK26">
        <v>1911913</v>
      </c>
      <c r="BL26" t="s">
        <v>275</v>
      </c>
    </row>
    <row r="27" spans="1:64">
      <c r="A27" s="1">
        <f>HYPERLINK("https://lsnyc.legalserver.org/matter/dynamic-profile/view/1911139","19-1911139")</f>
        <v>0</v>
      </c>
      <c r="B27" t="s">
        <v>5100</v>
      </c>
      <c r="C27" t="s">
        <v>5625</v>
      </c>
      <c r="D27" t="s">
        <v>255</v>
      </c>
      <c r="E27" t="s">
        <v>5629</v>
      </c>
      <c r="F27" t="s">
        <v>274</v>
      </c>
      <c r="G27" t="s">
        <v>274</v>
      </c>
      <c r="H27">
        <v>16.33</v>
      </c>
      <c r="I27" t="s">
        <v>274</v>
      </c>
      <c r="K27" t="s">
        <v>1812</v>
      </c>
      <c r="O27" t="s">
        <v>274</v>
      </c>
      <c r="Q27" t="s">
        <v>501</v>
      </c>
      <c r="S27" t="s">
        <v>503</v>
      </c>
      <c r="T27" t="s">
        <v>507</v>
      </c>
      <c r="U27" t="s">
        <v>511</v>
      </c>
      <c r="V27">
        <v>10035</v>
      </c>
      <c r="X27" t="s">
        <v>549</v>
      </c>
      <c r="Y27" t="s">
        <v>274</v>
      </c>
      <c r="Z27" t="s">
        <v>5703</v>
      </c>
      <c r="AA27" t="s">
        <v>6077</v>
      </c>
      <c r="AB27" t="s">
        <v>902</v>
      </c>
      <c r="AC27" t="s">
        <v>904</v>
      </c>
      <c r="AF27" t="s">
        <v>925</v>
      </c>
      <c r="AI27">
        <v>1.4</v>
      </c>
      <c r="AJ27" t="s">
        <v>558</v>
      </c>
      <c r="AK27" t="s">
        <v>948</v>
      </c>
      <c r="AL27" t="s">
        <v>274</v>
      </c>
      <c r="AT27">
        <v>0</v>
      </c>
      <c r="AU27">
        <v>1</v>
      </c>
      <c r="AV27" t="s">
        <v>273</v>
      </c>
      <c r="AY27" t="s">
        <v>273</v>
      </c>
      <c r="BB27">
        <v>0</v>
      </c>
      <c r="BC27">
        <v>0</v>
      </c>
      <c r="BD27">
        <v>0</v>
      </c>
      <c r="BE27">
        <v>0</v>
      </c>
      <c r="BF27" t="s">
        <v>1063</v>
      </c>
      <c r="BG27" t="s">
        <v>6488</v>
      </c>
      <c r="BH27">
        <v>43</v>
      </c>
      <c r="BI27" t="s">
        <v>6983</v>
      </c>
      <c r="BK27">
        <v>1911798</v>
      </c>
      <c r="BL27" t="s">
        <v>275</v>
      </c>
    </row>
    <row r="28" spans="1:64">
      <c r="A28" s="1">
        <f>HYPERLINK("https://lsnyc.legalserver.org/matter/dynamic-profile/view/1911033","19-1911033")</f>
        <v>0</v>
      </c>
      <c r="B28" t="s">
        <v>5101</v>
      </c>
      <c r="C28" t="s">
        <v>5625</v>
      </c>
      <c r="D28" t="s">
        <v>252</v>
      </c>
      <c r="E28" t="s">
        <v>264</v>
      </c>
      <c r="F28" t="s">
        <v>274</v>
      </c>
      <c r="G28" t="s">
        <v>274</v>
      </c>
      <c r="H28">
        <v>4.8</v>
      </c>
      <c r="I28" t="s">
        <v>274</v>
      </c>
      <c r="K28" t="s">
        <v>463</v>
      </c>
      <c r="O28" t="s">
        <v>274</v>
      </c>
      <c r="P28" t="s">
        <v>494</v>
      </c>
      <c r="Q28" t="s">
        <v>501</v>
      </c>
      <c r="S28" t="s">
        <v>503</v>
      </c>
      <c r="T28" t="s">
        <v>508</v>
      </c>
      <c r="U28" t="s">
        <v>511</v>
      </c>
      <c r="V28">
        <v>11208</v>
      </c>
      <c r="X28" t="s">
        <v>549</v>
      </c>
      <c r="Y28" t="s">
        <v>275</v>
      </c>
      <c r="Z28" t="s">
        <v>5704</v>
      </c>
      <c r="AA28" t="s">
        <v>6078</v>
      </c>
      <c r="AB28" t="s">
        <v>902</v>
      </c>
      <c r="AC28" t="s">
        <v>904</v>
      </c>
      <c r="AF28" t="s">
        <v>925</v>
      </c>
      <c r="AI28">
        <v>2.05</v>
      </c>
      <c r="AJ28" t="s">
        <v>558</v>
      </c>
      <c r="AL28" t="s">
        <v>274</v>
      </c>
      <c r="AT28">
        <v>0</v>
      </c>
      <c r="AU28">
        <v>1</v>
      </c>
      <c r="AV28" t="s">
        <v>273</v>
      </c>
      <c r="AY28" t="s">
        <v>273</v>
      </c>
      <c r="BB28">
        <v>0</v>
      </c>
      <c r="BC28">
        <v>0</v>
      </c>
      <c r="BD28">
        <v>0</v>
      </c>
      <c r="BE28">
        <v>0</v>
      </c>
      <c r="BF28" t="s">
        <v>1063</v>
      </c>
      <c r="BG28" t="s">
        <v>6489</v>
      </c>
      <c r="BH28">
        <v>18</v>
      </c>
      <c r="BI28" t="s">
        <v>2776</v>
      </c>
      <c r="BK28">
        <v>1911690</v>
      </c>
      <c r="BL28" t="s">
        <v>275</v>
      </c>
    </row>
    <row r="29" spans="1:64">
      <c r="A29" s="1">
        <f>HYPERLINK("https://lsnyc.legalserver.org/matter/dynamic-profile/view/1911042","19-1911042")</f>
        <v>0</v>
      </c>
      <c r="B29" t="s">
        <v>5102</v>
      </c>
      <c r="C29" t="s">
        <v>5625</v>
      </c>
      <c r="D29" t="s">
        <v>252</v>
      </c>
      <c r="E29" t="s">
        <v>264</v>
      </c>
      <c r="F29" t="s">
        <v>274</v>
      </c>
      <c r="G29" t="s">
        <v>274</v>
      </c>
      <c r="H29">
        <v>72.86</v>
      </c>
      <c r="I29" t="s">
        <v>274</v>
      </c>
      <c r="K29" t="s">
        <v>463</v>
      </c>
      <c r="O29" t="s">
        <v>274</v>
      </c>
      <c r="P29" t="s">
        <v>498</v>
      </c>
      <c r="Q29" t="s">
        <v>501</v>
      </c>
      <c r="S29" t="s">
        <v>503</v>
      </c>
      <c r="T29" t="s">
        <v>508</v>
      </c>
      <c r="U29" t="s">
        <v>511</v>
      </c>
      <c r="V29">
        <v>11208</v>
      </c>
      <c r="X29" t="s">
        <v>548</v>
      </c>
      <c r="Y29" t="s">
        <v>275</v>
      </c>
      <c r="Z29" t="s">
        <v>5705</v>
      </c>
      <c r="AA29" t="s">
        <v>584</v>
      </c>
      <c r="AB29" t="s">
        <v>902</v>
      </c>
      <c r="AC29" t="s">
        <v>904</v>
      </c>
      <c r="AF29" t="s">
        <v>925</v>
      </c>
      <c r="AI29">
        <v>1.85</v>
      </c>
      <c r="AJ29" t="s">
        <v>558</v>
      </c>
      <c r="AK29" t="s">
        <v>950</v>
      </c>
      <c r="AL29" t="s">
        <v>274</v>
      </c>
      <c r="AT29">
        <v>0</v>
      </c>
      <c r="AU29">
        <v>1</v>
      </c>
      <c r="AV29" t="s">
        <v>273</v>
      </c>
      <c r="AY29" t="s">
        <v>273</v>
      </c>
      <c r="BB29">
        <v>0</v>
      </c>
      <c r="BC29">
        <v>0</v>
      </c>
      <c r="BD29">
        <v>0</v>
      </c>
      <c r="BE29">
        <v>0</v>
      </c>
      <c r="BF29" t="s">
        <v>1063</v>
      </c>
      <c r="BG29" t="s">
        <v>6490</v>
      </c>
      <c r="BH29">
        <v>31</v>
      </c>
      <c r="BI29" t="s">
        <v>1312</v>
      </c>
      <c r="BK29">
        <v>1911699</v>
      </c>
      <c r="BL29" t="s">
        <v>275</v>
      </c>
    </row>
    <row r="30" spans="1:64">
      <c r="A30" s="1">
        <f>HYPERLINK("https://lsnyc.legalserver.org/matter/dynamic-profile/view/1911069","19-1911069")</f>
        <v>0</v>
      </c>
      <c r="B30" t="s">
        <v>5103</v>
      </c>
      <c r="C30" t="s">
        <v>5625</v>
      </c>
      <c r="D30" t="s">
        <v>252</v>
      </c>
      <c r="E30" t="s">
        <v>264</v>
      </c>
      <c r="F30" t="s">
        <v>274</v>
      </c>
      <c r="G30" t="s">
        <v>274</v>
      </c>
      <c r="H30">
        <v>103.67</v>
      </c>
      <c r="I30" t="s">
        <v>274</v>
      </c>
      <c r="K30" t="s">
        <v>463</v>
      </c>
      <c r="O30" t="s">
        <v>274</v>
      </c>
      <c r="P30" t="s">
        <v>498</v>
      </c>
      <c r="Q30" t="s">
        <v>501</v>
      </c>
      <c r="S30" t="s">
        <v>503</v>
      </c>
      <c r="T30" t="s">
        <v>507</v>
      </c>
      <c r="U30" t="s">
        <v>511</v>
      </c>
      <c r="V30">
        <v>10458</v>
      </c>
      <c r="W30" t="s">
        <v>517</v>
      </c>
      <c r="X30" t="s">
        <v>549</v>
      </c>
      <c r="Y30" t="s">
        <v>274</v>
      </c>
      <c r="Z30" t="s">
        <v>5706</v>
      </c>
      <c r="AA30" t="s">
        <v>6079</v>
      </c>
      <c r="AB30" t="s">
        <v>902</v>
      </c>
      <c r="AC30" t="s">
        <v>904</v>
      </c>
      <c r="AF30" t="s">
        <v>925</v>
      </c>
      <c r="AI30">
        <v>2.6</v>
      </c>
      <c r="AJ30" t="s">
        <v>558</v>
      </c>
      <c r="AK30" t="s">
        <v>965</v>
      </c>
      <c r="AL30" t="s">
        <v>274</v>
      </c>
      <c r="AT30">
        <v>0</v>
      </c>
      <c r="AU30">
        <v>1</v>
      </c>
      <c r="AV30" t="s">
        <v>273</v>
      </c>
      <c r="AY30" t="s">
        <v>273</v>
      </c>
      <c r="BB30">
        <v>0</v>
      </c>
      <c r="BC30">
        <v>0</v>
      </c>
      <c r="BD30">
        <v>0</v>
      </c>
      <c r="BE30">
        <v>0</v>
      </c>
      <c r="BF30" t="s">
        <v>1063</v>
      </c>
      <c r="BG30" t="s">
        <v>6491</v>
      </c>
      <c r="BH30">
        <v>38</v>
      </c>
      <c r="BI30" t="s">
        <v>6984</v>
      </c>
      <c r="BK30">
        <v>1901452</v>
      </c>
      <c r="BL30" t="s">
        <v>275</v>
      </c>
    </row>
    <row r="31" spans="1:64">
      <c r="A31" s="1">
        <f>HYPERLINK("https://lsnyc.legalserver.org/matter/dynamic-profile/view/1911086","19-1911086")</f>
        <v>0</v>
      </c>
      <c r="B31" t="s">
        <v>5104</v>
      </c>
      <c r="C31" t="s">
        <v>5625</v>
      </c>
      <c r="D31" t="s">
        <v>252</v>
      </c>
      <c r="E31" t="s">
        <v>5629</v>
      </c>
      <c r="F31" t="s">
        <v>274</v>
      </c>
      <c r="G31" t="s">
        <v>274</v>
      </c>
      <c r="H31">
        <v>86.84999999999999</v>
      </c>
      <c r="I31" t="s">
        <v>274</v>
      </c>
      <c r="K31" t="s">
        <v>463</v>
      </c>
      <c r="O31" t="s">
        <v>274</v>
      </c>
      <c r="P31" t="s">
        <v>498</v>
      </c>
      <c r="Q31" t="s">
        <v>501</v>
      </c>
      <c r="S31" t="s">
        <v>503</v>
      </c>
      <c r="T31" t="s">
        <v>507</v>
      </c>
      <c r="U31" t="s">
        <v>511</v>
      </c>
      <c r="V31">
        <v>11213</v>
      </c>
      <c r="X31" t="s">
        <v>548</v>
      </c>
      <c r="Y31" t="s">
        <v>274</v>
      </c>
      <c r="Z31" t="s">
        <v>4632</v>
      </c>
      <c r="AA31" t="s">
        <v>6080</v>
      </c>
      <c r="AB31" t="s">
        <v>902</v>
      </c>
      <c r="AC31" t="s">
        <v>904</v>
      </c>
      <c r="AF31" t="s">
        <v>925</v>
      </c>
      <c r="AI31">
        <v>2.01</v>
      </c>
      <c r="AJ31" t="s">
        <v>558</v>
      </c>
      <c r="AK31" t="s">
        <v>959</v>
      </c>
      <c r="AL31" t="s">
        <v>274</v>
      </c>
      <c r="AT31">
        <v>0</v>
      </c>
      <c r="AU31">
        <v>1</v>
      </c>
      <c r="AV31" t="s">
        <v>273</v>
      </c>
      <c r="AY31" t="s">
        <v>273</v>
      </c>
      <c r="BB31">
        <v>0</v>
      </c>
      <c r="BC31">
        <v>0</v>
      </c>
      <c r="BD31">
        <v>0</v>
      </c>
      <c r="BE31">
        <v>0</v>
      </c>
      <c r="BF31" t="s">
        <v>1063</v>
      </c>
      <c r="BG31" t="s">
        <v>6492</v>
      </c>
      <c r="BH31">
        <v>59</v>
      </c>
      <c r="BI31" t="s">
        <v>6985</v>
      </c>
      <c r="BK31">
        <v>1911744</v>
      </c>
      <c r="BL31" t="s">
        <v>275</v>
      </c>
    </row>
    <row r="32" spans="1:64">
      <c r="A32" s="1">
        <f>HYPERLINK("https://lsnyc.legalserver.org/matter/dynamic-profile/view/1910907","19-1910907")</f>
        <v>0</v>
      </c>
      <c r="B32" t="s">
        <v>5105</v>
      </c>
      <c r="C32" t="s">
        <v>5625</v>
      </c>
      <c r="D32" t="s">
        <v>252</v>
      </c>
      <c r="E32" t="s">
        <v>5629</v>
      </c>
      <c r="F32" t="s">
        <v>274</v>
      </c>
      <c r="G32" t="s">
        <v>274</v>
      </c>
      <c r="H32">
        <v>0</v>
      </c>
      <c r="I32" t="s">
        <v>274</v>
      </c>
      <c r="K32" t="s">
        <v>457</v>
      </c>
      <c r="L32" t="s">
        <v>1808</v>
      </c>
      <c r="O32" t="s">
        <v>274</v>
      </c>
      <c r="P32" t="s">
        <v>493</v>
      </c>
      <c r="Q32" t="s">
        <v>501</v>
      </c>
      <c r="S32" t="s">
        <v>503</v>
      </c>
      <c r="T32" t="s">
        <v>508</v>
      </c>
      <c r="U32" t="s">
        <v>511</v>
      </c>
      <c r="V32">
        <v>11208</v>
      </c>
      <c r="X32" t="s">
        <v>548</v>
      </c>
      <c r="Y32" t="s">
        <v>275</v>
      </c>
      <c r="Z32" t="s">
        <v>3893</v>
      </c>
      <c r="AA32" t="s">
        <v>6081</v>
      </c>
      <c r="AB32" t="s">
        <v>902</v>
      </c>
      <c r="AC32" t="s">
        <v>904</v>
      </c>
      <c r="AD32" t="s">
        <v>275</v>
      </c>
      <c r="AE32" t="s">
        <v>918</v>
      </c>
      <c r="AF32" t="s">
        <v>925</v>
      </c>
      <c r="AI32">
        <v>1.5</v>
      </c>
      <c r="AJ32" t="s">
        <v>558</v>
      </c>
      <c r="AK32" t="s">
        <v>949</v>
      </c>
      <c r="AL32" t="s">
        <v>274</v>
      </c>
      <c r="AQ32" t="s">
        <v>1033</v>
      </c>
      <c r="AR32" t="s">
        <v>1051</v>
      </c>
      <c r="AT32">
        <v>0</v>
      </c>
      <c r="AU32">
        <v>1</v>
      </c>
      <c r="AV32" t="s">
        <v>273</v>
      </c>
      <c r="AY32" t="s">
        <v>273</v>
      </c>
      <c r="BB32">
        <v>0</v>
      </c>
      <c r="BC32">
        <v>0</v>
      </c>
      <c r="BD32">
        <v>0</v>
      </c>
      <c r="BE32">
        <v>0</v>
      </c>
      <c r="BF32" t="s">
        <v>493</v>
      </c>
      <c r="BG32" t="s">
        <v>6493</v>
      </c>
      <c r="BH32">
        <v>84</v>
      </c>
      <c r="BI32" t="s">
        <v>1247</v>
      </c>
      <c r="BK32">
        <v>1911564</v>
      </c>
      <c r="BL32" t="s">
        <v>275</v>
      </c>
    </row>
    <row r="33" spans="1:64">
      <c r="A33" s="1">
        <f>HYPERLINK("https://lsnyc.legalserver.org/matter/dynamic-profile/view/1910795","19-1910795")</f>
        <v>0</v>
      </c>
      <c r="B33" t="s">
        <v>5106</v>
      </c>
      <c r="C33" t="s">
        <v>5625</v>
      </c>
      <c r="D33" t="s">
        <v>257</v>
      </c>
      <c r="E33" t="s">
        <v>264</v>
      </c>
      <c r="F33" t="s">
        <v>274</v>
      </c>
      <c r="G33" t="s">
        <v>274</v>
      </c>
      <c r="H33">
        <v>17.58</v>
      </c>
      <c r="I33" t="s">
        <v>274</v>
      </c>
      <c r="K33" t="s">
        <v>451</v>
      </c>
      <c r="O33" t="s">
        <v>274</v>
      </c>
      <c r="Q33" t="s">
        <v>501</v>
      </c>
      <c r="S33" t="s">
        <v>503</v>
      </c>
      <c r="T33" t="s">
        <v>508</v>
      </c>
      <c r="U33" t="s">
        <v>511</v>
      </c>
      <c r="V33">
        <v>10463</v>
      </c>
      <c r="X33" t="s">
        <v>548</v>
      </c>
      <c r="Y33" t="s">
        <v>275</v>
      </c>
      <c r="Z33" t="s">
        <v>584</v>
      </c>
      <c r="AA33" t="s">
        <v>6082</v>
      </c>
      <c r="AB33" t="s">
        <v>902</v>
      </c>
      <c r="AC33" t="s">
        <v>904</v>
      </c>
      <c r="AF33" t="s">
        <v>925</v>
      </c>
      <c r="AI33">
        <v>1.8</v>
      </c>
      <c r="AJ33" t="s">
        <v>558</v>
      </c>
      <c r="AK33" t="s">
        <v>950</v>
      </c>
      <c r="AL33" t="s">
        <v>274</v>
      </c>
      <c r="AT33">
        <v>0</v>
      </c>
      <c r="AU33">
        <v>1</v>
      </c>
      <c r="AV33" t="s">
        <v>273</v>
      </c>
      <c r="AY33" t="s">
        <v>273</v>
      </c>
      <c r="BB33">
        <v>0</v>
      </c>
      <c r="BC33">
        <v>0</v>
      </c>
      <c r="BD33">
        <v>0</v>
      </c>
      <c r="BE33">
        <v>0</v>
      </c>
      <c r="BF33" t="s">
        <v>1063</v>
      </c>
      <c r="BG33" t="s">
        <v>6494</v>
      </c>
      <c r="BH33">
        <v>83</v>
      </c>
      <c r="BI33" t="s">
        <v>2797</v>
      </c>
      <c r="BK33">
        <v>1911452</v>
      </c>
      <c r="BL33" t="s">
        <v>275</v>
      </c>
    </row>
    <row r="34" spans="1:64">
      <c r="A34" s="1">
        <f>HYPERLINK("https://lsnyc.legalserver.org/matter/dynamic-profile/view/1910820","19-1910820")</f>
        <v>0</v>
      </c>
      <c r="B34" t="s">
        <v>5107</v>
      </c>
      <c r="C34" t="s">
        <v>5625</v>
      </c>
      <c r="D34" t="s">
        <v>255</v>
      </c>
      <c r="E34" t="s">
        <v>5629</v>
      </c>
      <c r="F34" t="s">
        <v>274</v>
      </c>
      <c r="G34" t="s">
        <v>274</v>
      </c>
      <c r="H34">
        <v>9.609999999999999</v>
      </c>
      <c r="I34" t="s">
        <v>274</v>
      </c>
      <c r="K34" t="s">
        <v>451</v>
      </c>
      <c r="O34" t="s">
        <v>274</v>
      </c>
      <c r="Q34" t="s">
        <v>501</v>
      </c>
      <c r="R34" t="s">
        <v>501</v>
      </c>
      <c r="S34" t="s">
        <v>503</v>
      </c>
      <c r="T34" t="s">
        <v>508</v>
      </c>
      <c r="U34" t="s">
        <v>511</v>
      </c>
      <c r="V34">
        <v>10002</v>
      </c>
      <c r="X34" t="s">
        <v>549</v>
      </c>
      <c r="Y34" t="s">
        <v>275</v>
      </c>
      <c r="Z34" t="s">
        <v>5707</v>
      </c>
      <c r="AA34" t="s">
        <v>6083</v>
      </c>
      <c r="AB34" t="s">
        <v>902</v>
      </c>
      <c r="AC34" t="s">
        <v>905</v>
      </c>
      <c r="AF34" t="s">
        <v>925</v>
      </c>
      <c r="AI34">
        <v>4.7</v>
      </c>
      <c r="AJ34" t="s">
        <v>558</v>
      </c>
      <c r="AK34" t="s">
        <v>6454</v>
      </c>
      <c r="AL34" t="s">
        <v>274</v>
      </c>
      <c r="AT34">
        <v>0</v>
      </c>
      <c r="AU34">
        <v>1</v>
      </c>
      <c r="AV34" t="s">
        <v>273</v>
      </c>
      <c r="AY34" t="s">
        <v>273</v>
      </c>
      <c r="BB34">
        <v>0</v>
      </c>
      <c r="BC34">
        <v>0</v>
      </c>
      <c r="BD34">
        <v>0</v>
      </c>
      <c r="BE34">
        <v>0</v>
      </c>
      <c r="BF34" t="s">
        <v>1063</v>
      </c>
      <c r="BG34" t="s">
        <v>6495</v>
      </c>
      <c r="BH34">
        <v>39</v>
      </c>
      <c r="BI34" t="s">
        <v>1295</v>
      </c>
      <c r="BK34">
        <v>1911477</v>
      </c>
      <c r="BL34" t="s">
        <v>275</v>
      </c>
    </row>
    <row r="35" spans="1:64">
      <c r="A35" s="1">
        <f>HYPERLINK("https://lsnyc.legalserver.org/matter/dynamic-profile/view/1910832","19-1910832")</f>
        <v>0</v>
      </c>
      <c r="B35" t="s">
        <v>5108</v>
      </c>
      <c r="C35" t="s">
        <v>5625</v>
      </c>
      <c r="D35" t="s">
        <v>257</v>
      </c>
      <c r="E35" t="s">
        <v>5630</v>
      </c>
      <c r="F35" t="s">
        <v>274</v>
      </c>
      <c r="G35" t="s">
        <v>274</v>
      </c>
      <c r="H35">
        <v>50.49</v>
      </c>
      <c r="I35" t="s">
        <v>274</v>
      </c>
      <c r="K35" t="s">
        <v>451</v>
      </c>
      <c r="Q35" t="s">
        <v>501</v>
      </c>
      <c r="S35" t="s">
        <v>503</v>
      </c>
      <c r="T35" t="s">
        <v>508</v>
      </c>
      <c r="U35" t="s">
        <v>511</v>
      </c>
      <c r="V35">
        <v>10467</v>
      </c>
      <c r="W35" t="s">
        <v>517</v>
      </c>
      <c r="X35" t="s">
        <v>548</v>
      </c>
      <c r="Y35" t="s">
        <v>274</v>
      </c>
      <c r="Z35" t="s">
        <v>1847</v>
      </c>
      <c r="AA35" t="s">
        <v>6084</v>
      </c>
      <c r="AB35" t="s">
        <v>902</v>
      </c>
      <c r="AC35" t="s">
        <v>904</v>
      </c>
      <c r="AF35" t="s">
        <v>923</v>
      </c>
      <c r="AI35">
        <v>3</v>
      </c>
      <c r="AJ35" t="s">
        <v>558</v>
      </c>
      <c r="AK35" t="s">
        <v>949</v>
      </c>
      <c r="AL35" t="s">
        <v>274</v>
      </c>
      <c r="AT35">
        <v>3</v>
      </c>
      <c r="AU35">
        <v>1</v>
      </c>
      <c r="AV35" t="s">
        <v>273</v>
      </c>
      <c r="AY35" t="s">
        <v>273</v>
      </c>
      <c r="BB35">
        <v>0</v>
      </c>
      <c r="BC35">
        <v>0</v>
      </c>
      <c r="BD35">
        <v>0</v>
      </c>
      <c r="BE35">
        <v>0</v>
      </c>
      <c r="BF35" t="s">
        <v>1063</v>
      </c>
      <c r="BG35" t="s">
        <v>6496</v>
      </c>
      <c r="BH35">
        <v>30</v>
      </c>
      <c r="BI35" t="s">
        <v>1264</v>
      </c>
      <c r="BK35">
        <v>1879164</v>
      </c>
    </row>
    <row r="36" spans="1:64">
      <c r="A36" s="1">
        <f>HYPERLINK("https://lsnyc.legalserver.org/matter/dynamic-profile/view/1910711","19-1910711")</f>
        <v>0</v>
      </c>
      <c r="B36" t="s">
        <v>5109</v>
      </c>
      <c r="C36" t="s">
        <v>5625</v>
      </c>
      <c r="D36" t="s">
        <v>255</v>
      </c>
      <c r="E36" t="s">
        <v>5629</v>
      </c>
      <c r="F36" t="s">
        <v>274</v>
      </c>
      <c r="G36" t="s">
        <v>274</v>
      </c>
      <c r="H36">
        <v>137.89</v>
      </c>
      <c r="I36" t="s">
        <v>274</v>
      </c>
      <c r="K36" t="s">
        <v>1666</v>
      </c>
      <c r="O36" t="s">
        <v>274</v>
      </c>
      <c r="Q36" t="s">
        <v>501</v>
      </c>
      <c r="S36" t="s">
        <v>503</v>
      </c>
      <c r="T36" t="s">
        <v>508</v>
      </c>
      <c r="U36" t="s">
        <v>511</v>
      </c>
      <c r="V36">
        <v>10027</v>
      </c>
      <c r="X36" t="s">
        <v>549</v>
      </c>
      <c r="Y36" t="s">
        <v>275</v>
      </c>
      <c r="Z36" t="s">
        <v>1968</v>
      </c>
      <c r="AA36" t="s">
        <v>6085</v>
      </c>
      <c r="AB36" t="s">
        <v>902</v>
      </c>
      <c r="AC36" t="s">
        <v>904</v>
      </c>
      <c r="AF36" t="s">
        <v>925</v>
      </c>
      <c r="AI36">
        <v>2.25</v>
      </c>
      <c r="AJ36" t="s">
        <v>558</v>
      </c>
      <c r="AK36" t="s">
        <v>939</v>
      </c>
      <c r="AL36" t="s">
        <v>274</v>
      </c>
      <c r="AT36">
        <v>3</v>
      </c>
      <c r="AU36">
        <v>2</v>
      </c>
      <c r="AV36" t="s">
        <v>273</v>
      </c>
      <c r="AY36" t="s">
        <v>273</v>
      </c>
      <c r="BB36">
        <v>0</v>
      </c>
      <c r="BC36">
        <v>0</v>
      </c>
      <c r="BD36">
        <v>0</v>
      </c>
      <c r="BE36">
        <v>0</v>
      </c>
      <c r="BF36" t="s">
        <v>1063</v>
      </c>
      <c r="BG36" t="s">
        <v>6497</v>
      </c>
      <c r="BH36">
        <v>52</v>
      </c>
      <c r="BI36" t="s">
        <v>2721</v>
      </c>
      <c r="BK36">
        <v>819380</v>
      </c>
      <c r="BL36" t="s">
        <v>275</v>
      </c>
    </row>
    <row r="37" spans="1:64">
      <c r="A37" s="1">
        <f>HYPERLINK("https://lsnyc.legalserver.org/matter/dynamic-profile/view/1910732","19-1910732")</f>
        <v>0</v>
      </c>
      <c r="B37" t="s">
        <v>5110</v>
      </c>
      <c r="C37" t="s">
        <v>5625</v>
      </c>
      <c r="D37" t="s">
        <v>252</v>
      </c>
      <c r="E37" t="s">
        <v>264</v>
      </c>
      <c r="F37" t="s">
        <v>274</v>
      </c>
      <c r="G37" t="s">
        <v>274</v>
      </c>
      <c r="H37">
        <v>0</v>
      </c>
      <c r="I37" t="s">
        <v>274</v>
      </c>
      <c r="K37" t="s">
        <v>1666</v>
      </c>
      <c r="O37" t="s">
        <v>275</v>
      </c>
      <c r="Q37" t="s">
        <v>501</v>
      </c>
      <c r="S37" t="s">
        <v>503</v>
      </c>
      <c r="T37" t="s">
        <v>508</v>
      </c>
      <c r="U37" t="s">
        <v>511</v>
      </c>
      <c r="V37">
        <v>11235</v>
      </c>
      <c r="X37" t="s">
        <v>553</v>
      </c>
      <c r="Y37" t="s">
        <v>275</v>
      </c>
      <c r="Z37" t="s">
        <v>5708</v>
      </c>
      <c r="AA37" t="s">
        <v>6086</v>
      </c>
      <c r="AB37" t="s">
        <v>902</v>
      </c>
      <c r="AC37" t="s">
        <v>905</v>
      </c>
      <c r="AF37" t="s">
        <v>925</v>
      </c>
      <c r="AI37">
        <v>1.9</v>
      </c>
      <c r="AJ37" t="s">
        <v>558</v>
      </c>
      <c r="AK37" t="s">
        <v>948</v>
      </c>
      <c r="AL37" t="s">
        <v>274</v>
      </c>
      <c r="AT37">
        <v>0</v>
      </c>
      <c r="AU37">
        <v>1</v>
      </c>
      <c r="AV37" t="s">
        <v>273</v>
      </c>
      <c r="AY37" t="s">
        <v>273</v>
      </c>
      <c r="BB37">
        <v>0</v>
      </c>
      <c r="BC37">
        <v>0</v>
      </c>
      <c r="BD37">
        <v>0</v>
      </c>
      <c r="BE37">
        <v>0</v>
      </c>
      <c r="BF37" t="s">
        <v>1063</v>
      </c>
      <c r="BG37" t="s">
        <v>6498</v>
      </c>
      <c r="BH37">
        <v>27</v>
      </c>
      <c r="BI37" t="s">
        <v>1247</v>
      </c>
      <c r="BK37">
        <v>1911389</v>
      </c>
    </row>
    <row r="38" spans="1:64">
      <c r="A38" s="1">
        <f>HYPERLINK("https://lsnyc.legalserver.org/matter/dynamic-profile/view/1910757","19-1910757")</f>
        <v>0</v>
      </c>
      <c r="B38" t="s">
        <v>5111</v>
      </c>
      <c r="C38" t="s">
        <v>5625</v>
      </c>
      <c r="D38" t="s">
        <v>257</v>
      </c>
      <c r="E38" t="s">
        <v>264</v>
      </c>
      <c r="F38" t="s">
        <v>274</v>
      </c>
      <c r="G38" t="s">
        <v>274</v>
      </c>
      <c r="H38">
        <v>184.51</v>
      </c>
      <c r="I38" t="s">
        <v>274</v>
      </c>
      <c r="K38" t="s">
        <v>1666</v>
      </c>
      <c r="O38" t="s">
        <v>274</v>
      </c>
      <c r="Q38" t="s">
        <v>501</v>
      </c>
      <c r="S38" t="s">
        <v>503</v>
      </c>
      <c r="T38" t="s">
        <v>508</v>
      </c>
      <c r="U38" t="s">
        <v>511</v>
      </c>
      <c r="V38">
        <v>10455</v>
      </c>
      <c r="X38" t="s">
        <v>548</v>
      </c>
      <c r="Y38" t="s">
        <v>275</v>
      </c>
      <c r="Z38" t="s">
        <v>5709</v>
      </c>
      <c r="AA38" t="s">
        <v>6087</v>
      </c>
      <c r="AB38" t="s">
        <v>902</v>
      </c>
      <c r="AC38" t="s">
        <v>904</v>
      </c>
      <c r="AF38" t="s">
        <v>925</v>
      </c>
      <c r="AI38">
        <v>1.75</v>
      </c>
      <c r="AJ38" t="s">
        <v>558</v>
      </c>
      <c r="AK38" t="s">
        <v>950</v>
      </c>
      <c r="AL38" t="s">
        <v>274</v>
      </c>
      <c r="AT38">
        <v>0</v>
      </c>
      <c r="AU38">
        <v>2</v>
      </c>
      <c r="AV38" t="s">
        <v>273</v>
      </c>
      <c r="AY38" t="s">
        <v>273</v>
      </c>
      <c r="BB38">
        <v>0</v>
      </c>
      <c r="BC38">
        <v>0</v>
      </c>
      <c r="BD38">
        <v>0</v>
      </c>
      <c r="BE38">
        <v>0</v>
      </c>
      <c r="BF38" t="s">
        <v>1063</v>
      </c>
      <c r="BG38" t="s">
        <v>4963</v>
      </c>
      <c r="BH38">
        <v>40</v>
      </c>
      <c r="BI38" t="s">
        <v>1254</v>
      </c>
      <c r="BK38">
        <v>1911414</v>
      </c>
      <c r="BL38" t="s">
        <v>275</v>
      </c>
    </row>
    <row r="39" spans="1:64">
      <c r="A39" s="1">
        <f>HYPERLINK("https://lsnyc.legalserver.org/matter/dynamic-profile/view/1910765","19-1910765")</f>
        <v>0</v>
      </c>
      <c r="B39" t="s">
        <v>5112</v>
      </c>
      <c r="C39" t="s">
        <v>5625</v>
      </c>
      <c r="D39" t="s">
        <v>257</v>
      </c>
      <c r="E39" t="s">
        <v>264</v>
      </c>
      <c r="F39" t="s">
        <v>274</v>
      </c>
      <c r="G39" t="s">
        <v>274</v>
      </c>
      <c r="H39">
        <v>74.45999999999999</v>
      </c>
      <c r="I39" t="s">
        <v>274</v>
      </c>
      <c r="K39" t="s">
        <v>1666</v>
      </c>
      <c r="O39" t="s">
        <v>274</v>
      </c>
      <c r="Q39" t="s">
        <v>501</v>
      </c>
      <c r="S39" t="s">
        <v>503</v>
      </c>
      <c r="T39" t="s">
        <v>507</v>
      </c>
      <c r="U39" t="s">
        <v>511</v>
      </c>
      <c r="V39">
        <v>10467</v>
      </c>
      <c r="W39" t="s">
        <v>517</v>
      </c>
      <c r="X39" t="s">
        <v>548</v>
      </c>
      <c r="Y39" t="s">
        <v>274</v>
      </c>
      <c r="Z39" t="s">
        <v>613</v>
      </c>
      <c r="AA39" t="s">
        <v>773</v>
      </c>
      <c r="AB39" t="s">
        <v>902</v>
      </c>
      <c r="AC39" t="s">
        <v>904</v>
      </c>
      <c r="AF39" t="s">
        <v>925</v>
      </c>
      <c r="AI39">
        <v>1.3</v>
      </c>
      <c r="AJ39" t="s">
        <v>558</v>
      </c>
      <c r="AK39" t="s">
        <v>950</v>
      </c>
      <c r="AL39" t="s">
        <v>274</v>
      </c>
      <c r="AT39">
        <v>0</v>
      </c>
      <c r="AU39">
        <v>1</v>
      </c>
      <c r="AV39" t="s">
        <v>273</v>
      </c>
      <c r="AY39" t="s">
        <v>273</v>
      </c>
      <c r="BB39">
        <v>0</v>
      </c>
      <c r="BC39">
        <v>0</v>
      </c>
      <c r="BD39">
        <v>0</v>
      </c>
      <c r="BE39">
        <v>0</v>
      </c>
      <c r="BF39" t="s">
        <v>1063</v>
      </c>
      <c r="BG39" t="s">
        <v>6499</v>
      </c>
      <c r="BH39">
        <v>56</v>
      </c>
      <c r="BI39" t="s">
        <v>6986</v>
      </c>
      <c r="BK39">
        <v>1911420</v>
      </c>
      <c r="BL39" t="s">
        <v>275</v>
      </c>
    </row>
    <row r="40" spans="1:64">
      <c r="A40" s="1">
        <f>HYPERLINK("https://lsnyc.legalserver.org/matter/dynamic-profile/view/1910557","19-1910557")</f>
        <v>0</v>
      </c>
      <c r="B40" t="s">
        <v>5113</v>
      </c>
      <c r="C40" t="s">
        <v>5625</v>
      </c>
      <c r="D40" t="s">
        <v>257</v>
      </c>
      <c r="E40" t="s">
        <v>264</v>
      </c>
      <c r="F40" t="s">
        <v>274</v>
      </c>
      <c r="G40" t="s">
        <v>274</v>
      </c>
      <c r="H40">
        <v>0</v>
      </c>
      <c r="I40" t="s">
        <v>274</v>
      </c>
      <c r="K40" t="s">
        <v>284</v>
      </c>
      <c r="O40" t="s">
        <v>274</v>
      </c>
      <c r="Q40" t="s">
        <v>501</v>
      </c>
      <c r="S40" t="s">
        <v>503</v>
      </c>
      <c r="T40" t="s">
        <v>508</v>
      </c>
      <c r="U40" t="s">
        <v>511</v>
      </c>
      <c r="V40">
        <v>10453</v>
      </c>
      <c r="X40" t="s">
        <v>548</v>
      </c>
      <c r="Y40" t="s">
        <v>275</v>
      </c>
      <c r="Z40" t="s">
        <v>5710</v>
      </c>
      <c r="AA40" t="s">
        <v>6088</v>
      </c>
      <c r="AB40" t="s">
        <v>902</v>
      </c>
      <c r="AC40" t="s">
        <v>905</v>
      </c>
      <c r="AF40" t="s">
        <v>925</v>
      </c>
      <c r="AI40">
        <v>9.449999999999999</v>
      </c>
      <c r="AJ40" t="s">
        <v>558</v>
      </c>
      <c r="AK40" t="s">
        <v>2376</v>
      </c>
      <c r="AL40" t="s">
        <v>274</v>
      </c>
      <c r="AT40">
        <v>1</v>
      </c>
      <c r="AU40">
        <v>1</v>
      </c>
      <c r="AV40" t="s">
        <v>273</v>
      </c>
      <c r="AY40" t="s">
        <v>273</v>
      </c>
      <c r="BB40">
        <v>0</v>
      </c>
      <c r="BC40">
        <v>0</v>
      </c>
      <c r="BD40">
        <v>0</v>
      </c>
      <c r="BE40">
        <v>0</v>
      </c>
      <c r="BF40" t="s">
        <v>1063</v>
      </c>
      <c r="BG40" t="s">
        <v>6500</v>
      </c>
      <c r="BH40">
        <v>34</v>
      </c>
      <c r="BI40" t="s">
        <v>1247</v>
      </c>
      <c r="BK40">
        <v>1911214</v>
      </c>
      <c r="BL40" t="s">
        <v>275</v>
      </c>
    </row>
    <row r="41" spans="1:64">
      <c r="A41" s="1">
        <f>HYPERLINK("https://lsnyc.legalserver.org/matter/dynamic-profile/view/1910558","19-1910558")</f>
        <v>0</v>
      </c>
      <c r="B41" t="s">
        <v>5114</v>
      </c>
      <c r="C41" t="s">
        <v>5625</v>
      </c>
      <c r="D41" t="s">
        <v>257</v>
      </c>
      <c r="E41" t="s">
        <v>264</v>
      </c>
      <c r="F41" t="s">
        <v>274</v>
      </c>
      <c r="G41" t="s">
        <v>274</v>
      </c>
      <c r="H41">
        <v>165.58</v>
      </c>
      <c r="I41" t="s">
        <v>274</v>
      </c>
      <c r="K41" t="s">
        <v>284</v>
      </c>
      <c r="O41" t="s">
        <v>274</v>
      </c>
      <c r="Q41" t="s">
        <v>501</v>
      </c>
      <c r="S41" t="s">
        <v>503</v>
      </c>
      <c r="T41" t="s">
        <v>508</v>
      </c>
      <c r="U41" t="s">
        <v>511</v>
      </c>
      <c r="V41">
        <v>10457</v>
      </c>
      <c r="X41" t="s">
        <v>548</v>
      </c>
      <c r="Y41" t="s">
        <v>275</v>
      </c>
      <c r="Z41" t="s">
        <v>1924</v>
      </c>
      <c r="AA41" t="s">
        <v>6089</v>
      </c>
      <c r="AB41" t="s">
        <v>902</v>
      </c>
      <c r="AC41" t="s">
        <v>905</v>
      </c>
      <c r="AF41" t="s">
        <v>925</v>
      </c>
      <c r="AI41">
        <v>2.6</v>
      </c>
      <c r="AJ41" t="s">
        <v>558</v>
      </c>
      <c r="AK41" t="s">
        <v>934</v>
      </c>
      <c r="AL41" t="s">
        <v>274</v>
      </c>
      <c r="AT41">
        <v>0</v>
      </c>
      <c r="AU41">
        <v>2</v>
      </c>
      <c r="AV41" t="s">
        <v>273</v>
      </c>
      <c r="AY41" t="s">
        <v>273</v>
      </c>
      <c r="BB41">
        <v>0</v>
      </c>
      <c r="BC41">
        <v>0</v>
      </c>
      <c r="BD41">
        <v>0</v>
      </c>
      <c r="BE41">
        <v>0</v>
      </c>
      <c r="BF41" t="s">
        <v>1063</v>
      </c>
      <c r="BG41" t="s">
        <v>6501</v>
      </c>
      <c r="BH41">
        <v>38</v>
      </c>
      <c r="BI41" t="s">
        <v>6987</v>
      </c>
      <c r="BK41">
        <v>1911215</v>
      </c>
      <c r="BL41" t="s">
        <v>275</v>
      </c>
    </row>
    <row r="42" spans="1:64">
      <c r="A42" s="1">
        <f>HYPERLINK("https://lsnyc.legalserver.org/matter/dynamic-profile/view/1910559","19-1910559")</f>
        <v>0</v>
      </c>
      <c r="B42" t="s">
        <v>5115</v>
      </c>
      <c r="C42" t="s">
        <v>5625</v>
      </c>
      <c r="D42" t="s">
        <v>3681</v>
      </c>
      <c r="E42" t="s">
        <v>264</v>
      </c>
      <c r="F42" t="s">
        <v>274</v>
      </c>
      <c r="G42" t="s">
        <v>274</v>
      </c>
      <c r="H42">
        <v>113.09</v>
      </c>
      <c r="I42" t="s">
        <v>274</v>
      </c>
      <c r="K42" t="s">
        <v>284</v>
      </c>
      <c r="Q42" t="s">
        <v>501</v>
      </c>
      <c r="S42" t="s">
        <v>503</v>
      </c>
      <c r="T42" t="s">
        <v>508</v>
      </c>
      <c r="U42" t="s">
        <v>511</v>
      </c>
      <c r="V42">
        <v>10701</v>
      </c>
      <c r="W42" t="s">
        <v>517</v>
      </c>
      <c r="X42" t="s">
        <v>549</v>
      </c>
      <c r="Y42" t="s">
        <v>274</v>
      </c>
      <c r="Z42" t="s">
        <v>5711</v>
      </c>
      <c r="AA42" t="s">
        <v>727</v>
      </c>
      <c r="AB42" t="s">
        <v>902</v>
      </c>
      <c r="AC42" t="s">
        <v>904</v>
      </c>
      <c r="AF42" t="s">
        <v>925</v>
      </c>
      <c r="AI42">
        <v>1.3</v>
      </c>
      <c r="AJ42" t="s">
        <v>558</v>
      </c>
      <c r="AK42" t="s">
        <v>2384</v>
      </c>
      <c r="AL42" t="s">
        <v>274</v>
      </c>
      <c r="AT42">
        <v>3</v>
      </c>
      <c r="AU42">
        <v>1</v>
      </c>
      <c r="AV42" t="s">
        <v>273</v>
      </c>
      <c r="AY42" t="s">
        <v>273</v>
      </c>
      <c r="BB42">
        <v>0</v>
      </c>
      <c r="BC42">
        <v>0</v>
      </c>
      <c r="BD42">
        <v>0</v>
      </c>
      <c r="BE42">
        <v>0</v>
      </c>
      <c r="BF42" t="s">
        <v>1063</v>
      </c>
      <c r="BG42" t="s">
        <v>6502</v>
      </c>
      <c r="BH42">
        <v>32</v>
      </c>
      <c r="BI42" t="s">
        <v>6979</v>
      </c>
      <c r="BK42">
        <v>1911216</v>
      </c>
      <c r="BL42" t="s">
        <v>275</v>
      </c>
    </row>
    <row r="43" spans="1:64">
      <c r="A43" s="1">
        <f>HYPERLINK("https://lsnyc.legalserver.org/matter/dynamic-profile/view/1910568","19-1910568")</f>
        <v>0</v>
      </c>
      <c r="B43" t="s">
        <v>5116</v>
      </c>
      <c r="C43" t="s">
        <v>5625</v>
      </c>
      <c r="D43" t="s">
        <v>257</v>
      </c>
      <c r="E43" t="s">
        <v>5629</v>
      </c>
      <c r="F43" t="s">
        <v>274</v>
      </c>
      <c r="G43" t="s">
        <v>274</v>
      </c>
      <c r="H43">
        <v>166.53</v>
      </c>
      <c r="I43" t="s">
        <v>274</v>
      </c>
      <c r="K43" t="s">
        <v>284</v>
      </c>
      <c r="O43" t="s">
        <v>274</v>
      </c>
      <c r="P43" t="s">
        <v>498</v>
      </c>
      <c r="Q43" t="s">
        <v>501</v>
      </c>
      <c r="R43" t="s">
        <v>501</v>
      </c>
      <c r="S43" t="s">
        <v>503</v>
      </c>
      <c r="T43" t="s">
        <v>508</v>
      </c>
      <c r="U43" t="s">
        <v>511</v>
      </c>
      <c r="V43">
        <v>10455</v>
      </c>
      <c r="X43" t="s">
        <v>548</v>
      </c>
      <c r="Y43" t="s">
        <v>275</v>
      </c>
      <c r="Z43" t="s">
        <v>706</v>
      </c>
      <c r="AA43" t="s">
        <v>6090</v>
      </c>
      <c r="AB43" t="s">
        <v>902</v>
      </c>
      <c r="AC43" t="s">
        <v>906</v>
      </c>
      <c r="AF43" t="s">
        <v>927</v>
      </c>
      <c r="AI43">
        <v>3.55</v>
      </c>
      <c r="AJ43" t="s">
        <v>558</v>
      </c>
      <c r="AK43" t="s">
        <v>933</v>
      </c>
      <c r="AL43" t="s">
        <v>274</v>
      </c>
      <c r="AT43">
        <v>0</v>
      </c>
      <c r="AU43">
        <v>1</v>
      </c>
      <c r="AV43" t="s">
        <v>273</v>
      </c>
      <c r="AY43" t="s">
        <v>273</v>
      </c>
      <c r="BB43">
        <v>0</v>
      </c>
      <c r="BC43">
        <v>0</v>
      </c>
      <c r="BD43">
        <v>0</v>
      </c>
      <c r="BE43">
        <v>0</v>
      </c>
      <c r="BF43" t="s">
        <v>1063</v>
      </c>
      <c r="BG43" t="s">
        <v>6503</v>
      </c>
      <c r="BH43">
        <v>51</v>
      </c>
      <c r="BI43" t="s">
        <v>1261</v>
      </c>
      <c r="BK43">
        <v>1911225</v>
      </c>
      <c r="BL43" t="s">
        <v>275</v>
      </c>
    </row>
    <row r="44" spans="1:64">
      <c r="A44" s="1">
        <f>HYPERLINK("https://lsnyc.legalserver.org/matter/dynamic-profile/view/1910466","19-1910466")</f>
        <v>0</v>
      </c>
      <c r="B44" t="s">
        <v>5117</v>
      </c>
      <c r="C44" t="s">
        <v>5625</v>
      </c>
      <c r="D44" t="s">
        <v>252</v>
      </c>
      <c r="E44" t="s">
        <v>5629</v>
      </c>
      <c r="F44" t="s">
        <v>274</v>
      </c>
      <c r="G44" t="s">
        <v>274</v>
      </c>
      <c r="H44">
        <v>79.48</v>
      </c>
      <c r="I44" t="s">
        <v>274</v>
      </c>
      <c r="K44" t="s">
        <v>1031</v>
      </c>
      <c r="O44" t="s">
        <v>274</v>
      </c>
      <c r="Q44" t="s">
        <v>501</v>
      </c>
      <c r="S44" t="s">
        <v>503</v>
      </c>
      <c r="T44" t="s">
        <v>508</v>
      </c>
      <c r="U44" t="s">
        <v>511</v>
      </c>
      <c r="V44">
        <v>11207</v>
      </c>
      <c r="X44" t="s">
        <v>548</v>
      </c>
      <c r="Y44" t="s">
        <v>275</v>
      </c>
      <c r="Z44" t="s">
        <v>5712</v>
      </c>
      <c r="AA44" t="s">
        <v>6091</v>
      </c>
      <c r="AB44" t="s">
        <v>902</v>
      </c>
      <c r="AC44" t="s">
        <v>904</v>
      </c>
      <c r="AF44" t="s">
        <v>925</v>
      </c>
      <c r="AI44">
        <v>2.25</v>
      </c>
      <c r="AJ44" t="s">
        <v>558</v>
      </c>
      <c r="AK44" t="s">
        <v>950</v>
      </c>
      <c r="AL44" t="s">
        <v>274</v>
      </c>
      <c r="AT44">
        <v>0</v>
      </c>
      <c r="AU44">
        <v>2</v>
      </c>
      <c r="AV44" t="s">
        <v>273</v>
      </c>
      <c r="AY44" t="s">
        <v>273</v>
      </c>
      <c r="BB44">
        <v>0</v>
      </c>
      <c r="BC44">
        <v>0</v>
      </c>
      <c r="BD44">
        <v>0</v>
      </c>
      <c r="BE44">
        <v>0</v>
      </c>
      <c r="BF44" t="s">
        <v>1063</v>
      </c>
      <c r="BG44" t="s">
        <v>6504</v>
      </c>
      <c r="BH44">
        <v>53</v>
      </c>
      <c r="BI44" t="s">
        <v>6988</v>
      </c>
      <c r="BK44">
        <v>1911123</v>
      </c>
      <c r="BL44" t="s">
        <v>275</v>
      </c>
    </row>
    <row r="45" spans="1:64">
      <c r="A45" s="1">
        <f>HYPERLINK("https://lsnyc.legalserver.org/matter/dynamic-profile/view/1910329","19-1910329")</f>
        <v>0</v>
      </c>
      <c r="B45" t="s">
        <v>5118</v>
      </c>
      <c r="C45" t="s">
        <v>5625</v>
      </c>
      <c r="D45" t="s">
        <v>257</v>
      </c>
      <c r="E45" t="s">
        <v>264</v>
      </c>
      <c r="F45" t="s">
        <v>274</v>
      </c>
      <c r="G45" t="s">
        <v>274</v>
      </c>
      <c r="H45">
        <v>130.67</v>
      </c>
      <c r="I45" t="s">
        <v>274</v>
      </c>
      <c r="K45" t="s">
        <v>445</v>
      </c>
      <c r="O45" t="s">
        <v>274</v>
      </c>
      <c r="Q45" t="s">
        <v>501</v>
      </c>
      <c r="S45" t="s">
        <v>503</v>
      </c>
      <c r="T45" t="s">
        <v>508</v>
      </c>
      <c r="U45" t="s">
        <v>511</v>
      </c>
      <c r="V45">
        <v>10458</v>
      </c>
      <c r="X45" t="s">
        <v>548</v>
      </c>
      <c r="Y45" t="s">
        <v>275</v>
      </c>
      <c r="Z45" t="s">
        <v>5713</v>
      </c>
      <c r="AA45" t="s">
        <v>6092</v>
      </c>
      <c r="AB45" t="s">
        <v>902</v>
      </c>
      <c r="AC45" t="s">
        <v>904</v>
      </c>
      <c r="AF45" t="s">
        <v>925</v>
      </c>
      <c r="AI45">
        <v>1.7</v>
      </c>
      <c r="AJ45" t="s">
        <v>558</v>
      </c>
      <c r="AK45" t="s">
        <v>950</v>
      </c>
      <c r="AL45" t="s">
        <v>274</v>
      </c>
      <c r="AT45">
        <v>4</v>
      </c>
      <c r="AU45">
        <v>2</v>
      </c>
      <c r="AV45" t="s">
        <v>273</v>
      </c>
      <c r="AY45" t="s">
        <v>273</v>
      </c>
      <c r="BB45">
        <v>0</v>
      </c>
      <c r="BC45">
        <v>0</v>
      </c>
      <c r="BD45">
        <v>0</v>
      </c>
      <c r="BE45">
        <v>0</v>
      </c>
      <c r="BF45" t="s">
        <v>1063</v>
      </c>
      <c r="BG45" t="s">
        <v>6505</v>
      </c>
      <c r="BH45">
        <v>38</v>
      </c>
      <c r="BI45" t="s">
        <v>6989</v>
      </c>
      <c r="BK45">
        <v>1910986</v>
      </c>
      <c r="BL45" t="s">
        <v>275</v>
      </c>
    </row>
    <row r="46" spans="1:64">
      <c r="A46" s="1">
        <f>HYPERLINK("https://lsnyc.legalserver.org/matter/dynamic-profile/view/1910342","19-1910342")</f>
        <v>0</v>
      </c>
      <c r="B46" t="s">
        <v>5119</v>
      </c>
      <c r="C46" t="s">
        <v>5625</v>
      </c>
      <c r="D46" t="s">
        <v>252</v>
      </c>
      <c r="E46" t="s">
        <v>264</v>
      </c>
      <c r="F46" t="s">
        <v>274</v>
      </c>
      <c r="G46" t="s">
        <v>274</v>
      </c>
      <c r="H46">
        <v>144.12</v>
      </c>
      <c r="I46" t="s">
        <v>274</v>
      </c>
      <c r="K46" t="s">
        <v>445</v>
      </c>
      <c r="O46" t="s">
        <v>274</v>
      </c>
      <c r="Q46" t="s">
        <v>501</v>
      </c>
      <c r="S46" t="s">
        <v>503</v>
      </c>
      <c r="T46" t="s">
        <v>507</v>
      </c>
      <c r="U46" t="s">
        <v>511</v>
      </c>
      <c r="V46">
        <v>11220</v>
      </c>
      <c r="X46" t="s">
        <v>548</v>
      </c>
      <c r="Y46" t="s">
        <v>275</v>
      </c>
      <c r="Z46" t="s">
        <v>5714</v>
      </c>
      <c r="AA46" t="s">
        <v>6093</v>
      </c>
      <c r="AB46" t="s">
        <v>902</v>
      </c>
      <c r="AC46" t="s">
        <v>905</v>
      </c>
      <c r="AF46" t="s">
        <v>925</v>
      </c>
      <c r="AI46">
        <v>3.1</v>
      </c>
      <c r="AJ46" t="s">
        <v>558</v>
      </c>
      <c r="AK46" t="s">
        <v>934</v>
      </c>
      <c r="AL46" t="s">
        <v>274</v>
      </c>
      <c r="AT46">
        <v>0</v>
      </c>
      <c r="AU46">
        <v>1</v>
      </c>
      <c r="AV46" t="s">
        <v>273</v>
      </c>
      <c r="AY46" t="s">
        <v>273</v>
      </c>
      <c r="BB46">
        <v>0</v>
      </c>
      <c r="BC46">
        <v>0</v>
      </c>
      <c r="BD46">
        <v>0</v>
      </c>
      <c r="BE46">
        <v>0</v>
      </c>
      <c r="BF46" t="s">
        <v>1063</v>
      </c>
      <c r="BG46" t="s">
        <v>6506</v>
      </c>
      <c r="BH46">
        <v>41</v>
      </c>
      <c r="BI46" t="s">
        <v>1289</v>
      </c>
      <c r="BK46">
        <v>1910999</v>
      </c>
      <c r="BL46" t="s">
        <v>275</v>
      </c>
    </row>
    <row r="47" spans="1:64">
      <c r="A47" s="1">
        <f>HYPERLINK("https://lsnyc.legalserver.org/matter/dynamic-profile/view/1910222","19-1910222")</f>
        <v>0</v>
      </c>
      <c r="B47" t="s">
        <v>5120</v>
      </c>
      <c r="C47" t="s">
        <v>5625</v>
      </c>
      <c r="D47" t="s">
        <v>252</v>
      </c>
      <c r="E47" t="s">
        <v>264</v>
      </c>
      <c r="F47" t="s">
        <v>274</v>
      </c>
      <c r="G47" t="s">
        <v>274</v>
      </c>
      <c r="H47">
        <v>156.12</v>
      </c>
      <c r="I47" t="s">
        <v>274</v>
      </c>
      <c r="K47" t="s">
        <v>285</v>
      </c>
      <c r="O47" t="s">
        <v>274</v>
      </c>
      <c r="Q47" t="s">
        <v>501</v>
      </c>
      <c r="S47" t="s">
        <v>503</v>
      </c>
      <c r="T47" t="s">
        <v>507</v>
      </c>
      <c r="U47" t="s">
        <v>511</v>
      </c>
      <c r="V47">
        <v>11207</v>
      </c>
      <c r="X47" t="s">
        <v>549</v>
      </c>
      <c r="Y47" t="s">
        <v>275</v>
      </c>
      <c r="Z47" t="s">
        <v>4578</v>
      </c>
      <c r="AA47" t="s">
        <v>6094</v>
      </c>
      <c r="AB47" t="s">
        <v>902</v>
      </c>
      <c r="AC47" t="s">
        <v>904</v>
      </c>
      <c r="AF47" t="s">
        <v>925</v>
      </c>
      <c r="AI47">
        <v>2.95</v>
      </c>
      <c r="AJ47" t="s">
        <v>558</v>
      </c>
      <c r="AK47" t="s">
        <v>957</v>
      </c>
      <c r="AL47" t="s">
        <v>274</v>
      </c>
      <c r="AT47">
        <v>0</v>
      </c>
      <c r="AU47">
        <v>2</v>
      </c>
      <c r="AV47" t="s">
        <v>273</v>
      </c>
      <c r="AY47" t="s">
        <v>273</v>
      </c>
      <c r="BB47">
        <v>0</v>
      </c>
      <c r="BC47">
        <v>0</v>
      </c>
      <c r="BD47">
        <v>0</v>
      </c>
      <c r="BE47">
        <v>0</v>
      </c>
      <c r="BF47" t="s">
        <v>1063</v>
      </c>
      <c r="BG47" t="s">
        <v>6507</v>
      </c>
      <c r="BH47">
        <v>70</v>
      </c>
      <c r="BI47" t="s">
        <v>3446</v>
      </c>
      <c r="BK47">
        <v>1910879</v>
      </c>
    </row>
    <row r="48" spans="1:64">
      <c r="A48" s="1">
        <f>HYPERLINK("https://lsnyc.legalserver.org/matter/dynamic-profile/view/1910024","19-1910024")</f>
        <v>0</v>
      </c>
      <c r="B48" t="s">
        <v>5121</v>
      </c>
      <c r="C48" t="s">
        <v>5625</v>
      </c>
      <c r="D48" t="s">
        <v>257</v>
      </c>
      <c r="E48" t="s">
        <v>5629</v>
      </c>
      <c r="F48" t="s">
        <v>274</v>
      </c>
      <c r="G48" t="s">
        <v>274</v>
      </c>
      <c r="H48">
        <v>0</v>
      </c>
      <c r="I48" t="s">
        <v>274</v>
      </c>
      <c r="K48" t="s">
        <v>286</v>
      </c>
      <c r="L48" t="s">
        <v>278</v>
      </c>
      <c r="O48" t="s">
        <v>274</v>
      </c>
      <c r="P48" t="s">
        <v>493</v>
      </c>
      <c r="Q48" t="s">
        <v>501</v>
      </c>
      <c r="S48" t="s">
        <v>503</v>
      </c>
      <c r="T48" t="s">
        <v>508</v>
      </c>
      <c r="U48" t="s">
        <v>511</v>
      </c>
      <c r="V48">
        <v>10469</v>
      </c>
      <c r="W48" t="s">
        <v>517</v>
      </c>
      <c r="X48" t="s">
        <v>549</v>
      </c>
      <c r="Y48" t="s">
        <v>274</v>
      </c>
      <c r="Z48" t="s">
        <v>5715</v>
      </c>
      <c r="AA48" t="s">
        <v>6095</v>
      </c>
      <c r="AB48" t="s">
        <v>902</v>
      </c>
      <c r="AC48" t="s">
        <v>904</v>
      </c>
      <c r="AD48" t="s">
        <v>275</v>
      </c>
      <c r="AE48" t="s">
        <v>918</v>
      </c>
      <c r="AF48" t="s">
        <v>927</v>
      </c>
      <c r="AI48">
        <v>2.65</v>
      </c>
      <c r="AJ48" t="s">
        <v>558</v>
      </c>
      <c r="AK48" t="s">
        <v>2376</v>
      </c>
      <c r="AL48" t="s">
        <v>274</v>
      </c>
      <c r="AM48" t="s">
        <v>975</v>
      </c>
      <c r="AQ48" t="s">
        <v>1033</v>
      </c>
      <c r="AR48" t="s">
        <v>1051</v>
      </c>
      <c r="AT48">
        <v>0</v>
      </c>
      <c r="AU48">
        <v>1</v>
      </c>
      <c r="AV48" t="s">
        <v>273</v>
      </c>
      <c r="AY48" t="s">
        <v>273</v>
      </c>
      <c r="BB48">
        <v>0</v>
      </c>
      <c r="BC48">
        <v>0</v>
      </c>
      <c r="BD48">
        <v>0</v>
      </c>
      <c r="BE48">
        <v>0</v>
      </c>
      <c r="BF48" t="s">
        <v>493</v>
      </c>
      <c r="BG48" t="s">
        <v>6508</v>
      </c>
      <c r="BH48">
        <v>47</v>
      </c>
      <c r="BI48" t="s">
        <v>1247</v>
      </c>
      <c r="BK48">
        <v>1859995</v>
      </c>
    </row>
    <row r="49" spans="1:64">
      <c r="A49" s="1">
        <f>HYPERLINK("https://lsnyc.legalserver.org/matter/dynamic-profile/view/1908925","19-1908925")</f>
        <v>0</v>
      </c>
      <c r="B49" t="s">
        <v>5122</v>
      </c>
      <c r="C49" t="s">
        <v>5625</v>
      </c>
      <c r="D49" t="s">
        <v>257</v>
      </c>
      <c r="E49" t="s">
        <v>264</v>
      </c>
      <c r="F49" t="s">
        <v>274</v>
      </c>
      <c r="G49" t="s">
        <v>274</v>
      </c>
      <c r="H49">
        <v>96.08</v>
      </c>
      <c r="I49" t="s">
        <v>274</v>
      </c>
      <c r="K49" t="s">
        <v>286</v>
      </c>
      <c r="O49" t="s">
        <v>274</v>
      </c>
      <c r="Q49" t="s">
        <v>501</v>
      </c>
      <c r="S49" t="s">
        <v>503</v>
      </c>
      <c r="T49" t="s">
        <v>507</v>
      </c>
      <c r="U49" t="s">
        <v>511</v>
      </c>
      <c r="V49">
        <v>10456</v>
      </c>
      <c r="X49" t="s">
        <v>548</v>
      </c>
      <c r="Y49" t="s">
        <v>275</v>
      </c>
      <c r="Z49" t="s">
        <v>5716</v>
      </c>
      <c r="AA49" t="s">
        <v>770</v>
      </c>
      <c r="AB49" t="s">
        <v>902</v>
      </c>
      <c r="AC49" t="s">
        <v>904</v>
      </c>
      <c r="AF49" t="s">
        <v>925</v>
      </c>
      <c r="AI49">
        <v>2.2</v>
      </c>
      <c r="AJ49" t="s">
        <v>558</v>
      </c>
      <c r="AK49" t="s">
        <v>950</v>
      </c>
      <c r="AL49" t="s">
        <v>274</v>
      </c>
      <c r="AT49">
        <v>0</v>
      </c>
      <c r="AU49">
        <v>1</v>
      </c>
      <c r="AV49" t="s">
        <v>273</v>
      </c>
      <c r="AY49" t="s">
        <v>273</v>
      </c>
      <c r="BB49">
        <v>0</v>
      </c>
      <c r="BC49">
        <v>0</v>
      </c>
      <c r="BD49">
        <v>0</v>
      </c>
      <c r="BE49">
        <v>0</v>
      </c>
      <c r="BF49" t="s">
        <v>1063</v>
      </c>
      <c r="BG49" t="s">
        <v>2683</v>
      </c>
      <c r="BH49">
        <v>23</v>
      </c>
      <c r="BI49" t="s">
        <v>1267</v>
      </c>
      <c r="BK49">
        <v>1848903</v>
      </c>
    </row>
    <row r="50" spans="1:64">
      <c r="A50" s="1">
        <f>HYPERLINK("https://lsnyc.legalserver.org/matter/dynamic-profile/view/1910073","19-1910073")</f>
        <v>0</v>
      </c>
      <c r="B50" t="s">
        <v>5123</v>
      </c>
      <c r="C50" t="s">
        <v>5625</v>
      </c>
      <c r="D50" t="s">
        <v>252</v>
      </c>
      <c r="E50" t="s">
        <v>264</v>
      </c>
      <c r="F50" t="s">
        <v>274</v>
      </c>
      <c r="G50" t="s">
        <v>274</v>
      </c>
      <c r="H50">
        <v>149.02</v>
      </c>
      <c r="I50" t="s">
        <v>274</v>
      </c>
      <c r="K50" t="s">
        <v>286</v>
      </c>
      <c r="O50" t="s">
        <v>274</v>
      </c>
      <c r="P50" t="s">
        <v>494</v>
      </c>
      <c r="Q50" t="s">
        <v>501</v>
      </c>
      <c r="S50" t="s">
        <v>503</v>
      </c>
      <c r="T50" t="s">
        <v>507</v>
      </c>
      <c r="U50" t="s">
        <v>511</v>
      </c>
      <c r="V50">
        <v>11212</v>
      </c>
      <c r="X50" t="s">
        <v>549</v>
      </c>
      <c r="Y50" t="s">
        <v>274</v>
      </c>
      <c r="Z50" t="s">
        <v>5717</v>
      </c>
      <c r="AA50" t="s">
        <v>6069</v>
      </c>
      <c r="AB50" t="s">
        <v>902</v>
      </c>
      <c r="AC50" t="s">
        <v>904</v>
      </c>
      <c r="AF50" t="s">
        <v>925</v>
      </c>
      <c r="AI50">
        <v>2.1</v>
      </c>
      <c r="AJ50" t="s">
        <v>558</v>
      </c>
      <c r="AK50" t="s">
        <v>939</v>
      </c>
      <c r="AL50" t="s">
        <v>274</v>
      </c>
      <c r="AT50">
        <v>0</v>
      </c>
      <c r="AU50">
        <v>2</v>
      </c>
      <c r="AV50" t="s">
        <v>273</v>
      </c>
      <c r="AY50" t="s">
        <v>273</v>
      </c>
      <c r="BB50">
        <v>0</v>
      </c>
      <c r="BC50">
        <v>0</v>
      </c>
      <c r="BD50">
        <v>0</v>
      </c>
      <c r="BE50">
        <v>0</v>
      </c>
      <c r="BF50" t="s">
        <v>1063</v>
      </c>
      <c r="BG50" t="s">
        <v>6509</v>
      </c>
      <c r="BH50">
        <v>79</v>
      </c>
      <c r="BI50" t="s">
        <v>6990</v>
      </c>
      <c r="BK50">
        <v>1910730</v>
      </c>
    </row>
    <row r="51" spans="1:64">
      <c r="A51" s="1">
        <f>HYPERLINK("https://lsnyc.legalserver.org/matter/dynamic-profile/view/1910105","19-1910105")</f>
        <v>0</v>
      </c>
      <c r="B51" t="s">
        <v>5124</v>
      </c>
      <c r="C51" t="s">
        <v>5625</v>
      </c>
      <c r="D51" t="s">
        <v>255</v>
      </c>
      <c r="E51" t="s">
        <v>5630</v>
      </c>
      <c r="F51" t="s">
        <v>274</v>
      </c>
      <c r="G51" t="s">
        <v>274</v>
      </c>
      <c r="H51">
        <v>166.53</v>
      </c>
      <c r="I51" t="s">
        <v>274</v>
      </c>
      <c r="K51" t="s">
        <v>286</v>
      </c>
      <c r="O51" t="s">
        <v>274</v>
      </c>
      <c r="Q51" t="s">
        <v>501</v>
      </c>
      <c r="S51" t="s">
        <v>503</v>
      </c>
      <c r="T51" t="s">
        <v>507</v>
      </c>
      <c r="U51" t="s">
        <v>511</v>
      </c>
      <c r="V51">
        <v>10027</v>
      </c>
      <c r="W51" t="s">
        <v>517</v>
      </c>
      <c r="X51" t="s">
        <v>548</v>
      </c>
      <c r="Y51" t="s">
        <v>275</v>
      </c>
      <c r="Z51" t="s">
        <v>564</v>
      </c>
      <c r="AA51" t="s">
        <v>6096</v>
      </c>
      <c r="AB51" t="s">
        <v>902</v>
      </c>
      <c r="AC51" t="s">
        <v>904</v>
      </c>
      <c r="AF51" t="s">
        <v>923</v>
      </c>
      <c r="AI51">
        <v>1.15</v>
      </c>
      <c r="AJ51" t="s">
        <v>558</v>
      </c>
      <c r="AK51" t="s">
        <v>950</v>
      </c>
      <c r="AL51" t="s">
        <v>274</v>
      </c>
      <c r="AT51">
        <v>0</v>
      </c>
      <c r="AU51">
        <v>1</v>
      </c>
      <c r="AV51" t="s">
        <v>273</v>
      </c>
      <c r="AY51" t="s">
        <v>273</v>
      </c>
      <c r="BB51">
        <v>0</v>
      </c>
      <c r="BC51">
        <v>0</v>
      </c>
      <c r="BD51">
        <v>0</v>
      </c>
      <c r="BE51">
        <v>0</v>
      </c>
      <c r="BF51" t="s">
        <v>1063</v>
      </c>
      <c r="BG51" t="s">
        <v>6510</v>
      </c>
      <c r="BH51">
        <v>51</v>
      </c>
      <c r="BI51" t="s">
        <v>1261</v>
      </c>
      <c r="BK51">
        <v>1910762</v>
      </c>
    </row>
    <row r="52" spans="1:64">
      <c r="A52" s="1">
        <f>HYPERLINK("https://lsnyc.legalserver.org/matter/dynamic-profile/view/1910107","19-1910107")</f>
        <v>0</v>
      </c>
      <c r="B52" t="s">
        <v>5125</v>
      </c>
      <c r="C52" t="s">
        <v>5625</v>
      </c>
      <c r="D52" t="s">
        <v>255</v>
      </c>
      <c r="E52" t="s">
        <v>3694</v>
      </c>
      <c r="F52" t="s">
        <v>274</v>
      </c>
      <c r="G52" t="s">
        <v>274</v>
      </c>
      <c r="H52">
        <v>134.51</v>
      </c>
      <c r="I52" t="s">
        <v>274</v>
      </c>
      <c r="K52" t="s">
        <v>286</v>
      </c>
      <c r="O52" t="s">
        <v>275</v>
      </c>
      <c r="P52" t="s">
        <v>494</v>
      </c>
      <c r="Q52" t="s">
        <v>501</v>
      </c>
      <c r="S52" t="s">
        <v>503</v>
      </c>
      <c r="T52" t="s">
        <v>507</v>
      </c>
      <c r="U52" t="s">
        <v>511</v>
      </c>
      <c r="V52">
        <v>10033</v>
      </c>
      <c r="W52" t="s">
        <v>521</v>
      </c>
      <c r="X52" t="s">
        <v>549</v>
      </c>
      <c r="Z52" t="s">
        <v>5718</v>
      </c>
      <c r="AA52" t="s">
        <v>3160</v>
      </c>
      <c r="AB52" t="s">
        <v>902</v>
      </c>
      <c r="AC52" t="s">
        <v>905</v>
      </c>
      <c r="AF52" t="s">
        <v>923</v>
      </c>
      <c r="AI52">
        <v>2.2</v>
      </c>
      <c r="AJ52" t="s">
        <v>558</v>
      </c>
      <c r="AK52" t="s">
        <v>939</v>
      </c>
      <c r="AL52" t="s">
        <v>274</v>
      </c>
      <c r="AT52">
        <v>0</v>
      </c>
      <c r="AU52">
        <v>1</v>
      </c>
      <c r="AV52" t="s">
        <v>273</v>
      </c>
      <c r="AY52" t="s">
        <v>273</v>
      </c>
      <c r="BB52">
        <v>0</v>
      </c>
      <c r="BC52">
        <v>0</v>
      </c>
      <c r="BD52">
        <v>0</v>
      </c>
      <c r="BE52">
        <v>0</v>
      </c>
      <c r="BF52" t="s">
        <v>1063</v>
      </c>
      <c r="BG52" t="s">
        <v>6511</v>
      </c>
      <c r="BH52">
        <v>24</v>
      </c>
      <c r="BI52" t="s">
        <v>1313</v>
      </c>
      <c r="BK52">
        <v>1910764</v>
      </c>
    </row>
    <row r="53" spans="1:64">
      <c r="A53" s="1">
        <f>HYPERLINK("https://lsnyc.legalserver.org/matter/dynamic-profile/view/1910977","19-1910977")</f>
        <v>0</v>
      </c>
      <c r="B53" t="s">
        <v>5126</v>
      </c>
      <c r="C53" t="s">
        <v>5625</v>
      </c>
      <c r="D53" t="s">
        <v>252</v>
      </c>
      <c r="E53" t="s">
        <v>3694</v>
      </c>
      <c r="F53" t="s">
        <v>273</v>
      </c>
      <c r="G53" t="s">
        <v>275</v>
      </c>
      <c r="H53">
        <v>0</v>
      </c>
      <c r="I53" t="s">
        <v>274</v>
      </c>
      <c r="K53" t="s">
        <v>286</v>
      </c>
      <c r="P53" t="s">
        <v>492</v>
      </c>
      <c r="Q53" t="s">
        <v>501</v>
      </c>
      <c r="S53" t="s">
        <v>503</v>
      </c>
      <c r="T53" t="s">
        <v>507</v>
      </c>
      <c r="U53" t="s">
        <v>511</v>
      </c>
      <c r="V53">
        <v>11229</v>
      </c>
      <c r="W53" t="s">
        <v>521</v>
      </c>
      <c r="X53" t="s">
        <v>549</v>
      </c>
      <c r="Z53" t="s">
        <v>5719</v>
      </c>
      <c r="AA53" t="s">
        <v>6097</v>
      </c>
      <c r="AB53" t="s">
        <v>902</v>
      </c>
      <c r="AC53" t="s">
        <v>910</v>
      </c>
      <c r="AF53" t="s">
        <v>923</v>
      </c>
      <c r="AI53">
        <v>3.25</v>
      </c>
      <c r="AJ53" t="s">
        <v>558</v>
      </c>
      <c r="AK53" t="s">
        <v>958</v>
      </c>
      <c r="AL53" t="s">
        <v>274</v>
      </c>
      <c r="AT53">
        <v>0</v>
      </c>
      <c r="AU53">
        <v>1</v>
      </c>
      <c r="AV53" t="s">
        <v>273</v>
      </c>
      <c r="AY53" t="s">
        <v>273</v>
      </c>
      <c r="BB53">
        <v>0</v>
      </c>
      <c r="BC53">
        <v>0</v>
      </c>
      <c r="BD53">
        <v>0</v>
      </c>
      <c r="BE53">
        <v>0</v>
      </c>
      <c r="BF53" t="s">
        <v>1063</v>
      </c>
      <c r="BG53" t="s">
        <v>6512</v>
      </c>
      <c r="BH53">
        <v>22</v>
      </c>
      <c r="BI53" t="s">
        <v>1247</v>
      </c>
      <c r="BJ53" t="s">
        <v>449</v>
      </c>
      <c r="BK53">
        <v>1911634</v>
      </c>
    </row>
    <row r="54" spans="1:64">
      <c r="A54" s="1">
        <f>HYPERLINK("https://lsnyc.legalserver.org/matter/dynamic-profile/view/1909966","19-1909966")</f>
        <v>0</v>
      </c>
      <c r="B54" t="s">
        <v>5127</v>
      </c>
      <c r="C54" t="s">
        <v>5625</v>
      </c>
      <c r="D54" t="s">
        <v>257</v>
      </c>
      <c r="E54" t="s">
        <v>3694</v>
      </c>
      <c r="F54" t="s">
        <v>274</v>
      </c>
      <c r="G54" t="s">
        <v>274</v>
      </c>
      <c r="H54">
        <v>0</v>
      </c>
      <c r="I54" t="s">
        <v>274</v>
      </c>
      <c r="K54" t="s">
        <v>490</v>
      </c>
      <c r="O54" t="s">
        <v>275</v>
      </c>
      <c r="P54" t="s">
        <v>498</v>
      </c>
      <c r="Q54" t="s">
        <v>501</v>
      </c>
      <c r="S54" t="s">
        <v>503</v>
      </c>
      <c r="T54" t="s">
        <v>507</v>
      </c>
      <c r="U54" t="s">
        <v>511</v>
      </c>
      <c r="V54">
        <v>10459</v>
      </c>
      <c r="W54" t="s">
        <v>521</v>
      </c>
      <c r="X54" t="s">
        <v>549</v>
      </c>
      <c r="Y54" t="s">
        <v>275</v>
      </c>
      <c r="Z54" t="s">
        <v>5720</v>
      </c>
      <c r="AA54" t="s">
        <v>6098</v>
      </c>
      <c r="AB54" t="s">
        <v>902</v>
      </c>
      <c r="AC54" t="s">
        <v>905</v>
      </c>
      <c r="AF54" t="s">
        <v>923</v>
      </c>
      <c r="AI54">
        <v>1.85</v>
      </c>
      <c r="AJ54" t="s">
        <v>558</v>
      </c>
      <c r="AK54" t="s">
        <v>939</v>
      </c>
      <c r="AL54" t="s">
        <v>274</v>
      </c>
      <c r="AT54">
        <v>0</v>
      </c>
      <c r="AU54">
        <v>1</v>
      </c>
      <c r="AV54" t="s">
        <v>273</v>
      </c>
      <c r="AY54" t="s">
        <v>273</v>
      </c>
      <c r="BB54">
        <v>0</v>
      </c>
      <c r="BC54">
        <v>0</v>
      </c>
      <c r="BD54">
        <v>0</v>
      </c>
      <c r="BE54">
        <v>0</v>
      </c>
      <c r="BF54" t="s">
        <v>1063</v>
      </c>
      <c r="BG54" t="s">
        <v>6513</v>
      </c>
      <c r="BH54">
        <v>24</v>
      </c>
      <c r="BI54" t="s">
        <v>1247</v>
      </c>
      <c r="BJ54" t="s">
        <v>284</v>
      </c>
      <c r="BK54">
        <v>1910623</v>
      </c>
      <c r="BL54" t="s">
        <v>275</v>
      </c>
    </row>
    <row r="55" spans="1:64">
      <c r="A55" s="1">
        <f>HYPERLINK("https://lsnyc.legalserver.org/matter/dynamic-profile/view/1909871","19-1909871")</f>
        <v>0</v>
      </c>
      <c r="B55" t="s">
        <v>5128</v>
      </c>
      <c r="C55" t="s">
        <v>5625</v>
      </c>
      <c r="D55" t="s">
        <v>253</v>
      </c>
      <c r="E55" t="s">
        <v>264</v>
      </c>
      <c r="F55" t="s">
        <v>274</v>
      </c>
      <c r="G55" t="s">
        <v>274</v>
      </c>
      <c r="H55">
        <v>88.06999999999999</v>
      </c>
      <c r="I55" t="s">
        <v>274</v>
      </c>
      <c r="K55" t="s">
        <v>1668</v>
      </c>
      <c r="L55" t="s">
        <v>484</v>
      </c>
      <c r="O55" t="s">
        <v>275</v>
      </c>
      <c r="P55" t="s">
        <v>493</v>
      </c>
      <c r="Q55" t="s">
        <v>501</v>
      </c>
      <c r="S55" t="s">
        <v>503</v>
      </c>
      <c r="T55" t="s">
        <v>507</v>
      </c>
      <c r="U55" t="s">
        <v>511</v>
      </c>
      <c r="V55">
        <v>11365</v>
      </c>
      <c r="X55" t="s">
        <v>548</v>
      </c>
      <c r="Y55" t="s">
        <v>275</v>
      </c>
      <c r="Z55" t="s">
        <v>5721</v>
      </c>
      <c r="AA55" t="s">
        <v>2256</v>
      </c>
      <c r="AB55" t="s">
        <v>902</v>
      </c>
      <c r="AC55" t="s">
        <v>905</v>
      </c>
      <c r="AD55" t="s">
        <v>274</v>
      </c>
      <c r="AE55" t="s">
        <v>920</v>
      </c>
      <c r="AF55" t="s">
        <v>928</v>
      </c>
      <c r="AI55">
        <v>2.3</v>
      </c>
      <c r="AJ55" t="s">
        <v>558</v>
      </c>
      <c r="AK55" t="s">
        <v>947</v>
      </c>
      <c r="AL55" t="s">
        <v>274</v>
      </c>
      <c r="AQ55" t="s">
        <v>1033</v>
      </c>
      <c r="AR55" t="s">
        <v>1053</v>
      </c>
      <c r="AT55">
        <v>0</v>
      </c>
      <c r="AU55">
        <v>1</v>
      </c>
      <c r="AV55" t="s">
        <v>273</v>
      </c>
      <c r="AY55" t="s">
        <v>273</v>
      </c>
      <c r="BB55">
        <v>0</v>
      </c>
      <c r="BC55">
        <v>0</v>
      </c>
      <c r="BD55">
        <v>0</v>
      </c>
      <c r="BE55">
        <v>0</v>
      </c>
      <c r="BF55" t="s">
        <v>493</v>
      </c>
      <c r="BG55" t="s">
        <v>6514</v>
      </c>
      <c r="BH55">
        <v>33</v>
      </c>
      <c r="BI55" t="s">
        <v>6991</v>
      </c>
      <c r="BK55">
        <v>1910528</v>
      </c>
    </row>
    <row r="56" spans="1:64">
      <c r="A56" s="1">
        <f>HYPERLINK("https://lsnyc.legalserver.org/matter/dynamic-profile/view/1909727","19-1909727")</f>
        <v>0</v>
      </c>
      <c r="B56" t="s">
        <v>5129</v>
      </c>
      <c r="C56" t="s">
        <v>5625</v>
      </c>
      <c r="D56" t="s">
        <v>257</v>
      </c>
      <c r="E56" t="s">
        <v>264</v>
      </c>
      <c r="F56" t="s">
        <v>274</v>
      </c>
      <c r="G56" t="s">
        <v>274</v>
      </c>
      <c r="H56">
        <v>166.53</v>
      </c>
      <c r="I56" t="s">
        <v>274</v>
      </c>
      <c r="K56" t="s">
        <v>466</v>
      </c>
      <c r="O56" t="s">
        <v>274</v>
      </c>
      <c r="P56" t="s">
        <v>498</v>
      </c>
      <c r="Q56" t="s">
        <v>501</v>
      </c>
      <c r="S56" t="s">
        <v>503</v>
      </c>
      <c r="T56" t="s">
        <v>507</v>
      </c>
      <c r="U56" t="s">
        <v>511</v>
      </c>
      <c r="V56">
        <v>10462</v>
      </c>
      <c r="W56" t="s">
        <v>517</v>
      </c>
      <c r="X56" t="s">
        <v>549</v>
      </c>
      <c r="Y56" t="s">
        <v>274</v>
      </c>
      <c r="Z56" t="s">
        <v>5722</v>
      </c>
      <c r="AA56" t="s">
        <v>6099</v>
      </c>
      <c r="AB56" t="s">
        <v>902</v>
      </c>
      <c r="AC56" t="s">
        <v>904</v>
      </c>
      <c r="AF56" t="s">
        <v>925</v>
      </c>
      <c r="AI56">
        <v>3.85</v>
      </c>
      <c r="AJ56" t="s">
        <v>558</v>
      </c>
      <c r="AK56" t="s">
        <v>950</v>
      </c>
      <c r="AL56" t="s">
        <v>274</v>
      </c>
      <c r="AT56">
        <v>0</v>
      </c>
      <c r="AU56">
        <v>1</v>
      </c>
      <c r="AV56" t="s">
        <v>273</v>
      </c>
      <c r="AY56" t="s">
        <v>273</v>
      </c>
      <c r="BB56">
        <v>0</v>
      </c>
      <c r="BC56">
        <v>0</v>
      </c>
      <c r="BD56">
        <v>0</v>
      </c>
      <c r="BE56">
        <v>0</v>
      </c>
      <c r="BF56" t="s">
        <v>1063</v>
      </c>
      <c r="BG56" t="s">
        <v>6515</v>
      </c>
      <c r="BH56">
        <v>42</v>
      </c>
      <c r="BI56" t="s">
        <v>1261</v>
      </c>
      <c r="BK56">
        <v>1910384</v>
      </c>
    </row>
    <row r="57" spans="1:64">
      <c r="A57" s="1">
        <f>HYPERLINK("https://lsnyc.legalserver.org/matter/dynamic-profile/view/1909635","19-1909635")</f>
        <v>0</v>
      </c>
      <c r="B57" t="s">
        <v>5130</v>
      </c>
      <c r="C57" t="s">
        <v>5625</v>
      </c>
      <c r="D57" t="s">
        <v>255</v>
      </c>
      <c r="E57" t="s">
        <v>3694</v>
      </c>
      <c r="F57" t="s">
        <v>274</v>
      </c>
      <c r="G57" t="s">
        <v>274</v>
      </c>
      <c r="H57">
        <v>39.14</v>
      </c>
      <c r="K57" t="s">
        <v>1004</v>
      </c>
      <c r="Q57" t="s">
        <v>501</v>
      </c>
      <c r="S57" t="s">
        <v>503</v>
      </c>
      <c r="T57" t="s">
        <v>507</v>
      </c>
      <c r="U57" t="s">
        <v>511</v>
      </c>
      <c r="V57">
        <v>10032</v>
      </c>
      <c r="W57" t="s">
        <v>519</v>
      </c>
      <c r="X57" t="s">
        <v>549</v>
      </c>
      <c r="Z57" t="s">
        <v>5723</v>
      </c>
      <c r="AA57" t="s">
        <v>6100</v>
      </c>
      <c r="AB57" t="s">
        <v>902</v>
      </c>
      <c r="AC57" t="s">
        <v>905</v>
      </c>
      <c r="AF57" t="s">
        <v>923</v>
      </c>
      <c r="AI57">
        <v>1</v>
      </c>
      <c r="AJ57" t="s">
        <v>558</v>
      </c>
      <c r="AK57" t="s">
        <v>939</v>
      </c>
      <c r="AT57">
        <v>0</v>
      </c>
      <c r="AU57">
        <v>1</v>
      </c>
      <c r="AV57" t="s">
        <v>273</v>
      </c>
      <c r="AY57" t="s">
        <v>273</v>
      </c>
      <c r="BB57">
        <v>0</v>
      </c>
      <c r="BC57">
        <v>0</v>
      </c>
      <c r="BD57">
        <v>0</v>
      </c>
      <c r="BE57">
        <v>0</v>
      </c>
      <c r="BF57" t="s">
        <v>1063</v>
      </c>
      <c r="BG57" t="s">
        <v>6516</v>
      </c>
      <c r="BH57">
        <v>34</v>
      </c>
      <c r="BI57" t="s">
        <v>1292</v>
      </c>
      <c r="BK57">
        <v>1874490</v>
      </c>
    </row>
    <row r="58" spans="1:64">
      <c r="A58" s="1">
        <f>HYPERLINK("https://lsnyc.legalserver.org/matter/dynamic-profile/view/1909556","19-1909556")</f>
        <v>0</v>
      </c>
      <c r="B58" t="s">
        <v>5131</v>
      </c>
      <c r="C58" t="s">
        <v>5625</v>
      </c>
      <c r="D58" t="s">
        <v>253</v>
      </c>
      <c r="E58" t="s">
        <v>264</v>
      </c>
      <c r="F58" t="s">
        <v>274</v>
      </c>
      <c r="G58" t="s">
        <v>274</v>
      </c>
      <c r="H58">
        <v>153.72</v>
      </c>
      <c r="I58" t="s">
        <v>274</v>
      </c>
      <c r="K58" t="s">
        <v>1669</v>
      </c>
      <c r="O58" t="s">
        <v>275</v>
      </c>
      <c r="Q58" t="s">
        <v>501</v>
      </c>
      <c r="S58" t="s">
        <v>503</v>
      </c>
      <c r="T58" t="s">
        <v>507</v>
      </c>
      <c r="U58" t="s">
        <v>511</v>
      </c>
      <c r="V58">
        <v>11435</v>
      </c>
      <c r="X58" t="s">
        <v>548</v>
      </c>
      <c r="Z58" t="s">
        <v>1883</v>
      </c>
      <c r="AA58" t="s">
        <v>6101</v>
      </c>
      <c r="AB58" t="s">
        <v>902</v>
      </c>
      <c r="AC58" t="s">
        <v>905</v>
      </c>
      <c r="AF58" t="s">
        <v>925</v>
      </c>
      <c r="AI58">
        <v>3.33</v>
      </c>
      <c r="AJ58" t="s">
        <v>558</v>
      </c>
      <c r="AK58" t="s">
        <v>959</v>
      </c>
      <c r="AL58" t="s">
        <v>274</v>
      </c>
      <c r="AT58">
        <v>0</v>
      </c>
      <c r="AU58">
        <v>1</v>
      </c>
      <c r="AV58" t="s">
        <v>273</v>
      </c>
      <c r="AY58" t="s">
        <v>273</v>
      </c>
      <c r="BB58">
        <v>0</v>
      </c>
      <c r="BC58">
        <v>0</v>
      </c>
      <c r="BD58">
        <v>0</v>
      </c>
      <c r="BE58">
        <v>0</v>
      </c>
      <c r="BF58" t="s">
        <v>1063</v>
      </c>
      <c r="BG58" t="s">
        <v>6517</v>
      </c>
      <c r="BH58">
        <v>45</v>
      </c>
      <c r="BI58" t="s">
        <v>2720</v>
      </c>
      <c r="BK58">
        <v>1910213</v>
      </c>
    </row>
    <row r="59" spans="1:64">
      <c r="A59" s="1">
        <f>HYPERLINK("https://lsnyc.legalserver.org/matter/dynamic-profile/view/1909154","19-1909154")</f>
        <v>0</v>
      </c>
      <c r="B59" t="s">
        <v>5132</v>
      </c>
      <c r="C59" t="s">
        <v>5625</v>
      </c>
      <c r="D59" t="s">
        <v>257</v>
      </c>
      <c r="E59" t="s">
        <v>3694</v>
      </c>
      <c r="F59" t="s">
        <v>274</v>
      </c>
      <c r="G59" t="s">
        <v>274</v>
      </c>
      <c r="H59">
        <v>0</v>
      </c>
      <c r="I59" t="s">
        <v>274</v>
      </c>
      <c r="K59" t="s">
        <v>288</v>
      </c>
      <c r="O59" t="s">
        <v>275</v>
      </c>
      <c r="Q59" t="s">
        <v>501</v>
      </c>
      <c r="S59" t="s">
        <v>503</v>
      </c>
      <c r="T59" t="s">
        <v>507</v>
      </c>
      <c r="U59" t="s">
        <v>511</v>
      </c>
      <c r="V59">
        <v>10472</v>
      </c>
      <c r="W59" t="s">
        <v>521</v>
      </c>
      <c r="X59" t="s">
        <v>549</v>
      </c>
      <c r="Y59" t="s">
        <v>275</v>
      </c>
      <c r="Z59" t="s">
        <v>5724</v>
      </c>
      <c r="AA59" t="s">
        <v>6102</v>
      </c>
      <c r="AB59" t="s">
        <v>902</v>
      </c>
      <c r="AC59" t="s">
        <v>905</v>
      </c>
      <c r="AF59" t="s">
        <v>923</v>
      </c>
      <c r="AI59">
        <v>2.75</v>
      </c>
      <c r="AJ59" t="s">
        <v>558</v>
      </c>
      <c r="AK59" t="s">
        <v>939</v>
      </c>
      <c r="AL59" t="s">
        <v>274</v>
      </c>
      <c r="AT59">
        <v>0</v>
      </c>
      <c r="AU59">
        <v>1</v>
      </c>
      <c r="AV59" t="s">
        <v>273</v>
      </c>
      <c r="AY59" t="s">
        <v>273</v>
      </c>
      <c r="BB59">
        <v>0</v>
      </c>
      <c r="BC59">
        <v>0</v>
      </c>
      <c r="BD59">
        <v>0</v>
      </c>
      <c r="BE59">
        <v>0</v>
      </c>
      <c r="BF59" t="s">
        <v>1063</v>
      </c>
      <c r="BG59" t="s">
        <v>6518</v>
      </c>
      <c r="BH59">
        <v>30</v>
      </c>
      <c r="BI59" t="s">
        <v>1247</v>
      </c>
      <c r="BJ59" t="s">
        <v>283</v>
      </c>
      <c r="BK59">
        <v>1909811</v>
      </c>
      <c r="BL59" t="s">
        <v>275</v>
      </c>
    </row>
    <row r="60" spans="1:64">
      <c r="A60" s="1">
        <f>HYPERLINK("https://lsnyc.legalserver.org/matter/dynamic-profile/view/1909178","19-1909178")</f>
        <v>0</v>
      </c>
      <c r="B60" t="s">
        <v>5133</v>
      </c>
      <c r="C60" t="s">
        <v>5625</v>
      </c>
      <c r="D60" t="s">
        <v>254</v>
      </c>
      <c r="E60" t="s">
        <v>3694</v>
      </c>
      <c r="F60" t="s">
        <v>274</v>
      </c>
      <c r="G60" t="s">
        <v>274</v>
      </c>
      <c r="H60">
        <v>108.39</v>
      </c>
      <c r="I60" t="s">
        <v>274</v>
      </c>
      <c r="K60" t="s">
        <v>288</v>
      </c>
      <c r="O60" t="s">
        <v>274</v>
      </c>
      <c r="P60" t="s">
        <v>498</v>
      </c>
      <c r="Q60" t="s">
        <v>501</v>
      </c>
      <c r="S60" t="s">
        <v>503</v>
      </c>
      <c r="T60" t="s">
        <v>508</v>
      </c>
      <c r="U60" t="s">
        <v>511</v>
      </c>
      <c r="V60">
        <v>10303</v>
      </c>
      <c r="W60" t="s">
        <v>517</v>
      </c>
      <c r="X60" t="s">
        <v>549</v>
      </c>
      <c r="Y60" t="s">
        <v>275</v>
      </c>
      <c r="Z60" t="s">
        <v>584</v>
      </c>
      <c r="AA60" t="s">
        <v>6103</v>
      </c>
      <c r="AB60" t="s">
        <v>902</v>
      </c>
      <c r="AC60" t="s">
        <v>904</v>
      </c>
      <c r="AF60" t="s">
        <v>923</v>
      </c>
      <c r="AI60">
        <v>3.15</v>
      </c>
      <c r="AJ60" t="s">
        <v>558</v>
      </c>
      <c r="AK60" t="s">
        <v>933</v>
      </c>
      <c r="AL60" t="s">
        <v>274</v>
      </c>
      <c r="AT60">
        <v>1</v>
      </c>
      <c r="AU60">
        <v>2</v>
      </c>
      <c r="AV60" t="s">
        <v>273</v>
      </c>
      <c r="AY60" t="s">
        <v>273</v>
      </c>
      <c r="BB60">
        <v>0</v>
      </c>
      <c r="BC60">
        <v>0</v>
      </c>
      <c r="BD60">
        <v>0</v>
      </c>
      <c r="BE60">
        <v>0</v>
      </c>
      <c r="BF60" t="s">
        <v>1063</v>
      </c>
      <c r="BG60" t="s">
        <v>6519</v>
      </c>
      <c r="BH60">
        <v>27</v>
      </c>
      <c r="BI60" t="s">
        <v>6992</v>
      </c>
      <c r="BK60">
        <v>1909835</v>
      </c>
    </row>
    <row r="61" spans="1:64">
      <c r="A61" s="1">
        <f>HYPERLINK("https://lsnyc.legalserver.org/matter/dynamic-profile/view/1909018","19-1909018")</f>
        <v>0</v>
      </c>
      <c r="B61" t="s">
        <v>5134</v>
      </c>
      <c r="C61" t="s">
        <v>5625</v>
      </c>
      <c r="D61" t="s">
        <v>257</v>
      </c>
      <c r="E61" t="s">
        <v>5629</v>
      </c>
      <c r="F61" t="s">
        <v>274</v>
      </c>
      <c r="G61" t="s">
        <v>274</v>
      </c>
      <c r="H61">
        <v>20.76</v>
      </c>
      <c r="I61" t="s">
        <v>274</v>
      </c>
      <c r="K61" t="s">
        <v>289</v>
      </c>
      <c r="O61" t="s">
        <v>274</v>
      </c>
      <c r="Q61" t="s">
        <v>501</v>
      </c>
      <c r="S61" t="s">
        <v>503</v>
      </c>
      <c r="T61" t="s">
        <v>508</v>
      </c>
      <c r="U61" t="s">
        <v>511</v>
      </c>
      <c r="V61">
        <v>10467</v>
      </c>
      <c r="X61" t="s">
        <v>549</v>
      </c>
      <c r="Y61" t="s">
        <v>274</v>
      </c>
      <c r="Z61" t="s">
        <v>5725</v>
      </c>
      <c r="AA61" t="s">
        <v>828</v>
      </c>
      <c r="AB61" t="s">
        <v>902</v>
      </c>
      <c r="AC61" t="s">
        <v>904</v>
      </c>
      <c r="AF61" t="s">
        <v>925</v>
      </c>
      <c r="AI61">
        <v>2.2</v>
      </c>
      <c r="AJ61" t="s">
        <v>558</v>
      </c>
      <c r="AK61" t="s">
        <v>938</v>
      </c>
      <c r="AL61" t="s">
        <v>274</v>
      </c>
      <c r="AT61">
        <v>4</v>
      </c>
      <c r="AU61">
        <v>2</v>
      </c>
      <c r="AV61" t="s">
        <v>273</v>
      </c>
      <c r="AY61" t="s">
        <v>273</v>
      </c>
      <c r="BB61">
        <v>0</v>
      </c>
      <c r="BC61">
        <v>0</v>
      </c>
      <c r="BD61">
        <v>0</v>
      </c>
      <c r="BE61">
        <v>0</v>
      </c>
      <c r="BF61" t="s">
        <v>1063</v>
      </c>
      <c r="BG61" t="s">
        <v>6520</v>
      </c>
      <c r="BH61">
        <v>42</v>
      </c>
      <c r="BI61" t="s">
        <v>6993</v>
      </c>
      <c r="BK61">
        <v>1895600</v>
      </c>
    </row>
    <row r="62" spans="1:64">
      <c r="A62" s="1">
        <f>HYPERLINK("https://lsnyc.legalserver.org/matter/dynamic-profile/view/1908947","19-1908947")</f>
        <v>0</v>
      </c>
      <c r="B62" t="s">
        <v>5135</v>
      </c>
      <c r="C62" t="s">
        <v>5625</v>
      </c>
      <c r="D62" t="s">
        <v>252</v>
      </c>
      <c r="E62" t="s">
        <v>5629</v>
      </c>
      <c r="F62" t="s">
        <v>274</v>
      </c>
      <c r="G62" t="s">
        <v>274</v>
      </c>
      <c r="H62">
        <v>2.08</v>
      </c>
      <c r="I62" t="s">
        <v>274</v>
      </c>
      <c r="K62" t="s">
        <v>290</v>
      </c>
      <c r="O62" t="s">
        <v>274</v>
      </c>
      <c r="P62" t="s">
        <v>498</v>
      </c>
      <c r="Q62" t="s">
        <v>501</v>
      </c>
      <c r="S62" t="s">
        <v>503</v>
      </c>
      <c r="T62" t="s">
        <v>507</v>
      </c>
      <c r="U62" t="s">
        <v>511</v>
      </c>
      <c r="V62">
        <v>11209</v>
      </c>
      <c r="W62" t="s">
        <v>517</v>
      </c>
      <c r="X62" t="s">
        <v>549</v>
      </c>
      <c r="Y62" t="s">
        <v>274</v>
      </c>
      <c r="Z62" t="s">
        <v>5726</v>
      </c>
      <c r="AA62" t="s">
        <v>6104</v>
      </c>
      <c r="AB62" t="s">
        <v>902</v>
      </c>
      <c r="AC62" t="s">
        <v>904</v>
      </c>
      <c r="AF62" t="s">
        <v>925</v>
      </c>
      <c r="AI62">
        <v>2.6</v>
      </c>
      <c r="AJ62" t="s">
        <v>558</v>
      </c>
      <c r="AK62" t="s">
        <v>958</v>
      </c>
      <c r="AL62" t="s">
        <v>274</v>
      </c>
      <c r="AT62">
        <v>0</v>
      </c>
      <c r="AU62">
        <v>1</v>
      </c>
      <c r="AV62" t="s">
        <v>273</v>
      </c>
      <c r="AY62" t="s">
        <v>273</v>
      </c>
      <c r="BB62">
        <v>0</v>
      </c>
      <c r="BC62">
        <v>0</v>
      </c>
      <c r="BD62">
        <v>0</v>
      </c>
      <c r="BE62">
        <v>0</v>
      </c>
      <c r="BF62" t="s">
        <v>1063</v>
      </c>
      <c r="BG62" t="s">
        <v>6521</v>
      </c>
      <c r="BH62">
        <v>33</v>
      </c>
      <c r="BI62" t="s">
        <v>6994</v>
      </c>
      <c r="BK62">
        <v>1909604</v>
      </c>
    </row>
    <row r="63" spans="1:64">
      <c r="A63" s="1">
        <f>HYPERLINK("https://lsnyc.legalserver.org/matter/dynamic-profile/view/1908966","19-1908966")</f>
        <v>0</v>
      </c>
      <c r="B63" t="s">
        <v>5136</v>
      </c>
      <c r="C63" t="s">
        <v>5625</v>
      </c>
      <c r="D63" t="s">
        <v>252</v>
      </c>
      <c r="E63" t="s">
        <v>3694</v>
      </c>
      <c r="F63" t="s">
        <v>274</v>
      </c>
      <c r="G63" t="s">
        <v>274</v>
      </c>
      <c r="H63">
        <v>0</v>
      </c>
      <c r="I63" t="s">
        <v>274</v>
      </c>
      <c r="K63" t="s">
        <v>290</v>
      </c>
      <c r="O63" t="s">
        <v>275</v>
      </c>
      <c r="P63" t="s">
        <v>494</v>
      </c>
      <c r="Q63" t="s">
        <v>501</v>
      </c>
      <c r="S63" t="s">
        <v>503</v>
      </c>
      <c r="T63" t="s">
        <v>507</v>
      </c>
      <c r="U63" t="s">
        <v>511</v>
      </c>
      <c r="V63">
        <v>11203</v>
      </c>
      <c r="W63" t="s">
        <v>521</v>
      </c>
      <c r="X63" t="s">
        <v>549</v>
      </c>
      <c r="Z63" t="s">
        <v>5727</v>
      </c>
      <c r="AA63" t="s">
        <v>6105</v>
      </c>
      <c r="AB63" t="s">
        <v>902</v>
      </c>
      <c r="AC63" t="s">
        <v>905</v>
      </c>
      <c r="AF63" t="s">
        <v>923</v>
      </c>
      <c r="AI63">
        <v>2.25</v>
      </c>
      <c r="AJ63" t="s">
        <v>558</v>
      </c>
      <c r="AK63" t="s">
        <v>939</v>
      </c>
      <c r="AL63" t="s">
        <v>274</v>
      </c>
      <c r="AT63">
        <v>0</v>
      </c>
      <c r="AU63">
        <v>2</v>
      </c>
      <c r="AV63" t="s">
        <v>273</v>
      </c>
      <c r="AY63" t="s">
        <v>273</v>
      </c>
      <c r="BB63">
        <v>0</v>
      </c>
      <c r="BC63">
        <v>0</v>
      </c>
      <c r="BD63">
        <v>0</v>
      </c>
      <c r="BE63">
        <v>0</v>
      </c>
      <c r="BF63" t="s">
        <v>1063</v>
      </c>
      <c r="BG63" t="s">
        <v>4912</v>
      </c>
      <c r="BH63">
        <v>29</v>
      </c>
      <c r="BI63" t="s">
        <v>1247</v>
      </c>
      <c r="BJ63" t="s">
        <v>286</v>
      </c>
      <c r="BK63">
        <v>1909623</v>
      </c>
    </row>
    <row r="64" spans="1:64">
      <c r="A64" s="1">
        <f>HYPERLINK("https://lsnyc.legalserver.org/matter/dynamic-profile/view/1908671","19-1908671")</f>
        <v>0</v>
      </c>
      <c r="B64" t="s">
        <v>5137</v>
      </c>
      <c r="C64" t="s">
        <v>5625</v>
      </c>
      <c r="D64" t="s">
        <v>257</v>
      </c>
      <c r="E64" t="s">
        <v>264</v>
      </c>
      <c r="F64" t="s">
        <v>274</v>
      </c>
      <c r="G64" t="s">
        <v>274</v>
      </c>
      <c r="H64">
        <v>89.08</v>
      </c>
      <c r="I64" t="s">
        <v>274</v>
      </c>
      <c r="K64" t="s">
        <v>450</v>
      </c>
      <c r="L64" t="s">
        <v>1811</v>
      </c>
      <c r="O64" t="s">
        <v>274</v>
      </c>
      <c r="P64" t="s">
        <v>493</v>
      </c>
      <c r="Q64" t="s">
        <v>501</v>
      </c>
      <c r="S64" t="s">
        <v>503</v>
      </c>
      <c r="T64" t="s">
        <v>508</v>
      </c>
      <c r="U64" t="s">
        <v>511</v>
      </c>
      <c r="V64">
        <v>10474</v>
      </c>
      <c r="X64" t="s">
        <v>548</v>
      </c>
      <c r="Y64" t="s">
        <v>274</v>
      </c>
      <c r="Z64" t="s">
        <v>5728</v>
      </c>
      <c r="AA64" t="s">
        <v>6106</v>
      </c>
      <c r="AB64" t="s">
        <v>902</v>
      </c>
      <c r="AC64" t="s">
        <v>904</v>
      </c>
      <c r="AD64" t="s">
        <v>275</v>
      </c>
      <c r="AE64" t="s">
        <v>920</v>
      </c>
      <c r="AF64" t="s">
        <v>925</v>
      </c>
      <c r="AI64">
        <v>2.2</v>
      </c>
      <c r="AJ64" t="s">
        <v>558</v>
      </c>
      <c r="AK64" t="s">
        <v>950</v>
      </c>
      <c r="AL64" t="s">
        <v>274</v>
      </c>
      <c r="AQ64" t="s">
        <v>1033</v>
      </c>
      <c r="AR64" t="s">
        <v>1053</v>
      </c>
      <c r="AT64">
        <v>2</v>
      </c>
      <c r="AU64">
        <v>1</v>
      </c>
      <c r="AV64" t="s">
        <v>273</v>
      </c>
      <c r="AY64" t="s">
        <v>273</v>
      </c>
      <c r="BB64">
        <v>0</v>
      </c>
      <c r="BC64">
        <v>0</v>
      </c>
      <c r="BD64">
        <v>0</v>
      </c>
      <c r="BE64">
        <v>0</v>
      </c>
      <c r="BF64" t="s">
        <v>493</v>
      </c>
      <c r="BG64" t="s">
        <v>6522</v>
      </c>
      <c r="BH64">
        <v>37</v>
      </c>
      <c r="BI64" t="s">
        <v>6995</v>
      </c>
      <c r="BK64">
        <v>1909328</v>
      </c>
    </row>
    <row r="65" spans="1:63">
      <c r="A65" s="1">
        <f>HYPERLINK("https://lsnyc.legalserver.org/matter/dynamic-profile/view/1908701","19-1908701")</f>
        <v>0</v>
      </c>
      <c r="B65" t="s">
        <v>5138</v>
      </c>
      <c r="C65" t="s">
        <v>5625</v>
      </c>
      <c r="D65" t="s">
        <v>257</v>
      </c>
      <c r="E65" t="s">
        <v>5630</v>
      </c>
      <c r="F65" t="s">
        <v>274</v>
      </c>
      <c r="G65" t="s">
        <v>274</v>
      </c>
      <c r="H65">
        <v>0</v>
      </c>
      <c r="I65" t="s">
        <v>274</v>
      </c>
      <c r="K65" t="s">
        <v>450</v>
      </c>
      <c r="O65" t="s">
        <v>274</v>
      </c>
      <c r="P65" t="s">
        <v>498</v>
      </c>
      <c r="Q65" t="s">
        <v>501</v>
      </c>
      <c r="S65" t="s">
        <v>503</v>
      </c>
      <c r="T65" t="s">
        <v>507</v>
      </c>
      <c r="U65" t="s">
        <v>511</v>
      </c>
      <c r="V65">
        <v>10452</v>
      </c>
      <c r="X65" t="s">
        <v>549</v>
      </c>
      <c r="Y65" t="s">
        <v>275</v>
      </c>
      <c r="Z65" t="s">
        <v>5729</v>
      </c>
      <c r="AA65" t="s">
        <v>6107</v>
      </c>
      <c r="AB65" t="s">
        <v>902</v>
      </c>
      <c r="AC65" t="s">
        <v>904</v>
      </c>
      <c r="AF65" t="s">
        <v>923</v>
      </c>
      <c r="AI65">
        <v>3.02</v>
      </c>
      <c r="AJ65" t="s">
        <v>558</v>
      </c>
      <c r="AK65" t="s">
        <v>3268</v>
      </c>
      <c r="AL65" t="s">
        <v>274</v>
      </c>
      <c r="AT65">
        <v>0</v>
      </c>
      <c r="AU65">
        <v>1</v>
      </c>
      <c r="AV65" t="s">
        <v>273</v>
      </c>
      <c r="AY65" t="s">
        <v>273</v>
      </c>
      <c r="BB65">
        <v>0</v>
      </c>
      <c r="BC65">
        <v>0</v>
      </c>
      <c r="BD65">
        <v>0</v>
      </c>
      <c r="BE65">
        <v>0</v>
      </c>
      <c r="BF65" t="s">
        <v>1063</v>
      </c>
      <c r="BG65" t="s">
        <v>6523</v>
      </c>
      <c r="BH65">
        <v>24</v>
      </c>
      <c r="BI65" t="s">
        <v>1247</v>
      </c>
      <c r="BK65">
        <v>1909358</v>
      </c>
    </row>
    <row r="66" spans="1:63">
      <c r="A66" s="1">
        <f>HYPERLINK("https://lsnyc.legalserver.org/matter/dynamic-profile/view/1908644","19-1908644")</f>
        <v>0</v>
      </c>
      <c r="B66" t="s">
        <v>5139</v>
      </c>
      <c r="C66" t="s">
        <v>5625</v>
      </c>
      <c r="D66" t="s">
        <v>257</v>
      </c>
      <c r="E66" t="s">
        <v>264</v>
      </c>
      <c r="F66" t="s">
        <v>274</v>
      </c>
      <c r="G66" t="s">
        <v>274</v>
      </c>
      <c r="H66">
        <v>60.58</v>
      </c>
      <c r="I66" t="s">
        <v>274</v>
      </c>
      <c r="K66" t="s">
        <v>1670</v>
      </c>
      <c r="O66" t="s">
        <v>274</v>
      </c>
      <c r="P66" t="s">
        <v>494</v>
      </c>
      <c r="Q66" t="s">
        <v>501</v>
      </c>
      <c r="S66" t="s">
        <v>503</v>
      </c>
      <c r="T66" t="s">
        <v>508</v>
      </c>
      <c r="U66" t="s">
        <v>511</v>
      </c>
      <c r="V66">
        <v>10452</v>
      </c>
      <c r="X66" t="s">
        <v>549</v>
      </c>
      <c r="Y66" t="s">
        <v>275</v>
      </c>
      <c r="Z66" t="s">
        <v>5730</v>
      </c>
      <c r="AA66" t="s">
        <v>6108</v>
      </c>
      <c r="AB66" t="s">
        <v>902</v>
      </c>
      <c r="AC66" t="s">
        <v>904</v>
      </c>
      <c r="AF66" t="s">
        <v>925</v>
      </c>
      <c r="AI66">
        <v>2</v>
      </c>
      <c r="AJ66" t="s">
        <v>558</v>
      </c>
      <c r="AK66" t="s">
        <v>967</v>
      </c>
      <c r="AL66" t="s">
        <v>274</v>
      </c>
      <c r="AT66">
        <v>3</v>
      </c>
      <c r="AU66">
        <v>1</v>
      </c>
      <c r="AV66" t="s">
        <v>273</v>
      </c>
      <c r="AY66" t="s">
        <v>273</v>
      </c>
      <c r="BB66">
        <v>0</v>
      </c>
      <c r="BC66">
        <v>0</v>
      </c>
      <c r="BD66">
        <v>0</v>
      </c>
      <c r="BE66">
        <v>0</v>
      </c>
      <c r="BF66" t="s">
        <v>1063</v>
      </c>
      <c r="BG66" t="s">
        <v>6524</v>
      </c>
      <c r="BH66">
        <v>23</v>
      </c>
      <c r="BI66" t="s">
        <v>1270</v>
      </c>
      <c r="BK66">
        <v>1909301</v>
      </c>
    </row>
    <row r="67" spans="1:63">
      <c r="A67" s="1">
        <f>HYPERLINK("https://lsnyc.legalserver.org/matter/dynamic-profile/view/1908527","19-1908527")</f>
        <v>0</v>
      </c>
      <c r="B67" t="s">
        <v>5140</v>
      </c>
      <c r="C67" t="s">
        <v>5625</v>
      </c>
      <c r="D67" t="s">
        <v>257</v>
      </c>
      <c r="E67" t="s">
        <v>5629</v>
      </c>
      <c r="F67" t="s">
        <v>274</v>
      </c>
      <c r="G67" t="s">
        <v>274</v>
      </c>
      <c r="H67">
        <v>156.68</v>
      </c>
      <c r="I67" t="s">
        <v>274</v>
      </c>
      <c r="K67" t="s">
        <v>1671</v>
      </c>
      <c r="L67" t="s">
        <v>278</v>
      </c>
      <c r="O67" t="s">
        <v>274</v>
      </c>
      <c r="P67" t="s">
        <v>493</v>
      </c>
      <c r="Q67" t="s">
        <v>501</v>
      </c>
      <c r="S67" t="s">
        <v>503</v>
      </c>
      <c r="T67" t="s">
        <v>507</v>
      </c>
      <c r="U67" t="s">
        <v>511</v>
      </c>
      <c r="V67">
        <v>10453</v>
      </c>
      <c r="X67" t="s">
        <v>548</v>
      </c>
      <c r="Y67" t="s">
        <v>275</v>
      </c>
      <c r="Z67" t="s">
        <v>5731</v>
      </c>
      <c r="AA67" t="s">
        <v>3891</v>
      </c>
      <c r="AB67" t="s">
        <v>902</v>
      </c>
      <c r="AC67" t="s">
        <v>904</v>
      </c>
      <c r="AD67" t="s">
        <v>275</v>
      </c>
      <c r="AE67" t="s">
        <v>920</v>
      </c>
      <c r="AF67" t="s">
        <v>925</v>
      </c>
      <c r="AI67">
        <v>2.2</v>
      </c>
      <c r="AJ67" t="s">
        <v>558</v>
      </c>
      <c r="AK67" t="s">
        <v>950</v>
      </c>
      <c r="AL67" t="s">
        <v>274</v>
      </c>
      <c r="AQ67" t="s">
        <v>1033</v>
      </c>
      <c r="AR67" t="s">
        <v>1051</v>
      </c>
      <c r="AT67">
        <v>1</v>
      </c>
      <c r="AU67">
        <v>2</v>
      </c>
      <c r="AV67" t="s">
        <v>273</v>
      </c>
      <c r="AY67" t="s">
        <v>273</v>
      </c>
      <c r="BB67">
        <v>0</v>
      </c>
      <c r="BC67">
        <v>0</v>
      </c>
      <c r="BD67">
        <v>0</v>
      </c>
      <c r="BE67">
        <v>0</v>
      </c>
      <c r="BF67" t="s">
        <v>493</v>
      </c>
      <c r="BG67" t="s">
        <v>6525</v>
      </c>
      <c r="BH67">
        <v>74</v>
      </c>
      <c r="BI67" t="s">
        <v>6996</v>
      </c>
      <c r="BK67">
        <v>1909184</v>
      </c>
    </row>
    <row r="68" spans="1:63">
      <c r="A68" s="1">
        <f>HYPERLINK("https://lsnyc.legalserver.org/matter/dynamic-profile/view/1908492","19-1908492")</f>
        <v>0</v>
      </c>
      <c r="B68" t="s">
        <v>5141</v>
      </c>
      <c r="C68" t="s">
        <v>5625</v>
      </c>
      <c r="D68" t="s">
        <v>255</v>
      </c>
      <c r="E68" t="s">
        <v>264</v>
      </c>
      <c r="F68" t="s">
        <v>274</v>
      </c>
      <c r="G68" t="s">
        <v>274</v>
      </c>
      <c r="H68">
        <v>80.06</v>
      </c>
      <c r="I68" t="s">
        <v>274</v>
      </c>
      <c r="K68" t="s">
        <v>1671</v>
      </c>
      <c r="O68" t="s">
        <v>275</v>
      </c>
      <c r="Q68" t="s">
        <v>501</v>
      </c>
      <c r="S68" t="s">
        <v>503</v>
      </c>
      <c r="T68" t="s">
        <v>507</v>
      </c>
      <c r="U68" t="s">
        <v>511</v>
      </c>
      <c r="V68">
        <v>10018</v>
      </c>
      <c r="X68" t="s">
        <v>553</v>
      </c>
      <c r="Y68" t="s">
        <v>275</v>
      </c>
      <c r="Z68" t="s">
        <v>5732</v>
      </c>
      <c r="AA68" t="s">
        <v>6109</v>
      </c>
      <c r="AB68" t="s">
        <v>902</v>
      </c>
      <c r="AC68" t="s">
        <v>905</v>
      </c>
      <c r="AF68" t="s">
        <v>925</v>
      </c>
      <c r="AI68">
        <v>2.8</v>
      </c>
      <c r="AJ68" t="s">
        <v>558</v>
      </c>
      <c r="AK68" t="s">
        <v>948</v>
      </c>
      <c r="AL68" t="s">
        <v>274</v>
      </c>
      <c r="AT68">
        <v>0</v>
      </c>
      <c r="AU68">
        <v>1</v>
      </c>
      <c r="AV68" t="s">
        <v>273</v>
      </c>
      <c r="AY68" t="s">
        <v>273</v>
      </c>
      <c r="BB68">
        <v>0</v>
      </c>
      <c r="BC68">
        <v>0</v>
      </c>
      <c r="BD68">
        <v>0</v>
      </c>
      <c r="BE68">
        <v>0</v>
      </c>
      <c r="BF68" t="s">
        <v>1063</v>
      </c>
      <c r="BG68" t="s">
        <v>6526</v>
      </c>
      <c r="BH68">
        <v>34</v>
      </c>
      <c r="BI68" t="s">
        <v>1268</v>
      </c>
      <c r="BK68">
        <v>1909149</v>
      </c>
    </row>
    <row r="69" spans="1:63">
      <c r="A69" s="1">
        <f>HYPERLINK("https://lsnyc.legalserver.org/matter/dynamic-profile/view/1908500","19-1908500")</f>
        <v>0</v>
      </c>
      <c r="B69" t="s">
        <v>5142</v>
      </c>
      <c r="C69" t="s">
        <v>5625</v>
      </c>
      <c r="D69" t="s">
        <v>257</v>
      </c>
      <c r="E69" t="s">
        <v>264</v>
      </c>
      <c r="F69" t="s">
        <v>274</v>
      </c>
      <c r="G69" t="s">
        <v>274</v>
      </c>
      <c r="H69">
        <v>17.29</v>
      </c>
      <c r="I69" t="s">
        <v>274</v>
      </c>
      <c r="K69" t="s">
        <v>1671</v>
      </c>
      <c r="O69" t="s">
        <v>274</v>
      </c>
      <c r="Q69" t="s">
        <v>501</v>
      </c>
      <c r="S69" t="s">
        <v>503</v>
      </c>
      <c r="T69" t="s">
        <v>507</v>
      </c>
      <c r="U69" t="s">
        <v>511</v>
      </c>
      <c r="V69">
        <v>10456</v>
      </c>
      <c r="W69" t="s">
        <v>517</v>
      </c>
      <c r="X69" t="s">
        <v>548</v>
      </c>
      <c r="Y69" t="s">
        <v>275</v>
      </c>
      <c r="Z69" t="s">
        <v>664</v>
      </c>
      <c r="AA69" t="s">
        <v>6110</v>
      </c>
      <c r="AB69" t="s">
        <v>902</v>
      </c>
      <c r="AC69" t="s">
        <v>904</v>
      </c>
      <c r="AD69" t="s">
        <v>275</v>
      </c>
      <c r="AF69" t="s">
        <v>928</v>
      </c>
      <c r="AI69">
        <v>2.8</v>
      </c>
      <c r="AJ69" t="s">
        <v>558</v>
      </c>
      <c r="AK69" t="s">
        <v>934</v>
      </c>
      <c r="AL69" t="s">
        <v>274</v>
      </c>
      <c r="AQ69" t="s">
        <v>1033</v>
      </c>
      <c r="AR69" t="s">
        <v>1053</v>
      </c>
      <c r="AT69">
        <v>0</v>
      </c>
      <c r="AU69">
        <v>1</v>
      </c>
      <c r="AV69" t="s">
        <v>273</v>
      </c>
      <c r="AY69" t="s">
        <v>273</v>
      </c>
      <c r="BB69">
        <v>0</v>
      </c>
      <c r="BC69">
        <v>0</v>
      </c>
      <c r="BD69">
        <v>0</v>
      </c>
      <c r="BE69">
        <v>0</v>
      </c>
      <c r="BF69" t="s">
        <v>1063</v>
      </c>
      <c r="BG69" t="s">
        <v>6527</v>
      </c>
      <c r="BH69">
        <v>69</v>
      </c>
      <c r="BI69" t="s">
        <v>4274</v>
      </c>
      <c r="BK69">
        <v>1885886</v>
      </c>
    </row>
    <row r="70" spans="1:63">
      <c r="A70" s="1">
        <f>HYPERLINK("https://lsnyc.legalserver.org/matter/dynamic-profile/view/1908304","19-1908304")</f>
        <v>0</v>
      </c>
      <c r="B70" t="s">
        <v>5143</v>
      </c>
      <c r="C70" t="s">
        <v>5625</v>
      </c>
      <c r="D70" t="s">
        <v>257</v>
      </c>
      <c r="E70" t="s">
        <v>264</v>
      </c>
      <c r="F70" t="s">
        <v>274</v>
      </c>
      <c r="G70" t="s">
        <v>274</v>
      </c>
      <c r="H70">
        <v>124.9</v>
      </c>
      <c r="I70" t="s">
        <v>274</v>
      </c>
      <c r="K70" t="s">
        <v>1008</v>
      </c>
      <c r="O70" t="s">
        <v>274</v>
      </c>
      <c r="Q70" t="s">
        <v>501</v>
      </c>
      <c r="S70" t="s">
        <v>503</v>
      </c>
      <c r="T70" t="s">
        <v>507</v>
      </c>
      <c r="U70" t="s">
        <v>511</v>
      </c>
      <c r="V70">
        <v>10456</v>
      </c>
      <c r="X70" t="s">
        <v>549</v>
      </c>
      <c r="Y70" t="s">
        <v>274</v>
      </c>
      <c r="Z70" t="s">
        <v>3835</v>
      </c>
      <c r="AA70" t="s">
        <v>2111</v>
      </c>
      <c r="AB70" t="s">
        <v>902</v>
      </c>
      <c r="AC70" t="s">
        <v>904</v>
      </c>
      <c r="AF70" t="s">
        <v>925</v>
      </c>
      <c r="AI70">
        <v>1.95</v>
      </c>
      <c r="AJ70" t="s">
        <v>558</v>
      </c>
      <c r="AK70" t="s">
        <v>950</v>
      </c>
      <c r="AL70" t="s">
        <v>274</v>
      </c>
      <c r="AT70">
        <v>0</v>
      </c>
      <c r="AU70">
        <v>1</v>
      </c>
      <c r="AV70" t="s">
        <v>273</v>
      </c>
      <c r="AY70" t="s">
        <v>273</v>
      </c>
      <c r="BB70">
        <v>0</v>
      </c>
      <c r="BC70">
        <v>0</v>
      </c>
      <c r="BD70">
        <v>0</v>
      </c>
      <c r="BE70">
        <v>0</v>
      </c>
      <c r="BF70" t="s">
        <v>1063</v>
      </c>
      <c r="BG70" t="s">
        <v>6528</v>
      </c>
      <c r="BH70">
        <v>43</v>
      </c>
      <c r="BI70" t="s">
        <v>1270</v>
      </c>
      <c r="BK70">
        <v>1908961</v>
      </c>
    </row>
    <row r="71" spans="1:63">
      <c r="A71" s="1">
        <f>HYPERLINK("https://lsnyc.legalserver.org/matter/dynamic-profile/view/1908310","19-1908310")</f>
        <v>0</v>
      </c>
      <c r="B71" t="s">
        <v>5144</v>
      </c>
      <c r="C71" t="s">
        <v>5625</v>
      </c>
      <c r="D71" t="s">
        <v>257</v>
      </c>
      <c r="E71" t="s">
        <v>5629</v>
      </c>
      <c r="F71" t="s">
        <v>274</v>
      </c>
      <c r="G71" t="s">
        <v>274</v>
      </c>
      <c r="H71">
        <v>70.62</v>
      </c>
      <c r="I71" t="s">
        <v>274</v>
      </c>
      <c r="K71" t="s">
        <v>1008</v>
      </c>
      <c r="O71" t="s">
        <v>274</v>
      </c>
      <c r="Q71" t="s">
        <v>501</v>
      </c>
      <c r="S71" t="s">
        <v>503</v>
      </c>
      <c r="T71" t="s">
        <v>508</v>
      </c>
      <c r="U71" t="s">
        <v>511</v>
      </c>
      <c r="V71">
        <v>10456</v>
      </c>
      <c r="X71" t="s">
        <v>548</v>
      </c>
      <c r="Y71" t="s">
        <v>275</v>
      </c>
      <c r="Z71" t="s">
        <v>606</v>
      </c>
      <c r="AA71" t="s">
        <v>4715</v>
      </c>
      <c r="AB71" t="s">
        <v>902</v>
      </c>
      <c r="AC71" t="s">
        <v>904</v>
      </c>
      <c r="AF71" t="s">
        <v>925</v>
      </c>
      <c r="AI71">
        <v>5.5</v>
      </c>
      <c r="AJ71" t="s">
        <v>558</v>
      </c>
      <c r="AK71" t="s">
        <v>950</v>
      </c>
      <c r="AL71" t="s">
        <v>274</v>
      </c>
      <c r="AT71">
        <v>0</v>
      </c>
      <c r="AU71">
        <v>1</v>
      </c>
      <c r="AV71" t="s">
        <v>273</v>
      </c>
      <c r="AY71" t="s">
        <v>273</v>
      </c>
      <c r="BB71">
        <v>0</v>
      </c>
      <c r="BC71">
        <v>0</v>
      </c>
      <c r="BD71">
        <v>0</v>
      </c>
      <c r="BE71">
        <v>0</v>
      </c>
      <c r="BF71" t="s">
        <v>1063</v>
      </c>
      <c r="BG71" t="s">
        <v>6529</v>
      </c>
      <c r="BH71">
        <v>62</v>
      </c>
      <c r="BI71" t="s">
        <v>6997</v>
      </c>
      <c r="BK71">
        <v>1908967</v>
      </c>
    </row>
    <row r="72" spans="1:63">
      <c r="A72" s="1">
        <f>HYPERLINK("https://lsnyc.legalserver.org/matter/dynamic-profile/view/1908320","19-1908320")</f>
        <v>0</v>
      </c>
      <c r="B72" t="s">
        <v>5145</v>
      </c>
      <c r="C72" t="s">
        <v>5625</v>
      </c>
      <c r="D72" t="s">
        <v>257</v>
      </c>
      <c r="E72" t="s">
        <v>5630</v>
      </c>
      <c r="F72" t="s">
        <v>274</v>
      </c>
      <c r="G72" t="s">
        <v>274</v>
      </c>
      <c r="H72">
        <v>9.609999999999999</v>
      </c>
      <c r="I72" t="s">
        <v>274</v>
      </c>
      <c r="K72" t="s">
        <v>1008</v>
      </c>
      <c r="O72" t="s">
        <v>274</v>
      </c>
      <c r="Q72" t="s">
        <v>501</v>
      </c>
      <c r="S72" t="s">
        <v>503</v>
      </c>
      <c r="T72" t="s">
        <v>508</v>
      </c>
      <c r="U72" t="s">
        <v>511</v>
      </c>
      <c r="V72">
        <v>10458</v>
      </c>
      <c r="W72" t="s">
        <v>517</v>
      </c>
      <c r="X72" t="s">
        <v>548</v>
      </c>
      <c r="Y72" t="s">
        <v>275</v>
      </c>
      <c r="Z72" t="s">
        <v>3085</v>
      </c>
      <c r="AA72" t="s">
        <v>600</v>
      </c>
      <c r="AB72" t="s">
        <v>902</v>
      </c>
      <c r="AC72" t="s">
        <v>904</v>
      </c>
      <c r="AF72" t="s">
        <v>923</v>
      </c>
      <c r="AI72">
        <v>1.75</v>
      </c>
      <c r="AJ72" t="s">
        <v>558</v>
      </c>
      <c r="AK72" t="s">
        <v>950</v>
      </c>
      <c r="AL72" t="s">
        <v>274</v>
      </c>
      <c r="AT72">
        <v>0</v>
      </c>
      <c r="AU72">
        <v>1</v>
      </c>
      <c r="AV72" t="s">
        <v>273</v>
      </c>
      <c r="AY72" t="s">
        <v>273</v>
      </c>
      <c r="BB72">
        <v>0</v>
      </c>
      <c r="BC72">
        <v>0</v>
      </c>
      <c r="BD72">
        <v>0</v>
      </c>
      <c r="BE72">
        <v>0</v>
      </c>
      <c r="BF72" t="s">
        <v>1063</v>
      </c>
      <c r="BG72" t="s">
        <v>6530</v>
      </c>
      <c r="BH72">
        <v>20</v>
      </c>
      <c r="BI72" t="s">
        <v>1295</v>
      </c>
      <c r="BK72">
        <v>1908977</v>
      </c>
    </row>
    <row r="73" spans="1:63">
      <c r="A73" s="1">
        <f>HYPERLINK("https://lsnyc.legalserver.org/matter/dynamic-profile/view/1908327","19-1908327")</f>
        <v>0</v>
      </c>
      <c r="B73" t="s">
        <v>5146</v>
      </c>
      <c r="C73" t="s">
        <v>5625</v>
      </c>
      <c r="D73" t="s">
        <v>257</v>
      </c>
      <c r="E73" t="s">
        <v>5630</v>
      </c>
      <c r="F73" t="s">
        <v>274</v>
      </c>
      <c r="G73" t="s">
        <v>274</v>
      </c>
      <c r="H73">
        <v>9.609999999999999</v>
      </c>
      <c r="I73" t="s">
        <v>274</v>
      </c>
      <c r="K73" t="s">
        <v>1008</v>
      </c>
      <c r="O73" t="s">
        <v>274</v>
      </c>
      <c r="Q73" t="s">
        <v>501</v>
      </c>
      <c r="S73" t="s">
        <v>503</v>
      </c>
      <c r="T73" t="s">
        <v>507</v>
      </c>
      <c r="U73" t="s">
        <v>511</v>
      </c>
      <c r="V73">
        <v>10458</v>
      </c>
      <c r="X73" t="s">
        <v>548</v>
      </c>
      <c r="Y73" t="s">
        <v>275</v>
      </c>
      <c r="Z73" t="s">
        <v>2270</v>
      </c>
      <c r="AA73" t="s">
        <v>6111</v>
      </c>
      <c r="AB73" t="s">
        <v>902</v>
      </c>
      <c r="AC73" t="s">
        <v>904</v>
      </c>
      <c r="AF73" t="s">
        <v>923</v>
      </c>
      <c r="AI73">
        <v>2</v>
      </c>
      <c r="AJ73" t="s">
        <v>558</v>
      </c>
      <c r="AK73" t="s">
        <v>950</v>
      </c>
      <c r="AL73" t="s">
        <v>274</v>
      </c>
      <c r="AT73">
        <v>0</v>
      </c>
      <c r="AU73">
        <v>1</v>
      </c>
      <c r="AV73" t="s">
        <v>273</v>
      </c>
      <c r="AY73" t="s">
        <v>273</v>
      </c>
      <c r="BB73">
        <v>0</v>
      </c>
      <c r="BC73">
        <v>0</v>
      </c>
      <c r="BD73">
        <v>0</v>
      </c>
      <c r="BE73">
        <v>0</v>
      </c>
      <c r="BF73" t="s">
        <v>1063</v>
      </c>
      <c r="BG73" t="s">
        <v>6530</v>
      </c>
      <c r="BH73">
        <v>20</v>
      </c>
      <c r="BI73" t="s">
        <v>1295</v>
      </c>
      <c r="BK73">
        <v>1908977</v>
      </c>
    </row>
    <row r="74" spans="1:63">
      <c r="A74" s="1">
        <f>HYPERLINK("https://lsnyc.legalserver.org/matter/dynamic-profile/view/1908139","19-1908139")</f>
        <v>0</v>
      </c>
      <c r="B74" t="s">
        <v>5147</v>
      </c>
      <c r="C74" t="s">
        <v>5625</v>
      </c>
      <c r="D74" t="s">
        <v>253</v>
      </c>
      <c r="E74" t="s">
        <v>5630</v>
      </c>
      <c r="F74" t="s">
        <v>274</v>
      </c>
      <c r="G74" t="s">
        <v>274</v>
      </c>
      <c r="H74">
        <v>0</v>
      </c>
      <c r="I74" t="s">
        <v>274</v>
      </c>
      <c r="K74" t="s">
        <v>1672</v>
      </c>
      <c r="O74" t="s">
        <v>275</v>
      </c>
      <c r="Q74" t="s">
        <v>501</v>
      </c>
      <c r="S74" t="s">
        <v>503</v>
      </c>
      <c r="T74" t="s">
        <v>508</v>
      </c>
      <c r="U74" t="s">
        <v>511</v>
      </c>
      <c r="V74">
        <v>11375</v>
      </c>
      <c r="W74" t="s">
        <v>521</v>
      </c>
      <c r="X74" t="s">
        <v>553</v>
      </c>
      <c r="Y74" t="s">
        <v>275</v>
      </c>
      <c r="Z74" t="s">
        <v>5733</v>
      </c>
      <c r="AA74" t="s">
        <v>6112</v>
      </c>
      <c r="AB74" t="s">
        <v>902</v>
      </c>
      <c r="AC74" t="s">
        <v>905</v>
      </c>
      <c r="AF74" t="s">
        <v>923</v>
      </c>
      <c r="AI74">
        <v>3.9</v>
      </c>
      <c r="AJ74" t="s">
        <v>558</v>
      </c>
      <c r="AK74" t="s">
        <v>968</v>
      </c>
      <c r="AL74" t="s">
        <v>274</v>
      </c>
      <c r="AT74">
        <v>0</v>
      </c>
      <c r="AU74">
        <v>2</v>
      </c>
      <c r="AV74" t="s">
        <v>273</v>
      </c>
      <c r="AY74" t="s">
        <v>273</v>
      </c>
      <c r="BB74">
        <v>0</v>
      </c>
      <c r="BC74">
        <v>0</v>
      </c>
      <c r="BD74">
        <v>0</v>
      </c>
      <c r="BE74">
        <v>0</v>
      </c>
      <c r="BF74" t="s">
        <v>1063</v>
      </c>
      <c r="BG74" t="s">
        <v>6531</v>
      </c>
      <c r="BH74">
        <v>26</v>
      </c>
      <c r="BI74" t="s">
        <v>1247</v>
      </c>
      <c r="BK74">
        <v>1908796</v>
      </c>
    </row>
    <row r="75" spans="1:63">
      <c r="A75" s="1">
        <f>HYPERLINK("https://lsnyc.legalserver.org/matter/dynamic-profile/view/1908167","19-1908167")</f>
        <v>0</v>
      </c>
      <c r="B75" t="s">
        <v>5148</v>
      </c>
      <c r="C75" t="s">
        <v>5625</v>
      </c>
      <c r="D75" t="s">
        <v>253</v>
      </c>
      <c r="E75" t="s">
        <v>5630</v>
      </c>
      <c r="F75" t="s">
        <v>274</v>
      </c>
      <c r="G75" t="s">
        <v>274</v>
      </c>
      <c r="H75">
        <v>0</v>
      </c>
      <c r="I75" t="s">
        <v>274</v>
      </c>
      <c r="K75" t="s">
        <v>1672</v>
      </c>
      <c r="O75" t="s">
        <v>275</v>
      </c>
      <c r="Q75" t="s">
        <v>501</v>
      </c>
      <c r="S75" t="s">
        <v>503</v>
      </c>
      <c r="T75" t="s">
        <v>508</v>
      </c>
      <c r="U75" t="s">
        <v>511</v>
      </c>
      <c r="V75">
        <v>11375</v>
      </c>
      <c r="W75" t="s">
        <v>521</v>
      </c>
      <c r="X75" t="s">
        <v>553</v>
      </c>
      <c r="Y75" t="s">
        <v>275</v>
      </c>
      <c r="Z75" t="s">
        <v>5734</v>
      </c>
      <c r="AA75" t="s">
        <v>6113</v>
      </c>
      <c r="AB75" t="s">
        <v>902</v>
      </c>
      <c r="AC75" t="s">
        <v>905</v>
      </c>
      <c r="AF75" t="s">
        <v>923</v>
      </c>
      <c r="AI75">
        <v>3.65</v>
      </c>
      <c r="AJ75" t="s">
        <v>558</v>
      </c>
      <c r="AK75" t="s">
        <v>968</v>
      </c>
      <c r="AL75" t="s">
        <v>274</v>
      </c>
      <c r="AT75">
        <v>0</v>
      </c>
      <c r="AU75">
        <v>2</v>
      </c>
      <c r="AV75" t="s">
        <v>273</v>
      </c>
      <c r="AY75" t="s">
        <v>273</v>
      </c>
      <c r="BB75">
        <v>0</v>
      </c>
      <c r="BC75">
        <v>0</v>
      </c>
      <c r="BD75">
        <v>0</v>
      </c>
      <c r="BE75">
        <v>0</v>
      </c>
      <c r="BF75" t="s">
        <v>1063</v>
      </c>
      <c r="BG75" t="s">
        <v>6532</v>
      </c>
      <c r="BH75">
        <v>24</v>
      </c>
      <c r="BI75" t="s">
        <v>1247</v>
      </c>
      <c r="BK75">
        <v>1908796</v>
      </c>
    </row>
    <row r="76" spans="1:63">
      <c r="A76" s="1">
        <f>HYPERLINK("https://lsnyc.legalserver.org/matter/dynamic-profile/view/1908221","19-1908221")</f>
        <v>0</v>
      </c>
      <c r="B76" t="s">
        <v>5149</v>
      </c>
      <c r="C76" t="s">
        <v>5625</v>
      </c>
      <c r="D76" t="s">
        <v>252</v>
      </c>
      <c r="E76" t="s">
        <v>5630</v>
      </c>
      <c r="F76" t="s">
        <v>274</v>
      </c>
      <c r="G76" t="s">
        <v>274</v>
      </c>
      <c r="H76">
        <v>105.38</v>
      </c>
      <c r="I76" t="s">
        <v>274</v>
      </c>
      <c r="K76" t="s">
        <v>1672</v>
      </c>
      <c r="O76" t="s">
        <v>274</v>
      </c>
      <c r="Q76" t="s">
        <v>501</v>
      </c>
      <c r="S76" t="s">
        <v>503</v>
      </c>
      <c r="T76" t="s">
        <v>508</v>
      </c>
      <c r="U76" t="s">
        <v>511</v>
      </c>
      <c r="V76">
        <v>11238</v>
      </c>
      <c r="W76" t="s">
        <v>517</v>
      </c>
      <c r="X76" t="s">
        <v>549</v>
      </c>
      <c r="Y76" t="s">
        <v>274</v>
      </c>
      <c r="Z76" t="s">
        <v>5735</v>
      </c>
      <c r="AA76" t="s">
        <v>2346</v>
      </c>
      <c r="AB76" t="s">
        <v>902</v>
      </c>
      <c r="AC76" t="s">
        <v>904</v>
      </c>
      <c r="AF76" t="s">
        <v>923</v>
      </c>
      <c r="AI76">
        <v>3.9</v>
      </c>
      <c r="AJ76" t="s">
        <v>558</v>
      </c>
      <c r="AK76" t="s">
        <v>944</v>
      </c>
      <c r="AL76" t="s">
        <v>274</v>
      </c>
      <c r="AT76">
        <v>0</v>
      </c>
      <c r="AU76">
        <v>1</v>
      </c>
      <c r="AV76" t="s">
        <v>273</v>
      </c>
      <c r="AY76" t="s">
        <v>273</v>
      </c>
      <c r="BB76">
        <v>0</v>
      </c>
      <c r="BC76">
        <v>0</v>
      </c>
      <c r="BD76">
        <v>0</v>
      </c>
      <c r="BE76">
        <v>0</v>
      </c>
      <c r="BF76" t="s">
        <v>1063</v>
      </c>
      <c r="BG76" t="s">
        <v>6533</v>
      </c>
      <c r="BH76">
        <v>54</v>
      </c>
      <c r="BI76" t="s">
        <v>6998</v>
      </c>
      <c r="BK76">
        <v>1908706</v>
      </c>
    </row>
    <row r="77" spans="1:63">
      <c r="A77" s="1">
        <f>HYPERLINK("https://lsnyc.legalserver.org/matter/dynamic-profile/view/1907971","19-1907971")</f>
        <v>0</v>
      </c>
      <c r="B77" t="s">
        <v>5150</v>
      </c>
      <c r="C77" t="s">
        <v>5625</v>
      </c>
      <c r="D77" t="s">
        <v>252</v>
      </c>
      <c r="E77" t="s">
        <v>3694</v>
      </c>
      <c r="F77" t="s">
        <v>274</v>
      </c>
      <c r="G77" t="s">
        <v>274</v>
      </c>
      <c r="H77">
        <v>88.62</v>
      </c>
      <c r="I77" t="s">
        <v>274</v>
      </c>
      <c r="K77" t="s">
        <v>291</v>
      </c>
      <c r="O77" t="s">
        <v>274</v>
      </c>
      <c r="P77" t="s">
        <v>498</v>
      </c>
      <c r="Q77" t="s">
        <v>501</v>
      </c>
      <c r="S77" t="s">
        <v>503</v>
      </c>
      <c r="T77" t="s">
        <v>507</v>
      </c>
      <c r="U77" t="s">
        <v>511</v>
      </c>
      <c r="V77">
        <v>11207</v>
      </c>
      <c r="W77" t="s">
        <v>517</v>
      </c>
      <c r="X77" t="s">
        <v>549</v>
      </c>
      <c r="Y77" t="s">
        <v>274</v>
      </c>
      <c r="Z77" t="s">
        <v>5736</v>
      </c>
      <c r="AA77" t="s">
        <v>6114</v>
      </c>
      <c r="AB77" t="s">
        <v>902</v>
      </c>
      <c r="AC77" t="s">
        <v>904</v>
      </c>
      <c r="AF77" t="s">
        <v>923</v>
      </c>
      <c r="AI77">
        <v>3.75</v>
      </c>
      <c r="AJ77" t="s">
        <v>558</v>
      </c>
      <c r="AK77" t="s">
        <v>965</v>
      </c>
      <c r="AL77" t="s">
        <v>274</v>
      </c>
      <c r="AT77">
        <v>0</v>
      </c>
      <c r="AU77">
        <v>1</v>
      </c>
      <c r="AV77" t="s">
        <v>273</v>
      </c>
      <c r="AY77" t="s">
        <v>273</v>
      </c>
      <c r="BB77">
        <v>0</v>
      </c>
      <c r="BC77">
        <v>0</v>
      </c>
      <c r="BD77">
        <v>0</v>
      </c>
      <c r="BE77">
        <v>0</v>
      </c>
      <c r="BF77" t="s">
        <v>1063</v>
      </c>
      <c r="BG77" t="s">
        <v>6534</v>
      </c>
      <c r="BH77">
        <v>58</v>
      </c>
      <c r="BI77" t="s">
        <v>6999</v>
      </c>
      <c r="BK77">
        <v>1908628</v>
      </c>
    </row>
    <row r="78" spans="1:63">
      <c r="A78" s="1">
        <f>HYPERLINK("https://lsnyc.legalserver.org/matter/dynamic-profile/view/1908000","19-1908000")</f>
        <v>0</v>
      </c>
      <c r="B78" t="s">
        <v>5151</v>
      </c>
      <c r="C78" t="s">
        <v>5625</v>
      </c>
      <c r="D78" t="s">
        <v>252</v>
      </c>
      <c r="E78" t="s">
        <v>5630</v>
      </c>
      <c r="F78" t="s">
        <v>274</v>
      </c>
      <c r="G78" t="s">
        <v>274</v>
      </c>
      <c r="H78">
        <v>185.65</v>
      </c>
      <c r="I78" t="s">
        <v>274</v>
      </c>
      <c r="K78" t="s">
        <v>291</v>
      </c>
      <c r="O78" t="s">
        <v>274</v>
      </c>
      <c r="P78" t="s">
        <v>498</v>
      </c>
      <c r="Q78" t="s">
        <v>501</v>
      </c>
      <c r="S78" t="s">
        <v>503</v>
      </c>
      <c r="T78" t="s">
        <v>507</v>
      </c>
      <c r="U78" t="s">
        <v>511</v>
      </c>
      <c r="V78">
        <v>11236</v>
      </c>
      <c r="W78" t="s">
        <v>517</v>
      </c>
      <c r="X78" t="s">
        <v>549</v>
      </c>
      <c r="Y78" t="s">
        <v>275</v>
      </c>
      <c r="Z78" t="s">
        <v>3223</v>
      </c>
      <c r="AA78" t="s">
        <v>2295</v>
      </c>
      <c r="AB78" t="s">
        <v>902</v>
      </c>
      <c r="AC78" t="s">
        <v>904</v>
      </c>
      <c r="AF78" t="s">
        <v>923</v>
      </c>
      <c r="AI78">
        <v>2.05</v>
      </c>
      <c r="AJ78" t="s">
        <v>558</v>
      </c>
      <c r="AK78" t="s">
        <v>939</v>
      </c>
      <c r="AL78" t="s">
        <v>274</v>
      </c>
      <c r="AT78">
        <v>1</v>
      </c>
      <c r="AU78">
        <v>2</v>
      </c>
      <c r="AV78" t="s">
        <v>273</v>
      </c>
      <c r="AY78" t="s">
        <v>273</v>
      </c>
      <c r="BB78">
        <v>0</v>
      </c>
      <c r="BC78">
        <v>0</v>
      </c>
      <c r="BD78">
        <v>0</v>
      </c>
      <c r="BE78">
        <v>0</v>
      </c>
      <c r="BF78" t="s">
        <v>1063</v>
      </c>
      <c r="BG78" t="s">
        <v>6535</v>
      </c>
      <c r="BH78">
        <v>64</v>
      </c>
      <c r="BI78" t="s">
        <v>7000</v>
      </c>
      <c r="BK78">
        <v>1908657</v>
      </c>
    </row>
    <row r="79" spans="1:63">
      <c r="A79" s="1">
        <f>HYPERLINK("https://lsnyc.legalserver.org/matter/dynamic-profile/view/1907830","19-1907830")</f>
        <v>0</v>
      </c>
      <c r="B79" t="s">
        <v>5152</v>
      </c>
      <c r="C79" t="s">
        <v>5625</v>
      </c>
      <c r="D79" t="s">
        <v>255</v>
      </c>
      <c r="E79" t="s">
        <v>5630</v>
      </c>
      <c r="F79" t="s">
        <v>274</v>
      </c>
      <c r="G79" t="s">
        <v>274</v>
      </c>
      <c r="H79">
        <v>51.71</v>
      </c>
      <c r="I79" t="s">
        <v>274</v>
      </c>
      <c r="K79" t="s">
        <v>292</v>
      </c>
      <c r="Q79" t="s">
        <v>501</v>
      </c>
      <c r="S79" t="s">
        <v>503</v>
      </c>
      <c r="T79" t="s">
        <v>508</v>
      </c>
      <c r="U79" t="s">
        <v>511</v>
      </c>
      <c r="V79">
        <v>10037</v>
      </c>
      <c r="W79" t="s">
        <v>517</v>
      </c>
      <c r="X79" t="s">
        <v>549</v>
      </c>
      <c r="Y79" t="s">
        <v>275</v>
      </c>
      <c r="Z79" t="s">
        <v>5737</v>
      </c>
      <c r="AA79" t="s">
        <v>6115</v>
      </c>
      <c r="AB79" t="s">
        <v>902</v>
      </c>
      <c r="AC79" t="s">
        <v>904</v>
      </c>
      <c r="AF79" t="s">
        <v>923</v>
      </c>
      <c r="AI79">
        <v>2.1</v>
      </c>
      <c r="AJ79" t="s">
        <v>558</v>
      </c>
      <c r="AK79" t="s">
        <v>6455</v>
      </c>
      <c r="AL79" t="s">
        <v>274</v>
      </c>
      <c r="AT79">
        <v>3</v>
      </c>
      <c r="AU79">
        <v>2</v>
      </c>
      <c r="AV79" t="s">
        <v>273</v>
      </c>
      <c r="AY79" t="s">
        <v>273</v>
      </c>
      <c r="BB79">
        <v>0</v>
      </c>
      <c r="BC79">
        <v>0</v>
      </c>
      <c r="BD79">
        <v>0</v>
      </c>
      <c r="BE79">
        <v>0</v>
      </c>
      <c r="BF79" t="s">
        <v>1063</v>
      </c>
      <c r="BG79" t="s">
        <v>2478</v>
      </c>
      <c r="BH79">
        <v>41</v>
      </c>
      <c r="BI79" t="s">
        <v>1270</v>
      </c>
      <c r="BK79">
        <v>1844706</v>
      </c>
    </row>
    <row r="80" spans="1:63">
      <c r="A80" s="1">
        <f>HYPERLINK("https://lsnyc.legalserver.org/matter/dynamic-profile/view/1907653","19-1907653")</f>
        <v>0</v>
      </c>
      <c r="B80" t="s">
        <v>5153</v>
      </c>
      <c r="C80" t="s">
        <v>5625</v>
      </c>
      <c r="D80" t="s">
        <v>254</v>
      </c>
      <c r="E80" t="s">
        <v>5629</v>
      </c>
      <c r="F80" t="s">
        <v>274</v>
      </c>
      <c r="G80" t="s">
        <v>274</v>
      </c>
      <c r="H80">
        <v>60.82</v>
      </c>
      <c r="I80" t="s">
        <v>274</v>
      </c>
      <c r="K80" t="s">
        <v>294</v>
      </c>
      <c r="O80" t="s">
        <v>274</v>
      </c>
      <c r="Q80" t="s">
        <v>501</v>
      </c>
      <c r="S80" t="s">
        <v>503</v>
      </c>
      <c r="T80" t="s">
        <v>507</v>
      </c>
      <c r="U80" t="s">
        <v>511</v>
      </c>
      <c r="V80">
        <v>10305</v>
      </c>
      <c r="X80" t="s">
        <v>553</v>
      </c>
      <c r="Y80" t="s">
        <v>274</v>
      </c>
      <c r="Z80" t="s">
        <v>5738</v>
      </c>
      <c r="AA80" t="s">
        <v>6116</v>
      </c>
      <c r="AB80" t="s">
        <v>902</v>
      </c>
      <c r="AC80" t="s">
        <v>904</v>
      </c>
      <c r="AF80" t="s">
        <v>925</v>
      </c>
      <c r="AI80">
        <v>3.6</v>
      </c>
      <c r="AJ80" t="s">
        <v>558</v>
      </c>
      <c r="AK80" t="s">
        <v>6456</v>
      </c>
      <c r="AL80" t="s">
        <v>274</v>
      </c>
      <c r="AT80">
        <v>0</v>
      </c>
      <c r="AU80">
        <v>2</v>
      </c>
      <c r="AV80" t="s">
        <v>273</v>
      </c>
      <c r="AY80" t="s">
        <v>273</v>
      </c>
      <c r="BB80">
        <v>0</v>
      </c>
      <c r="BC80">
        <v>0</v>
      </c>
      <c r="BD80">
        <v>0</v>
      </c>
      <c r="BE80">
        <v>0</v>
      </c>
      <c r="BF80" t="s">
        <v>1063</v>
      </c>
      <c r="BG80" t="s">
        <v>6536</v>
      </c>
      <c r="BH80">
        <v>60</v>
      </c>
      <c r="BI80" t="s">
        <v>7001</v>
      </c>
      <c r="BK80">
        <v>1908310</v>
      </c>
    </row>
    <row r="81" spans="1:64">
      <c r="A81" s="1">
        <f>HYPERLINK("https://lsnyc.legalserver.org/matter/dynamic-profile/view/1907431","19-1907431")</f>
        <v>0</v>
      </c>
      <c r="B81" t="s">
        <v>5154</v>
      </c>
      <c r="C81" t="s">
        <v>5625</v>
      </c>
      <c r="D81" t="s">
        <v>252</v>
      </c>
      <c r="E81" t="s">
        <v>5630</v>
      </c>
      <c r="F81" t="s">
        <v>274</v>
      </c>
      <c r="G81" t="s">
        <v>274</v>
      </c>
      <c r="H81">
        <v>106.45</v>
      </c>
      <c r="I81" t="s">
        <v>274</v>
      </c>
      <c r="K81" t="s">
        <v>295</v>
      </c>
      <c r="P81" t="s">
        <v>492</v>
      </c>
      <c r="Q81" t="s">
        <v>501</v>
      </c>
      <c r="S81" t="s">
        <v>503</v>
      </c>
      <c r="T81" t="s">
        <v>507</v>
      </c>
      <c r="U81" t="s">
        <v>511</v>
      </c>
      <c r="V81">
        <v>11221</v>
      </c>
      <c r="W81" t="s">
        <v>521</v>
      </c>
      <c r="X81" t="s">
        <v>549</v>
      </c>
      <c r="Y81" t="s">
        <v>275</v>
      </c>
      <c r="Z81" t="s">
        <v>1857</v>
      </c>
      <c r="AA81" t="s">
        <v>6117</v>
      </c>
      <c r="AB81" t="s">
        <v>902</v>
      </c>
      <c r="AC81" t="s">
        <v>905</v>
      </c>
      <c r="AF81" t="s">
        <v>923</v>
      </c>
      <c r="AI81">
        <v>7.05</v>
      </c>
      <c r="AJ81" t="s">
        <v>558</v>
      </c>
      <c r="AK81" t="s">
        <v>3254</v>
      </c>
      <c r="AL81" t="s">
        <v>274</v>
      </c>
      <c r="AT81">
        <v>0</v>
      </c>
      <c r="AU81">
        <v>2</v>
      </c>
      <c r="AV81" t="s">
        <v>273</v>
      </c>
      <c r="AY81" t="s">
        <v>273</v>
      </c>
      <c r="BB81">
        <v>0</v>
      </c>
      <c r="BC81">
        <v>0</v>
      </c>
      <c r="BD81">
        <v>0</v>
      </c>
      <c r="BE81">
        <v>0</v>
      </c>
      <c r="BF81" t="s">
        <v>1063</v>
      </c>
      <c r="BG81" t="s">
        <v>6537</v>
      </c>
      <c r="BH81">
        <v>28</v>
      </c>
      <c r="BI81" t="s">
        <v>1289</v>
      </c>
      <c r="BK81">
        <v>1908087</v>
      </c>
    </row>
    <row r="82" spans="1:64">
      <c r="A82" s="1">
        <f>HYPERLINK("https://lsnyc.legalserver.org/matter/dynamic-profile/view/1907448","19-1907448")</f>
        <v>0</v>
      </c>
      <c r="B82" t="s">
        <v>5155</v>
      </c>
      <c r="C82" t="s">
        <v>5625</v>
      </c>
      <c r="D82" t="s">
        <v>252</v>
      </c>
      <c r="E82" t="s">
        <v>5630</v>
      </c>
      <c r="F82" t="s">
        <v>274</v>
      </c>
      <c r="G82" t="s">
        <v>274</v>
      </c>
      <c r="H82">
        <v>106.45</v>
      </c>
      <c r="I82" t="s">
        <v>274</v>
      </c>
      <c r="K82" t="s">
        <v>295</v>
      </c>
      <c r="P82" t="s">
        <v>492</v>
      </c>
      <c r="Q82" t="s">
        <v>501</v>
      </c>
      <c r="S82" t="s">
        <v>503</v>
      </c>
      <c r="T82" t="s">
        <v>507</v>
      </c>
      <c r="U82" t="s">
        <v>511</v>
      </c>
      <c r="V82">
        <v>11221</v>
      </c>
      <c r="W82" t="s">
        <v>521</v>
      </c>
      <c r="X82" t="s">
        <v>549</v>
      </c>
      <c r="Y82" t="s">
        <v>275</v>
      </c>
      <c r="Z82" t="s">
        <v>1934</v>
      </c>
      <c r="AA82" t="s">
        <v>6118</v>
      </c>
      <c r="AB82" t="s">
        <v>902</v>
      </c>
      <c r="AC82" t="s">
        <v>905</v>
      </c>
      <c r="AF82" t="s">
        <v>923</v>
      </c>
      <c r="AI82">
        <v>7.6</v>
      </c>
      <c r="AJ82" t="s">
        <v>558</v>
      </c>
      <c r="AK82" t="s">
        <v>3254</v>
      </c>
      <c r="AL82" t="s">
        <v>274</v>
      </c>
      <c r="AT82">
        <v>0</v>
      </c>
      <c r="AU82">
        <v>2</v>
      </c>
      <c r="AV82" t="s">
        <v>273</v>
      </c>
      <c r="AY82" t="s">
        <v>273</v>
      </c>
      <c r="BB82">
        <v>0</v>
      </c>
      <c r="BC82">
        <v>0</v>
      </c>
      <c r="BD82">
        <v>0</v>
      </c>
      <c r="BE82">
        <v>0</v>
      </c>
      <c r="BF82" t="s">
        <v>1063</v>
      </c>
      <c r="BG82" t="s">
        <v>6538</v>
      </c>
      <c r="BH82">
        <v>24</v>
      </c>
      <c r="BI82" t="s">
        <v>1289</v>
      </c>
      <c r="BK82">
        <v>1908087</v>
      </c>
    </row>
    <row r="83" spans="1:64">
      <c r="A83" s="1">
        <f>HYPERLINK("https://lsnyc.legalserver.org/matter/dynamic-profile/view/1907461","19-1907461")</f>
        <v>0</v>
      </c>
      <c r="B83" t="s">
        <v>5156</v>
      </c>
      <c r="C83" t="s">
        <v>5625</v>
      </c>
      <c r="D83" t="s">
        <v>257</v>
      </c>
      <c r="E83" t="s">
        <v>3694</v>
      </c>
      <c r="F83" t="s">
        <v>274</v>
      </c>
      <c r="G83" t="s">
        <v>274</v>
      </c>
      <c r="H83">
        <v>0</v>
      </c>
      <c r="I83" t="s">
        <v>274</v>
      </c>
      <c r="K83" t="s">
        <v>295</v>
      </c>
      <c r="O83" t="s">
        <v>275</v>
      </c>
      <c r="Q83" t="s">
        <v>501</v>
      </c>
      <c r="S83" t="s">
        <v>503</v>
      </c>
      <c r="T83" t="s">
        <v>507</v>
      </c>
      <c r="U83" t="s">
        <v>511</v>
      </c>
      <c r="V83">
        <v>10466</v>
      </c>
      <c r="X83" t="s">
        <v>549</v>
      </c>
      <c r="Y83" t="s">
        <v>275</v>
      </c>
      <c r="Z83" t="s">
        <v>5739</v>
      </c>
      <c r="AA83" t="s">
        <v>6119</v>
      </c>
      <c r="AB83" t="s">
        <v>902</v>
      </c>
      <c r="AC83" t="s">
        <v>905</v>
      </c>
      <c r="AF83" t="s">
        <v>925</v>
      </c>
      <c r="AI83">
        <v>6.2</v>
      </c>
      <c r="AJ83" t="s">
        <v>558</v>
      </c>
      <c r="AK83" t="s">
        <v>970</v>
      </c>
      <c r="AL83" t="s">
        <v>274</v>
      </c>
      <c r="AT83">
        <v>0</v>
      </c>
      <c r="AU83">
        <v>1</v>
      </c>
      <c r="AV83" t="s">
        <v>273</v>
      </c>
      <c r="AY83" t="s">
        <v>273</v>
      </c>
      <c r="BB83">
        <v>0</v>
      </c>
      <c r="BC83">
        <v>0</v>
      </c>
      <c r="BD83">
        <v>0</v>
      </c>
      <c r="BE83">
        <v>0</v>
      </c>
      <c r="BF83" t="s">
        <v>1063</v>
      </c>
      <c r="BG83" t="s">
        <v>6539</v>
      </c>
      <c r="BH83">
        <v>31</v>
      </c>
      <c r="BI83" t="s">
        <v>1247</v>
      </c>
      <c r="BK83">
        <v>1908117</v>
      </c>
    </row>
    <row r="84" spans="1:64">
      <c r="A84" s="1">
        <f>HYPERLINK("https://lsnyc.legalserver.org/matter/dynamic-profile/view/1907393","19-1907393")</f>
        <v>0</v>
      </c>
      <c r="B84" t="s">
        <v>5157</v>
      </c>
      <c r="C84" t="s">
        <v>5625</v>
      </c>
      <c r="D84" t="s">
        <v>255</v>
      </c>
      <c r="E84" t="s">
        <v>3694</v>
      </c>
      <c r="F84" t="s">
        <v>274</v>
      </c>
      <c r="G84" t="s">
        <v>274</v>
      </c>
      <c r="H84">
        <v>0</v>
      </c>
      <c r="I84" t="s">
        <v>274</v>
      </c>
      <c r="K84" t="s">
        <v>462</v>
      </c>
      <c r="O84" t="s">
        <v>275</v>
      </c>
      <c r="Q84" t="s">
        <v>501</v>
      </c>
      <c r="S84" t="s">
        <v>503</v>
      </c>
      <c r="T84" t="s">
        <v>507</v>
      </c>
      <c r="U84" t="s">
        <v>511</v>
      </c>
      <c r="V84">
        <v>10025</v>
      </c>
      <c r="W84" t="s">
        <v>521</v>
      </c>
      <c r="X84" t="s">
        <v>549</v>
      </c>
      <c r="Z84" t="s">
        <v>5740</v>
      </c>
      <c r="AA84" t="s">
        <v>6120</v>
      </c>
      <c r="AB84" t="s">
        <v>902</v>
      </c>
      <c r="AC84" t="s">
        <v>905</v>
      </c>
      <c r="AF84" t="s">
        <v>923</v>
      </c>
      <c r="AI84">
        <v>2.1</v>
      </c>
      <c r="AJ84" t="s">
        <v>558</v>
      </c>
      <c r="AK84" t="s">
        <v>948</v>
      </c>
      <c r="AL84" t="s">
        <v>274</v>
      </c>
      <c r="AT84">
        <v>0</v>
      </c>
      <c r="AU84">
        <v>1</v>
      </c>
      <c r="AV84" t="s">
        <v>273</v>
      </c>
      <c r="AY84" t="s">
        <v>273</v>
      </c>
      <c r="BB84">
        <v>0</v>
      </c>
      <c r="BC84">
        <v>0</v>
      </c>
      <c r="BD84">
        <v>0</v>
      </c>
      <c r="BE84">
        <v>0</v>
      </c>
      <c r="BF84" t="s">
        <v>1063</v>
      </c>
      <c r="BG84" t="s">
        <v>6540</v>
      </c>
      <c r="BH84">
        <v>34</v>
      </c>
      <c r="BI84" t="s">
        <v>1247</v>
      </c>
      <c r="BK84">
        <v>1908049</v>
      </c>
    </row>
    <row r="85" spans="1:64">
      <c r="A85" s="1">
        <f>HYPERLINK("https://lsnyc.legalserver.org/matter/dynamic-profile/view/1906494","19-1906494")</f>
        <v>0</v>
      </c>
      <c r="B85" t="s">
        <v>5158</v>
      </c>
      <c r="C85" t="s">
        <v>5625</v>
      </c>
      <c r="D85" t="s">
        <v>253</v>
      </c>
      <c r="E85" t="s">
        <v>5630</v>
      </c>
      <c r="F85" t="s">
        <v>274</v>
      </c>
      <c r="G85" t="s">
        <v>274</v>
      </c>
      <c r="H85">
        <v>0</v>
      </c>
      <c r="I85" t="s">
        <v>274</v>
      </c>
      <c r="K85" t="s">
        <v>1675</v>
      </c>
      <c r="O85" t="s">
        <v>275</v>
      </c>
      <c r="P85" t="s">
        <v>494</v>
      </c>
      <c r="Q85" t="s">
        <v>501</v>
      </c>
      <c r="S85" t="s">
        <v>503</v>
      </c>
      <c r="T85" t="s">
        <v>507</v>
      </c>
      <c r="U85" t="s">
        <v>511</v>
      </c>
      <c r="V85">
        <v>11418</v>
      </c>
      <c r="W85" t="s">
        <v>521</v>
      </c>
      <c r="X85" t="s">
        <v>549</v>
      </c>
      <c r="Z85" t="s">
        <v>688</v>
      </c>
      <c r="AA85" t="s">
        <v>6121</v>
      </c>
      <c r="AB85" t="s">
        <v>902</v>
      </c>
      <c r="AC85" t="s">
        <v>905</v>
      </c>
      <c r="AF85" t="s">
        <v>923</v>
      </c>
      <c r="AI85">
        <v>6.15</v>
      </c>
      <c r="AJ85" t="s">
        <v>558</v>
      </c>
      <c r="AK85" t="s">
        <v>939</v>
      </c>
      <c r="AL85" t="s">
        <v>274</v>
      </c>
      <c r="AT85">
        <v>0</v>
      </c>
      <c r="AU85">
        <v>1</v>
      </c>
      <c r="AV85" t="s">
        <v>273</v>
      </c>
      <c r="AY85" t="s">
        <v>273</v>
      </c>
      <c r="BB85">
        <v>0</v>
      </c>
      <c r="BC85">
        <v>0</v>
      </c>
      <c r="BD85">
        <v>0</v>
      </c>
      <c r="BE85">
        <v>0</v>
      </c>
      <c r="BF85" t="s">
        <v>1063</v>
      </c>
      <c r="BG85" t="s">
        <v>4985</v>
      </c>
      <c r="BH85">
        <v>39</v>
      </c>
      <c r="BI85" t="s">
        <v>1247</v>
      </c>
      <c r="BK85">
        <v>1907149</v>
      </c>
    </row>
    <row r="86" spans="1:64">
      <c r="A86" s="1">
        <f>HYPERLINK("https://lsnyc.legalserver.org/matter/dynamic-profile/view/1906513","19-1906513")</f>
        <v>0</v>
      </c>
      <c r="B86" t="s">
        <v>5159</v>
      </c>
      <c r="C86" t="s">
        <v>5625</v>
      </c>
      <c r="D86" t="s">
        <v>252</v>
      </c>
      <c r="E86" t="s">
        <v>5630</v>
      </c>
      <c r="F86" t="s">
        <v>274</v>
      </c>
      <c r="G86" t="s">
        <v>274</v>
      </c>
      <c r="H86">
        <v>42.83</v>
      </c>
      <c r="I86" t="s">
        <v>274</v>
      </c>
      <c r="K86" t="s">
        <v>1675</v>
      </c>
      <c r="O86" t="s">
        <v>275</v>
      </c>
      <c r="P86" t="s">
        <v>498</v>
      </c>
      <c r="Q86" t="s">
        <v>501</v>
      </c>
      <c r="S86" t="s">
        <v>503</v>
      </c>
      <c r="T86" t="s">
        <v>507</v>
      </c>
      <c r="U86" t="s">
        <v>511</v>
      </c>
      <c r="V86">
        <v>11233</v>
      </c>
      <c r="W86" t="s">
        <v>521</v>
      </c>
      <c r="X86" t="s">
        <v>548</v>
      </c>
      <c r="Z86" t="s">
        <v>5741</v>
      </c>
      <c r="AA86" t="s">
        <v>6122</v>
      </c>
      <c r="AB86" t="s">
        <v>902</v>
      </c>
      <c r="AC86" t="s">
        <v>905</v>
      </c>
      <c r="AF86" t="s">
        <v>923</v>
      </c>
      <c r="AI86">
        <v>4.8</v>
      </c>
      <c r="AJ86" t="s">
        <v>558</v>
      </c>
      <c r="AK86" t="s">
        <v>945</v>
      </c>
      <c r="AL86" t="s">
        <v>274</v>
      </c>
      <c r="AM86" t="s">
        <v>973</v>
      </c>
      <c r="AN86" t="s">
        <v>281</v>
      </c>
      <c r="AT86">
        <v>0</v>
      </c>
      <c r="AU86">
        <v>1</v>
      </c>
      <c r="AV86" t="s">
        <v>273</v>
      </c>
      <c r="AY86" t="s">
        <v>273</v>
      </c>
      <c r="BB86">
        <v>0</v>
      </c>
      <c r="BC86">
        <v>0</v>
      </c>
      <c r="BD86">
        <v>0</v>
      </c>
      <c r="BE86">
        <v>0</v>
      </c>
      <c r="BF86" t="s">
        <v>1063</v>
      </c>
      <c r="BG86" t="s">
        <v>6541</v>
      </c>
      <c r="BH86">
        <v>50</v>
      </c>
      <c r="BI86" t="s">
        <v>7002</v>
      </c>
      <c r="BK86">
        <v>1907168</v>
      </c>
    </row>
    <row r="87" spans="1:64">
      <c r="A87" s="1">
        <f>HYPERLINK("https://lsnyc.legalserver.org/matter/dynamic-profile/view/1905997","19-1905997")</f>
        <v>0</v>
      </c>
      <c r="B87" t="s">
        <v>5160</v>
      </c>
      <c r="C87" t="s">
        <v>5625</v>
      </c>
      <c r="D87" t="s">
        <v>257</v>
      </c>
      <c r="E87" t="s">
        <v>3694</v>
      </c>
      <c r="F87" t="s">
        <v>274</v>
      </c>
      <c r="G87" t="s">
        <v>274</v>
      </c>
      <c r="H87">
        <v>93.67</v>
      </c>
      <c r="I87" t="s">
        <v>274</v>
      </c>
      <c r="K87" t="s">
        <v>5633</v>
      </c>
      <c r="P87" t="s">
        <v>499</v>
      </c>
      <c r="Q87" t="s">
        <v>501</v>
      </c>
      <c r="S87" t="s">
        <v>503</v>
      </c>
      <c r="T87" t="s">
        <v>507</v>
      </c>
      <c r="U87" t="s">
        <v>511</v>
      </c>
      <c r="V87">
        <v>10462</v>
      </c>
      <c r="W87" t="s">
        <v>521</v>
      </c>
      <c r="X87" t="s">
        <v>548</v>
      </c>
      <c r="Y87" t="s">
        <v>275</v>
      </c>
      <c r="Z87" t="s">
        <v>5742</v>
      </c>
      <c r="AA87" t="s">
        <v>6123</v>
      </c>
      <c r="AB87" t="s">
        <v>902</v>
      </c>
      <c r="AC87" t="s">
        <v>911</v>
      </c>
      <c r="AF87" t="s">
        <v>923</v>
      </c>
      <c r="AI87">
        <v>3.7</v>
      </c>
      <c r="AJ87" t="s">
        <v>558</v>
      </c>
      <c r="AK87" t="s">
        <v>950</v>
      </c>
      <c r="AL87" t="s">
        <v>274</v>
      </c>
      <c r="AS87" t="s">
        <v>558</v>
      </c>
      <c r="AT87">
        <v>0</v>
      </c>
      <c r="AU87">
        <v>1</v>
      </c>
      <c r="AV87" t="s">
        <v>273</v>
      </c>
      <c r="AY87" t="s">
        <v>273</v>
      </c>
      <c r="BB87">
        <v>0</v>
      </c>
      <c r="BC87">
        <v>0</v>
      </c>
      <c r="BD87">
        <v>0</v>
      </c>
      <c r="BE87">
        <v>0</v>
      </c>
      <c r="BF87" t="s">
        <v>1063</v>
      </c>
      <c r="BG87" t="s">
        <v>6542</v>
      </c>
      <c r="BH87">
        <v>28</v>
      </c>
      <c r="BI87" t="s">
        <v>7003</v>
      </c>
      <c r="BJ87" t="s">
        <v>993</v>
      </c>
      <c r="BK87">
        <v>1906652</v>
      </c>
      <c r="BL87" t="s">
        <v>275</v>
      </c>
    </row>
    <row r="88" spans="1:64">
      <c r="A88" s="1">
        <f>HYPERLINK("https://lsnyc.legalserver.org/matter/dynamic-profile/view/1906009","19-1906009")</f>
        <v>0</v>
      </c>
      <c r="B88" t="s">
        <v>5161</v>
      </c>
      <c r="C88" t="s">
        <v>5625</v>
      </c>
      <c r="D88" t="s">
        <v>253</v>
      </c>
      <c r="E88" t="s">
        <v>264</v>
      </c>
      <c r="F88" t="s">
        <v>274</v>
      </c>
      <c r="G88" t="s">
        <v>274</v>
      </c>
      <c r="H88">
        <v>0</v>
      </c>
      <c r="I88" t="s">
        <v>274</v>
      </c>
      <c r="K88" t="s">
        <v>461</v>
      </c>
      <c r="L88" t="s">
        <v>1004</v>
      </c>
      <c r="O88" t="s">
        <v>275</v>
      </c>
      <c r="P88" t="s">
        <v>493</v>
      </c>
      <c r="Q88" t="s">
        <v>501</v>
      </c>
      <c r="S88" t="s">
        <v>503</v>
      </c>
      <c r="T88" t="s">
        <v>507</v>
      </c>
      <c r="U88" t="s">
        <v>511</v>
      </c>
      <c r="V88">
        <v>11367</v>
      </c>
      <c r="X88" t="s">
        <v>548</v>
      </c>
      <c r="Y88" t="s">
        <v>275</v>
      </c>
      <c r="Z88" t="s">
        <v>613</v>
      </c>
      <c r="AA88" t="s">
        <v>6124</v>
      </c>
      <c r="AB88" t="s">
        <v>902</v>
      </c>
      <c r="AC88" t="s">
        <v>905</v>
      </c>
      <c r="AD88" t="s">
        <v>275</v>
      </c>
      <c r="AE88" t="s">
        <v>920</v>
      </c>
      <c r="AF88" t="s">
        <v>928</v>
      </c>
      <c r="AI88">
        <v>2.5</v>
      </c>
      <c r="AJ88" t="s">
        <v>558</v>
      </c>
      <c r="AK88" t="s">
        <v>945</v>
      </c>
      <c r="AL88" t="s">
        <v>274</v>
      </c>
      <c r="AQ88" t="s">
        <v>1033</v>
      </c>
      <c r="AR88" t="s">
        <v>1053</v>
      </c>
      <c r="AT88">
        <v>0</v>
      </c>
      <c r="AU88">
        <v>1</v>
      </c>
      <c r="AV88" t="s">
        <v>273</v>
      </c>
      <c r="AY88" t="s">
        <v>273</v>
      </c>
      <c r="BB88">
        <v>0</v>
      </c>
      <c r="BC88">
        <v>0</v>
      </c>
      <c r="BD88">
        <v>0</v>
      </c>
      <c r="BE88">
        <v>0</v>
      </c>
      <c r="BF88" t="s">
        <v>493</v>
      </c>
      <c r="BG88" t="s">
        <v>6543</v>
      </c>
      <c r="BH88">
        <v>38</v>
      </c>
      <c r="BI88" t="s">
        <v>1247</v>
      </c>
      <c r="BK88">
        <v>1906664</v>
      </c>
    </row>
    <row r="89" spans="1:64">
      <c r="A89" s="1">
        <f>HYPERLINK("https://lsnyc.legalserver.org/matter/dynamic-profile/view/1905823","19-1905823")</f>
        <v>0</v>
      </c>
      <c r="B89" t="s">
        <v>5162</v>
      </c>
      <c r="C89" t="s">
        <v>5625</v>
      </c>
      <c r="D89" t="s">
        <v>252</v>
      </c>
      <c r="E89" t="s">
        <v>5630</v>
      </c>
      <c r="F89" t="s">
        <v>274</v>
      </c>
      <c r="G89" t="s">
        <v>274</v>
      </c>
      <c r="H89">
        <v>0</v>
      </c>
      <c r="I89" t="s">
        <v>274</v>
      </c>
      <c r="K89" t="s">
        <v>468</v>
      </c>
      <c r="O89" t="s">
        <v>275</v>
      </c>
      <c r="P89" t="s">
        <v>499</v>
      </c>
      <c r="Q89" t="s">
        <v>501</v>
      </c>
      <c r="S89" t="s">
        <v>503</v>
      </c>
      <c r="T89" t="s">
        <v>507</v>
      </c>
      <c r="U89" t="s">
        <v>511</v>
      </c>
      <c r="V89">
        <v>11207</v>
      </c>
      <c r="W89" t="s">
        <v>521</v>
      </c>
      <c r="X89" t="s">
        <v>549</v>
      </c>
      <c r="Z89" t="s">
        <v>5743</v>
      </c>
      <c r="AA89" t="s">
        <v>2306</v>
      </c>
      <c r="AB89" t="s">
        <v>902</v>
      </c>
      <c r="AC89" t="s">
        <v>905</v>
      </c>
      <c r="AF89" t="s">
        <v>923</v>
      </c>
      <c r="AI89">
        <v>3.5</v>
      </c>
      <c r="AJ89" t="s">
        <v>558</v>
      </c>
      <c r="AK89" t="s">
        <v>939</v>
      </c>
      <c r="AL89" t="s">
        <v>274</v>
      </c>
      <c r="AT89">
        <v>0</v>
      </c>
      <c r="AU89">
        <v>1</v>
      </c>
      <c r="AV89" t="s">
        <v>273</v>
      </c>
      <c r="AY89" t="s">
        <v>273</v>
      </c>
      <c r="BB89">
        <v>0</v>
      </c>
      <c r="BC89">
        <v>0</v>
      </c>
      <c r="BD89">
        <v>0</v>
      </c>
      <c r="BE89">
        <v>0</v>
      </c>
      <c r="BF89" t="s">
        <v>1063</v>
      </c>
      <c r="BG89" t="s">
        <v>6544</v>
      </c>
      <c r="BH89">
        <v>32</v>
      </c>
      <c r="BI89" t="s">
        <v>1247</v>
      </c>
      <c r="BK89">
        <v>1906478</v>
      </c>
    </row>
    <row r="90" spans="1:64">
      <c r="A90" s="1">
        <f>HYPERLINK("https://lsnyc.legalserver.org/matter/dynamic-profile/view/1905854","19-1905854")</f>
        <v>0</v>
      </c>
      <c r="B90" t="s">
        <v>5163</v>
      </c>
      <c r="C90" t="s">
        <v>5625</v>
      </c>
      <c r="D90" t="s">
        <v>255</v>
      </c>
      <c r="E90" t="s">
        <v>3694</v>
      </c>
      <c r="F90" t="s">
        <v>274</v>
      </c>
      <c r="G90" t="s">
        <v>274</v>
      </c>
      <c r="H90">
        <v>0</v>
      </c>
      <c r="I90" t="s">
        <v>274</v>
      </c>
      <c r="K90" t="s">
        <v>468</v>
      </c>
      <c r="O90" t="s">
        <v>275</v>
      </c>
      <c r="Q90" t="s">
        <v>501</v>
      </c>
      <c r="S90" t="s">
        <v>503</v>
      </c>
      <c r="T90" t="s">
        <v>508</v>
      </c>
      <c r="U90" t="s">
        <v>511</v>
      </c>
      <c r="V90">
        <v>10027</v>
      </c>
      <c r="W90" t="s">
        <v>521</v>
      </c>
      <c r="X90" t="s">
        <v>549</v>
      </c>
      <c r="Z90" t="s">
        <v>5744</v>
      </c>
      <c r="AA90" t="s">
        <v>6125</v>
      </c>
      <c r="AB90" t="s">
        <v>902</v>
      </c>
      <c r="AC90" t="s">
        <v>905</v>
      </c>
      <c r="AF90" t="s">
        <v>923</v>
      </c>
      <c r="AI90">
        <v>2.45</v>
      </c>
      <c r="AJ90" t="s">
        <v>558</v>
      </c>
      <c r="AK90" t="s">
        <v>961</v>
      </c>
      <c r="AL90" t="s">
        <v>274</v>
      </c>
      <c r="AT90">
        <v>0</v>
      </c>
      <c r="AU90">
        <v>1</v>
      </c>
      <c r="AV90" t="s">
        <v>273</v>
      </c>
      <c r="AY90" t="s">
        <v>273</v>
      </c>
      <c r="BB90">
        <v>0</v>
      </c>
      <c r="BC90">
        <v>0</v>
      </c>
      <c r="BD90">
        <v>0</v>
      </c>
      <c r="BE90">
        <v>0</v>
      </c>
      <c r="BF90" t="s">
        <v>1063</v>
      </c>
      <c r="BG90" t="s">
        <v>6545</v>
      </c>
      <c r="BH90">
        <v>38</v>
      </c>
      <c r="BI90" t="s">
        <v>1247</v>
      </c>
      <c r="BK90">
        <v>1906509</v>
      </c>
    </row>
    <row r="91" spans="1:64">
      <c r="A91" s="1">
        <f>HYPERLINK("https://lsnyc.legalserver.org/matter/dynamic-profile/view/1905162","19-1905162")</f>
        <v>0</v>
      </c>
      <c r="B91" t="s">
        <v>5164</v>
      </c>
      <c r="C91" t="s">
        <v>5625</v>
      </c>
      <c r="D91" t="s">
        <v>1641</v>
      </c>
      <c r="E91" t="s">
        <v>5630</v>
      </c>
      <c r="F91" t="s">
        <v>274</v>
      </c>
      <c r="G91" t="s">
        <v>274</v>
      </c>
      <c r="H91">
        <v>116.86</v>
      </c>
      <c r="I91" t="s">
        <v>274</v>
      </c>
      <c r="K91" t="s">
        <v>1003</v>
      </c>
      <c r="Q91" t="s">
        <v>501</v>
      </c>
      <c r="S91" t="s">
        <v>503</v>
      </c>
      <c r="T91" t="s">
        <v>507</v>
      </c>
      <c r="U91" t="s">
        <v>511</v>
      </c>
      <c r="V91">
        <v>11554</v>
      </c>
      <c r="W91" t="s">
        <v>532</v>
      </c>
      <c r="X91" t="s">
        <v>1842</v>
      </c>
      <c r="Z91" t="s">
        <v>5745</v>
      </c>
      <c r="AA91" t="s">
        <v>3122</v>
      </c>
      <c r="AB91" t="s">
        <v>902</v>
      </c>
      <c r="AC91" t="s">
        <v>905</v>
      </c>
      <c r="AF91" t="s">
        <v>923</v>
      </c>
      <c r="AI91">
        <v>7.85</v>
      </c>
      <c r="AJ91" t="s">
        <v>558</v>
      </c>
      <c r="AK91" t="s">
        <v>2375</v>
      </c>
      <c r="AL91" t="s">
        <v>274</v>
      </c>
      <c r="AT91">
        <v>2</v>
      </c>
      <c r="AU91">
        <v>3</v>
      </c>
      <c r="AV91" t="s">
        <v>273</v>
      </c>
      <c r="AY91" t="s">
        <v>273</v>
      </c>
      <c r="BB91">
        <v>0</v>
      </c>
      <c r="BC91">
        <v>0</v>
      </c>
      <c r="BD91">
        <v>0</v>
      </c>
      <c r="BE91">
        <v>0</v>
      </c>
      <c r="BF91" t="s">
        <v>1063</v>
      </c>
      <c r="BG91" t="s">
        <v>6546</v>
      </c>
      <c r="BH91">
        <v>62</v>
      </c>
      <c r="BI91" t="s">
        <v>7004</v>
      </c>
      <c r="BK91">
        <v>1905817</v>
      </c>
    </row>
    <row r="92" spans="1:64">
      <c r="A92" s="1">
        <f>HYPERLINK("https://lsnyc.legalserver.org/matter/dynamic-profile/view/1901619","19-1901619")</f>
        <v>0</v>
      </c>
      <c r="B92" t="s">
        <v>5165</v>
      </c>
      <c r="C92" t="s">
        <v>5625</v>
      </c>
      <c r="D92" t="s">
        <v>252</v>
      </c>
      <c r="E92" t="s">
        <v>5630</v>
      </c>
      <c r="F92" t="s">
        <v>274</v>
      </c>
      <c r="G92" t="s">
        <v>274</v>
      </c>
      <c r="H92">
        <v>0</v>
      </c>
      <c r="I92" t="s">
        <v>274</v>
      </c>
      <c r="K92" t="s">
        <v>1681</v>
      </c>
      <c r="Q92" t="s">
        <v>501</v>
      </c>
      <c r="S92" t="s">
        <v>503</v>
      </c>
      <c r="T92" t="s">
        <v>508</v>
      </c>
      <c r="U92" t="s">
        <v>511</v>
      </c>
      <c r="V92">
        <v>11203</v>
      </c>
      <c r="W92" t="s">
        <v>536</v>
      </c>
      <c r="X92" t="s">
        <v>549</v>
      </c>
      <c r="Y92" t="s">
        <v>275</v>
      </c>
      <c r="Z92" t="s">
        <v>5746</v>
      </c>
      <c r="AA92" t="s">
        <v>6126</v>
      </c>
      <c r="AB92" t="s">
        <v>902</v>
      </c>
      <c r="AC92" t="s">
        <v>905</v>
      </c>
      <c r="AF92" t="s">
        <v>923</v>
      </c>
      <c r="AI92">
        <v>7.1</v>
      </c>
      <c r="AJ92" t="s">
        <v>558</v>
      </c>
      <c r="AK92" t="s">
        <v>939</v>
      </c>
      <c r="AL92" t="s">
        <v>274</v>
      </c>
      <c r="AT92">
        <v>0</v>
      </c>
      <c r="AU92">
        <v>1</v>
      </c>
      <c r="AV92" t="s">
        <v>273</v>
      </c>
      <c r="AY92" t="s">
        <v>273</v>
      </c>
      <c r="BB92">
        <v>0</v>
      </c>
      <c r="BC92">
        <v>0</v>
      </c>
      <c r="BD92">
        <v>0</v>
      </c>
      <c r="BE92">
        <v>0</v>
      </c>
      <c r="BF92" t="s">
        <v>1063</v>
      </c>
      <c r="BG92" t="s">
        <v>6547</v>
      </c>
      <c r="BH92">
        <v>39</v>
      </c>
      <c r="BI92" t="s">
        <v>1247</v>
      </c>
      <c r="BK92">
        <v>1902272</v>
      </c>
    </row>
    <row r="93" spans="1:64">
      <c r="A93" s="1">
        <f>HYPERLINK("https://lsnyc.legalserver.org/matter/dynamic-profile/view/1903366","19-1903366")</f>
        <v>0</v>
      </c>
      <c r="B93" t="s">
        <v>5166</v>
      </c>
      <c r="C93" t="s">
        <v>5625</v>
      </c>
      <c r="D93" t="s">
        <v>252</v>
      </c>
      <c r="E93" t="s">
        <v>3694</v>
      </c>
      <c r="F93" t="s">
        <v>274</v>
      </c>
      <c r="G93" t="s">
        <v>274</v>
      </c>
      <c r="H93">
        <v>85.33</v>
      </c>
      <c r="I93" t="s">
        <v>274</v>
      </c>
      <c r="K93" t="s">
        <v>1681</v>
      </c>
      <c r="P93" t="s">
        <v>492</v>
      </c>
      <c r="Q93" t="s">
        <v>502</v>
      </c>
      <c r="S93" t="s">
        <v>503</v>
      </c>
      <c r="T93" t="s">
        <v>507</v>
      </c>
      <c r="U93" t="s">
        <v>511</v>
      </c>
      <c r="V93">
        <v>11204</v>
      </c>
      <c r="W93" t="s">
        <v>520</v>
      </c>
      <c r="X93" t="s">
        <v>548</v>
      </c>
      <c r="Z93" t="s">
        <v>5747</v>
      </c>
      <c r="AA93" t="s">
        <v>6127</v>
      </c>
      <c r="AB93" t="s">
        <v>902</v>
      </c>
      <c r="AC93" t="s">
        <v>905</v>
      </c>
      <c r="AF93" t="s">
        <v>923</v>
      </c>
      <c r="AI93">
        <v>1.45</v>
      </c>
      <c r="AK93" t="s">
        <v>941</v>
      </c>
      <c r="AL93" t="s">
        <v>274</v>
      </c>
      <c r="AT93">
        <v>2</v>
      </c>
      <c r="AU93">
        <v>1</v>
      </c>
      <c r="AV93" t="s">
        <v>273</v>
      </c>
      <c r="AY93" t="s">
        <v>273</v>
      </c>
      <c r="BB93">
        <v>0</v>
      </c>
      <c r="BC93">
        <v>0</v>
      </c>
      <c r="BD93">
        <v>0</v>
      </c>
      <c r="BE93">
        <v>0</v>
      </c>
      <c r="BF93" t="s">
        <v>1063</v>
      </c>
      <c r="BG93" t="s">
        <v>6548</v>
      </c>
      <c r="BH93">
        <v>16</v>
      </c>
      <c r="BI93" t="s">
        <v>7005</v>
      </c>
      <c r="BK93">
        <v>1896229</v>
      </c>
    </row>
    <row r="94" spans="1:64">
      <c r="A94" s="1">
        <f>HYPERLINK("https://lsnyc.legalserver.org/matter/dynamic-profile/view/1903383","19-1903383")</f>
        <v>0</v>
      </c>
      <c r="B94" t="s">
        <v>5167</v>
      </c>
      <c r="C94" t="s">
        <v>5625</v>
      </c>
      <c r="D94" t="s">
        <v>255</v>
      </c>
      <c r="E94" t="s">
        <v>3694</v>
      </c>
      <c r="F94" t="s">
        <v>274</v>
      </c>
      <c r="G94" t="s">
        <v>274</v>
      </c>
      <c r="H94">
        <v>48.04</v>
      </c>
      <c r="I94" t="s">
        <v>274</v>
      </c>
      <c r="K94" t="s">
        <v>1681</v>
      </c>
      <c r="P94" t="s">
        <v>497</v>
      </c>
      <c r="Q94" t="s">
        <v>502</v>
      </c>
      <c r="S94" t="s">
        <v>503</v>
      </c>
      <c r="T94" t="s">
        <v>508</v>
      </c>
      <c r="U94" t="s">
        <v>511</v>
      </c>
      <c r="V94">
        <v>10457</v>
      </c>
      <c r="W94" t="s">
        <v>520</v>
      </c>
      <c r="X94" t="s">
        <v>548</v>
      </c>
      <c r="Z94" t="s">
        <v>5748</v>
      </c>
      <c r="AA94" t="s">
        <v>6128</v>
      </c>
      <c r="AB94" t="s">
        <v>902</v>
      </c>
      <c r="AC94" t="s">
        <v>905</v>
      </c>
      <c r="AF94" t="s">
        <v>923</v>
      </c>
      <c r="AI94">
        <v>1.1</v>
      </c>
      <c r="AK94" t="s">
        <v>934</v>
      </c>
      <c r="AL94" t="s">
        <v>274</v>
      </c>
      <c r="AT94">
        <v>0</v>
      </c>
      <c r="AU94">
        <v>1</v>
      </c>
      <c r="AV94" t="s">
        <v>273</v>
      </c>
      <c r="AY94" t="s">
        <v>273</v>
      </c>
      <c r="BB94">
        <v>0</v>
      </c>
      <c r="BC94">
        <v>0</v>
      </c>
      <c r="BD94">
        <v>0</v>
      </c>
      <c r="BE94">
        <v>0</v>
      </c>
      <c r="BF94" t="s">
        <v>1063</v>
      </c>
      <c r="BG94" t="s">
        <v>6549</v>
      </c>
      <c r="BH94">
        <v>19</v>
      </c>
      <c r="BI94" t="s">
        <v>1266</v>
      </c>
      <c r="BK94">
        <v>1896348</v>
      </c>
    </row>
    <row r="95" spans="1:64">
      <c r="A95" s="1">
        <f>HYPERLINK("https://lsnyc.legalserver.org/matter/dynamic-profile/view/1903403","19-1903403")</f>
        <v>0</v>
      </c>
      <c r="B95" t="s">
        <v>5168</v>
      </c>
      <c r="C95" t="s">
        <v>5625</v>
      </c>
      <c r="D95" t="s">
        <v>253</v>
      </c>
      <c r="E95" t="s">
        <v>3694</v>
      </c>
      <c r="F95" t="s">
        <v>274</v>
      </c>
      <c r="G95" t="s">
        <v>274</v>
      </c>
      <c r="H95">
        <v>114.95</v>
      </c>
      <c r="I95" t="s">
        <v>274</v>
      </c>
      <c r="K95" t="s">
        <v>1681</v>
      </c>
      <c r="P95" t="s">
        <v>492</v>
      </c>
      <c r="Q95" t="s">
        <v>502</v>
      </c>
      <c r="S95" t="s">
        <v>503</v>
      </c>
      <c r="T95" t="s">
        <v>507</v>
      </c>
      <c r="U95" t="s">
        <v>511</v>
      </c>
      <c r="V95">
        <v>11692</v>
      </c>
      <c r="W95" t="s">
        <v>520</v>
      </c>
      <c r="X95" t="s">
        <v>548</v>
      </c>
      <c r="Z95" t="s">
        <v>2005</v>
      </c>
      <c r="AA95" t="s">
        <v>6129</v>
      </c>
      <c r="AB95" t="s">
        <v>902</v>
      </c>
      <c r="AC95" t="s">
        <v>905</v>
      </c>
      <c r="AF95" t="s">
        <v>923</v>
      </c>
      <c r="AI95">
        <v>1.05</v>
      </c>
      <c r="AK95" t="s">
        <v>934</v>
      </c>
      <c r="AL95" t="s">
        <v>274</v>
      </c>
      <c r="AT95">
        <v>2</v>
      </c>
      <c r="AU95">
        <v>4</v>
      </c>
      <c r="AV95" t="s">
        <v>273</v>
      </c>
      <c r="AY95" t="s">
        <v>273</v>
      </c>
      <c r="BB95">
        <v>0</v>
      </c>
      <c r="BC95">
        <v>0</v>
      </c>
      <c r="BD95">
        <v>0</v>
      </c>
      <c r="BE95">
        <v>0</v>
      </c>
      <c r="BF95" t="s">
        <v>1063</v>
      </c>
      <c r="BG95" t="s">
        <v>6550</v>
      </c>
      <c r="BH95">
        <v>15</v>
      </c>
      <c r="BI95" t="s">
        <v>7006</v>
      </c>
      <c r="BK95">
        <v>1895424</v>
      </c>
    </row>
    <row r="96" spans="1:64">
      <c r="A96" s="1">
        <f>HYPERLINK("https://lsnyc.legalserver.org/matter/dynamic-profile/view/1903405","19-1903405")</f>
        <v>0</v>
      </c>
      <c r="B96" t="s">
        <v>5169</v>
      </c>
      <c r="C96" t="s">
        <v>5625</v>
      </c>
      <c r="D96" t="s">
        <v>253</v>
      </c>
      <c r="E96" t="s">
        <v>3694</v>
      </c>
      <c r="F96" t="s">
        <v>274</v>
      </c>
      <c r="G96" t="s">
        <v>274</v>
      </c>
      <c r="H96">
        <v>114.95</v>
      </c>
      <c r="I96" t="s">
        <v>274</v>
      </c>
      <c r="K96" t="s">
        <v>1681</v>
      </c>
      <c r="P96" t="s">
        <v>492</v>
      </c>
      <c r="Q96" t="s">
        <v>502</v>
      </c>
      <c r="S96" t="s">
        <v>503</v>
      </c>
      <c r="T96" t="s">
        <v>508</v>
      </c>
      <c r="U96" t="s">
        <v>511</v>
      </c>
      <c r="V96">
        <v>11692</v>
      </c>
      <c r="W96" t="s">
        <v>520</v>
      </c>
      <c r="X96" t="s">
        <v>548</v>
      </c>
      <c r="Z96" t="s">
        <v>5749</v>
      </c>
      <c r="AA96" t="s">
        <v>6129</v>
      </c>
      <c r="AB96" t="s">
        <v>902</v>
      </c>
      <c r="AC96" t="s">
        <v>905</v>
      </c>
      <c r="AF96" t="s">
        <v>923</v>
      </c>
      <c r="AI96">
        <v>0.05</v>
      </c>
      <c r="AK96" t="s">
        <v>948</v>
      </c>
      <c r="AL96" t="s">
        <v>274</v>
      </c>
      <c r="AT96">
        <v>2</v>
      </c>
      <c r="AU96">
        <v>4</v>
      </c>
      <c r="AV96" t="s">
        <v>273</v>
      </c>
      <c r="AY96" t="s">
        <v>273</v>
      </c>
      <c r="BB96">
        <v>0</v>
      </c>
      <c r="BC96">
        <v>0</v>
      </c>
      <c r="BD96">
        <v>0</v>
      </c>
      <c r="BE96">
        <v>0</v>
      </c>
      <c r="BF96" t="s">
        <v>1063</v>
      </c>
      <c r="BG96" t="s">
        <v>6551</v>
      </c>
      <c r="BH96">
        <v>13</v>
      </c>
      <c r="BI96" t="s">
        <v>7006</v>
      </c>
      <c r="BK96">
        <v>1895424</v>
      </c>
    </row>
    <row r="97" spans="1:63">
      <c r="A97" s="1">
        <f>HYPERLINK("https://lsnyc.legalserver.org/matter/dynamic-profile/view/1903407","19-1903407")</f>
        <v>0</v>
      </c>
      <c r="B97" t="s">
        <v>5170</v>
      </c>
      <c r="C97" t="s">
        <v>5625</v>
      </c>
      <c r="D97" t="s">
        <v>252</v>
      </c>
      <c r="E97" t="s">
        <v>3694</v>
      </c>
      <c r="F97" t="s">
        <v>274</v>
      </c>
      <c r="G97" t="s">
        <v>274</v>
      </c>
      <c r="H97">
        <v>0</v>
      </c>
      <c r="I97" t="s">
        <v>274</v>
      </c>
      <c r="K97" t="s">
        <v>1681</v>
      </c>
      <c r="P97" t="s">
        <v>492</v>
      </c>
      <c r="Q97" t="s">
        <v>502</v>
      </c>
      <c r="S97" t="s">
        <v>503</v>
      </c>
      <c r="T97" t="s">
        <v>507</v>
      </c>
      <c r="U97" t="s">
        <v>511</v>
      </c>
      <c r="V97">
        <v>11224</v>
      </c>
      <c r="W97" t="s">
        <v>520</v>
      </c>
      <c r="X97" t="s">
        <v>553</v>
      </c>
      <c r="Z97" t="s">
        <v>5750</v>
      </c>
      <c r="AA97" t="s">
        <v>6130</v>
      </c>
      <c r="AB97" t="s">
        <v>902</v>
      </c>
      <c r="AC97" t="s">
        <v>905</v>
      </c>
      <c r="AF97" t="s">
        <v>923</v>
      </c>
      <c r="AI97">
        <v>0.25</v>
      </c>
      <c r="AK97" t="s">
        <v>948</v>
      </c>
      <c r="AL97" t="s">
        <v>274</v>
      </c>
      <c r="AT97">
        <v>2</v>
      </c>
      <c r="AU97">
        <v>2</v>
      </c>
      <c r="AV97" t="s">
        <v>273</v>
      </c>
      <c r="AY97" t="s">
        <v>273</v>
      </c>
      <c r="BB97">
        <v>0</v>
      </c>
      <c r="BC97">
        <v>0</v>
      </c>
      <c r="BD97">
        <v>0</v>
      </c>
      <c r="BE97">
        <v>0</v>
      </c>
      <c r="BF97" t="s">
        <v>1063</v>
      </c>
      <c r="BG97" t="s">
        <v>6552</v>
      </c>
      <c r="BH97">
        <v>16</v>
      </c>
      <c r="BI97" t="s">
        <v>1247</v>
      </c>
      <c r="BK97">
        <v>1889665</v>
      </c>
    </row>
    <row r="98" spans="1:63">
      <c r="A98" s="1">
        <f>HYPERLINK("https://lsnyc.legalserver.org/matter/dynamic-profile/view/1903411","19-1903411")</f>
        <v>0</v>
      </c>
      <c r="B98" t="s">
        <v>5171</v>
      </c>
      <c r="C98" t="s">
        <v>5625</v>
      </c>
      <c r="D98" t="s">
        <v>257</v>
      </c>
      <c r="E98" t="s">
        <v>3694</v>
      </c>
      <c r="F98" t="s">
        <v>274</v>
      </c>
      <c r="G98" t="s">
        <v>274</v>
      </c>
      <c r="H98">
        <v>24.6</v>
      </c>
      <c r="I98" t="s">
        <v>274</v>
      </c>
      <c r="K98" t="s">
        <v>1681</v>
      </c>
      <c r="P98" t="s">
        <v>492</v>
      </c>
      <c r="Q98" t="s">
        <v>502</v>
      </c>
      <c r="S98" t="s">
        <v>503</v>
      </c>
      <c r="T98" t="s">
        <v>508</v>
      </c>
      <c r="U98" t="s">
        <v>511</v>
      </c>
      <c r="V98">
        <v>10451</v>
      </c>
      <c r="W98" t="s">
        <v>520</v>
      </c>
      <c r="X98" t="s">
        <v>548</v>
      </c>
      <c r="Z98" t="s">
        <v>5751</v>
      </c>
      <c r="AA98" t="s">
        <v>6131</v>
      </c>
      <c r="AB98" t="s">
        <v>902</v>
      </c>
      <c r="AC98" t="s">
        <v>905</v>
      </c>
      <c r="AF98" t="s">
        <v>923</v>
      </c>
      <c r="AI98">
        <v>0.95</v>
      </c>
      <c r="AK98" t="s">
        <v>934</v>
      </c>
      <c r="AL98" t="s">
        <v>274</v>
      </c>
      <c r="AT98">
        <v>1</v>
      </c>
      <c r="AU98">
        <v>1</v>
      </c>
      <c r="AV98" t="s">
        <v>273</v>
      </c>
      <c r="AY98" t="s">
        <v>273</v>
      </c>
      <c r="BB98">
        <v>0</v>
      </c>
      <c r="BC98">
        <v>0</v>
      </c>
      <c r="BD98">
        <v>0</v>
      </c>
      <c r="BE98">
        <v>0</v>
      </c>
      <c r="BF98" t="s">
        <v>1063</v>
      </c>
      <c r="BG98" t="s">
        <v>6553</v>
      </c>
      <c r="BH98">
        <v>22</v>
      </c>
      <c r="BI98" t="s">
        <v>7007</v>
      </c>
      <c r="BK98">
        <v>1888822</v>
      </c>
    </row>
    <row r="99" spans="1:63">
      <c r="A99" s="1">
        <f>HYPERLINK("https://lsnyc.legalserver.org/matter/dynamic-profile/view/1903414","19-1903414")</f>
        <v>0</v>
      </c>
      <c r="B99" t="s">
        <v>5172</v>
      </c>
      <c r="C99" t="s">
        <v>5625</v>
      </c>
      <c r="D99" t="s">
        <v>253</v>
      </c>
      <c r="E99" t="s">
        <v>3694</v>
      </c>
      <c r="F99" t="s">
        <v>274</v>
      </c>
      <c r="G99" t="s">
        <v>274</v>
      </c>
      <c r="H99">
        <v>121.17</v>
      </c>
      <c r="I99" t="s">
        <v>274</v>
      </c>
      <c r="K99" t="s">
        <v>1681</v>
      </c>
      <c r="P99" t="s">
        <v>492</v>
      </c>
      <c r="Q99" t="s">
        <v>502</v>
      </c>
      <c r="S99" t="s">
        <v>503</v>
      </c>
      <c r="T99" t="s">
        <v>508</v>
      </c>
      <c r="U99" t="s">
        <v>511</v>
      </c>
      <c r="V99">
        <v>11433</v>
      </c>
      <c r="W99" t="s">
        <v>520</v>
      </c>
      <c r="X99" t="s">
        <v>548</v>
      </c>
      <c r="Z99" t="s">
        <v>5752</v>
      </c>
      <c r="AA99" t="s">
        <v>6132</v>
      </c>
      <c r="AB99" t="s">
        <v>902</v>
      </c>
      <c r="AC99" t="s">
        <v>905</v>
      </c>
      <c r="AF99" t="s">
        <v>923</v>
      </c>
      <c r="AI99">
        <v>0.05</v>
      </c>
      <c r="AK99" t="s">
        <v>934</v>
      </c>
      <c r="AL99" t="s">
        <v>274</v>
      </c>
      <c r="AT99">
        <v>2</v>
      </c>
      <c r="AU99">
        <v>2</v>
      </c>
      <c r="AV99" t="s">
        <v>273</v>
      </c>
      <c r="AY99" t="s">
        <v>273</v>
      </c>
      <c r="BB99">
        <v>0</v>
      </c>
      <c r="BC99">
        <v>0</v>
      </c>
      <c r="BD99">
        <v>0</v>
      </c>
      <c r="BE99">
        <v>0</v>
      </c>
      <c r="BF99" t="s">
        <v>1063</v>
      </c>
      <c r="BG99" t="s">
        <v>6554</v>
      </c>
      <c r="BH99">
        <v>16</v>
      </c>
      <c r="BI99" t="s">
        <v>1254</v>
      </c>
      <c r="BK99">
        <v>1881953</v>
      </c>
    </row>
    <row r="100" spans="1:63">
      <c r="A100" s="1">
        <f>HYPERLINK("https://lsnyc.legalserver.org/matter/dynamic-profile/view/1903422","19-1903422")</f>
        <v>0</v>
      </c>
      <c r="B100" t="s">
        <v>5173</v>
      </c>
      <c r="C100" t="s">
        <v>5625</v>
      </c>
      <c r="D100" t="s">
        <v>257</v>
      </c>
      <c r="E100" t="s">
        <v>3694</v>
      </c>
      <c r="F100" t="s">
        <v>274</v>
      </c>
      <c r="G100" t="s">
        <v>274</v>
      </c>
      <c r="H100">
        <v>0</v>
      </c>
      <c r="I100" t="s">
        <v>274</v>
      </c>
      <c r="K100" t="s">
        <v>1681</v>
      </c>
      <c r="O100" t="s">
        <v>275</v>
      </c>
      <c r="P100" t="s">
        <v>492</v>
      </c>
      <c r="Q100" t="s">
        <v>502</v>
      </c>
      <c r="S100" t="s">
        <v>503</v>
      </c>
      <c r="T100" t="s">
        <v>507</v>
      </c>
      <c r="U100" t="s">
        <v>511</v>
      </c>
      <c r="V100">
        <v>10474</v>
      </c>
      <c r="W100" t="s">
        <v>520</v>
      </c>
      <c r="X100" t="s">
        <v>548</v>
      </c>
      <c r="Z100" t="s">
        <v>2067</v>
      </c>
      <c r="AA100" t="s">
        <v>6133</v>
      </c>
      <c r="AB100" t="s">
        <v>902</v>
      </c>
      <c r="AC100" t="s">
        <v>905</v>
      </c>
      <c r="AF100" t="s">
        <v>923</v>
      </c>
      <c r="AI100">
        <v>0.4</v>
      </c>
      <c r="AK100" t="s">
        <v>934</v>
      </c>
      <c r="AL100" t="s">
        <v>275</v>
      </c>
      <c r="AT100">
        <v>0</v>
      </c>
      <c r="AU100">
        <v>1</v>
      </c>
      <c r="AV100" t="s">
        <v>273</v>
      </c>
      <c r="AY100" t="s">
        <v>273</v>
      </c>
      <c r="BB100">
        <v>0</v>
      </c>
      <c r="BC100">
        <v>0</v>
      </c>
      <c r="BD100">
        <v>0</v>
      </c>
      <c r="BE100">
        <v>0</v>
      </c>
      <c r="BF100" t="s">
        <v>1063</v>
      </c>
      <c r="BG100" t="s">
        <v>6555</v>
      </c>
      <c r="BH100">
        <v>19</v>
      </c>
      <c r="BI100" t="s">
        <v>1247</v>
      </c>
      <c r="BK100">
        <v>1868983</v>
      </c>
    </row>
    <row r="101" spans="1:63">
      <c r="A101" s="1">
        <f>HYPERLINK("https://lsnyc.legalserver.org/matter/dynamic-profile/view/1903444","19-1903444")</f>
        <v>0</v>
      </c>
      <c r="B101" t="s">
        <v>5174</v>
      </c>
      <c r="C101" t="s">
        <v>5625</v>
      </c>
      <c r="D101" t="s">
        <v>257</v>
      </c>
      <c r="E101" t="s">
        <v>5630</v>
      </c>
      <c r="F101" t="s">
        <v>273</v>
      </c>
      <c r="G101" t="s">
        <v>275</v>
      </c>
      <c r="H101">
        <v>46.13</v>
      </c>
      <c r="I101" t="s">
        <v>274</v>
      </c>
      <c r="K101" t="s">
        <v>1681</v>
      </c>
      <c r="P101" t="s">
        <v>492</v>
      </c>
      <c r="Q101" t="s">
        <v>502</v>
      </c>
      <c r="S101" t="s">
        <v>503</v>
      </c>
      <c r="T101" t="s">
        <v>508</v>
      </c>
      <c r="U101" t="s">
        <v>511</v>
      </c>
      <c r="V101">
        <v>10458</v>
      </c>
      <c r="W101" t="s">
        <v>518</v>
      </c>
      <c r="X101" t="s">
        <v>548</v>
      </c>
      <c r="Y101" t="s">
        <v>275</v>
      </c>
      <c r="Z101" t="s">
        <v>5753</v>
      </c>
      <c r="AA101" t="s">
        <v>6070</v>
      </c>
      <c r="AB101" t="s">
        <v>902</v>
      </c>
      <c r="AC101" t="s">
        <v>905</v>
      </c>
      <c r="AF101" t="s">
        <v>926</v>
      </c>
      <c r="AI101">
        <v>2.6</v>
      </c>
      <c r="AJ101" t="s">
        <v>558</v>
      </c>
      <c r="AK101" t="s">
        <v>934</v>
      </c>
      <c r="AL101" t="s">
        <v>274</v>
      </c>
      <c r="AT101">
        <v>1</v>
      </c>
      <c r="AU101">
        <v>1</v>
      </c>
      <c r="AV101" t="s">
        <v>273</v>
      </c>
      <c r="AY101" t="s">
        <v>273</v>
      </c>
      <c r="BB101">
        <v>0</v>
      </c>
      <c r="BC101">
        <v>0</v>
      </c>
      <c r="BD101">
        <v>0</v>
      </c>
      <c r="BE101">
        <v>0</v>
      </c>
      <c r="BF101" t="s">
        <v>1063</v>
      </c>
      <c r="BG101" t="s">
        <v>6556</v>
      </c>
      <c r="BH101">
        <v>4</v>
      </c>
      <c r="BI101" t="s">
        <v>2771</v>
      </c>
      <c r="BK101">
        <v>1899716</v>
      </c>
    </row>
    <row r="102" spans="1:63">
      <c r="A102" s="1">
        <f>HYPERLINK("https://lsnyc.legalserver.org/matter/dynamic-profile/view/1903451","19-1903451")</f>
        <v>0</v>
      </c>
      <c r="B102" t="s">
        <v>5175</v>
      </c>
      <c r="C102" t="s">
        <v>5625</v>
      </c>
      <c r="D102" t="s">
        <v>252</v>
      </c>
      <c r="E102" t="s">
        <v>3694</v>
      </c>
      <c r="F102" t="s">
        <v>273</v>
      </c>
      <c r="G102" t="s">
        <v>275</v>
      </c>
      <c r="H102">
        <v>64.05</v>
      </c>
      <c r="I102" t="s">
        <v>274</v>
      </c>
      <c r="K102" t="s">
        <v>1681</v>
      </c>
      <c r="P102" t="s">
        <v>492</v>
      </c>
      <c r="Q102" t="s">
        <v>502</v>
      </c>
      <c r="S102" t="s">
        <v>503</v>
      </c>
      <c r="T102" t="s">
        <v>508</v>
      </c>
      <c r="U102" t="s">
        <v>511</v>
      </c>
      <c r="V102">
        <v>11235</v>
      </c>
      <c r="W102" t="s">
        <v>529</v>
      </c>
      <c r="Z102" t="s">
        <v>1866</v>
      </c>
      <c r="AA102" t="s">
        <v>6134</v>
      </c>
      <c r="AB102" t="s">
        <v>902</v>
      </c>
      <c r="AC102" t="s">
        <v>905</v>
      </c>
      <c r="AF102" t="s">
        <v>923</v>
      </c>
      <c r="AI102">
        <v>5</v>
      </c>
      <c r="AK102" t="s">
        <v>936</v>
      </c>
      <c r="AL102" t="s">
        <v>274</v>
      </c>
      <c r="AT102">
        <v>0</v>
      </c>
      <c r="AU102">
        <v>1</v>
      </c>
      <c r="AV102" t="s">
        <v>273</v>
      </c>
      <c r="AY102" t="s">
        <v>273</v>
      </c>
      <c r="BB102">
        <v>0</v>
      </c>
      <c r="BC102">
        <v>0</v>
      </c>
      <c r="BD102">
        <v>0</v>
      </c>
      <c r="BE102">
        <v>0</v>
      </c>
      <c r="BF102" t="s">
        <v>1063</v>
      </c>
      <c r="BG102" t="s">
        <v>6557</v>
      </c>
      <c r="BH102">
        <v>20</v>
      </c>
      <c r="BI102" t="s">
        <v>2758</v>
      </c>
      <c r="BK102">
        <v>1904103</v>
      </c>
    </row>
    <row r="103" spans="1:63">
      <c r="A103" s="1">
        <f>HYPERLINK("https://lsnyc.legalserver.org/matter/dynamic-profile/view/1903452","19-1903452")</f>
        <v>0</v>
      </c>
      <c r="B103" t="s">
        <v>5175</v>
      </c>
      <c r="C103" t="s">
        <v>5625</v>
      </c>
      <c r="D103" t="s">
        <v>252</v>
      </c>
      <c r="E103" t="s">
        <v>3694</v>
      </c>
      <c r="F103" t="s">
        <v>273</v>
      </c>
      <c r="G103" t="s">
        <v>275</v>
      </c>
      <c r="H103">
        <v>64.05</v>
      </c>
      <c r="I103" t="s">
        <v>274</v>
      </c>
      <c r="K103" t="s">
        <v>1681</v>
      </c>
      <c r="P103" t="s">
        <v>492</v>
      </c>
      <c r="Q103" t="s">
        <v>502</v>
      </c>
      <c r="S103" t="s">
        <v>503</v>
      </c>
      <c r="T103" t="s">
        <v>508</v>
      </c>
      <c r="U103" t="s">
        <v>511</v>
      </c>
      <c r="V103">
        <v>11235</v>
      </c>
      <c r="W103" t="s">
        <v>531</v>
      </c>
      <c r="Z103" t="s">
        <v>1866</v>
      </c>
      <c r="AA103" t="s">
        <v>6134</v>
      </c>
      <c r="AB103" t="s">
        <v>902</v>
      </c>
      <c r="AC103" t="s">
        <v>905</v>
      </c>
      <c r="AF103" t="s">
        <v>923</v>
      </c>
      <c r="AI103">
        <v>0.1</v>
      </c>
      <c r="AK103" t="s">
        <v>936</v>
      </c>
      <c r="AL103" t="s">
        <v>274</v>
      </c>
      <c r="AT103">
        <v>0</v>
      </c>
      <c r="AU103">
        <v>1</v>
      </c>
      <c r="AV103" t="s">
        <v>273</v>
      </c>
      <c r="AY103" t="s">
        <v>273</v>
      </c>
      <c r="BB103">
        <v>0</v>
      </c>
      <c r="BC103">
        <v>0</v>
      </c>
      <c r="BD103">
        <v>0</v>
      </c>
      <c r="BE103">
        <v>0</v>
      </c>
      <c r="BF103" t="s">
        <v>1063</v>
      </c>
      <c r="BG103" t="s">
        <v>6557</v>
      </c>
      <c r="BH103">
        <v>20</v>
      </c>
      <c r="BI103" t="s">
        <v>2758</v>
      </c>
      <c r="BK103">
        <v>1904103</v>
      </c>
    </row>
    <row r="104" spans="1:63">
      <c r="A104" s="1">
        <f>HYPERLINK("https://lsnyc.legalserver.org/matter/dynamic-profile/view/1903205","19-1903205")</f>
        <v>0</v>
      </c>
      <c r="B104" t="s">
        <v>5176</v>
      </c>
      <c r="C104" t="s">
        <v>5625</v>
      </c>
      <c r="D104" t="s">
        <v>252</v>
      </c>
      <c r="E104" t="s">
        <v>3694</v>
      </c>
      <c r="F104" t="s">
        <v>274</v>
      </c>
      <c r="G104" t="s">
        <v>275</v>
      </c>
      <c r="H104">
        <v>186.41</v>
      </c>
      <c r="I104" t="s">
        <v>274</v>
      </c>
      <c r="K104" t="s">
        <v>4837</v>
      </c>
      <c r="O104" t="s">
        <v>275</v>
      </c>
      <c r="P104" t="s">
        <v>497</v>
      </c>
      <c r="Q104" t="s">
        <v>502</v>
      </c>
      <c r="S104" t="s">
        <v>506</v>
      </c>
      <c r="T104" t="s">
        <v>507</v>
      </c>
      <c r="U104" t="s">
        <v>1821</v>
      </c>
      <c r="V104">
        <v>11230</v>
      </c>
      <c r="W104" t="s">
        <v>1828</v>
      </c>
      <c r="Z104" t="s">
        <v>2067</v>
      </c>
      <c r="AA104" t="s">
        <v>6135</v>
      </c>
      <c r="AB104" t="s">
        <v>902</v>
      </c>
      <c r="AC104" t="s">
        <v>905</v>
      </c>
      <c r="AF104" t="s">
        <v>926</v>
      </c>
      <c r="AI104">
        <v>1.8</v>
      </c>
      <c r="AK104" t="s">
        <v>936</v>
      </c>
      <c r="AL104" t="s">
        <v>274</v>
      </c>
      <c r="AT104">
        <v>2</v>
      </c>
      <c r="AU104">
        <v>2</v>
      </c>
      <c r="AV104" t="s">
        <v>273</v>
      </c>
      <c r="AY104" t="s">
        <v>273</v>
      </c>
      <c r="BB104">
        <v>0</v>
      </c>
      <c r="BC104">
        <v>0</v>
      </c>
      <c r="BD104">
        <v>0</v>
      </c>
      <c r="BE104">
        <v>0</v>
      </c>
      <c r="BF104" t="s">
        <v>1063</v>
      </c>
      <c r="BG104" t="s">
        <v>6558</v>
      </c>
      <c r="BH104">
        <v>9</v>
      </c>
      <c r="BI104" t="s">
        <v>7008</v>
      </c>
      <c r="BK104">
        <v>1900589</v>
      </c>
    </row>
    <row r="105" spans="1:63">
      <c r="A105" s="1">
        <f>HYPERLINK("https://lsnyc.legalserver.org/matter/dynamic-profile/view/1903285","19-1903285")</f>
        <v>0</v>
      </c>
      <c r="B105" t="s">
        <v>5176</v>
      </c>
      <c r="C105" t="s">
        <v>5625</v>
      </c>
      <c r="D105" t="s">
        <v>252</v>
      </c>
      <c r="E105" t="s">
        <v>3694</v>
      </c>
      <c r="F105" t="s">
        <v>274</v>
      </c>
      <c r="G105" t="s">
        <v>275</v>
      </c>
      <c r="H105">
        <v>186.41</v>
      </c>
      <c r="I105" t="s">
        <v>274</v>
      </c>
      <c r="K105" t="s">
        <v>4837</v>
      </c>
      <c r="P105" t="s">
        <v>497</v>
      </c>
      <c r="Q105" t="s">
        <v>502</v>
      </c>
      <c r="S105" t="s">
        <v>503</v>
      </c>
      <c r="T105" t="s">
        <v>507</v>
      </c>
      <c r="U105" t="s">
        <v>511</v>
      </c>
      <c r="V105">
        <v>11230</v>
      </c>
      <c r="W105" t="s">
        <v>518</v>
      </c>
      <c r="Z105" t="s">
        <v>2067</v>
      </c>
      <c r="AA105" t="s">
        <v>6135</v>
      </c>
      <c r="AB105" t="s">
        <v>902</v>
      </c>
      <c r="AC105" t="s">
        <v>905</v>
      </c>
      <c r="AF105" t="s">
        <v>926</v>
      </c>
      <c r="AI105">
        <v>0.6</v>
      </c>
      <c r="AK105" t="s">
        <v>936</v>
      </c>
      <c r="AL105" t="s">
        <v>274</v>
      </c>
      <c r="AT105">
        <v>2</v>
      </c>
      <c r="AU105">
        <v>2</v>
      </c>
      <c r="AV105" t="s">
        <v>273</v>
      </c>
      <c r="AY105" t="s">
        <v>273</v>
      </c>
      <c r="BB105">
        <v>0</v>
      </c>
      <c r="BC105">
        <v>0</v>
      </c>
      <c r="BD105">
        <v>0</v>
      </c>
      <c r="BE105">
        <v>0</v>
      </c>
      <c r="BF105" t="s">
        <v>1063</v>
      </c>
      <c r="BG105" t="s">
        <v>6558</v>
      </c>
      <c r="BH105">
        <v>9</v>
      </c>
      <c r="BI105" t="s">
        <v>7008</v>
      </c>
      <c r="BK105">
        <v>1900589</v>
      </c>
    </row>
    <row r="106" spans="1:63">
      <c r="A106" s="1">
        <f>HYPERLINK("https://lsnyc.legalserver.org/matter/dynamic-profile/view/1903286","19-1903286")</f>
        <v>0</v>
      </c>
      <c r="B106" t="s">
        <v>5177</v>
      </c>
      <c r="C106" t="s">
        <v>5625</v>
      </c>
      <c r="D106" t="s">
        <v>252</v>
      </c>
      <c r="E106" t="s">
        <v>3694</v>
      </c>
      <c r="F106" t="s">
        <v>274</v>
      </c>
      <c r="G106" t="s">
        <v>275</v>
      </c>
      <c r="H106">
        <v>139.79</v>
      </c>
      <c r="I106" t="s">
        <v>274</v>
      </c>
      <c r="K106" t="s">
        <v>4837</v>
      </c>
      <c r="P106" t="s">
        <v>497</v>
      </c>
      <c r="Q106" t="s">
        <v>502</v>
      </c>
      <c r="S106" t="s">
        <v>503</v>
      </c>
      <c r="T106" t="s">
        <v>507</v>
      </c>
      <c r="U106" t="s">
        <v>511</v>
      </c>
      <c r="V106">
        <v>11230</v>
      </c>
      <c r="W106" t="s">
        <v>518</v>
      </c>
      <c r="Z106" t="s">
        <v>5754</v>
      </c>
      <c r="AA106" t="s">
        <v>6135</v>
      </c>
      <c r="AB106" t="s">
        <v>902</v>
      </c>
      <c r="AC106" t="s">
        <v>905</v>
      </c>
      <c r="AF106" t="s">
        <v>926</v>
      </c>
      <c r="AI106">
        <v>0.7</v>
      </c>
      <c r="AK106" t="s">
        <v>936</v>
      </c>
      <c r="AL106" t="s">
        <v>274</v>
      </c>
      <c r="AT106">
        <v>2</v>
      </c>
      <c r="AU106">
        <v>2</v>
      </c>
      <c r="AV106" t="s">
        <v>273</v>
      </c>
      <c r="AY106" t="s">
        <v>273</v>
      </c>
      <c r="BB106">
        <v>0</v>
      </c>
      <c r="BC106">
        <v>0</v>
      </c>
      <c r="BD106">
        <v>0</v>
      </c>
      <c r="BE106">
        <v>0</v>
      </c>
      <c r="BF106" t="s">
        <v>1063</v>
      </c>
      <c r="BG106" t="s">
        <v>6559</v>
      </c>
      <c r="BH106">
        <v>6</v>
      </c>
      <c r="BI106" t="s">
        <v>7009</v>
      </c>
      <c r="BK106">
        <v>1900594</v>
      </c>
    </row>
    <row r="107" spans="1:63">
      <c r="A107" s="1">
        <f>HYPERLINK("https://lsnyc.legalserver.org/matter/dynamic-profile/view/1903290","19-1903290")</f>
        <v>0</v>
      </c>
      <c r="B107" t="s">
        <v>5177</v>
      </c>
      <c r="C107" t="s">
        <v>5625</v>
      </c>
      <c r="D107" t="s">
        <v>252</v>
      </c>
      <c r="E107" t="s">
        <v>3694</v>
      </c>
      <c r="F107" t="s">
        <v>274</v>
      </c>
      <c r="G107" t="s">
        <v>275</v>
      </c>
      <c r="H107">
        <v>139.79</v>
      </c>
      <c r="I107" t="s">
        <v>274</v>
      </c>
      <c r="K107" t="s">
        <v>4837</v>
      </c>
      <c r="P107" t="s">
        <v>497</v>
      </c>
      <c r="Q107" t="s">
        <v>502</v>
      </c>
      <c r="S107" t="s">
        <v>506</v>
      </c>
      <c r="T107" t="s">
        <v>507</v>
      </c>
      <c r="U107" t="s">
        <v>1821</v>
      </c>
      <c r="V107">
        <v>11230</v>
      </c>
      <c r="W107" t="s">
        <v>1828</v>
      </c>
      <c r="Z107" t="s">
        <v>5754</v>
      </c>
      <c r="AA107" t="s">
        <v>6135</v>
      </c>
      <c r="AB107" t="s">
        <v>902</v>
      </c>
      <c r="AC107" t="s">
        <v>905</v>
      </c>
      <c r="AF107" t="s">
        <v>924</v>
      </c>
      <c r="AI107">
        <v>0.9</v>
      </c>
      <c r="AK107" t="s">
        <v>936</v>
      </c>
      <c r="AL107" t="s">
        <v>274</v>
      </c>
      <c r="AT107">
        <v>2</v>
      </c>
      <c r="AU107">
        <v>2</v>
      </c>
      <c r="AV107" t="s">
        <v>273</v>
      </c>
      <c r="AY107" t="s">
        <v>273</v>
      </c>
      <c r="BB107">
        <v>0</v>
      </c>
      <c r="BC107">
        <v>0</v>
      </c>
      <c r="BD107">
        <v>0</v>
      </c>
      <c r="BE107">
        <v>0</v>
      </c>
      <c r="BF107" t="s">
        <v>1063</v>
      </c>
      <c r="BG107" t="s">
        <v>6559</v>
      </c>
      <c r="BH107">
        <v>6</v>
      </c>
      <c r="BI107" t="s">
        <v>7009</v>
      </c>
      <c r="BK107">
        <v>1900594</v>
      </c>
    </row>
    <row r="108" spans="1:63">
      <c r="A108" s="1">
        <f>HYPERLINK("https://lsnyc.legalserver.org/matter/dynamic-profile/view/1903293","19-1903293")</f>
        <v>0</v>
      </c>
      <c r="B108" t="s">
        <v>5178</v>
      </c>
      <c r="C108" t="s">
        <v>5625</v>
      </c>
      <c r="D108" t="s">
        <v>257</v>
      </c>
      <c r="E108" t="s">
        <v>3694</v>
      </c>
      <c r="F108" t="s">
        <v>274</v>
      </c>
      <c r="G108" t="s">
        <v>274</v>
      </c>
      <c r="H108">
        <v>171.65</v>
      </c>
      <c r="I108" t="s">
        <v>274</v>
      </c>
      <c r="K108" t="s">
        <v>4837</v>
      </c>
      <c r="O108" t="s">
        <v>275</v>
      </c>
      <c r="P108" t="s">
        <v>497</v>
      </c>
      <c r="Q108" t="s">
        <v>502</v>
      </c>
      <c r="S108" t="s">
        <v>503</v>
      </c>
      <c r="T108" t="s">
        <v>508</v>
      </c>
      <c r="U108" t="s">
        <v>511</v>
      </c>
      <c r="V108">
        <v>10454</v>
      </c>
      <c r="W108" t="s">
        <v>521</v>
      </c>
      <c r="X108" t="s">
        <v>548</v>
      </c>
      <c r="Z108" t="s">
        <v>5755</v>
      </c>
      <c r="AA108" t="s">
        <v>6136</v>
      </c>
      <c r="AB108" t="s">
        <v>902</v>
      </c>
      <c r="AC108" t="s">
        <v>905</v>
      </c>
      <c r="AF108" t="s">
        <v>923</v>
      </c>
      <c r="AI108">
        <v>3.6</v>
      </c>
      <c r="AK108" t="s">
        <v>934</v>
      </c>
      <c r="AL108" t="s">
        <v>274</v>
      </c>
      <c r="AT108">
        <v>2</v>
      </c>
      <c r="AU108">
        <v>2</v>
      </c>
      <c r="AV108" t="s">
        <v>273</v>
      </c>
      <c r="AY108" t="s">
        <v>273</v>
      </c>
      <c r="BB108">
        <v>0</v>
      </c>
      <c r="BC108">
        <v>0</v>
      </c>
      <c r="BD108">
        <v>0</v>
      </c>
      <c r="BE108">
        <v>0</v>
      </c>
      <c r="BF108" t="s">
        <v>1063</v>
      </c>
      <c r="BG108" t="s">
        <v>6560</v>
      </c>
      <c r="BH108">
        <v>16</v>
      </c>
      <c r="BI108" t="s">
        <v>7010</v>
      </c>
      <c r="BK108">
        <v>1880233</v>
      </c>
    </row>
    <row r="109" spans="1:63">
      <c r="A109" s="1">
        <f>HYPERLINK("https://lsnyc.legalserver.org/matter/dynamic-profile/view/1903297","19-1903297")</f>
        <v>0</v>
      </c>
      <c r="B109" t="s">
        <v>5172</v>
      </c>
      <c r="C109" t="s">
        <v>5625</v>
      </c>
      <c r="D109" t="s">
        <v>253</v>
      </c>
      <c r="E109" t="s">
        <v>3694</v>
      </c>
      <c r="F109" t="s">
        <v>274</v>
      </c>
      <c r="G109" t="s">
        <v>274</v>
      </c>
      <c r="H109">
        <v>121.17</v>
      </c>
      <c r="I109" t="s">
        <v>274</v>
      </c>
      <c r="K109" t="s">
        <v>4837</v>
      </c>
      <c r="P109" t="s">
        <v>492</v>
      </c>
      <c r="Q109" t="s">
        <v>502</v>
      </c>
      <c r="S109" t="s">
        <v>503</v>
      </c>
      <c r="T109" t="s">
        <v>508</v>
      </c>
      <c r="U109" t="s">
        <v>511</v>
      </c>
      <c r="V109">
        <v>11433</v>
      </c>
      <c r="W109" t="s">
        <v>518</v>
      </c>
      <c r="X109" t="s">
        <v>548</v>
      </c>
      <c r="Z109" t="s">
        <v>5752</v>
      </c>
      <c r="AA109" t="s">
        <v>6132</v>
      </c>
      <c r="AB109" t="s">
        <v>902</v>
      </c>
      <c r="AC109" t="s">
        <v>905</v>
      </c>
      <c r="AF109" t="s">
        <v>926</v>
      </c>
      <c r="AI109">
        <v>0.75</v>
      </c>
      <c r="AK109" t="s">
        <v>934</v>
      </c>
      <c r="AL109" t="s">
        <v>274</v>
      </c>
      <c r="AT109">
        <v>2</v>
      </c>
      <c r="AU109">
        <v>2</v>
      </c>
      <c r="AV109" t="s">
        <v>273</v>
      </c>
      <c r="AY109" t="s">
        <v>273</v>
      </c>
      <c r="BB109">
        <v>0</v>
      </c>
      <c r="BC109">
        <v>0</v>
      </c>
      <c r="BD109">
        <v>0</v>
      </c>
      <c r="BE109">
        <v>0</v>
      </c>
      <c r="BF109" t="s">
        <v>1063</v>
      </c>
      <c r="BG109" t="s">
        <v>6554</v>
      </c>
      <c r="BH109">
        <v>16</v>
      </c>
      <c r="BI109" t="s">
        <v>1254</v>
      </c>
      <c r="BK109">
        <v>1881953</v>
      </c>
    </row>
    <row r="110" spans="1:63">
      <c r="A110" s="1">
        <f>HYPERLINK("https://lsnyc.legalserver.org/matter/dynamic-profile/view/1903302","19-1903302")</f>
        <v>0</v>
      </c>
      <c r="B110" t="s">
        <v>5168</v>
      </c>
      <c r="C110" t="s">
        <v>5625</v>
      </c>
      <c r="D110" t="s">
        <v>253</v>
      </c>
      <c r="E110" t="s">
        <v>3694</v>
      </c>
      <c r="F110" t="s">
        <v>274</v>
      </c>
      <c r="G110" t="s">
        <v>274</v>
      </c>
      <c r="H110">
        <v>114.95</v>
      </c>
      <c r="I110" t="s">
        <v>274</v>
      </c>
      <c r="K110" t="s">
        <v>4837</v>
      </c>
      <c r="P110" t="s">
        <v>492</v>
      </c>
      <c r="Q110" t="s">
        <v>502</v>
      </c>
      <c r="S110" t="s">
        <v>503</v>
      </c>
      <c r="T110" t="s">
        <v>507</v>
      </c>
      <c r="U110" t="s">
        <v>511</v>
      </c>
      <c r="V110">
        <v>11692</v>
      </c>
      <c r="W110" t="s">
        <v>518</v>
      </c>
      <c r="X110" t="s">
        <v>548</v>
      </c>
      <c r="Z110" t="s">
        <v>2005</v>
      </c>
      <c r="AA110" t="s">
        <v>6129</v>
      </c>
      <c r="AB110" t="s">
        <v>902</v>
      </c>
      <c r="AC110" t="s">
        <v>905</v>
      </c>
      <c r="AF110" t="s">
        <v>926</v>
      </c>
      <c r="AI110">
        <v>0.45</v>
      </c>
      <c r="AK110" t="s">
        <v>934</v>
      </c>
      <c r="AL110" t="s">
        <v>274</v>
      </c>
      <c r="AT110">
        <v>2</v>
      </c>
      <c r="AU110">
        <v>4</v>
      </c>
      <c r="AV110" t="s">
        <v>273</v>
      </c>
      <c r="AY110" t="s">
        <v>273</v>
      </c>
      <c r="BB110">
        <v>0</v>
      </c>
      <c r="BC110">
        <v>0</v>
      </c>
      <c r="BD110">
        <v>0</v>
      </c>
      <c r="BE110">
        <v>0</v>
      </c>
      <c r="BF110" t="s">
        <v>1063</v>
      </c>
      <c r="BG110" t="s">
        <v>6550</v>
      </c>
      <c r="BH110">
        <v>15</v>
      </c>
      <c r="BI110" t="s">
        <v>7006</v>
      </c>
      <c r="BK110">
        <v>1895424</v>
      </c>
    </row>
    <row r="111" spans="1:63">
      <c r="A111" s="1">
        <f>HYPERLINK("https://lsnyc.legalserver.org/matter/dynamic-profile/view/1903304","19-1903304")</f>
        <v>0</v>
      </c>
      <c r="B111" t="s">
        <v>5169</v>
      </c>
      <c r="C111" t="s">
        <v>5625</v>
      </c>
      <c r="D111" t="s">
        <v>253</v>
      </c>
      <c r="E111" t="s">
        <v>3694</v>
      </c>
      <c r="F111" t="s">
        <v>274</v>
      </c>
      <c r="G111" t="s">
        <v>274</v>
      </c>
      <c r="H111">
        <v>114.95</v>
      </c>
      <c r="I111" t="s">
        <v>274</v>
      </c>
      <c r="K111" t="s">
        <v>4837</v>
      </c>
      <c r="P111" t="s">
        <v>492</v>
      </c>
      <c r="Q111" t="s">
        <v>502</v>
      </c>
      <c r="S111" t="s">
        <v>503</v>
      </c>
      <c r="T111" t="s">
        <v>508</v>
      </c>
      <c r="U111" t="s">
        <v>511</v>
      </c>
      <c r="V111">
        <v>11692</v>
      </c>
      <c r="W111" t="s">
        <v>521</v>
      </c>
      <c r="X111" t="s">
        <v>548</v>
      </c>
      <c r="Z111" t="s">
        <v>5749</v>
      </c>
      <c r="AA111" t="s">
        <v>6129</v>
      </c>
      <c r="AB111" t="s">
        <v>902</v>
      </c>
      <c r="AC111" t="s">
        <v>905</v>
      </c>
      <c r="AF111" t="s">
        <v>923</v>
      </c>
      <c r="AI111">
        <v>0.75</v>
      </c>
      <c r="AK111" t="s">
        <v>934</v>
      </c>
      <c r="AL111" t="s">
        <v>274</v>
      </c>
      <c r="AT111">
        <v>2</v>
      </c>
      <c r="AU111">
        <v>4</v>
      </c>
      <c r="AV111" t="s">
        <v>273</v>
      </c>
      <c r="AY111" t="s">
        <v>273</v>
      </c>
      <c r="BB111">
        <v>0</v>
      </c>
      <c r="BC111">
        <v>0</v>
      </c>
      <c r="BD111">
        <v>0</v>
      </c>
      <c r="BE111">
        <v>0</v>
      </c>
      <c r="BF111" t="s">
        <v>1063</v>
      </c>
      <c r="BG111" t="s">
        <v>6551</v>
      </c>
      <c r="BH111">
        <v>13</v>
      </c>
      <c r="BI111" t="s">
        <v>7006</v>
      </c>
      <c r="BK111">
        <v>1895424</v>
      </c>
    </row>
    <row r="112" spans="1:63">
      <c r="A112" s="1">
        <f>HYPERLINK("https://lsnyc.legalserver.org/matter/dynamic-profile/view/1903337","19-1903337")</f>
        <v>0</v>
      </c>
      <c r="B112" t="s">
        <v>5179</v>
      </c>
      <c r="C112" t="s">
        <v>5625</v>
      </c>
      <c r="D112" t="s">
        <v>257</v>
      </c>
      <c r="E112" t="s">
        <v>3694</v>
      </c>
      <c r="F112" t="s">
        <v>274</v>
      </c>
      <c r="G112" t="s">
        <v>274</v>
      </c>
      <c r="H112">
        <v>73.31</v>
      </c>
      <c r="I112" t="s">
        <v>274</v>
      </c>
      <c r="K112" t="s">
        <v>4837</v>
      </c>
      <c r="P112" t="s">
        <v>497</v>
      </c>
      <c r="Q112" t="s">
        <v>502</v>
      </c>
      <c r="S112" t="s">
        <v>503</v>
      </c>
      <c r="T112" t="s">
        <v>507</v>
      </c>
      <c r="U112" t="s">
        <v>511</v>
      </c>
      <c r="V112">
        <v>10473</v>
      </c>
      <c r="W112" t="s">
        <v>520</v>
      </c>
      <c r="X112" t="s">
        <v>548</v>
      </c>
      <c r="Z112" t="s">
        <v>5756</v>
      </c>
      <c r="AA112" t="s">
        <v>6137</v>
      </c>
      <c r="AB112" t="s">
        <v>902</v>
      </c>
      <c r="AC112" t="s">
        <v>905</v>
      </c>
      <c r="AF112" t="s">
        <v>923</v>
      </c>
      <c r="AI112">
        <v>0.25</v>
      </c>
      <c r="AK112" t="s">
        <v>934</v>
      </c>
      <c r="AL112" t="s">
        <v>274</v>
      </c>
      <c r="AT112">
        <v>2</v>
      </c>
      <c r="AU112">
        <v>5</v>
      </c>
      <c r="AV112" t="s">
        <v>273</v>
      </c>
      <c r="AY112" t="s">
        <v>273</v>
      </c>
      <c r="BB112">
        <v>0</v>
      </c>
      <c r="BC112">
        <v>0</v>
      </c>
      <c r="BD112">
        <v>0</v>
      </c>
      <c r="BE112">
        <v>0</v>
      </c>
      <c r="BF112" t="s">
        <v>1063</v>
      </c>
      <c r="BG112" t="s">
        <v>6561</v>
      </c>
      <c r="BH112">
        <v>14</v>
      </c>
      <c r="BI112" t="s">
        <v>4265</v>
      </c>
      <c r="BK112">
        <v>1897261</v>
      </c>
    </row>
    <row r="113" spans="1:63">
      <c r="A113" s="1">
        <f>HYPERLINK("https://lsnyc.legalserver.org/matter/dynamic-profile/view/1903341","19-1903341")</f>
        <v>0</v>
      </c>
      <c r="B113" t="s">
        <v>5180</v>
      </c>
      <c r="C113" t="s">
        <v>5625</v>
      </c>
      <c r="D113" t="s">
        <v>252</v>
      </c>
      <c r="E113" t="s">
        <v>3694</v>
      </c>
      <c r="F113" t="s">
        <v>274</v>
      </c>
      <c r="G113" t="s">
        <v>274</v>
      </c>
      <c r="H113">
        <v>85.33</v>
      </c>
      <c r="I113" t="s">
        <v>274</v>
      </c>
      <c r="K113" t="s">
        <v>4837</v>
      </c>
      <c r="O113" t="s">
        <v>275</v>
      </c>
      <c r="P113" t="s">
        <v>492</v>
      </c>
      <c r="Q113" t="s">
        <v>502</v>
      </c>
      <c r="S113" t="s">
        <v>503</v>
      </c>
      <c r="T113" t="s">
        <v>507</v>
      </c>
      <c r="U113" t="s">
        <v>511</v>
      </c>
      <c r="V113">
        <v>11204</v>
      </c>
      <c r="W113" t="s">
        <v>520</v>
      </c>
      <c r="X113" t="s">
        <v>548</v>
      </c>
      <c r="Z113" t="s">
        <v>564</v>
      </c>
      <c r="AA113" t="s">
        <v>6127</v>
      </c>
      <c r="AB113" t="s">
        <v>902</v>
      </c>
      <c r="AC113" t="s">
        <v>905</v>
      </c>
      <c r="AF113" t="s">
        <v>923</v>
      </c>
      <c r="AI113">
        <v>1.8</v>
      </c>
      <c r="AK113" t="s">
        <v>941</v>
      </c>
      <c r="AL113" t="s">
        <v>274</v>
      </c>
      <c r="AT113">
        <v>2</v>
      </c>
      <c r="AU113">
        <v>1</v>
      </c>
      <c r="AV113" t="s">
        <v>273</v>
      </c>
      <c r="AY113" t="s">
        <v>273</v>
      </c>
      <c r="BB113">
        <v>0</v>
      </c>
      <c r="BC113">
        <v>0</v>
      </c>
      <c r="BD113">
        <v>0</v>
      </c>
      <c r="BE113">
        <v>0</v>
      </c>
      <c r="BF113" t="s">
        <v>1063</v>
      </c>
      <c r="BG113" t="s">
        <v>6562</v>
      </c>
      <c r="BH113">
        <v>15</v>
      </c>
      <c r="BI113" t="s">
        <v>7005</v>
      </c>
      <c r="BK113">
        <v>1896229</v>
      </c>
    </row>
    <row r="114" spans="1:63">
      <c r="A114" s="1">
        <f>HYPERLINK("https://lsnyc.legalserver.org/matter/dynamic-profile/view/1903181","19-1903181")</f>
        <v>0</v>
      </c>
      <c r="B114" t="s">
        <v>5181</v>
      </c>
      <c r="C114" t="s">
        <v>5625</v>
      </c>
      <c r="D114" t="s">
        <v>252</v>
      </c>
      <c r="E114" t="s">
        <v>5630</v>
      </c>
      <c r="F114" t="s">
        <v>273</v>
      </c>
      <c r="G114" t="s">
        <v>275</v>
      </c>
      <c r="H114">
        <v>184.51</v>
      </c>
      <c r="I114" t="s">
        <v>275</v>
      </c>
      <c r="K114" t="s">
        <v>2386</v>
      </c>
      <c r="P114" t="s">
        <v>492</v>
      </c>
      <c r="Q114" t="s">
        <v>502</v>
      </c>
      <c r="S114" t="s">
        <v>503</v>
      </c>
      <c r="T114" t="s">
        <v>507</v>
      </c>
      <c r="U114" t="s">
        <v>511</v>
      </c>
      <c r="V114">
        <v>11226</v>
      </c>
      <c r="W114" t="s">
        <v>529</v>
      </c>
      <c r="X114" t="s">
        <v>548</v>
      </c>
      <c r="Y114" t="s">
        <v>275</v>
      </c>
      <c r="Z114" t="s">
        <v>3101</v>
      </c>
      <c r="AA114" t="s">
        <v>832</v>
      </c>
      <c r="AB114" t="s">
        <v>902</v>
      </c>
      <c r="AC114" t="s">
        <v>905</v>
      </c>
      <c r="AF114" t="s">
        <v>923</v>
      </c>
      <c r="AI114">
        <v>13.65</v>
      </c>
      <c r="AJ114" t="s">
        <v>558</v>
      </c>
      <c r="AK114" t="s">
        <v>941</v>
      </c>
      <c r="AL114" t="s">
        <v>275</v>
      </c>
      <c r="AT114">
        <v>1</v>
      </c>
      <c r="AU114">
        <v>1</v>
      </c>
      <c r="AV114" t="s">
        <v>273</v>
      </c>
      <c r="AY114" t="s">
        <v>273</v>
      </c>
      <c r="BB114">
        <v>0</v>
      </c>
      <c r="BC114">
        <v>0</v>
      </c>
      <c r="BD114">
        <v>0</v>
      </c>
      <c r="BE114">
        <v>0</v>
      </c>
      <c r="BF114" t="s">
        <v>1063</v>
      </c>
      <c r="BG114" t="s">
        <v>6563</v>
      </c>
      <c r="BH114">
        <v>17</v>
      </c>
      <c r="BI114" t="s">
        <v>1254</v>
      </c>
      <c r="BK114">
        <v>1902758</v>
      </c>
    </row>
    <row r="115" spans="1:63">
      <c r="A115" s="1">
        <f>HYPERLINK("https://lsnyc.legalserver.org/matter/dynamic-profile/view/1903182","19-1903182")</f>
        <v>0</v>
      </c>
      <c r="B115" t="s">
        <v>5181</v>
      </c>
      <c r="C115" t="s">
        <v>5625</v>
      </c>
      <c r="D115" t="s">
        <v>252</v>
      </c>
      <c r="E115" t="s">
        <v>5630</v>
      </c>
      <c r="F115" t="s">
        <v>273</v>
      </c>
      <c r="G115" t="s">
        <v>275</v>
      </c>
      <c r="H115">
        <v>184.51</v>
      </c>
      <c r="I115" t="s">
        <v>275</v>
      </c>
      <c r="K115" t="s">
        <v>2386</v>
      </c>
      <c r="P115" t="s">
        <v>492</v>
      </c>
      <c r="Q115" t="s">
        <v>502</v>
      </c>
      <c r="S115" t="s">
        <v>503</v>
      </c>
      <c r="T115" t="s">
        <v>507</v>
      </c>
      <c r="U115" t="s">
        <v>511</v>
      </c>
      <c r="V115">
        <v>11226</v>
      </c>
      <c r="W115" t="s">
        <v>531</v>
      </c>
      <c r="X115" t="s">
        <v>548</v>
      </c>
      <c r="Z115" t="s">
        <v>3101</v>
      </c>
      <c r="AA115" t="s">
        <v>832</v>
      </c>
      <c r="AB115" t="s">
        <v>902</v>
      </c>
      <c r="AC115" t="s">
        <v>905</v>
      </c>
      <c r="AF115" t="s">
        <v>923</v>
      </c>
      <c r="AI115">
        <v>9</v>
      </c>
      <c r="AK115" t="s">
        <v>941</v>
      </c>
      <c r="AL115" t="s">
        <v>275</v>
      </c>
      <c r="AT115">
        <v>1</v>
      </c>
      <c r="AU115">
        <v>1</v>
      </c>
      <c r="AV115" t="s">
        <v>273</v>
      </c>
      <c r="AY115" t="s">
        <v>273</v>
      </c>
      <c r="BB115">
        <v>0</v>
      </c>
      <c r="BC115">
        <v>0</v>
      </c>
      <c r="BD115">
        <v>0</v>
      </c>
      <c r="BE115">
        <v>0</v>
      </c>
      <c r="BF115" t="s">
        <v>1063</v>
      </c>
      <c r="BG115" t="s">
        <v>6563</v>
      </c>
      <c r="BH115">
        <v>17</v>
      </c>
      <c r="BI115" t="s">
        <v>1254</v>
      </c>
      <c r="BK115">
        <v>1902758</v>
      </c>
    </row>
    <row r="116" spans="1:63">
      <c r="A116" s="1">
        <f>HYPERLINK("https://lsnyc.legalserver.org/matter/dynamic-profile/view/1903188","19-1903188")</f>
        <v>0</v>
      </c>
      <c r="B116" t="s">
        <v>5182</v>
      </c>
      <c r="C116" t="s">
        <v>5625</v>
      </c>
      <c r="D116" t="s">
        <v>253</v>
      </c>
      <c r="E116" t="s">
        <v>3694</v>
      </c>
      <c r="F116" t="s">
        <v>274</v>
      </c>
      <c r="G116" t="s">
        <v>275</v>
      </c>
      <c r="H116">
        <v>85.44</v>
      </c>
      <c r="I116" t="s">
        <v>274</v>
      </c>
      <c r="K116" t="s">
        <v>2386</v>
      </c>
      <c r="P116" t="s">
        <v>492</v>
      </c>
      <c r="Q116" t="s">
        <v>502</v>
      </c>
      <c r="S116" t="s">
        <v>503</v>
      </c>
      <c r="T116" t="s">
        <v>507</v>
      </c>
      <c r="U116" t="s">
        <v>511</v>
      </c>
      <c r="V116">
        <v>11691</v>
      </c>
      <c r="W116" t="s">
        <v>531</v>
      </c>
      <c r="X116" t="s">
        <v>548</v>
      </c>
      <c r="Z116" t="s">
        <v>5757</v>
      </c>
      <c r="AA116" t="s">
        <v>6138</v>
      </c>
      <c r="AB116" t="s">
        <v>902</v>
      </c>
      <c r="AC116" t="s">
        <v>905</v>
      </c>
      <c r="AF116" t="s">
        <v>923</v>
      </c>
      <c r="AI116">
        <v>0.1</v>
      </c>
      <c r="AK116" t="s">
        <v>934</v>
      </c>
      <c r="AL116" t="s">
        <v>274</v>
      </c>
      <c r="AT116">
        <v>1</v>
      </c>
      <c r="AU116">
        <v>3</v>
      </c>
      <c r="AV116" t="s">
        <v>273</v>
      </c>
      <c r="AY116" t="s">
        <v>273</v>
      </c>
      <c r="BB116">
        <v>0</v>
      </c>
      <c r="BC116">
        <v>0</v>
      </c>
      <c r="BD116">
        <v>0</v>
      </c>
      <c r="BE116">
        <v>0</v>
      </c>
      <c r="BF116" t="s">
        <v>1063</v>
      </c>
      <c r="BG116" t="s">
        <v>6564</v>
      </c>
      <c r="BH116">
        <v>18</v>
      </c>
      <c r="BI116" t="s">
        <v>2738</v>
      </c>
      <c r="BK116">
        <v>1881248</v>
      </c>
    </row>
    <row r="117" spans="1:63">
      <c r="A117" s="1">
        <f>HYPERLINK("https://lsnyc.legalserver.org/matter/dynamic-profile/view/1903191","19-1903191")</f>
        <v>0</v>
      </c>
      <c r="B117" t="s">
        <v>5183</v>
      </c>
      <c r="C117" t="s">
        <v>5625</v>
      </c>
      <c r="D117" t="s">
        <v>252</v>
      </c>
      <c r="E117" t="s">
        <v>3694</v>
      </c>
      <c r="F117" t="s">
        <v>274</v>
      </c>
      <c r="G117" t="s">
        <v>275</v>
      </c>
      <c r="H117">
        <v>60.32</v>
      </c>
      <c r="I117" t="s">
        <v>275</v>
      </c>
      <c r="K117" t="s">
        <v>2386</v>
      </c>
      <c r="O117" t="s">
        <v>275</v>
      </c>
      <c r="P117" t="s">
        <v>497</v>
      </c>
      <c r="Q117" t="s">
        <v>502</v>
      </c>
      <c r="S117" t="s">
        <v>503</v>
      </c>
      <c r="T117" t="s">
        <v>507</v>
      </c>
      <c r="U117" t="s">
        <v>511</v>
      </c>
      <c r="V117">
        <v>11220</v>
      </c>
      <c r="W117" t="s">
        <v>521</v>
      </c>
      <c r="X117" t="s">
        <v>548</v>
      </c>
      <c r="Z117" t="s">
        <v>2019</v>
      </c>
      <c r="AA117" t="s">
        <v>884</v>
      </c>
      <c r="AB117" t="s">
        <v>902</v>
      </c>
      <c r="AC117" t="s">
        <v>905</v>
      </c>
      <c r="AF117" t="s">
        <v>923</v>
      </c>
      <c r="AI117">
        <v>3</v>
      </c>
      <c r="AK117" t="s">
        <v>936</v>
      </c>
      <c r="AL117" t="s">
        <v>275</v>
      </c>
      <c r="AT117">
        <v>3</v>
      </c>
      <c r="AU117">
        <v>2</v>
      </c>
      <c r="AV117" t="s">
        <v>273</v>
      </c>
      <c r="AY117" t="s">
        <v>273</v>
      </c>
      <c r="BB117">
        <v>0</v>
      </c>
      <c r="BC117">
        <v>0</v>
      </c>
      <c r="BD117">
        <v>0</v>
      </c>
      <c r="BE117">
        <v>0</v>
      </c>
      <c r="BF117" t="s">
        <v>1063</v>
      </c>
      <c r="BG117" t="s">
        <v>6565</v>
      </c>
      <c r="BH117">
        <v>16</v>
      </c>
      <c r="BI117" t="s">
        <v>1260</v>
      </c>
      <c r="BK117">
        <v>1881413</v>
      </c>
    </row>
    <row r="118" spans="1:63">
      <c r="A118" s="1">
        <f>HYPERLINK("https://lsnyc.legalserver.org/matter/dynamic-profile/view/1903194","19-1903194")</f>
        <v>0</v>
      </c>
      <c r="B118" t="s">
        <v>5184</v>
      </c>
      <c r="C118" t="s">
        <v>5625</v>
      </c>
      <c r="D118" t="s">
        <v>252</v>
      </c>
      <c r="E118" t="s">
        <v>3694</v>
      </c>
      <c r="F118" t="s">
        <v>274</v>
      </c>
      <c r="G118" t="s">
        <v>275</v>
      </c>
      <c r="H118">
        <v>113.54</v>
      </c>
      <c r="I118" t="s">
        <v>274</v>
      </c>
      <c r="K118" t="s">
        <v>2386</v>
      </c>
      <c r="P118" t="s">
        <v>497</v>
      </c>
      <c r="Q118" t="s">
        <v>502</v>
      </c>
      <c r="S118" t="s">
        <v>503</v>
      </c>
      <c r="T118" t="s">
        <v>507</v>
      </c>
      <c r="U118" t="s">
        <v>511</v>
      </c>
      <c r="V118">
        <v>11218</v>
      </c>
      <c r="W118" t="s">
        <v>1829</v>
      </c>
      <c r="X118" t="s">
        <v>556</v>
      </c>
      <c r="Z118" t="s">
        <v>5758</v>
      </c>
      <c r="AA118" t="s">
        <v>6139</v>
      </c>
      <c r="AB118" t="s">
        <v>902</v>
      </c>
      <c r="AC118" t="s">
        <v>914</v>
      </c>
      <c r="AF118" t="s">
        <v>923</v>
      </c>
      <c r="AI118">
        <v>0.1</v>
      </c>
      <c r="AK118" t="s">
        <v>943</v>
      </c>
      <c r="AL118" t="s">
        <v>274</v>
      </c>
      <c r="AT118">
        <v>0</v>
      </c>
      <c r="AU118">
        <v>2</v>
      </c>
      <c r="AV118" t="s">
        <v>273</v>
      </c>
      <c r="AY118" t="s">
        <v>273</v>
      </c>
      <c r="BB118">
        <v>0</v>
      </c>
      <c r="BC118">
        <v>0</v>
      </c>
      <c r="BD118">
        <v>0</v>
      </c>
      <c r="BE118">
        <v>0</v>
      </c>
      <c r="BF118" t="s">
        <v>1063</v>
      </c>
      <c r="BG118" t="s">
        <v>6566</v>
      </c>
      <c r="BH118">
        <v>19</v>
      </c>
      <c r="BI118" t="s">
        <v>2720</v>
      </c>
      <c r="BK118">
        <v>1872347</v>
      </c>
    </row>
    <row r="119" spans="1:63">
      <c r="A119" s="1">
        <f>HYPERLINK("https://lsnyc.legalserver.org/matter/dynamic-profile/view/1903197","19-1903197")</f>
        <v>0</v>
      </c>
      <c r="B119" t="s">
        <v>5184</v>
      </c>
      <c r="C119" t="s">
        <v>5625</v>
      </c>
      <c r="D119" t="s">
        <v>252</v>
      </c>
      <c r="E119" t="s">
        <v>3694</v>
      </c>
      <c r="F119" t="s">
        <v>274</v>
      </c>
      <c r="G119" t="s">
        <v>275</v>
      </c>
      <c r="H119">
        <v>113.54</v>
      </c>
      <c r="I119" t="s">
        <v>274</v>
      </c>
      <c r="K119" t="s">
        <v>2386</v>
      </c>
      <c r="P119" t="s">
        <v>497</v>
      </c>
      <c r="Q119" t="s">
        <v>502</v>
      </c>
      <c r="S119" t="s">
        <v>503</v>
      </c>
      <c r="T119" t="s">
        <v>507</v>
      </c>
      <c r="U119" t="s">
        <v>511</v>
      </c>
      <c r="V119">
        <v>11218</v>
      </c>
      <c r="W119" t="s">
        <v>528</v>
      </c>
      <c r="X119" t="s">
        <v>556</v>
      </c>
      <c r="Z119" t="s">
        <v>5758</v>
      </c>
      <c r="AA119" t="s">
        <v>6139</v>
      </c>
      <c r="AB119" t="s">
        <v>902</v>
      </c>
      <c r="AC119" t="s">
        <v>914</v>
      </c>
      <c r="AF119" t="s">
        <v>923</v>
      </c>
      <c r="AI119">
        <v>0.7</v>
      </c>
      <c r="AK119" t="s">
        <v>943</v>
      </c>
      <c r="AL119" t="s">
        <v>274</v>
      </c>
      <c r="AT119">
        <v>0</v>
      </c>
      <c r="AU119">
        <v>2</v>
      </c>
      <c r="AV119" t="s">
        <v>273</v>
      </c>
      <c r="AY119" t="s">
        <v>273</v>
      </c>
      <c r="BB119">
        <v>0</v>
      </c>
      <c r="BC119">
        <v>0</v>
      </c>
      <c r="BD119">
        <v>0</v>
      </c>
      <c r="BE119">
        <v>0</v>
      </c>
      <c r="BF119" t="s">
        <v>1063</v>
      </c>
      <c r="BG119" t="s">
        <v>6566</v>
      </c>
      <c r="BH119">
        <v>19</v>
      </c>
      <c r="BI119" t="s">
        <v>2720</v>
      </c>
      <c r="BK119">
        <v>1872347</v>
      </c>
    </row>
    <row r="120" spans="1:63">
      <c r="A120" s="1">
        <f>HYPERLINK("https://lsnyc.legalserver.org/matter/dynamic-profile/view/1902746","19-1902746")</f>
        <v>0</v>
      </c>
      <c r="B120" t="s">
        <v>5185</v>
      </c>
      <c r="C120" t="s">
        <v>5625</v>
      </c>
      <c r="D120" t="s">
        <v>257</v>
      </c>
      <c r="E120" t="s">
        <v>3694</v>
      </c>
      <c r="F120" t="s">
        <v>274</v>
      </c>
      <c r="G120" t="s">
        <v>274</v>
      </c>
      <c r="H120">
        <v>73.31</v>
      </c>
      <c r="I120" t="s">
        <v>274</v>
      </c>
      <c r="K120" t="s">
        <v>308</v>
      </c>
      <c r="Q120" t="s">
        <v>501</v>
      </c>
      <c r="S120" t="s">
        <v>503</v>
      </c>
      <c r="T120" t="s">
        <v>507</v>
      </c>
      <c r="U120" t="s">
        <v>511</v>
      </c>
      <c r="V120">
        <v>10473</v>
      </c>
      <c r="W120" t="s">
        <v>519</v>
      </c>
      <c r="X120" t="s">
        <v>548</v>
      </c>
      <c r="Z120" t="s">
        <v>3850</v>
      </c>
      <c r="AA120" t="s">
        <v>6140</v>
      </c>
      <c r="AB120" t="s">
        <v>902</v>
      </c>
      <c r="AC120" t="s">
        <v>905</v>
      </c>
      <c r="AF120" t="s">
        <v>926</v>
      </c>
      <c r="AI120">
        <v>0.4</v>
      </c>
      <c r="AK120" t="s">
        <v>934</v>
      </c>
      <c r="AL120" t="s">
        <v>274</v>
      </c>
      <c r="AT120">
        <v>2</v>
      </c>
      <c r="AU120">
        <v>5</v>
      </c>
      <c r="AV120" t="s">
        <v>273</v>
      </c>
      <c r="AY120" t="s">
        <v>273</v>
      </c>
      <c r="BB120">
        <v>0</v>
      </c>
      <c r="BC120">
        <v>0</v>
      </c>
      <c r="BD120">
        <v>0</v>
      </c>
      <c r="BE120">
        <v>0</v>
      </c>
      <c r="BF120" t="s">
        <v>1063</v>
      </c>
      <c r="BG120" t="s">
        <v>1171</v>
      </c>
      <c r="BH120">
        <v>36</v>
      </c>
      <c r="BI120" t="s">
        <v>4265</v>
      </c>
      <c r="BK120">
        <v>1897261</v>
      </c>
    </row>
    <row r="121" spans="1:63">
      <c r="A121" s="1">
        <f>HYPERLINK("https://lsnyc.legalserver.org/matter/dynamic-profile/view/1902556","19-1902556")</f>
        <v>0</v>
      </c>
      <c r="B121" t="s">
        <v>5186</v>
      </c>
      <c r="C121" t="s">
        <v>5625</v>
      </c>
      <c r="D121" t="s">
        <v>255</v>
      </c>
      <c r="E121" t="s">
        <v>3694</v>
      </c>
      <c r="F121" t="s">
        <v>274</v>
      </c>
      <c r="G121" t="s">
        <v>274</v>
      </c>
      <c r="H121">
        <v>92.98</v>
      </c>
      <c r="I121" t="s">
        <v>274</v>
      </c>
      <c r="K121" t="s">
        <v>1683</v>
      </c>
      <c r="Q121" t="s">
        <v>501</v>
      </c>
      <c r="S121" t="s">
        <v>503</v>
      </c>
      <c r="T121" t="s">
        <v>508</v>
      </c>
      <c r="U121" t="s">
        <v>511</v>
      </c>
      <c r="V121">
        <v>10002</v>
      </c>
      <c r="W121" t="s">
        <v>544</v>
      </c>
      <c r="X121" t="s">
        <v>548</v>
      </c>
      <c r="Z121" t="s">
        <v>5759</v>
      </c>
      <c r="AA121" t="s">
        <v>2110</v>
      </c>
      <c r="AB121" t="s">
        <v>902</v>
      </c>
      <c r="AC121" t="s">
        <v>904</v>
      </c>
      <c r="AF121" t="s">
        <v>923</v>
      </c>
      <c r="AI121">
        <v>0.2</v>
      </c>
      <c r="AJ121" t="s">
        <v>558</v>
      </c>
      <c r="AK121" t="s">
        <v>933</v>
      </c>
      <c r="AL121" t="s">
        <v>274</v>
      </c>
      <c r="AT121">
        <v>0</v>
      </c>
      <c r="AU121">
        <v>1</v>
      </c>
      <c r="AV121" t="s">
        <v>273</v>
      </c>
      <c r="AY121" t="s">
        <v>273</v>
      </c>
      <c r="BB121">
        <v>0</v>
      </c>
      <c r="BC121">
        <v>0</v>
      </c>
      <c r="BD121">
        <v>0</v>
      </c>
      <c r="BE121">
        <v>0</v>
      </c>
      <c r="BF121" t="s">
        <v>1063</v>
      </c>
      <c r="BG121" t="s">
        <v>6567</v>
      </c>
      <c r="BH121">
        <v>51</v>
      </c>
      <c r="BI121" t="s">
        <v>7011</v>
      </c>
      <c r="BK121">
        <v>243541</v>
      </c>
    </row>
    <row r="122" spans="1:63">
      <c r="A122" s="1">
        <f>HYPERLINK("https://lsnyc.legalserver.org/matter/dynamic-profile/view/1902560","19-1902560")</f>
        <v>0</v>
      </c>
      <c r="B122" t="s">
        <v>5187</v>
      </c>
      <c r="C122" t="s">
        <v>5625</v>
      </c>
      <c r="D122" t="s">
        <v>252</v>
      </c>
      <c r="E122" t="s">
        <v>5630</v>
      </c>
      <c r="F122" t="s">
        <v>274</v>
      </c>
      <c r="G122" t="s">
        <v>274</v>
      </c>
      <c r="H122">
        <v>0</v>
      </c>
      <c r="I122" t="s">
        <v>274</v>
      </c>
      <c r="K122" t="s">
        <v>1683</v>
      </c>
      <c r="Q122" t="s">
        <v>501</v>
      </c>
      <c r="S122" t="s">
        <v>503</v>
      </c>
      <c r="T122" t="s">
        <v>508</v>
      </c>
      <c r="U122" t="s">
        <v>511</v>
      </c>
      <c r="V122">
        <v>11206</v>
      </c>
      <c r="W122" t="s">
        <v>544</v>
      </c>
      <c r="Y122" t="s">
        <v>275</v>
      </c>
      <c r="Z122" t="s">
        <v>1985</v>
      </c>
      <c r="AA122" t="s">
        <v>6141</v>
      </c>
      <c r="AB122" t="s">
        <v>902</v>
      </c>
      <c r="AC122" t="s">
        <v>908</v>
      </c>
      <c r="AF122" t="s">
        <v>923</v>
      </c>
      <c r="AI122">
        <v>1.1</v>
      </c>
      <c r="AJ122" t="s">
        <v>558</v>
      </c>
      <c r="AK122" t="s">
        <v>941</v>
      </c>
      <c r="AL122" t="s">
        <v>274</v>
      </c>
      <c r="AM122" t="s">
        <v>973</v>
      </c>
      <c r="AN122" t="s">
        <v>1683</v>
      </c>
      <c r="AT122">
        <v>2</v>
      </c>
      <c r="AU122">
        <v>1</v>
      </c>
      <c r="AV122" t="s">
        <v>273</v>
      </c>
      <c r="AY122" t="s">
        <v>273</v>
      </c>
      <c r="BB122">
        <v>0</v>
      </c>
      <c r="BC122">
        <v>0</v>
      </c>
      <c r="BD122">
        <v>0</v>
      </c>
      <c r="BE122">
        <v>0</v>
      </c>
      <c r="BF122" t="s">
        <v>1063</v>
      </c>
      <c r="BG122" t="s">
        <v>6568</v>
      </c>
      <c r="BH122">
        <v>5</v>
      </c>
      <c r="BI122" t="s">
        <v>1247</v>
      </c>
      <c r="BK122">
        <v>1902586</v>
      </c>
    </row>
    <row r="123" spans="1:63">
      <c r="A123" s="1">
        <f>HYPERLINK("https://lsnyc.legalserver.org/matter/dynamic-profile/view/1902562","19-1902562")</f>
        <v>0</v>
      </c>
      <c r="B123" t="s">
        <v>5187</v>
      </c>
      <c r="C123" t="s">
        <v>5625</v>
      </c>
      <c r="D123" t="s">
        <v>252</v>
      </c>
      <c r="E123" t="s">
        <v>5630</v>
      </c>
      <c r="F123" t="s">
        <v>274</v>
      </c>
      <c r="G123" t="s">
        <v>274</v>
      </c>
      <c r="H123">
        <v>0</v>
      </c>
      <c r="I123" t="s">
        <v>274</v>
      </c>
      <c r="K123" t="s">
        <v>1683</v>
      </c>
      <c r="Q123" t="s">
        <v>502</v>
      </c>
      <c r="S123" t="s">
        <v>503</v>
      </c>
      <c r="T123" t="s">
        <v>508</v>
      </c>
      <c r="U123" t="s">
        <v>511</v>
      </c>
      <c r="V123">
        <v>11206</v>
      </c>
      <c r="W123" t="s">
        <v>528</v>
      </c>
      <c r="X123" t="s">
        <v>548</v>
      </c>
      <c r="Y123" t="s">
        <v>275</v>
      </c>
      <c r="Z123" t="s">
        <v>1985</v>
      </c>
      <c r="AA123" t="s">
        <v>6141</v>
      </c>
      <c r="AB123" t="s">
        <v>902</v>
      </c>
      <c r="AC123" t="s">
        <v>908</v>
      </c>
      <c r="AF123" t="s">
        <v>923</v>
      </c>
      <c r="AI123">
        <v>0.7</v>
      </c>
      <c r="AJ123" t="s">
        <v>558</v>
      </c>
      <c r="AK123" t="s">
        <v>941</v>
      </c>
      <c r="AL123" t="s">
        <v>274</v>
      </c>
      <c r="AM123" t="s">
        <v>973</v>
      </c>
      <c r="AN123" t="s">
        <v>1683</v>
      </c>
      <c r="AT123">
        <v>2</v>
      </c>
      <c r="AU123">
        <v>1</v>
      </c>
      <c r="AV123" t="s">
        <v>273</v>
      </c>
      <c r="AY123" t="s">
        <v>273</v>
      </c>
      <c r="BB123">
        <v>0</v>
      </c>
      <c r="BC123">
        <v>0</v>
      </c>
      <c r="BD123">
        <v>0</v>
      </c>
      <c r="BE123">
        <v>0</v>
      </c>
      <c r="BF123" t="s">
        <v>1063</v>
      </c>
      <c r="BG123" t="s">
        <v>6568</v>
      </c>
      <c r="BH123">
        <v>5</v>
      </c>
      <c r="BI123" t="s">
        <v>1247</v>
      </c>
      <c r="BK123">
        <v>1902586</v>
      </c>
    </row>
    <row r="124" spans="1:63">
      <c r="A124" s="1">
        <f>HYPERLINK("https://lsnyc.legalserver.org/matter/dynamic-profile/view/1902566","19-1902566")</f>
        <v>0</v>
      </c>
      <c r="B124" t="s">
        <v>5188</v>
      </c>
      <c r="C124" t="s">
        <v>5625</v>
      </c>
      <c r="D124" t="s">
        <v>255</v>
      </c>
      <c r="E124" t="s">
        <v>5630</v>
      </c>
      <c r="F124" t="s">
        <v>274</v>
      </c>
      <c r="G124" t="s">
        <v>274</v>
      </c>
      <c r="H124">
        <v>79.55</v>
      </c>
      <c r="I124" t="s">
        <v>274</v>
      </c>
      <c r="K124" t="s">
        <v>1683</v>
      </c>
      <c r="Q124" t="s">
        <v>501</v>
      </c>
      <c r="S124" t="s">
        <v>503</v>
      </c>
      <c r="T124" t="s">
        <v>507</v>
      </c>
      <c r="U124" t="s">
        <v>511</v>
      </c>
      <c r="V124">
        <v>10033</v>
      </c>
      <c r="W124" t="s">
        <v>538</v>
      </c>
      <c r="X124" t="s">
        <v>548</v>
      </c>
      <c r="Z124" t="s">
        <v>5760</v>
      </c>
      <c r="AA124" t="s">
        <v>6142</v>
      </c>
      <c r="AB124" t="s">
        <v>902</v>
      </c>
      <c r="AC124" t="s">
        <v>908</v>
      </c>
      <c r="AF124" t="s">
        <v>923</v>
      </c>
      <c r="AI124">
        <v>0.2</v>
      </c>
      <c r="AJ124" t="s">
        <v>558</v>
      </c>
      <c r="AK124" t="s">
        <v>950</v>
      </c>
      <c r="AL124" t="s">
        <v>274</v>
      </c>
      <c r="AM124" t="s">
        <v>973</v>
      </c>
      <c r="AN124" t="s">
        <v>4837</v>
      </c>
      <c r="AT124">
        <v>2</v>
      </c>
      <c r="AU124">
        <v>3</v>
      </c>
      <c r="AV124" t="s">
        <v>273</v>
      </c>
      <c r="AY124" t="s">
        <v>273</v>
      </c>
      <c r="BB124">
        <v>0</v>
      </c>
      <c r="BC124">
        <v>0</v>
      </c>
      <c r="BD124">
        <v>0</v>
      </c>
      <c r="BE124">
        <v>0</v>
      </c>
      <c r="BF124" t="s">
        <v>1063</v>
      </c>
      <c r="BG124" t="s">
        <v>6569</v>
      </c>
      <c r="BH124">
        <v>8</v>
      </c>
      <c r="BI124" t="s">
        <v>1259</v>
      </c>
      <c r="BK124">
        <v>1903220</v>
      </c>
    </row>
    <row r="125" spans="1:63">
      <c r="A125" s="1">
        <f>HYPERLINK("https://lsnyc.legalserver.org/matter/dynamic-profile/view/1902585","19-1902585")</f>
        <v>0</v>
      </c>
      <c r="B125" t="s">
        <v>5189</v>
      </c>
      <c r="C125" t="s">
        <v>5625</v>
      </c>
      <c r="D125" t="s">
        <v>252</v>
      </c>
      <c r="E125" t="s">
        <v>5630</v>
      </c>
      <c r="F125" t="s">
        <v>274</v>
      </c>
      <c r="G125" t="s">
        <v>274</v>
      </c>
      <c r="H125">
        <v>167.87</v>
      </c>
      <c r="I125" t="s">
        <v>274</v>
      </c>
      <c r="K125" t="s">
        <v>1683</v>
      </c>
      <c r="Q125" t="s">
        <v>501</v>
      </c>
      <c r="S125" t="s">
        <v>503</v>
      </c>
      <c r="T125" t="s">
        <v>507</v>
      </c>
      <c r="U125" t="s">
        <v>511</v>
      </c>
      <c r="V125">
        <v>11226</v>
      </c>
      <c r="W125" t="s">
        <v>544</v>
      </c>
      <c r="X125" t="s">
        <v>548</v>
      </c>
      <c r="Z125" t="s">
        <v>3839</v>
      </c>
      <c r="AA125" t="s">
        <v>6143</v>
      </c>
      <c r="AB125" t="s">
        <v>902</v>
      </c>
      <c r="AC125" t="s">
        <v>904</v>
      </c>
      <c r="AF125" t="s">
        <v>923</v>
      </c>
      <c r="AI125">
        <v>0.3</v>
      </c>
      <c r="AJ125" t="s">
        <v>558</v>
      </c>
      <c r="AK125" t="s">
        <v>949</v>
      </c>
      <c r="AL125" t="s">
        <v>274</v>
      </c>
      <c r="AT125">
        <v>0</v>
      </c>
      <c r="AU125">
        <v>4</v>
      </c>
      <c r="AV125" t="s">
        <v>273</v>
      </c>
      <c r="AY125" t="s">
        <v>273</v>
      </c>
      <c r="BB125">
        <v>0</v>
      </c>
      <c r="BC125">
        <v>0</v>
      </c>
      <c r="BD125">
        <v>0</v>
      </c>
      <c r="BE125">
        <v>0</v>
      </c>
      <c r="BF125" t="s">
        <v>1063</v>
      </c>
      <c r="BG125" t="s">
        <v>6570</v>
      </c>
      <c r="BH125">
        <v>48</v>
      </c>
      <c r="BI125" t="s">
        <v>7012</v>
      </c>
      <c r="BK125">
        <v>1848488</v>
      </c>
    </row>
    <row r="126" spans="1:63">
      <c r="A126" s="1">
        <f>HYPERLINK("https://lsnyc.legalserver.org/matter/dynamic-profile/view/1902451","19-1902451")</f>
        <v>0</v>
      </c>
      <c r="B126" t="s">
        <v>5190</v>
      </c>
      <c r="C126" t="s">
        <v>5625</v>
      </c>
      <c r="D126" t="s">
        <v>257</v>
      </c>
      <c r="E126" t="s">
        <v>3694</v>
      </c>
      <c r="F126" t="s">
        <v>274</v>
      </c>
      <c r="G126" t="s">
        <v>274</v>
      </c>
      <c r="H126">
        <v>105.83</v>
      </c>
      <c r="I126" t="s">
        <v>274</v>
      </c>
      <c r="K126" t="s">
        <v>983</v>
      </c>
      <c r="Q126" t="s">
        <v>501</v>
      </c>
      <c r="S126" t="s">
        <v>503</v>
      </c>
      <c r="T126" t="s">
        <v>507</v>
      </c>
      <c r="U126" t="s">
        <v>511</v>
      </c>
      <c r="V126">
        <v>10456</v>
      </c>
      <c r="W126" t="s">
        <v>519</v>
      </c>
      <c r="X126" t="s">
        <v>548</v>
      </c>
      <c r="Z126" t="s">
        <v>5761</v>
      </c>
      <c r="AA126" t="s">
        <v>6144</v>
      </c>
      <c r="AB126" t="s">
        <v>902</v>
      </c>
      <c r="AC126" t="s">
        <v>905</v>
      </c>
      <c r="AF126" t="s">
        <v>926</v>
      </c>
      <c r="AI126">
        <v>0.15</v>
      </c>
      <c r="AK126" t="s">
        <v>934</v>
      </c>
      <c r="AL126" t="s">
        <v>274</v>
      </c>
      <c r="AT126">
        <v>2</v>
      </c>
      <c r="AU126">
        <v>3</v>
      </c>
      <c r="AV126" t="s">
        <v>273</v>
      </c>
      <c r="AY126" t="s">
        <v>273</v>
      </c>
      <c r="BB126">
        <v>0</v>
      </c>
      <c r="BC126">
        <v>0</v>
      </c>
      <c r="BD126">
        <v>0</v>
      </c>
      <c r="BE126">
        <v>0</v>
      </c>
      <c r="BF126" t="s">
        <v>1063</v>
      </c>
      <c r="BG126" t="s">
        <v>6571</v>
      </c>
      <c r="BH126">
        <v>28</v>
      </c>
      <c r="BI126" t="s">
        <v>7013</v>
      </c>
      <c r="BK126">
        <v>1903105</v>
      </c>
    </row>
    <row r="127" spans="1:63">
      <c r="A127" s="1">
        <f>HYPERLINK("https://lsnyc.legalserver.org/matter/dynamic-profile/view/1902348","19-1902348")</f>
        <v>0</v>
      </c>
      <c r="B127" t="s">
        <v>5191</v>
      </c>
      <c r="C127" t="s">
        <v>5625</v>
      </c>
      <c r="D127" t="s">
        <v>255</v>
      </c>
      <c r="E127" t="s">
        <v>3694</v>
      </c>
      <c r="F127" t="s">
        <v>274</v>
      </c>
      <c r="G127" t="s">
        <v>274</v>
      </c>
      <c r="H127">
        <v>171.17</v>
      </c>
      <c r="I127" t="s">
        <v>274</v>
      </c>
      <c r="K127" t="s">
        <v>5634</v>
      </c>
      <c r="Q127" t="s">
        <v>501</v>
      </c>
      <c r="S127" t="s">
        <v>503</v>
      </c>
      <c r="T127" t="s">
        <v>507</v>
      </c>
      <c r="U127" t="s">
        <v>511</v>
      </c>
      <c r="V127">
        <v>10002</v>
      </c>
      <c r="W127" t="s">
        <v>544</v>
      </c>
      <c r="X127" t="s">
        <v>548</v>
      </c>
      <c r="Z127" t="s">
        <v>1857</v>
      </c>
      <c r="AA127" t="s">
        <v>2111</v>
      </c>
      <c r="AB127" t="s">
        <v>902</v>
      </c>
      <c r="AC127" t="s">
        <v>904</v>
      </c>
      <c r="AF127" t="s">
        <v>923</v>
      </c>
      <c r="AI127">
        <v>0.5</v>
      </c>
      <c r="AJ127" t="s">
        <v>558</v>
      </c>
      <c r="AK127" t="s">
        <v>950</v>
      </c>
      <c r="AL127" t="s">
        <v>274</v>
      </c>
      <c r="AT127">
        <v>0</v>
      </c>
      <c r="AU127">
        <v>4</v>
      </c>
      <c r="AV127" t="s">
        <v>273</v>
      </c>
      <c r="AY127" t="s">
        <v>273</v>
      </c>
      <c r="BB127">
        <v>0</v>
      </c>
      <c r="BC127">
        <v>0</v>
      </c>
      <c r="BD127">
        <v>0</v>
      </c>
      <c r="BE127">
        <v>0</v>
      </c>
      <c r="BF127" t="s">
        <v>1063</v>
      </c>
      <c r="BG127" t="s">
        <v>6572</v>
      </c>
      <c r="BH127">
        <v>84</v>
      </c>
      <c r="BI127" t="s">
        <v>7014</v>
      </c>
      <c r="BK127">
        <v>797141</v>
      </c>
    </row>
    <row r="128" spans="1:63">
      <c r="A128" s="1">
        <f>HYPERLINK("https://lsnyc.legalserver.org/matter/dynamic-profile/view/1902142","19-1902142")</f>
        <v>0</v>
      </c>
      <c r="B128" t="s">
        <v>5192</v>
      </c>
      <c r="C128" t="s">
        <v>5625</v>
      </c>
      <c r="D128" t="s">
        <v>253</v>
      </c>
      <c r="E128" t="s">
        <v>5630</v>
      </c>
      <c r="F128" t="s">
        <v>274</v>
      </c>
      <c r="G128" t="s">
        <v>274</v>
      </c>
      <c r="H128">
        <v>100.74</v>
      </c>
      <c r="I128" t="s">
        <v>274</v>
      </c>
      <c r="K128" t="s">
        <v>309</v>
      </c>
      <c r="Q128" t="s">
        <v>501</v>
      </c>
      <c r="S128" t="s">
        <v>503</v>
      </c>
      <c r="T128" t="s">
        <v>507</v>
      </c>
      <c r="U128" t="s">
        <v>511</v>
      </c>
      <c r="V128">
        <v>11434</v>
      </c>
      <c r="W128" t="s">
        <v>544</v>
      </c>
      <c r="X128" t="s">
        <v>549</v>
      </c>
      <c r="Z128" t="s">
        <v>5762</v>
      </c>
      <c r="AA128" t="s">
        <v>2247</v>
      </c>
      <c r="AB128" t="s">
        <v>902</v>
      </c>
      <c r="AC128" t="s">
        <v>904</v>
      </c>
      <c r="AF128" t="s">
        <v>923</v>
      </c>
      <c r="AI128">
        <v>0.4</v>
      </c>
      <c r="AJ128" t="s">
        <v>558</v>
      </c>
      <c r="AK128" t="s">
        <v>939</v>
      </c>
      <c r="AL128" t="s">
        <v>274</v>
      </c>
      <c r="AT128">
        <v>4</v>
      </c>
      <c r="AU128">
        <v>2</v>
      </c>
      <c r="AV128" t="s">
        <v>273</v>
      </c>
      <c r="AY128" t="s">
        <v>273</v>
      </c>
      <c r="BB128">
        <v>0</v>
      </c>
      <c r="BC128">
        <v>0</v>
      </c>
      <c r="BD128">
        <v>0</v>
      </c>
      <c r="BE128">
        <v>0</v>
      </c>
      <c r="BF128" t="s">
        <v>1063</v>
      </c>
      <c r="BG128" t="s">
        <v>6573</v>
      </c>
      <c r="BH128">
        <v>11</v>
      </c>
      <c r="BI128" t="s">
        <v>2763</v>
      </c>
      <c r="BK128">
        <v>1888185</v>
      </c>
    </row>
    <row r="129" spans="1:63">
      <c r="A129" s="1">
        <f>HYPERLINK("https://lsnyc.legalserver.org/matter/dynamic-profile/view/1902147","19-1902147")</f>
        <v>0</v>
      </c>
      <c r="B129" t="s">
        <v>5193</v>
      </c>
      <c r="C129" t="s">
        <v>5625</v>
      </c>
      <c r="D129" t="s">
        <v>257</v>
      </c>
      <c r="E129" t="s">
        <v>3694</v>
      </c>
      <c r="F129" t="s">
        <v>274</v>
      </c>
      <c r="G129" t="s">
        <v>274</v>
      </c>
      <c r="H129">
        <v>72.28</v>
      </c>
      <c r="I129" t="s">
        <v>274</v>
      </c>
      <c r="K129" t="s">
        <v>309</v>
      </c>
      <c r="Q129" t="s">
        <v>501</v>
      </c>
      <c r="S129" t="s">
        <v>503</v>
      </c>
      <c r="T129" t="s">
        <v>508</v>
      </c>
      <c r="U129" t="s">
        <v>511</v>
      </c>
      <c r="V129">
        <v>10469</v>
      </c>
      <c r="W129" t="s">
        <v>544</v>
      </c>
      <c r="X129" t="s">
        <v>549</v>
      </c>
      <c r="Z129" t="s">
        <v>5763</v>
      </c>
      <c r="AA129" t="s">
        <v>6099</v>
      </c>
      <c r="AB129" t="s">
        <v>902</v>
      </c>
      <c r="AC129" t="s">
        <v>904</v>
      </c>
      <c r="AF129" t="s">
        <v>923</v>
      </c>
      <c r="AI129">
        <v>0.3</v>
      </c>
      <c r="AJ129" t="s">
        <v>558</v>
      </c>
      <c r="AK129" t="s">
        <v>939</v>
      </c>
      <c r="AL129" t="s">
        <v>274</v>
      </c>
      <c r="AT129">
        <v>4</v>
      </c>
      <c r="AU129">
        <v>2</v>
      </c>
      <c r="AV129" t="s">
        <v>273</v>
      </c>
      <c r="AY129" t="s">
        <v>273</v>
      </c>
      <c r="BB129">
        <v>0</v>
      </c>
      <c r="BC129">
        <v>0</v>
      </c>
      <c r="BD129">
        <v>0</v>
      </c>
      <c r="BE129">
        <v>0</v>
      </c>
      <c r="BF129" t="s">
        <v>1063</v>
      </c>
      <c r="BG129" t="s">
        <v>4109</v>
      </c>
      <c r="BH129">
        <v>34</v>
      </c>
      <c r="BI129" t="s">
        <v>1274</v>
      </c>
      <c r="BK129">
        <v>1887567</v>
      </c>
    </row>
    <row r="130" spans="1:63">
      <c r="A130" s="1">
        <f>HYPERLINK("https://lsnyc.legalserver.org/matter/dynamic-profile/view/1902162","19-1902162")</f>
        <v>0</v>
      </c>
      <c r="B130" t="s">
        <v>5194</v>
      </c>
      <c r="C130" t="s">
        <v>5625</v>
      </c>
      <c r="D130" t="s">
        <v>257</v>
      </c>
      <c r="E130" t="s">
        <v>3694</v>
      </c>
      <c r="F130" t="s">
        <v>274</v>
      </c>
      <c r="G130" t="s">
        <v>274</v>
      </c>
      <c r="H130">
        <v>104.08</v>
      </c>
      <c r="I130" t="s">
        <v>274</v>
      </c>
      <c r="K130" t="s">
        <v>309</v>
      </c>
      <c r="Q130" t="s">
        <v>501</v>
      </c>
      <c r="S130" t="s">
        <v>503</v>
      </c>
      <c r="T130" t="s">
        <v>508</v>
      </c>
      <c r="U130" t="s">
        <v>511</v>
      </c>
      <c r="V130">
        <v>10456</v>
      </c>
      <c r="W130" t="s">
        <v>525</v>
      </c>
      <c r="X130" t="s">
        <v>548</v>
      </c>
      <c r="Z130" t="s">
        <v>1941</v>
      </c>
      <c r="AA130" t="s">
        <v>3122</v>
      </c>
      <c r="AB130" t="s">
        <v>902</v>
      </c>
      <c r="AC130" t="s">
        <v>904</v>
      </c>
      <c r="AF130" t="s">
        <v>923</v>
      </c>
      <c r="AI130">
        <v>0.2</v>
      </c>
      <c r="AJ130" t="s">
        <v>558</v>
      </c>
      <c r="AK130" t="s">
        <v>950</v>
      </c>
      <c r="AL130" t="s">
        <v>274</v>
      </c>
      <c r="AT130">
        <v>0</v>
      </c>
      <c r="AU130">
        <v>1</v>
      </c>
      <c r="AV130" t="s">
        <v>273</v>
      </c>
      <c r="AY130" t="s">
        <v>273</v>
      </c>
      <c r="BB130">
        <v>0</v>
      </c>
      <c r="BC130">
        <v>0</v>
      </c>
      <c r="BD130">
        <v>0</v>
      </c>
      <c r="BE130">
        <v>0</v>
      </c>
      <c r="BF130" t="s">
        <v>1063</v>
      </c>
      <c r="BG130" t="s">
        <v>6574</v>
      </c>
      <c r="BH130">
        <v>56</v>
      </c>
      <c r="BI130" t="s">
        <v>1264</v>
      </c>
      <c r="BK130">
        <v>1869412</v>
      </c>
    </row>
    <row r="131" spans="1:63">
      <c r="A131" s="1">
        <f>HYPERLINK("https://lsnyc.legalserver.org/matter/dynamic-profile/view/1902190","19-1902190")</f>
        <v>0</v>
      </c>
      <c r="B131" t="s">
        <v>5195</v>
      </c>
      <c r="C131" t="s">
        <v>5625</v>
      </c>
      <c r="D131" t="s">
        <v>257</v>
      </c>
      <c r="E131" t="s">
        <v>3694</v>
      </c>
      <c r="F131" t="s">
        <v>274</v>
      </c>
      <c r="G131" t="s">
        <v>274</v>
      </c>
      <c r="H131">
        <v>105.83</v>
      </c>
      <c r="I131" t="s">
        <v>274</v>
      </c>
      <c r="K131" t="s">
        <v>309</v>
      </c>
      <c r="Q131" t="s">
        <v>501</v>
      </c>
      <c r="S131" t="s">
        <v>503</v>
      </c>
      <c r="T131" t="s">
        <v>508</v>
      </c>
      <c r="U131" t="s">
        <v>511</v>
      </c>
      <c r="V131">
        <v>10456</v>
      </c>
      <c r="W131" t="s">
        <v>519</v>
      </c>
      <c r="X131" t="s">
        <v>548</v>
      </c>
      <c r="Z131" t="s">
        <v>5764</v>
      </c>
      <c r="AA131" t="s">
        <v>6145</v>
      </c>
      <c r="AB131" t="s">
        <v>902</v>
      </c>
      <c r="AC131" t="s">
        <v>905</v>
      </c>
      <c r="AF131" t="s">
        <v>926</v>
      </c>
      <c r="AI131">
        <v>1.7</v>
      </c>
      <c r="AK131" t="s">
        <v>934</v>
      </c>
      <c r="AL131" t="s">
        <v>274</v>
      </c>
      <c r="AT131">
        <v>2</v>
      </c>
      <c r="AU131">
        <v>3</v>
      </c>
      <c r="AV131" t="s">
        <v>273</v>
      </c>
      <c r="AY131" t="s">
        <v>273</v>
      </c>
      <c r="BB131">
        <v>0</v>
      </c>
      <c r="BC131">
        <v>0</v>
      </c>
      <c r="BD131">
        <v>0</v>
      </c>
      <c r="BE131">
        <v>0</v>
      </c>
      <c r="BF131" t="s">
        <v>1063</v>
      </c>
      <c r="BG131" t="s">
        <v>6575</v>
      </c>
      <c r="BH131">
        <v>26</v>
      </c>
      <c r="BI131" t="s">
        <v>7013</v>
      </c>
      <c r="BK131">
        <v>1902844</v>
      </c>
    </row>
    <row r="132" spans="1:63">
      <c r="A132" s="1">
        <f>HYPERLINK("https://lsnyc.legalserver.org/matter/dynamic-profile/view/1902198","19-1902198")</f>
        <v>0</v>
      </c>
      <c r="B132" t="s">
        <v>5196</v>
      </c>
      <c r="C132" t="s">
        <v>5625</v>
      </c>
      <c r="D132" t="s">
        <v>257</v>
      </c>
      <c r="E132" t="s">
        <v>3694</v>
      </c>
      <c r="F132" t="s">
        <v>274</v>
      </c>
      <c r="G132" t="s">
        <v>274</v>
      </c>
      <c r="H132">
        <v>105.83</v>
      </c>
      <c r="I132" t="s">
        <v>274</v>
      </c>
      <c r="K132" t="s">
        <v>309</v>
      </c>
      <c r="Q132" t="s">
        <v>502</v>
      </c>
      <c r="S132" t="s">
        <v>503</v>
      </c>
      <c r="T132" t="s">
        <v>507</v>
      </c>
      <c r="U132" t="s">
        <v>511</v>
      </c>
      <c r="V132">
        <v>10456</v>
      </c>
      <c r="W132" t="s">
        <v>519</v>
      </c>
      <c r="X132" t="s">
        <v>548</v>
      </c>
      <c r="Z132" t="s">
        <v>5765</v>
      </c>
      <c r="AA132" t="s">
        <v>6146</v>
      </c>
      <c r="AB132" t="s">
        <v>902</v>
      </c>
      <c r="AC132" t="s">
        <v>905</v>
      </c>
      <c r="AF132" t="s">
        <v>926</v>
      </c>
      <c r="AI132">
        <v>0.65</v>
      </c>
      <c r="AK132" t="s">
        <v>934</v>
      </c>
      <c r="AL132" t="s">
        <v>274</v>
      </c>
      <c r="AT132">
        <v>2</v>
      </c>
      <c r="AU132">
        <v>3</v>
      </c>
      <c r="AV132" t="s">
        <v>273</v>
      </c>
      <c r="AY132" t="s">
        <v>273</v>
      </c>
      <c r="BB132">
        <v>0</v>
      </c>
      <c r="BC132">
        <v>0</v>
      </c>
      <c r="BD132">
        <v>0</v>
      </c>
      <c r="BE132">
        <v>0</v>
      </c>
      <c r="BF132" t="s">
        <v>1063</v>
      </c>
      <c r="BG132" t="s">
        <v>6576</v>
      </c>
      <c r="BH132">
        <v>5</v>
      </c>
      <c r="BI132" t="s">
        <v>7013</v>
      </c>
      <c r="BK132">
        <v>1902844</v>
      </c>
    </row>
    <row r="133" spans="1:63">
      <c r="A133" s="1">
        <f>HYPERLINK("https://lsnyc.legalserver.org/matter/dynamic-profile/view/1902209","19-1902209")</f>
        <v>0</v>
      </c>
      <c r="B133" t="s">
        <v>5197</v>
      </c>
      <c r="C133" t="s">
        <v>5625</v>
      </c>
      <c r="D133" t="s">
        <v>257</v>
      </c>
      <c r="E133" t="s">
        <v>3694</v>
      </c>
      <c r="F133" t="s">
        <v>274</v>
      </c>
      <c r="G133" t="s">
        <v>274</v>
      </c>
      <c r="H133">
        <v>105.83</v>
      </c>
      <c r="I133" t="s">
        <v>274</v>
      </c>
      <c r="K133" t="s">
        <v>309</v>
      </c>
      <c r="Q133" t="s">
        <v>502</v>
      </c>
      <c r="S133" t="s">
        <v>503</v>
      </c>
      <c r="T133" t="s">
        <v>508</v>
      </c>
      <c r="U133" t="s">
        <v>511</v>
      </c>
      <c r="V133">
        <v>10456</v>
      </c>
      <c r="W133" t="s">
        <v>519</v>
      </c>
      <c r="X133" t="s">
        <v>548</v>
      </c>
      <c r="Z133" t="s">
        <v>5766</v>
      </c>
      <c r="AA133" t="s">
        <v>6146</v>
      </c>
      <c r="AB133" t="s">
        <v>902</v>
      </c>
      <c r="AC133" t="s">
        <v>905</v>
      </c>
      <c r="AF133" t="s">
        <v>926</v>
      </c>
      <c r="AI133">
        <v>0.65</v>
      </c>
      <c r="AK133" t="s">
        <v>934</v>
      </c>
      <c r="AL133" t="s">
        <v>274</v>
      </c>
      <c r="AT133">
        <v>2</v>
      </c>
      <c r="AU133">
        <v>3</v>
      </c>
      <c r="AV133" t="s">
        <v>273</v>
      </c>
      <c r="AY133" t="s">
        <v>273</v>
      </c>
      <c r="BB133">
        <v>0</v>
      </c>
      <c r="BC133">
        <v>0</v>
      </c>
      <c r="BD133">
        <v>0</v>
      </c>
      <c r="BE133">
        <v>0</v>
      </c>
      <c r="BF133" t="s">
        <v>1063</v>
      </c>
      <c r="BG133" t="s">
        <v>6577</v>
      </c>
      <c r="BH133">
        <v>3</v>
      </c>
      <c r="BI133" t="s">
        <v>7013</v>
      </c>
      <c r="BK133">
        <v>1902844</v>
      </c>
    </row>
    <row r="134" spans="1:63">
      <c r="A134" s="1">
        <f>HYPERLINK("https://lsnyc.legalserver.org/matter/dynamic-profile/view/1902122","19-1902122")</f>
        <v>0</v>
      </c>
      <c r="B134" t="s">
        <v>5198</v>
      </c>
      <c r="C134" t="s">
        <v>5625</v>
      </c>
      <c r="D134" t="s">
        <v>252</v>
      </c>
      <c r="E134" t="s">
        <v>5630</v>
      </c>
      <c r="F134" t="s">
        <v>274</v>
      </c>
      <c r="G134" t="s">
        <v>274</v>
      </c>
      <c r="H134">
        <v>135.92</v>
      </c>
      <c r="I134" t="s">
        <v>274</v>
      </c>
      <c r="K134" t="s">
        <v>3273</v>
      </c>
      <c r="Q134" t="s">
        <v>501</v>
      </c>
      <c r="S134" t="s">
        <v>503</v>
      </c>
      <c r="T134" t="s">
        <v>507</v>
      </c>
      <c r="U134" t="s">
        <v>511</v>
      </c>
      <c r="V134">
        <v>11215</v>
      </c>
      <c r="W134" t="s">
        <v>544</v>
      </c>
      <c r="X134" t="s">
        <v>548</v>
      </c>
      <c r="Z134" t="s">
        <v>5767</v>
      </c>
      <c r="AA134" t="s">
        <v>6147</v>
      </c>
      <c r="AB134" t="s">
        <v>902</v>
      </c>
      <c r="AC134" t="s">
        <v>904</v>
      </c>
      <c r="AF134" t="s">
        <v>923</v>
      </c>
      <c r="AI134">
        <v>0.2</v>
      </c>
      <c r="AJ134" t="s">
        <v>558</v>
      </c>
      <c r="AK134" t="s">
        <v>933</v>
      </c>
      <c r="AL134" t="s">
        <v>274</v>
      </c>
      <c r="AT134">
        <v>1</v>
      </c>
      <c r="AU134">
        <v>3</v>
      </c>
      <c r="AV134" t="s">
        <v>273</v>
      </c>
      <c r="AY134" t="s">
        <v>273</v>
      </c>
      <c r="BB134">
        <v>0</v>
      </c>
      <c r="BC134">
        <v>0</v>
      </c>
      <c r="BD134">
        <v>0</v>
      </c>
      <c r="BE134">
        <v>0</v>
      </c>
      <c r="BF134" t="s">
        <v>1063</v>
      </c>
      <c r="BG134" t="s">
        <v>6578</v>
      </c>
      <c r="BH134">
        <v>47</v>
      </c>
      <c r="BI134" t="s">
        <v>2736</v>
      </c>
      <c r="BK134">
        <v>826591</v>
      </c>
    </row>
    <row r="135" spans="1:63">
      <c r="A135" s="1">
        <f>HYPERLINK("https://lsnyc.legalserver.org/matter/dynamic-profile/view/1902123","19-1902123")</f>
        <v>0</v>
      </c>
      <c r="B135" t="s">
        <v>5199</v>
      </c>
      <c r="C135" t="s">
        <v>5625</v>
      </c>
      <c r="D135" t="s">
        <v>257</v>
      </c>
      <c r="E135" t="s">
        <v>3694</v>
      </c>
      <c r="F135" t="s">
        <v>274</v>
      </c>
      <c r="G135" t="s">
        <v>274</v>
      </c>
      <c r="H135">
        <v>84.39</v>
      </c>
      <c r="I135" t="s">
        <v>274</v>
      </c>
      <c r="K135" t="s">
        <v>3273</v>
      </c>
      <c r="Q135" t="s">
        <v>501</v>
      </c>
      <c r="S135" t="s">
        <v>503</v>
      </c>
      <c r="T135" t="s">
        <v>508</v>
      </c>
      <c r="U135" t="s">
        <v>511</v>
      </c>
      <c r="V135">
        <v>10467</v>
      </c>
      <c r="W135" t="s">
        <v>544</v>
      </c>
      <c r="X135" t="s">
        <v>549</v>
      </c>
      <c r="Z135" t="s">
        <v>5768</v>
      </c>
      <c r="AA135" t="s">
        <v>6148</v>
      </c>
      <c r="AB135" t="s">
        <v>902</v>
      </c>
      <c r="AC135" t="s">
        <v>904</v>
      </c>
      <c r="AF135" t="s">
        <v>923</v>
      </c>
      <c r="AI135">
        <v>0.6</v>
      </c>
      <c r="AJ135" t="s">
        <v>558</v>
      </c>
      <c r="AK135" t="s">
        <v>949</v>
      </c>
      <c r="AL135" t="s">
        <v>274</v>
      </c>
      <c r="AT135">
        <v>2</v>
      </c>
      <c r="AU135">
        <v>1</v>
      </c>
      <c r="AV135" t="s">
        <v>273</v>
      </c>
      <c r="AY135" t="s">
        <v>273</v>
      </c>
      <c r="BB135">
        <v>0</v>
      </c>
      <c r="BC135">
        <v>0</v>
      </c>
      <c r="BD135">
        <v>0</v>
      </c>
      <c r="BE135">
        <v>0</v>
      </c>
      <c r="BF135" t="s">
        <v>1063</v>
      </c>
      <c r="BG135" t="s">
        <v>6579</v>
      </c>
      <c r="BH135">
        <v>45</v>
      </c>
      <c r="BI135" t="s">
        <v>1289</v>
      </c>
      <c r="BK135">
        <v>1886044</v>
      </c>
    </row>
    <row r="136" spans="1:63">
      <c r="A136" s="1">
        <f>HYPERLINK("https://lsnyc.legalserver.org/matter/dynamic-profile/view/1902124","19-1902124")</f>
        <v>0</v>
      </c>
      <c r="B136" t="s">
        <v>5200</v>
      </c>
      <c r="C136" t="s">
        <v>5625</v>
      </c>
      <c r="D136" t="s">
        <v>252</v>
      </c>
      <c r="E136" t="s">
        <v>3694</v>
      </c>
      <c r="F136" t="s">
        <v>274</v>
      </c>
      <c r="G136" t="s">
        <v>274</v>
      </c>
      <c r="H136">
        <v>186.28</v>
      </c>
      <c r="I136" t="s">
        <v>274</v>
      </c>
      <c r="K136" t="s">
        <v>3273</v>
      </c>
      <c r="Q136" t="s">
        <v>501</v>
      </c>
      <c r="S136" t="s">
        <v>503</v>
      </c>
      <c r="T136" t="s">
        <v>507</v>
      </c>
      <c r="U136" t="s">
        <v>511</v>
      </c>
      <c r="V136">
        <v>11207</v>
      </c>
      <c r="W136" t="s">
        <v>544</v>
      </c>
      <c r="X136" t="s">
        <v>549</v>
      </c>
      <c r="Z136" t="s">
        <v>5769</v>
      </c>
      <c r="AA136" t="s">
        <v>6149</v>
      </c>
      <c r="AB136" t="s">
        <v>902</v>
      </c>
      <c r="AC136" t="s">
        <v>904</v>
      </c>
      <c r="AF136" t="s">
        <v>923</v>
      </c>
      <c r="AI136">
        <v>0.2</v>
      </c>
      <c r="AJ136" t="s">
        <v>558</v>
      </c>
      <c r="AK136" t="s">
        <v>937</v>
      </c>
      <c r="AL136" t="s">
        <v>274</v>
      </c>
      <c r="AT136">
        <v>0</v>
      </c>
      <c r="AU136">
        <v>2</v>
      </c>
      <c r="AV136" t="s">
        <v>273</v>
      </c>
      <c r="AY136" t="s">
        <v>273</v>
      </c>
      <c r="BB136">
        <v>0</v>
      </c>
      <c r="BC136">
        <v>0</v>
      </c>
      <c r="BD136">
        <v>0</v>
      </c>
      <c r="BE136">
        <v>0</v>
      </c>
      <c r="BF136" t="s">
        <v>1063</v>
      </c>
      <c r="BG136" t="s">
        <v>6580</v>
      </c>
      <c r="BH136">
        <v>27</v>
      </c>
      <c r="BI136" t="s">
        <v>7015</v>
      </c>
      <c r="BK136">
        <v>1887391</v>
      </c>
    </row>
    <row r="137" spans="1:63">
      <c r="A137" s="1">
        <f>HYPERLINK("https://lsnyc.legalserver.org/matter/dynamic-profile/view/1902125","19-1902125")</f>
        <v>0</v>
      </c>
      <c r="B137" t="s">
        <v>5201</v>
      </c>
      <c r="C137" t="s">
        <v>5625</v>
      </c>
      <c r="D137" t="s">
        <v>257</v>
      </c>
      <c r="E137" t="s">
        <v>3694</v>
      </c>
      <c r="F137" t="s">
        <v>274</v>
      </c>
      <c r="G137" t="s">
        <v>274</v>
      </c>
      <c r="H137">
        <v>64.37</v>
      </c>
      <c r="I137" t="s">
        <v>274</v>
      </c>
      <c r="K137" t="s">
        <v>3273</v>
      </c>
      <c r="Q137" t="s">
        <v>501</v>
      </c>
      <c r="S137" t="s">
        <v>503</v>
      </c>
      <c r="T137" t="s">
        <v>507</v>
      </c>
      <c r="U137" t="s">
        <v>511</v>
      </c>
      <c r="V137">
        <v>10467</v>
      </c>
      <c r="W137" t="s">
        <v>544</v>
      </c>
      <c r="X137" t="s">
        <v>548</v>
      </c>
      <c r="Z137" t="s">
        <v>597</v>
      </c>
      <c r="AA137" t="s">
        <v>770</v>
      </c>
      <c r="AB137" t="s">
        <v>902</v>
      </c>
      <c r="AC137" t="s">
        <v>904</v>
      </c>
      <c r="AF137" t="s">
        <v>923</v>
      </c>
      <c r="AI137">
        <v>0.2</v>
      </c>
      <c r="AJ137" t="s">
        <v>558</v>
      </c>
      <c r="AK137" t="s">
        <v>950</v>
      </c>
      <c r="AL137" t="s">
        <v>274</v>
      </c>
      <c r="AT137">
        <v>0</v>
      </c>
      <c r="AU137">
        <v>1</v>
      </c>
      <c r="AV137" t="s">
        <v>273</v>
      </c>
      <c r="AY137" t="s">
        <v>273</v>
      </c>
      <c r="BB137">
        <v>0</v>
      </c>
      <c r="BC137">
        <v>0</v>
      </c>
      <c r="BD137">
        <v>0</v>
      </c>
      <c r="BE137">
        <v>0</v>
      </c>
      <c r="BF137" t="s">
        <v>1063</v>
      </c>
      <c r="BG137" t="s">
        <v>6581</v>
      </c>
      <c r="BH137">
        <v>77</v>
      </c>
      <c r="BI137" t="s">
        <v>7016</v>
      </c>
      <c r="BK137">
        <v>1859657</v>
      </c>
    </row>
    <row r="138" spans="1:63">
      <c r="A138" s="1">
        <f>HYPERLINK("https://lsnyc.legalserver.org/matter/dynamic-profile/view/1902128","19-1902128")</f>
        <v>0</v>
      </c>
      <c r="B138" t="s">
        <v>5202</v>
      </c>
      <c r="C138" t="s">
        <v>5625</v>
      </c>
      <c r="D138" t="s">
        <v>252</v>
      </c>
      <c r="E138" t="s">
        <v>5630</v>
      </c>
      <c r="F138" t="s">
        <v>274</v>
      </c>
      <c r="G138" t="s">
        <v>274</v>
      </c>
      <c r="H138">
        <v>100.53</v>
      </c>
      <c r="I138" t="s">
        <v>274</v>
      </c>
      <c r="K138" t="s">
        <v>3273</v>
      </c>
      <c r="Q138" t="s">
        <v>501</v>
      </c>
      <c r="S138" t="s">
        <v>503</v>
      </c>
      <c r="T138" t="s">
        <v>508</v>
      </c>
      <c r="U138" t="s">
        <v>511</v>
      </c>
      <c r="V138">
        <v>11212</v>
      </c>
      <c r="W138" t="s">
        <v>544</v>
      </c>
      <c r="Z138" t="s">
        <v>5770</v>
      </c>
      <c r="AA138" t="s">
        <v>5781</v>
      </c>
      <c r="AB138" t="s">
        <v>902</v>
      </c>
      <c r="AC138" t="s">
        <v>904</v>
      </c>
      <c r="AF138" t="s">
        <v>923</v>
      </c>
      <c r="AI138">
        <v>0</v>
      </c>
      <c r="AJ138" t="s">
        <v>558</v>
      </c>
      <c r="AK138" t="s">
        <v>965</v>
      </c>
      <c r="AL138" t="s">
        <v>274</v>
      </c>
      <c r="AT138">
        <v>1</v>
      </c>
      <c r="AU138">
        <v>1</v>
      </c>
      <c r="AV138" t="s">
        <v>273</v>
      </c>
      <c r="AY138" t="s">
        <v>273</v>
      </c>
      <c r="BB138">
        <v>0</v>
      </c>
      <c r="BC138">
        <v>0</v>
      </c>
      <c r="BD138">
        <v>0</v>
      </c>
      <c r="BE138">
        <v>0</v>
      </c>
      <c r="BF138" t="s">
        <v>1063</v>
      </c>
      <c r="BG138" t="s">
        <v>6582</v>
      </c>
      <c r="BH138">
        <v>18</v>
      </c>
      <c r="BI138" t="s">
        <v>1314</v>
      </c>
      <c r="BK138">
        <v>1887441</v>
      </c>
    </row>
    <row r="139" spans="1:63">
      <c r="A139" s="1">
        <f>HYPERLINK("https://lsnyc.legalserver.org/matter/dynamic-profile/view/1902131","19-1902131")</f>
        <v>0</v>
      </c>
      <c r="B139" t="s">
        <v>5203</v>
      </c>
      <c r="C139" t="s">
        <v>5625</v>
      </c>
      <c r="D139" t="s">
        <v>253</v>
      </c>
      <c r="E139" t="s">
        <v>5630</v>
      </c>
      <c r="F139" t="s">
        <v>274</v>
      </c>
      <c r="G139" t="s">
        <v>274</v>
      </c>
      <c r="H139">
        <v>100.74</v>
      </c>
      <c r="I139" t="s">
        <v>274</v>
      </c>
      <c r="K139" t="s">
        <v>3273</v>
      </c>
      <c r="Q139" t="s">
        <v>501</v>
      </c>
      <c r="S139" t="s">
        <v>503</v>
      </c>
      <c r="T139" t="s">
        <v>508</v>
      </c>
      <c r="U139" t="s">
        <v>511</v>
      </c>
      <c r="V139">
        <v>11434</v>
      </c>
      <c r="W139" t="s">
        <v>544</v>
      </c>
      <c r="X139" t="s">
        <v>549</v>
      </c>
      <c r="Z139" t="s">
        <v>5771</v>
      </c>
      <c r="AA139" t="s">
        <v>2247</v>
      </c>
      <c r="AB139" t="s">
        <v>902</v>
      </c>
      <c r="AC139" t="s">
        <v>904</v>
      </c>
      <c r="AF139" t="s">
        <v>923</v>
      </c>
      <c r="AI139">
        <v>0.1</v>
      </c>
      <c r="AJ139" t="s">
        <v>558</v>
      </c>
      <c r="AK139" t="s">
        <v>939</v>
      </c>
      <c r="AL139" t="s">
        <v>274</v>
      </c>
      <c r="AT139">
        <v>4</v>
      </c>
      <c r="AU139">
        <v>2</v>
      </c>
      <c r="AV139" t="s">
        <v>273</v>
      </c>
      <c r="AY139" t="s">
        <v>273</v>
      </c>
      <c r="BB139">
        <v>0</v>
      </c>
      <c r="BC139">
        <v>0</v>
      </c>
      <c r="BD139">
        <v>0</v>
      </c>
      <c r="BE139">
        <v>0</v>
      </c>
      <c r="BF139" t="s">
        <v>1063</v>
      </c>
      <c r="BG139" t="s">
        <v>6583</v>
      </c>
      <c r="BH139">
        <v>6</v>
      </c>
      <c r="BI139" t="s">
        <v>2763</v>
      </c>
      <c r="BK139">
        <v>1888184</v>
      </c>
    </row>
    <row r="140" spans="1:63">
      <c r="A140" s="1">
        <f>HYPERLINK("https://lsnyc.legalserver.org/matter/dynamic-profile/view/1902104","19-1902104")</f>
        <v>0</v>
      </c>
      <c r="B140" t="s">
        <v>5181</v>
      </c>
      <c r="C140" t="s">
        <v>5625</v>
      </c>
      <c r="D140" t="s">
        <v>252</v>
      </c>
      <c r="E140" t="s">
        <v>5630</v>
      </c>
      <c r="F140" t="s">
        <v>273</v>
      </c>
      <c r="G140" t="s">
        <v>275</v>
      </c>
      <c r="H140">
        <v>184.51</v>
      </c>
      <c r="I140" t="s">
        <v>275</v>
      </c>
      <c r="K140" t="s">
        <v>310</v>
      </c>
      <c r="Q140" t="s">
        <v>502</v>
      </c>
      <c r="S140" t="s">
        <v>503</v>
      </c>
      <c r="T140" t="s">
        <v>507</v>
      </c>
      <c r="U140" t="s">
        <v>511</v>
      </c>
      <c r="V140">
        <v>11226</v>
      </c>
      <c r="W140" t="s">
        <v>518</v>
      </c>
      <c r="X140" t="s">
        <v>548</v>
      </c>
      <c r="Z140" t="s">
        <v>3101</v>
      </c>
      <c r="AA140" t="s">
        <v>832</v>
      </c>
      <c r="AB140" t="s">
        <v>902</v>
      </c>
      <c r="AC140" t="s">
        <v>905</v>
      </c>
      <c r="AF140" t="s">
        <v>926</v>
      </c>
      <c r="AI140">
        <v>18</v>
      </c>
      <c r="AK140" t="s">
        <v>941</v>
      </c>
      <c r="AL140" t="s">
        <v>275</v>
      </c>
      <c r="AT140">
        <v>1</v>
      </c>
      <c r="AU140">
        <v>1</v>
      </c>
      <c r="AV140" t="s">
        <v>273</v>
      </c>
      <c r="AY140" t="s">
        <v>273</v>
      </c>
      <c r="BB140">
        <v>0</v>
      </c>
      <c r="BC140">
        <v>0</v>
      </c>
      <c r="BD140">
        <v>0</v>
      </c>
      <c r="BE140">
        <v>0</v>
      </c>
      <c r="BF140" t="s">
        <v>1063</v>
      </c>
      <c r="BG140" t="s">
        <v>6563</v>
      </c>
      <c r="BH140">
        <v>17</v>
      </c>
      <c r="BI140" t="s">
        <v>1254</v>
      </c>
      <c r="BK140">
        <v>1902758</v>
      </c>
    </row>
    <row r="141" spans="1:63">
      <c r="A141" s="1">
        <f>HYPERLINK("https://lsnyc.legalserver.org/matter/dynamic-profile/view/1901893","19-1901893")</f>
        <v>0</v>
      </c>
      <c r="B141" t="s">
        <v>5204</v>
      </c>
      <c r="C141" t="s">
        <v>5625</v>
      </c>
      <c r="D141" t="s">
        <v>252</v>
      </c>
      <c r="E141" t="s">
        <v>3694</v>
      </c>
      <c r="F141" t="s">
        <v>274</v>
      </c>
      <c r="G141" t="s">
        <v>274</v>
      </c>
      <c r="H141">
        <v>33.55</v>
      </c>
      <c r="I141" t="s">
        <v>274</v>
      </c>
      <c r="K141" t="s">
        <v>1684</v>
      </c>
      <c r="Q141" t="s">
        <v>501</v>
      </c>
      <c r="S141" t="s">
        <v>503</v>
      </c>
      <c r="T141" t="s">
        <v>508</v>
      </c>
      <c r="U141" t="s">
        <v>511</v>
      </c>
      <c r="V141">
        <v>11208</v>
      </c>
      <c r="W141" t="s">
        <v>544</v>
      </c>
      <c r="X141" t="s">
        <v>548</v>
      </c>
      <c r="Z141" t="s">
        <v>584</v>
      </c>
      <c r="AA141" t="s">
        <v>6150</v>
      </c>
      <c r="AB141" t="s">
        <v>902</v>
      </c>
      <c r="AC141" t="s">
        <v>906</v>
      </c>
      <c r="AF141" t="s">
        <v>923</v>
      </c>
      <c r="AI141">
        <v>0.3</v>
      </c>
      <c r="AJ141" t="s">
        <v>558</v>
      </c>
      <c r="AK141" t="s">
        <v>949</v>
      </c>
      <c r="AL141" t="s">
        <v>274</v>
      </c>
      <c r="AT141">
        <v>3</v>
      </c>
      <c r="AU141">
        <v>1</v>
      </c>
      <c r="AV141" t="s">
        <v>273</v>
      </c>
      <c r="AY141" t="s">
        <v>273</v>
      </c>
      <c r="BB141">
        <v>0</v>
      </c>
      <c r="BC141">
        <v>0</v>
      </c>
      <c r="BD141">
        <v>0</v>
      </c>
      <c r="BE141">
        <v>0</v>
      </c>
      <c r="BF141" t="s">
        <v>1063</v>
      </c>
      <c r="BG141" t="s">
        <v>6584</v>
      </c>
      <c r="BH141">
        <v>50</v>
      </c>
      <c r="BI141" t="s">
        <v>7017</v>
      </c>
      <c r="BK141">
        <v>1881809</v>
      </c>
    </row>
    <row r="142" spans="1:63">
      <c r="A142" s="1">
        <f>HYPERLINK("https://lsnyc.legalserver.org/matter/dynamic-profile/view/1901895","19-1901895")</f>
        <v>0</v>
      </c>
      <c r="B142" t="s">
        <v>5204</v>
      </c>
      <c r="C142" t="s">
        <v>5625</v>
      </c>
      <c r="D142" t="s">
        <v>252</v>
      </c>
      <c r="E142" t="s">
        <v>3694</v>
      </c>
      <c r="F142" t="s">
        <v>274</v>
      </c>
      <c r="G142" t="s">
        <v>274</v>
      </c>
      <c r="H142">
        <v>33.55</v>
      </c>
      <c r="I142" t="s">
        <v>274</v>
      </c>
      <c r="K142" t="s">
        <v>1684</v>
      </c>
      <c r="Q142" t="s">
        <v>501</v>
      </c>
      <c r="S142" t="s">
        <v>503</v>
      </c>
      <c r="T142" t="s">
        <v>508</v>
      </c>
      <c r="U142" t="s">
        <v>511</v>
      </c>
      <c r="V142">
        <v>11208</v>
      </c>
      <c r="W142" t="s">
        <v>528</v>
      </c>
      <c r="X142" t="s">
        <v>548</v>
      </c>
      <c r="Z142" t="s">
        <v>584</v>
      </c>
      <c r="AA142" t="s">
        <v>6150</v>
      </c>
      <c r="AB142" t="s">
        <v>902</v>
      </c>
      <c r="AC142" t="s">
        <v>906</v>
      </c>
      <c r="AF142" t="s">
        <v>923</v>
      </c>
      <c r="AI142">
        <v>0.1</v>
      </c>
      <c r="AJ142" t="s">
        <v>558</v>
      </c>
      <c r="AK142" t="s">
        <v>949</v>
      </c>
      <c r="AL142" t="s">
        <v>274</v>
      </c>
      <c r="AT142">
        <v>3</v>
      </c>
      <c r="AU142">
        <v>1</v>
      </c>
      <c r="AV142" t="s">
        <v>273</v>
      </c>
      <c r="AY142" t="s">
        <v>273</v>
      </c>
      <c r="BB142">
        <v>0</v>
      </c>
      <c r="BC142">
        <v>0</v>
      </c>
      <c r="BD142">
        <v>0</v>
      </c>
      <c r="BE142">
        <v>0</v>
      </c>
      <c r="BF142" t="s">
        <v>1063</v>
      </c>
      <c r="BG142" t="s">
        <v>6584</v>
      </c>
      <c r="BH142">
        <v>50</v>
      </c>
      <c r="BI142" t="s">
        <v>7017</v>
      </c>
      <c r="BK142">
        <v>1881809</v>
      </c>
    </row>
    <row r="143" spans="1:63">
      <c r="A143" s="1">
        <f>HYPERLINK("https://lsnyc.legalserver.org/matter/dynamic-profile/view/1901913","19-1901913")</f>
        <v>0</v>
      </c>
      <c r="B143" t="s">
        <v>5205</v>
      </c>
      <c r="C143" t="s">
        <v>5625</v>
      </c>
      <c r="D143" t="s">
        <v>257</v>
      </c>
      <c r="E143" t="s">
        <v>5630</v>
      </c>
      <c r="F143" t="s">
        <v>274</v>
      </c>
      <c r="G143" t="s">
        <v>274</v>
      </c>
      <c r="H143">
        <v>109.36</v>
      </c>
      <c r="I143" t="s">
        <v>274</v>
      </c>
      <c r="K143" t="s">
        <v>1684</v>
      </c>
      <c r="Q143" t="s">
        <v>501</v>
      </c>
      <c r="S143" t="s">
        <v>503</v>
      </c>
      <c r="T143" t="s">
        <v>508</v>
      </c>
      <c r="U143" t="s">
        <v>511</v>
      </c>
      <c r="V143">
        <v>10460</v>
      </c>
      <c r="W143" t="s">
        <v>544</v>
      </c>
      <c r="X143" t="s">
        <v>548</v>
      </c>
      <c r="Z143" t="s">
        <v>5772</v>
      </c>
      <c r="AA143" t="s">
        <v>4805</v>
      </c>
      <c r="AB143" t="s">
        <v>902</v>
      </c>
      <c r="AC143" t="s">
        <v>904</v>
      </c>
      <c r="AF143" t="s">
        <v>923</v>
      </c>
      <c r="AI143">
        <v>1.1</v>
      </c>
      <c r="AJ143" t="s">
        <v>558</v>
      </c>
      <c r="AK143" t="s">
        <v>950</v>
      </c>
      <c r="AL143" t="s">
        <v>274</v>
      </c>
      <c r="AM143" t="s">
        <v>973</v>
      </c>
      <c r="AN143" t="s">
        <v>1667</v>
      </c>
      <c r="AT143">
        <v>0</v>
      </c>
      <c r="AU143">
        <v>2</v>
      </c>
      <c r="AV143" t="s">
        <v>273</v>
      </c>
      <c r="AY143" t="s">
        <v>273</v>
      </c>
      <c r="BB143">
        <v>0</v>
      </c>
      <c r="BC143">
        <v>0</v>
      </c>
      <c r="BD143">
        <v>0</v>
      </c>
      <c r="BE143">
        <v>0</v>
      </c>
      <c r="BF143" t="s">
        <v>1063</v>
      </c>
      <c r="BG143" t="s">
        <v>6585</v>
      </c>
      <c r="BH143">
        <v>57</v>
      </c>
      <c r="BI143" t="s">
        <v>7018</v>
      </c>
      <c r="BK143">
        <v>1880902</v>
      </c>
    </row>
    <row r="144" spans="1:63">
      <c r="A144" s="1">
        <f>HYPERLINK("https://lsnyc.legalserver.org/matter/dynamic-profile/view/1901919","19-1901919")</f>
        <v>0</v>
      </c>
      <c r="B144" t="s">
        <v>5206</v>
      </c>
      <c r="C144" t="s">
        <v>5625</v>
      </c>
      <c r="D144" t="s">
        <v>255</v>
      </c>
      <c r="E144" t="s">
        <v>5630</v>
      </c>
      <c r="F144" t="s">
        <v>274</v>
      </c>
      <c r="G144" t="s">
        <v>274</v>
      </c>
      <c r="H144">
        <v>179.74</v>
      </c>
      <c r="I144" t="s">
        <v>274</v>
      </c>
      <c r="K144" t="s">
        <v>1684</v>
      </c>
      <c r="Q144" t="s">
        <v>501</v>
      </c>
      <c r="S144" t="s">
        <v>503</v>
      </c>
      <c r="T144" t="s">
        <v>508</v>
      </c>
      <c r="U144" t="s">
        <v>511</v>
      </c>
      <c r="V144">
        <v>10019</v>
      </c>
      <c r="W144" t="s">
        <v>544</v>
      </c>
      <c r="X144" t="s">
        <v>548</v>
      </c>
      <c r="Z144" t="s">
        <v>5773</v>
      </c>
      <c r="AA144" t="s">
        <v>6151</v>
      </c>
      <c r="AB144" t="s">
        <v>902</v>
      </c>
      <c r="AC144" t="s">
        <v>904</v>
      </c>
      <c r="AF144" t="s">
        <v>923</v>
      </c>
      <c r="AI144">
        <v>1</v>
      </c>
      <c r="AJ144" t="s">
        <v>558</v>
      </c>
      <c r="AK144" t="s">
        <v>949</v>
      </c>
      <c r="AL144" t="s">
        <v>274</v>
      </c>
      <c r="AT144">
        <v>0</v>
      </c>
      <c r="AU144">
        <v>2</v>
      </c>
      <c r="AV144" t="s">
        <v>273</v>
      </c>
      <c r="AY144" t="s">
        <v>273</v>
      </c>
      <c r="BB144">
        <v>0</v>
      </c>
      <c r="BC144">
        <v>0</v>
      </c>
      <c r="BD144">
        <v>0</v>
      </c>
      <c r="BE144">
        <v>0</v>
      </c>
      <c r="BF144" t="s">
        <v>1063</v>
      </c>
      <c r="BG144" t="s">
        <v>6586</v>
      </c>
      <c r="BH144">
        <v>55</v>
      </c>
      <c r="BI144" t="s">
        <v>7019</v>
      </c>
      <c r="BK144">
        <v>1874240</v>
      </c>
    </row>
    <row r="145" spans="1:63">
      <c r="A145" s="1">
        <f>HYPERLINK("https://lsnyc.legalserver.org/matter/dynamic-profile/view/1901925","19-1901925")</f>
        <v>0</v>
      </c>
      <c r="B145" t="s">
        <v>5207</v>
      </c>
      <c r="C145" t="s">
        <v>5625</v>
      </c>
      <c r="D145" t="s">
        <v>257</v>
      </c>
      <c r="E145" t="s">
        <v>3694</v>
      </c>
      <c r="F145" t="s">
        <v>274</v>
      </c>
      <c r="G145" t="s">
        <v>274</v>
      </c>
      <c r="H145">
        <v>96.78</v>
      </c>
      <c r="I145" t="s">
        <v>274</v>
      </c>
      <c r="K145" t="s">
        <v>1684</v>
      </c>
      <c r="Q145" t="s">
        <v>501</v>
      </c>
      <c r="S145" t="s">
        <v>503</v>
      </c>
      <c r="T145" t="s">
        <v>508</v>
      </c>
      <c r="U145" t="s">
        <v>511</v>
      </c>
      <c r="V145">
        <v>10460</v>
      </c>
      <c r="W145" t="s">
        <v>544</v>
      </c>
      <c r="X145" t="s">
        <v>548</v>
      </c>
      <c r="Z145" t="s">
        <v>5774</v>
      </c>
      <c r="AA145" t="s">
        <v>6152</v>
      </c>
      <c r="AB145" t="s">
        <v>902</v>
      </c>
      <c r="AC145" t="s">
        <v>904</v>
      </c>
      <c r="AF145" t="s">
        <v>923</v>
      </c>
      <c r="AI145">
        <v>0.7</v>
      </c>
      <c r="AJ145" t="s">
        <v>558</v>
      </c>
      <c r="AK145" t="s">
        <v>950</v>
      </c>
      <c r="AL145" t="s">
        <v>274</v>
      </c>
      <c r="AT145">
        <v>0</v>
      </c>
      <c r="AU145">
        <v>3</v>
      </c>
      <c r="AV145" t="s">
        <v>273</v>
      </c>
      <c r="AY145" t="s">
        <v>273</v>
      </c>
      <c r="BB145">
        <v>0</v>
      </c>
      <c r="BC145">
        <v>0</v>
      </c>
      <c r="BD145">
        <v>0</v>
      </c>
      <c r="BE145">
        <v>0</v>
      </c>
      <c r="BF145" t="s">
        <v>1063</v>
      </c>
      <c r="BG145" t="s">
        <v>2560</v>
      </c>
      <c r="BH145">
        <v>38</v>
      </c>
      <c r="BI145" t="s">
        <v>7020</v>
      </c>
      <c r="BK145">
        <v>1885914</v>
      </c>
    </row>
    <row r="146" spans="1:63">
      <c r="A146" s="1">
        <f>HYPERLINK("https://lsnyc.legalserver.org/matter/dynamic-profile/view/1901932","19-1901932")</f>
        <v>0</v>
      </c>
      <c r="B146" t="s">
        <v>5187</v>
      </c>
      <c r="C146" t="s">
        <v>5625</v>
      </c>
      <c r="D146" t="s">
        <v>252</v>
      </c>
      <c r="E146" t="s">
        <v>5630</v>
      </c>
      <c r="F146" t="s">
        <v>274</v>
      </c>
      <c r="G146" t="s">
        <v>274</v>
      </c>
      <c r="H146">
        <v>0</v>
      </c>
      <c r="I146" t="s">
        <v>274</v>
      </c>
      <c r="K146" t="s">
        <v>1684</v>
      </c>
      <c r="Q146" t="s">
        <v>502</v>
      </c>
      <c r="S146" t="s">
        <v>503</v>
      </c>
      <c r="T146" t="s">
        <v>508</v>
      </c>
      <c r="U146" t="s">
        <v>511</v>
      </c>
      <c r="V146">
        <v>11206</v>
      </c>
      <c r="W146" t="s">
        <v>529</v>
      </c>
      <c r="X146" t="s">
        <v>548</v>
      </c>
      <c r="Z146" t="s">
        <v>1985</v>
      </c>
      <c r="AA146" t="s">
        <v>6141</v>
      </c>
      <c r="AB146" t="s">
        <v>902</v>
      </c>
      <c r="AC146" t="s">
        <v>908</v>
      </c>
      <c r="AF146" t="s">
        <v>923</v>
      </c>
      <c r="AI146">
        <v>0.95</v>
      </c>
      <c r="AJ146" t="s">
        <v>558</v>
      </c>
      <c r="AK146" t="s">
        <v>941</v>
      </c>
      <c r="AL146" t="s">
        <v>274</v>
      </c>
      <c r="AT146">
        <v>2</v>
      </c>
      <c r="AU146">
        <v>1</v>
      </c>
      <c r="AV146" t="s">
        <v>273</v>
      </c>
      <c r="AY146" t="s">
        <v>273</v>
      </c>
      <c r="BB146">
        <v>0</v>
      </c>
      <c r="BC146">
        <v>0</v>
      </c>
      <c r="BD146">
        <v>0</v>
      </c>
      <c r="BE146">
        <v>0</v>
      </c>
      <c r="BF146" t="s">
        <v>1063</v>
      </c>
      <c r="BG146" t="s">
        <v>6568</v>
      </c>
      <c r="BH146">
        <v>5</v>
      </c>
      <c r="BI146" t="s">
        <v>1247</v>
      </c>
      <c r="BK146">
        <v>1902586</v>
      </c>
    </row>
    <row r="147" spans="1:63">
      <c r="A147" s="1">
        <f>HYPERLINK("https://lsnyc.legalserver.org/matter/dynamic-profile/view/1901959","19-1901959")</f>
        <v>0</v>
      </c>
      <c r="B147" t="s">
        <v>5187</v>
      </c>
      <c r="C147" t="s">
        <v>5625</v>
      </c>
      <c r="D147" t="s">
        <v>252</v>
      </c>
      <c r="E147" t="s">
        <v>5630</v>
      </c>
      <c r="F147" t="s">
        <v>274</v>
      </c>
      <c r="G147" t="s">
        <v>274</v>
      </c>
      <c r="H147">
        <v>0</v>
      </c>
      <c r="I147" t="s">
        <v>274</v>
      </c>
      <c r="K147" t="s">
        <v>1684</v>
      </c>
      <c r="Q147" t="s">
        <v>502</v>
      </c>
      <c r="R147" t="s">
        <v>502</v>
      </c>
      <c r="S147" t="s">
        <v>503</v>
      </c>
      <c r="T147" t="s">
        <v>508</v>
      </c>
      <c r="U147" t="s">
        <v>511</v>
      </c>
      <c r="V147">
        <v>11206</v>
      </c>
      <c r="W147" t="s">
        <v>538</v>
      </c>
      <c r="X147" t="s">
        <v>548</v>
      </c>
      <c r="Z147" t="s">
        <v>1985</v>
      </c>
      <c r="AA147" t="s">
        <v>6141</v>
      </c>
      <c r="AB147" t="s">
        <v>902</v>
      </c>
      <c r="AC147" t="s">
        <v>908</v>
      </c>
      <c r="AF147" t="s">
        <v>923</v>
      </c>
      <c r="AI147">
        <v>0.8</v>
      </c>
      <c r="AJ147" t="s">
        <v>558</v>
      </c>
      <c r="AK147" t="s">
        <v>941</v>
      </c>
      <c r="AL147" t="s">
        <v>274</v>
      </c>
      <c r="AM147" t="s">
        <v>973</v>
      </c>
      <c r="AN147" t="s">
        <v>1683</v>
      </c>
      <c r="AT147">
        <v>2</v>
      </c>
      <c r="AU147">
        <v>1</v>
      </c>
      <c r="AV147" t="s">
        <v>273</v>
      </c>
      <c r="AY147" t="s">
        <v>273</v>
      </c>
      <c r="BB147">
        <v>0</v>
      </c>
      <c r="BC147">
        <v>0</v>
      </c>
      <c r="BD147">
        <v>0</v>
      </c>
      <c r="BE147">
        <v>0</v>
      </c>
      <c r="BF147" t="s">
        <v>1063</v>
      </c>
      <c r="BG147" t="s">
        <v>6568</v>
      </c>
      <c r="BH147">
        <v>5</v>
      </c>
      <c r="BI147" t="s">
        <v>1247</v>
      </c>
      <c r="BK147">
        <v>1902586</v>
      </c>
    </row>
    <row r="148" spans="1:63">
      <c r="A148" s="1">
        <f>HYPERLINK("https://lsnyc.legalserver.org/matter/dynamic-profile/view/1901960","19-1901960")</f>
        <v>0</v>
      </c>
      <c r="B148" t="s">
        <v>5182</v>
      </c>
      <c r="C148" t="s">
        <v>5625</v>
      </c>
      <c r="D148" t="s">
        <v>253</v>
      </c>
      <c r="E148" t="s">
        <v>3694</v>
      </c>
      <c r="F148" t="s">
        <v>274</v>
      </c>
      <c r="G148" t="s">
        <v>274</v>
      </c>
      <c r="H148">
        <v>85.44</v>
      </c>
      <c r="I148" t="s">
        <v>274</v>
      </c>
      <c r="K148" t="s">
        <v>1684</v>
      </c>
      <c r="Q148" t="s">
        <v>502</v>
      </c>
      <c r="S148" t="s">
        <v>503</v>
      </c>
      <c r="T148" t="s">
        <v>507</v>
      </c>
      <c r="U148" t="s">
        <v>511</v>
      </c>
      <c r="V148">
        <v>11691</v>
      </c>
      <c r="W148" t="s">
        <v>529</v>
      </c>
      <c r="X148" t="s">
        <v>548</v>
      </c>
      <c r="Z148" t="s">
        <v>5757</v>
      </c>
      <c r="AA148" t="s">
        <v>6138</v>
      </c>
      <c r="AB148" t="s">
        <v>902</v>
      </c>
      <c r="AC148" t="s">
        <v>905</v>
      </c>
      <c r="AF148" t="s">
        <v>923</v>
      </c>
      <c r="AI148">
        <v>2.1</v>
      </c>
      <c r="AJ148" t="s">
        <v>558</v>
      </c>
      <c r="AK148" t="s">
        <v>934</v>
      </c>
      <c r="AL148" t="s">
        <v>274</v>
      </c>
      <c r="AT148">
        <v>1</v>
      </c>
      <c r="AU148">
        <v>3</v>
      </c>
      <c r="AV148" t="s">
        <v>273</v>
      </c>
      <c r="AY148" t="s">
        <v>273</v>
      </c>
      <c r="BB148">
        <v>0</v>
      </c>
      <c r="BC148">
        <v>0</v>
      </c>
      <c r="BD148">
        <v>0</v>
      </c>
      <c r="BE148">
        <v>0</v>
      </c>
      <c r="BF148" t="s">
        <v>1063</v>
      </c>
      <c r="BG148" t="s">
        <v>6564</v>
      </c>
      <c r="BH148">
        <v>18</v>
      </c>
      <c r="BI148" t="s">
        <v>2738</v>
      </c>
      <c r="BK148">
        <v>1881248</v>
      </c>
    </row>
    <row r="149" spans="1:63">
      <c r="A149" s="1">
        <f>HYPERLINK("https://lsnyc.legalserver.org/matter/dynamic-profile/view/1901730","19-1901730")</f>
        <v>0</v>
      </c>
      <c r="B149" t="s">
        <v>5208</v>
      </c>
      <c r="C149" t="s">
        <v>5625</v>
      </c>
      <c r="D149" t="s">
        <v>257</v>
      </c>
      <c r="E149" t="s">
        <v>3694</v>
      </c>
      <c r="F149" t="s">
        <v>273</v>
      </c>
      <c r="G149" t="s">
        <v>275</v>
      </c>
      <c r="H149">
        <v>116.01</v>
      </c>
      <c r="I149" t="s">
        <v>274</v>
      </c>
      <c r="K149" t="s">
        <v>1685</v>
      </c>
      <c r="Q149" t="s">
        <v>501</v>
      </c>
      <c r="S149" t="s">
        <v>503</v>
      </c>
      <c r="T149" t="s">
        <v>507</v>
      </c>
      <c r="U149" t="s">
        <v>511</v>
      </c>
      <c r="V149">
        <v>10473</v>
      </c>
      <c r="W149" t="s">
        <v>519</v>
      </c>
      <c r="Z149" t="s">
        <v>5775</v>
      </c>
      <c r="AA149" t="s">
        <v>6153</v>
      </c>
      <c r="AB149" t="s">
        <v>902</v>
      </c>
      <c r="AC149" t="s">
        <v>905</v>
      </c>
      <c r="AF149" t="s">
        <v>926</v>
      </c>
      <c r="AI149">
        <v>0</v>
      </c>
      <c r="AJ149" t="s">
        <v>558</v>
      </c>
      <c r="AK149" t="s">
        <v>934</v>
      </c>
      <c r="AL149" t="s">
        <v>274</v>
      </c>
      <c r="AT149">
        <v>2</v>
      </c>
      <c r="AU149">
        <v>3</v>
      </c>
      <c r="AV149" t="s">
        <v>273</v>
      </c>
      <c r="AY149" t="s">
        <v>273</v>
      </c>
      <c r="BB149">
        <v>0</v>
      </c>
      <c r="BC149">
        <v>0</v>
      </c>
      <c r="BD149">
        <v>0</v>
      </c>
      <c r="BE149">
        <v>0</v>
      </c>
      <c r="BF149" t="s">
        <v>1063</v>
      </c>
      <c r="BG149" t="s">
        <v>6587</v>
      </c>
      <c r="BH149">
        <v>36</v>
      </c>
      <c r="BI149" t="s">
        <v>2736</v>
      </c>
      <c r="BK149">
        <v>1902383</v>
      </c>
    </row>
    <row r="150" spans="1:63">
      <c r="A150" s="1">
        <f>HYPERLINK("https://lsnyc.legalserver.org/matter/dynamic-profile/view/1901734","19-1901734")</f>
        <v>0</v>
      </c>
      <c r="B150" t="s">
        <v>5209</v>
      </c>
      <c r="C150" t="s">
        <v>5625</v>
      </c>
      <c r="D150" t="s">
        <v>257</v>
      </c>
      <c r="E150" t="s">
        <v>3694</v>
      </c>
      <c r="F150" t="s">
        <v>274</v>
      </c>
      <c r="G150" t="s">
        <v>274</v>
      </c>
      <c r="H150">
        <v>116.01</v>
      </c>
      <c r="I150" t="s">
        <v>274</v>
      </c>
      <c r="K150" t="s">
        <v>1685</v>
      </c>
      <c r="Q150" t="s">
        <v>502</v>
      </c>
      <c r="S150" t="s">
        <v>503</v>
      </c>
      <c r="T150" t="s">
        <v>507</v>
      </c>
      <c r="U150" t="s">
        <v>511</v>
      </c>
      <c r="V150">
        <v>10473</v>
      </c>
      <c r="W150" t="s">
        <v>518</v>
      </c>
      <c r="X150" t="s">
        <v>548</v>
      </c>
      <c r="Z150" t="s">
        <v>5776</v>
      </c>
      <c r="AA150" t="s">
        <v>6154</v>
      </c>
      <c r="AB150" t="s">
        <v>902</v>
      </c>
      <c r="AC150" t="s">
        <v>905</v>
      </c>
      <c r="AF150" t="s">
        <v>926</v>
      </c>
      <c r="AI150">
        <v>0.25</v>
      </c>
      <c r="AJ150" t="s">
        <v>558</v>
      </c>
      <c r="AK150" t="s">
        <v>934</v>
      </c>
      <c r="AL150" t="s">
        <v>274</v>
      </c>
      <c r="AT150">
        <v>2</v>
      </c>
      <c r="AU150">
        <v>3</v>
      </c>
      <c r="AV150" t="s">
        <v>273</v>
      </c>
      <c r="AY150" t="s">
        <v>273</v>
      </c>
      <c r="BB150">
        <v>0</v>
      </c>
      <c r="BC150">
        <v>0</v>
      </c>
      <c r="BD150">
        <v>0</v>
      </c>
      <c r="BE150">
        <v>0</v>
      </c>
      <c r="BF150" t="s">
        <v>1063</v>
      </c>
      <c r="BG150" t="s">
        <v>6561</v>
      </c>
      <c r="BH150">
        <v>14</v>
      </c>
      <c r="BI150" t="s">
        <v>2736</v>
      </c>
      <c r="BK150">
        <v>1902387</v>
      </c>
    </row>
    <row r="151" spans="1:63">
      <c r="A151" s="1">
        <f>HYPERLINK("https://lsnyc.legalserver.org/matter/dynamic-profile/view/1901810","19-1901810")</f>
        <v>0</v>
      </c>
      <c r="B151" t="s">
        <v>5210</v>
      </c>
      <c r="C151" t="s">
        <v>5625</v>
      </c>
      <c r="D151" t="s">
        <v>257</v>
      </c>
      <c r="E151" t="s">
        <v>5630</v>
      </c>
      <c r="F151" t="s">
        <v>274</v>
      </c>
      <c r="G151" t="s">
        <v>274</v>
      </c>
      <c r="H151">
        <v>120.1</v>
      </c>
      <c r="I151" t="s">
        <v>274</v>
      </c>
      <c r="K151" t="s">
        <v>1685</v>
      </c>
      <c r="Q151" t="s">
        <v>501</v>
      </c>
      <c r="S151" t="s">
        <v>503</v>
      </c>
      <c r="T151" t="s">
        <v>507</v>
      </c>
      <c r="U151" t="s">
        <v>511</v>
      </c>
      <c r="V151">
        <v>10468</v>
      </c>
      <c r="W151" t="s">
        <v>544</v>
      </c>
      <c r="Z151" t="s">
        <v>5777</v>
      </c>
      <c r="AA151" t="s">
        <v>6155</v>
      </c>
      <c r="AB151" t="s">
        <v>902</v>
      </c>
      <c r="AC151" t="s">
        <v>904</v>
      </c>
      <c r="AF151" t="s">
        <v>923</v>
      </c>
      <c r="AI151">
        <v>0.6</v>
      </c>
      <c r="AJ151" t="s">
        <v>558</v>
      </c>
      <c r="AK151" t="s">
        <v>933</v>
      </c>
      <c r="AL151" t="s">
        <v>274</v>
      </c>
      <c r="AT151">
        <v>0</v>
      </c>
      <c r="AU151">
        <v>1</v>
      </c>
      <c r="AV151" t="s">
        <v>273</v>
      </c>
      <c r="AY151" t="s">
        <v>273</v>
      </c>
      <c r="BB151">
        <v>0</v>
      </c>
      <c r="BC151">
        <v>0</v>
      </c>
      <c r="BD151">
        <v>0</v>
      </c>
      <c r="BE151">
        <v>0</v>
      </c>
      <c r="BF151" t="s">
        <v>1063</v>
      </c>
      <c r="BG151" t="s">
        <v>6588</v>
      </c>
      <c r="BH151">
        <v>39</v>
      </c>
      <c r="BI151" t="s">
        <v>2801</v>
      </c>
      <c r="BK151">
        <v>1885298</v>
      </c>
    </row>
    <row r="152" spans="1:63">
      <c r="A152" s="1">
        <f>HYPERLINK("https://lsnyc.legalserver.org/matter/dynamic-profile/view/1901824","19-1901824")</f>
        <v>0</v>
      </c>
      <c r="B152" t="s">
        <v>5211</v>
      </c>
      <c r="C152" t="s">
        <v>5625</v>
      </c>
      <c r="D152" t="s">
        <v>255</v>
      </c>
      <c r="E152" t="s">
        <v>5630</v>
      </c>
      <c r="F152" t="s">
        <v>274</v>
      </c>
      <c r="G152" t="s">
        <v>274</v>
      </c>
      <c r="H152">
        <v>156.12</v>
      </c>
      <c r="I152" t="s">
        <v>274</v>
      </c>
      <c r="K152" t="s">
        <v>1685</v>
      </c>
      <c r="Q152" t="s">
        <v>501</v>
      </c>
      <c r="S152" t="s">
        <v>503</v>
      </c>
      <c r="T152" t="s">
        <v>508</v>
      </c>
      <c r="U152" t="s">
        <v>511</v>
      </c>
      <c r="V152">
        <v>10025</v>
      </c>
      <c r="W152" t="s">
        <v>544</v>
      </c>
      <c r="X152" t="s">
        <v>549</v>
      </c>
      <c r="Z152" t="s">
        <v>4626</v>
      </c>
      <c r="AA152" t="s">
        <v>6156</v>
      </c>
      <c r="AB152" t="s">
        <v>902</v>
      </c>
      <c r="AC152" t="s">
        <v>904</v>
      </c>
      <c r="AF152" t="s">
        <v>923</v>
      </c>
      <c r="AI152">
        <v>1.5</v>
      </c>
      <c r="AJ152" t="s">
        <v>558</v>
      </c>
      <c r="AK152" t="s">
        <v>941</v>
      </c>
      <c r="AL152" t="s">
        <v>274</v>
      </c>
      <c r="AT152">
        <v>0</v>
      </c>
      <c r="AU152">
        <v>2</v>
      </c>
      <c r="AV152" t="s">
        <v>273</v>
      </c>
      <c r="AY152" t="s">
        <v>273</v>
      </c>
      <c r="BB152">
        <v>0</v>
      </c>
      <c r="BC152">
        <v>0</v>
      </c>
      <c r="BD152">
        <v>0</v>
      </c>
      <c r="BE152">
        <v>0</v>
      </c>
      <c r="BF152" t="s">
        <v>1063</v>
      </c>
      <c r="BG152" t="s">
        <v>6589</v>
      </c>
      <c r="BH152">
        <v>55</v>
      </c>
      <c r="BI152" t="s">
        <v>3446</v>
      </c>
      <c r="BK152">
        <v>774292</v>
      </c>
    </row>
    <row r="153" spans="1:63">
      <c r="A153" s="1">
        <f>HYPERLINK("https://lsnyc.legalserver.org/matter/dynamic-profile/view/1901617","19-1901617")</f>
        <v>0</v>
      </c>
      <c r="B153" t="s">
        <v>5212</v>
      </c>
      <c r="C153" t="s">
        <v>5625</v>
      </c>
      <c r="D153" t="s">
        <v>252</v>
      </c>
      <c r="E153" t="s">
        <v>3694</v>
      </c>
      <c r="F153" t="s">
        <v>273</v>
      </c>
      <c r="G153" t="s">
        <v>275</v>
      </c>
      <c r="H153">
        <v>124.9</v>
      </c>
      <c r="I153" t="s">
        <v>275</v>
      </c>
      <c r="K153" t="s">
        <v>2388</v>
      </c>
      <c r="Q153" t="s">
        <v>501</v>
      </c>
      <c r="S153" t="s">
        <v>503</v>
      </c>
      <c r="T153" t="s">
        <v>508</v>
      </c>
      <c r="U153" t="s">
        <v>511</v>
      </c>
      <c r="V153">
        <v>11232</v>
      </c>
      <c r="W153" t="s">
        <v>3017</v>
      </c>
      <c r="X153" t="s">
        <v>548</v>
      </c>
      <c r="Z153" t="s">
        <v>5778</v>
      </c>
      <c r="AA153" t="s">
        <v>6157</v>
      </c>
      <c r="AB153" t="s">
        <v>902</v>
      </c>
      <c r="AC153" t="s">
        <v>904</v>
      </c>
      <c r="AF153" t="s">
        <v>923</v>
      </c>
      <c r="AI153">
        <v>0.6</v>
      </c>
      <c r="AJ153" t="s">
        <v>558</v>
      </c>
      <c r="AK153" t="s">
        <v>949</v>
      </c>
      <c r="AT153">
        <v>0</v>
      </c>
      <c r="AU153">
        <v>1</v>
      </c>
      <c r="AV153" t="s">
        <v>273</v>
      </c>
      <c r="AY153" t="s">
        <v>273</v>
      </c>
      <c r="BB153">
        <v>0</v>
      </c>
      <c r="BC153">
        <v>0</v>
      </c>
      <c r="BD153">
        <v>0</v>
      </c>
      <c r="BE153">
        <v>0</v>
      </c>
      <c r="BF153" t="s">
        <v>1063</v>
      </c>
      <c r="BG153" t="s">
        <v>6574</v>
      </c>
      <c r="BH153">
        <v>56</v>
      </c>
      <c r="BI153" t="s">
        <v>1270</v>
      </c>
      <c r="BK153">
        <v>1863953</v>
      </c>
    </row>
    <row r="154" spans="1:63">
      <c r="A154" s="1">
        <f>HYPERLINK("https://lsnyc.legalserver.org/matter/dynamic-profile/view/1901629","19-1901629")</f>
        <v>0</v>
      </c>
      <c r="B154" t="s">
        <v>5213</v>
      </c>
      <c r="C154" t="s">
        <v>5625</v>
      </c>
      <c r="D154" t="s">
        <v>253</v>
      </c>
      <c r="E154" t="s">
        <v>5630</v>
      </c>
      <c r="F154" t="s">
        <v>274</v>
      </c>
      <c r="G154" t="s">
        <v>274</v>
      </c>
      <c r="H154">
        <v>52.22</v>
      </c>
      <c r="I154" t="s">
        <v>274</v>
      </c>
      <c r="K154" t="s">
        <v>2388</v>
      </c>
      <c r="Q154" t="s">
        <v>501</v>
      </c>
      <c r="S154" t="s">
        <v>503</v>
      </c>
      <c r="T154" t="s">
        <v>508</v>
      </c>
      <c r="U154" t="s">
        <v>511</v>
      </c>
      <c r="V154">
        <v>11419</v>
      </c>
      <c r="W154" t="s">
        <v>544</v>
      </c>
      <c r="Z154" t="s">
        <v>5779</v>
      </c>
      <c r="AA154" t="s">
        <v>6158</v>
      </c>
      <c r="AB154" t="s">
        <v>902</v>
      </c>
      <c r="AC154" t="s">
        <v>904</v>
      </c>
      <c r="AF154" t="s">
        <v>923</v>
      </c>
      <c r="AI154">
        <v>0.5</v>
      </c>
      <c r="AJ154" t="s">
        <v>558</v>
      </c>
      <c r="AK154" t="s">
        <v>944</v>
      </c>
      <c r="AL154" t="s">
        <v>274</v>
      </c>
      <c r="AT154">
        <v>1</v>
      </c>
      <c r="AU154">
        <v>4</v>
      </c>
      <c r="AV154" t="s">
        <v>273</v>
      </c>
      <c r="AY154" t="s">
        <v>273</v>
      </c>
      <c r="BB154">
        <v>0</v>
      </c>
      <c r="BC154">
        <v>0</v>
      </c>
      <c r="BD154">
        <v>0</v>
      </c>
      <c r="BE154">
        <v>0</v>
      </c>
      <c r="BF154" t="s">
        <v>1063</v>
      </c>
      <c r="BG154" t="s">
        <v>6590</v>
      </c>
      <c r="BH154">
        <v>56</v>
      </c>
      <c r="BI154" t="s">
        <v>7021</v>
      </c>
      <c r="BK154">
        <v>1902282</v>
      </c>
    </row>
    <row r="155" spans="1:63">
      <c r="A155" s="1">
        <f>HYPERLINK("https://lsnyc.legalserver.org/matter/dynamic-profile/view/1901647","19-1901647")</f>
        <v>0</v>
      </c>
      <c r="B155" t="s">
        <v>5214</v>
      </c>
      <c r="C155" t="s">
        <v>5625</v>
      </c>
      <c r="D155" t="s">
        <v>253</v>
      </c>
      <c r="E155" t="s">
        <v>5630</v>
      </c>
      <c r="F155" t="s">
        <v>274</v>
      </c>
      <c r="G155" t="s">
        <v>274</v>
      </c>
      <c r="H155">
        <v>66.29000000000001</v>
      </c>
      <c r="I155" t="s">
        <v>274</v>
      </c>
      <c r="K155" t="s">
        <v>2388</v>
      </c>
      <c r="Q155" t="s">
        <v>501</v>
      </c>
      <c r="S155" t="s">
        <v>503</v>
      </c>
      <c r="T155" t="s">
        <v>508</v>
      </c>
      <c r="U155" t="s">
        <v>511</v>
      </c>
      <c r="V155">
        <v>11432</v>
      </c>
      <c r="W155" t="s">
        <v>544</v>
      </c>
      <c r="Z155" t="s">
        <v>5716</v>
      </c>
      <c r="AA155" t="s">
        <v>6099</v>
      </c>
      <c r="AB155" t="s">
        <v>902</v>
      </c>
      <c r="AC155" t="s">
        <v>904</v>
      </c>
      <c r="AF155" t="s">
        <v>923</v>
      </c>
      <c r="AI155">
        <v>0.5</v>
      </c>
      <c r="AJ155" t="s">
        <v>558</v>
      </c>
      <c r="AK155" t="s">
        <v>944</v>
      </c>
      <c r="AL155" t="s">
        <v>274</v>
      </c>
      <c r="AM155" t="s">
        <v>973</v>
      </c>
      <c r="AN155" t="s">
        <v>1670</v>
      </c>
      <c r="AT155">
        <v>3</v>
      </c>
      <c r="AU155">
        <v>2</v>
      </c>
      <c r="AV155" t="s">
        <v>273</v>
      </c>
      <c r="AY155" t="s">
        <v>273</v>
      </c>
      <c r="BB155">
        <v>0</v>
      </c>
      <c r="BC155">
        <v>0</v>
      </c>
      <c r="BD155">
        <v>0</v>
      </c>
      <c r="BE155">
        <v>0</v>
      </c>
      <c r="BF155" t="s">
        <v>1063</v>
      </c>
      <c r="BG155" t="s">
        <v>6591</v>
      </c>
      <c r="BH155">
        <v>32</v>
      </c>
      <c r="BI155" t="s">
        <v>1251</v>
      </c>
      <c r="BK155">
        <v>1888109</v>
      </c>
    </row>
    <row r="156" spans="1:63">
      <c r="A156" s="1">
        <f>HYPERLINK("https://lsnyc.legalserver.org/matter/dynamic-profile/view/1901668","19-1901668")</f>
        <v>0</v>
      </c>
      <c r="B156" t="s">
        <v>5215</v>
      </c>
      <c r="C156" t="s">
        <v>5625</v>
      </c>
      <c r="D156" t="s">
        <v>252</v>
      </c>
      <c r="E156" t="s">
        <v>5630</v>
      </c>
      <c r="F156" t="s">
        <v>274</v>
      </c>
      <c r="G156" t="s">
        <v>274</v>
      </c>
      <c r="H156">
        <v>7.1</v>
      </c>
      <c r="I156" t="s">
        <v>274</v>
      </c>
      <c r="K156" t="s">
        <v>2388</v>
      </c>
      <c r="Q156" t="s">
        <v>501</v>
      </c>
      <c r="S156" t="s">
        <v>503</v>
      </c>
      <c r="T156" t="s">
        <v>508</v>
      </c>
      <c r="U156" t="s">
        <v>511</v>
      </c>
      <c r="V156">
        <v>11235</v>
      </c>
      <c r="W156" t="s">
        <v>544</v>
      </c>
      <c r="Z156" t="s">
        <v>5780</v>
      </c>
      <c r="AA156" t="s">
        <v>6159</v>
      </c>
      <c r="AB156" t="s">
        <v>902</v>
      </c>
      <c r="AC156" t="s">
        <v>904</v>
      </c>
      <c r="AF156" t="s">
        <v>923</v>
      </c>
      <c r="AI156">
        <v>0.5</v>
      </c>
      <c r="AJ156" t="s">
        <v>558</v>
      </c>
      <c r="AK156" t="s">
        <v>948</v>
      </c>
      <c r="AL156" t="s">
        <v>274</v>
      </c>
      <c r="AM156" t="s">
        <v>973</v>
      </c>
      <c r="AN156" t="s">
        <v>297</v>
      </c>
      <c r="AT156">
        <v>1</v>
      </c>
      <c r="AU156">
        <v>1</v>
      </c>
      <c r="AV156" t="s">
        <v>273</v>
      </c>
      <c r="AY156" t="s">
        <v>273</v>
      </c>
      <c r="BB156">
        <v>0</v>
      </c>
      <c r="BC156">
        <v>0</v>
      </c>
      <c r="BD156">
        <v>0</v>
      </c>
      <c r="BE156">
        <v>0</v>
      </c>
      <c r="BF156" t="s">
        <v>1063</v>
      </c>
      <c r="BG156" t="s">
        <v>6592</v>
      </c>
      <c r="BH156">
        <v>29</v>
      </c>
      <c r="BI156" t="s">
        <v>1295</v>
      </c>
      <c r="BK156">
        <v>1836274</v>
      </c>
    </row>
    <row r="157" spans="1:63">
      <c r="A157" s="1">
        <f>HYPERLINK("https://lsnyc.legalserver.org/matter/dynamic-profile/view/1901528","19-1901528")</f>
        <v>0</v>
      </c>
      <c r="B157" t="s">
        <v>5216</v>
      </c>
      <c r="C157" t="s">
        <v>5625</v>
      </c>
      <c r="D157" t="s">
        <v>253</v>
      </c>
      <c r="E157" t="s">
        <v>5630</v>
      </c>
      <c r="F157" t="s">
        <v>274</v>
      </c>
      <c r="G157" t="s">
        <v>274</v>
      </c>
      <c r="H157">
        <v>52.22</v>
      </c>
      <c r="I157" t="s">
        <v>274</v>
      </c>
      <c r="K157" t="s">
        <v>3271</v>
      </c>
      <c r="Q157" t="s">
        <v>501</v>
      </c>
      <c r="S157" t="s">
        <v>503</v>
      </c>
      <c r="T157" t="s">
        <v>507</v>
      </c>
      <c r="U157" t="s">
        <v>511</v>
      </c>
      <c r="V157">
        <v>11419</v>
      </c>
      <c r="W157" t="s">
        <v>544</v>
      </c>
      <c r="Z157" t="s">
        <v>5781</v>
      </c>
      <c r="AA157" t="s">
        <v>6158</v>
      </c>
      <c r="AB157" t="s">
        <v>902</v>
      </c>
      <c r="AC157" t="s">
        <v>904</v>
      </c>
      <c r="AF157" t="s">
        <v>923</v>
      </c>
      <c r="AI157">
        <v>0</v>
      </c>
      <c r="AJ157" t="s">
        <v>558</v>
      </c>
      <c r="AK157" t="s">
        <v>944</v>
      </c>
      <c r="AL157" t="s">
        <v>274</v>
      </c>
      <c r="AT157">
        <v>1</v>
      </c>
      <c r="AU157">
        <v>4</v>
      </c>
      <c r="AV157" t="s">
        <v>273</v>
      </c>
      <c r="AY157" t="s">
        <v>273</v>
      </c>
      <c r="BB157">
        <v>0</v>
      </c>
      <c r="BC157">
        <v>0</v>
      </c>
      <c r="BD157">
        <v>0</v>
      </c>
      <c r="BE157">
        <v>0</v>
      </c>
      <c r="BF157" t="s">
        <v>1063</v>
      </c>
      <c r="BG157" t="s">
        <v>6593</v>
      </c>
      <c r="BH157">
        <v>67</v>
      </c>
      <c r="BI157" t="s">
        <v>7021</v>
      </c>
      <c r="BK157">
        <v>1886383</v>
      </c>
    </row>
    <row r="158" spans="1:63">
      <c r="A158" s="1">
        <f>HYPERLINK("https://lsnyc.legalserver.org/matter/dynamic-profile/view/1900944","19-1900944")</f>
        <v>0</v>
      </c>
      <c r="B158" t="s">
        <v>5217</v>
      </c>
      <c r="C158" t="s">
        <v>5625</v>
      </c>
      <c r="D158" t="s">
        <v>252</v>
      </c>
      <c r="E158" t="s">
        <v>5630</v>
      </c>
      <c r="F158" t="s">
        <v>274</v>
      </c>
      <c r="G158" t="s">
        <v>274</v>
      </c>
      <c r="H158">
        <v>86.84</v>
      </c>
      <c r="I158" t="s">
        <v>274</v>
      </c>
      <c r="K158" t="s">
        <v>984</v>
      </c>
      <c r="Q158" t="s">
        <v>501</v>
      </c>
      <c r="S158" t="s">
        <v>503</v>
      </c>
      <c r="T158" t="s">
        <v>507</v>
      </c>
      <c r="U158" t="s">
        <v>511</v>
      </c>
      <c r="V158">
        <v>11208</v>
      </c>
      <c r="W158" t="s">
        <v>544</v>
      </c>
      <c r="X158" t="s">
        <v>548</v>
      </c>
      <c r="Z158" t="s">
        <v>4590</v>
      </c>
      <c r="AA158" t="s">
        <v>6160</v>
      </c>
      <c r="AB158" t="s">
        <v>902</v>
      </c>
      <c r="AC158" t="s">
        <v>904</v>
      </c>
      <c r="AF158" t="s">
        <v>923</v>
      </c>
      <c r="AI158">
        <v>0.3</v>
      </c>
      <c r="AJ158" t="s">
        <v>558</v>
      </c>
      <c r="AK158" t="s">
        <v>950</v>
      </c>
      <c r="AL158" t="s">
        <v>274</v>
      </c>
      <c r="AT158">
        <v>1</v>
      </c>
      <c r="AU158">
        <v>4</v>
      </c>
      <c r="AV158" t="s">
        <v>273</v>
      </c>
      <c r="AY158" t="s">
        <v>273</v>
      </c>
      <c r="BB158">
        <v>0</v>
      </c>
      <c r="BC158">
        <v>0</v>
      </c>
      <c r="BD158">
        <v>0</v>
      </c>
      <c r="BE158">
        <v>0</v>
      </c>
      <c r="BF158" t="s">
        <v>1063</v>
      </c>
      <c r="BG158" t="s">
        <v>6594</v>
      </c>
      <c r="BH158">
        <v>55</v>
      </c>
      <c r="BI158" t="s">
        <v>7022</v>
      </c>
      <c r="BK158">
        <v>1866461</v>
      </c>
    </row>
    <row r="159" spans="1:63">
      <c r="A159" s="1">
        <f>HYPERLINK("https://lsnyc.legalserver.org/matter/dynamic-profile/view/1900535","19-1900535")</f>
        <v>0</v>
      </c>
      <c r="B159" t="s">
        <v>5218</v>
      </c>
      <c r="C159" t="s">
        <v>5625</v>
      </c>
      <c r="D159" t="s">
        <v>253</v>
      </c>
      <c r="E159" t="s">
        <v>3694</v>
      </c>
      <c r="F159" t="s">
        <v>274</v>
      </c>
      <c r="G159" t="s">
        <v>274</v>
      </c>
      <c r="H159">
        <v>80.45</v>
      </c>
      <c r="I159" t="s">
        <v>274</v>
      </c>
      <c r="K159" t="s">
        <v>1030</v>
      </c>
      <c r="Q159" t="s">
        <v>501</v>
      </c>
      <c r="S159" t="s">
        <v>503</v>
      </c>
      <c r="T159" t="s">
        <v>507</v>
      </c>
      <c r="U159" t="s">
        <v>511</v>
      </c>
      <c r="V159">
        <v>11368</v>
      </c>
      <c r="W159" t="s">
        <v>538</v>
      </c>
      <c r="Z159" t="s">
        <v>3850</v>
      </c>
      <c r="AA159" t="s">
        <v>6161</v>
      </c>
      <c r="AB159" t="s">
        <v>902</v>
      </c>
      <c r="AC159" t="s">
        <v>908</v>
      </c>
      <c r="AF159" t="s">
        <v>923</v>
      </c>
      <c r="AI159">
        <v>0.1</v>
      </c>
      <c r="AJ159" t="s">
        <v>558</v>
      </c>
      <c r="AK159" t="s">
        <v>933</v>
      </c>
      <c r="AL159" t="s">
        <v>274</v>
      </c>
      <c r="AT159">
        <v>5</v>
      </c>
      <c r="AU159">
        <v>1</v>
      </c>
      <c r="AV159" t="s">
        <v>273</v>
      </c>
      <c r="AY159" t="s">
        <v>273</v>
      </c>
      <c r="BB159">
        <v>0</v>
      </c>
      <c r="BC159">
        <v>0</v>
      </c>
      <c r="BD159">
        <v>0</v>
      </c>
      <c r="BE159">
        <v>0</v>
      </c>
      <c r="BF159" t="s">
        <v>1063</v>
      </c>
      <c r="BG159" t="s">
        <v>6552</v>
      </c>
      <c r="BH159">
        <v>16</v>
      </c>
      <c r="BI159" t="s">
        <v>7023</v>
      </c>
      <c r="BK159">
        <v>1901185</v>
      </c>
    </row>
    <row r="160" spans="1:63">
      <c r="A160" s="1">
        <f>HYPERLINK("https://lsnyc.legalserver.org/matter/dynamic-profile/view/1900539","19-1900539")</f>
        <v>0</v>
      </c>
      <c r="B160" t="s">
        <v>5219</v>
      </c>
      <c r="C160" t="s">
        <v>5625</v>
      </c>
      <c r="D160" t="s">
        <v>253</v>
      </c>
      <c r="E160" t="s">
        <v>3694</v>
      </c>
      <c r="F160" t="s">
        <v>274</v>
      </c>
      <c r="G160" t="s">
        <v>274</v>
      </c>
      <c r="H160">
        <v>80.45</v>
      </c>
      <c r="I160" t="s">
        <v>274</v>
      </c>
      <c r="K160" t="s">
        <v>1030</v>
      </c>
      <c r="Q160" t="s">
        <v>501</v>
      </c>
      <c r="S160" t="s">
        <v>503</v>
      </c>
      <c r="T160" t="s">
        <v>507</v>
      </c>
      <c r="U160" t="s">
        <v>511</v>
      </c>
      <c r="V160">
        <v>11368</v>
      </c>
      <c r="W160" t="s">
        <v>538</v>
      </c>
      <c r="Z160" t="s">
        <v>564</v>
      </c>
      <c r="AA160" t="s">
        <v>6161</v>
      </c>
      <c r="AB160" t="s">
        <v>902</v>
      </c>
      <c r="AC160" t="s">
        <v>908</v>
      </c>
      <c r="AF160" t="s">
        <v>923</v>
      </c>
      <c r="AI160">
        <v>0.1</v>
      </c>
      <c r="AJ160" t="s">
        <v>558</v>
      </c>
      <c r="AK160" t="s">
        <v>933</v>
      </c>
      <c r="AL160" t="s">
        <v>274</v>
      </c>
      <c r="AT160">
        <v>5</v>
      </c>
      <c r="AU160">
        <v>1</v>
      </c>
      <c r="AV160" t="s">
        <v>273</v>
      </c>
      <c r="AY160" t="s">
        <v>273</v>
      </c>
      <c r="BB160">
        <v>0</v>
      </c>
      <c r="BC160">
        <v>0</v>
      </c>
      <c r="BD160">
        <v>0</v>
      </c>
      <c r="BE160">
        <v>0</v>
      </c>
      <c r="BF160" t="s">
        <v>1063</v>
      </c>
      <c r="BG160" t="s">
        <v>6595</v>
      </c>
      <c r="BH160">
        <v>18</v>
      </c>
      <c r="BI160" t="s">
        <v>7023</v>
      </c>
      <c r="BK160">
        <v>1901189</v>
      </c>
    </row>
    <row r="161" spans="1:63">
      <c r="A161" s="1">
        <f>HYPERLINK("https://lsnyc.legalserver.org/matter/dynamic-profile/view/1900544","19-1900544")</f>
        <v>0</v>
      </c>
      <c r="B161" t="s">
        <v>5218</v>
      </c>
      <c r="C161" t="s">
        <v>5625</v>
      </c>
      <c r="D161" t="s">
        <v>253</v>
      </c>
      <c r="E161" t="s">
        <v>3694</v>
      </c>
      <c r="F161" t="s">
        <v>274</v>
      </c>
      <c r="G161" t="s">
        <v>274</v>
      </c>
      <c r="H161">
        <v>80.45</v>
      </c>
      <c r="I161" t="s">
        <v>274</v>
      </c>
      <c r="K161" t="s">
        <v>1030</v>
      </c>
      <c r="Q161" t="s">
        <v>501</v>
      </c>
      <c r="S161" t="s">
        <v>503</v>
      </c>
      <c r="T161" t="s">
        <v>507</v>
      </c>
      <c r="U161" t="s">
        <v>511</v>
      </c>
      <c r="V161">
        <v>11368</v>
      </c>
      <c r="W161" t="s">
        <v>3017</v>
      </c>
      <c r="Z161" t="s">
        <v>3850</v>
      </c>
      <c r="AA161" t="s">
        <v>6161</v>
      </c>
      <c r="AB161" t="s">
        <v>902</v>
      </c>
      <c r="AC161" t="s">
        <v>908</v>
      </c>
      <c r="AF161" t="s">
        <v>923</v>
      </c>
      <c r="AI161">
        <v>0.1</v>
      </c>
      <c r="AJ161" t="s">
        <v>558</v>
      </c>
      <c r="AK161" t="s">
        <v>933</v>
      </c>
      <c r="AL161" t="s">
        <v>274</v>
      </c>
      <c r="AT161">
        <v>5</v>
      </c>
      <c r="AU161">
        <v>1</v>
      </c>
      <c r="AV161" t="s">
        <v>273</v>
      </c>
      <c r="AY161" t="s">
        <v>273</v>
      </c>
      <c r="BB161">
        <v>0</v>
      </c>
      <c r="BC161">
        <v>0</v>
      </c>
      <c r="BD161">
        <v>0</v>
      </c>
      <c r="BE161">
        <v>0</v>
      </c>
      <c r="BF161" t="s">
        <v>1063</v>
      </c>
      <c r="BG161" t="s">
        <v>6552</v>
      </c>
      <c r="BH161">
        <v>16</v>
      </c>
      <c r="BI161" t="s">
        <v>7023</v>
      </c>
      <c r="BK161">
        <v>1901185</v>
      </c>
    </row>
    <row r="162" spans="1:63">
      <c r="A162" s="1">
        <f>HYPERLINK("https://lsnyc.legalserver.org/matter/dynamic-profile/view/1900555","19-1900555")</f>
        <v>0</v>
      </c>
      <c r="B162" t="s">
        <v>5219</v>
      </c>
      <c r="C162" t="s">
        <v>5625</v>
      </c>
      <c r="D162" t="s">
        <v>253</v>
      </c>
      <c r="E162" t="s">
        <v>3694</v>
      </c>
      <c r="F162" t="s">
        <v>274</v>
      </c>
      <c r="G162" t="s">
        <v>274</v>
      </c>
      <c r="H162">
        <v>80.45</v>
      </c>
      <c r="I162" t="s">
        <v>274</v>
      </c>
      <c r="K162" t="s">
        <v>1030</v>
      </c>
      <c r="Q162" t="s">
        <v>501</v>
      </c>
      <c r="S162" t="s">
        <v>503</v>
      </c>
      <c r="T162" t="s">
        <v>507</v>
      </c>
      <c r="U162" t="s">
        <v>511</v>
      </c>
      <c r="V162">
        <v>11368</v>
      </c>
      <c r="W162" t="s">
        <v>3017</v>
      </c>
      <c r="Z162" t="s">
        <v>564</v>
      </c>
      <c r="AA162" t="s">
        <v>6161</v>
      </c>
      <c r="AB162" t="s">
        <v>902</v>
      </c>
      <c r="AC162" t="s">
        <v>908</v>
      </c>
      <c r="AF162" t="s">
        <v>923</v>
      </c>
      <c r="AI162">
        <v>0.1</v>
      </c>
      <c r="AJ162" t="s">
        <v>558</v>
      </c>
      <c r="AK162" t="s">
        <v>933</v>
      </c>
      <c r="AL162" t="s">
        <v>274</v>
      </c>
      <c r="AT162">
        <v>5</v>
      </c>
      <c r="AU162">
        <v>1</v>
      </c>
      <c r="AV162" t="s">
        <v>273</v>
      </c>
      <c r="AY162" t="s">
        <v>273</v>
      </c>
      <c r="BB162">
        <v>0</v>
      </c>
      <c r="BC162">
        <v>0</v>
      </c>
      <c r="BD162">
        <v>0</v>
      </c>
      <c r="BE162">
        <v>0</v>
      </c>
      <c r="BF162" t="s">
        <v>1063</v>
      </c>
      <c r="BG162" t="s">
        <v>6595</v>
      </c>
      <c r="BH162">
        <v>18</v>
      </c>
      <c r="BI162" t="s">
        <v>7023</v>
      </c>
      <c r="BK162">
        <v>1901189</v>
      </c>
    </row>
    <row r="163" spans="1:63">
      <c r="A163" s="1">
        <f>HYPERLINK("https://lsnyc.legalserver.org/matter/dynamic-profile/view/1900561","19-1900561")</f>
        <v>0</v>
      </c>
      <c r="B163" t="s">
        <v>5220</v>
      </c>
      <c r="C163" t="s">
        <v>5625</v>
      </c>
      <c r="D163" t="s">
        <v>253</v>
      </c>
      <c r="E163" t="s">
        <v>3694</v>
      </c>
      <c r="F163" t="s">
        <v>274</v>
      </c>
      <c r="G163" t="s">
        <v>274</v>
      </c>
      <c r="H163">
        <v>80.45</v>
      </c>
      <c r="I163" t="s">
        <v>274</v>
      </c>
      <c r="K163" t="s">
        <v>1030</v>
      </c>
      <c r="Q163" t="s">
        <v>501</v>
      </c>
      <c r="S163" t="s">
        <v>503</v>
      </c>
      <c r="T163" t="s">
        <v>508</v>
      </c>
      <c r="U163" t="s">
        <v>511</v>
      </c>
      <c r="V163">
        <v>11368</v>
      </c>
      <c r="W163" t="s">
        <v>544</v>
      </c>
      <c r="X163" t="s">
        <v>548</v>
      </c>
      <c r="Z163" t="s">
        <v>5782</v>
      </c>
      <c r="AA163" t="s">
        <v>6161</v>
      </c>
      <c r="AB163" t="s">
        <v>902</v>
      </c>
      <c r="AC163" t="s">
        <v>906</v>
      </c>
      <c r="AF163" t="s">
        <v>923</v>
      </c>
      <c r="AI163">
        <v>0.4</v>
      </c>
      <c r="AJ163" t="s">
        <v>558</v>
      </c>
      <c r="AK163" t="s">
        <v>933</v>
      </c>
      <c r="AL163" t="s">
        <v>274</v>
      </c>
      <c r="AT163">
        <v>5</v>
      </c>
      <c r="AU163">
        <v>1</v>
      </c>
      <c r="AV163" t="s">
        <v>273</v>
      </c>
      <c r="AY163" t="s">
        <v>273</v>
      </c>
      <c r="BB163">
        <v>0</v>
      </c>
      <c r="BC163">
        <v>0</v>
      </c>
      <c r="BD163">
        <v>0</v>
      </c>
      <c r="BE163">
        <v>0</v>
      </c>
      <c r="BF163" t="s">
        <v>1063</v>
      </c>
      <c r="BG163" t="s">
        <v>6596</v>
      </c>
      <c r="BH163">
        <v>36</v>
      </c>
      <c r="BI163" t="s">
        <v>7023</v>
      </c>
      <c r="BK163">
        <v>824956</v>
      </c>
    </row>
    <row r="164" spans="1:63">
      <c r="A164" s="1">
        <f>HYPERLINK("https://lsnyc.legalserver.org/matter/dynamic-profile/view/1900575","19-1900575")</f>
        <v>0</v>
      </c>
      <c r="B164" t="s">
        <v>5220</v>
      </c>
      <c r="C164" t="s">
        <v>5625</v>
      </c>
      <c r="D164" t="s">
        <v>253</v>
      </c>
      <c r="E164" t="s">
        <v>3694</v>
      </c>
      <c r="F164" t="s">
        <v>274</v>
      </c>
      <c r="G164" t="s">
        <v>274</v>
      </c>
      <c r="H164">
        <v>80.45</v>
      </c>
      <c r="I164" t="s">
        <v>274</v>
      </c>
      <c r="K164" t="s">
        <v>1030</v>
      </c>
      <c r="Q164" t="s">
        <v>501</v>
      </c>
      <c r="S164" t="s">
        <v>503</v>
      </c>
      <c r="T164" t="s">
        <v>508</v>
      </c>
      <c r="U164" t="s">
        <v>511</v>
      </c>
      <c r="V164">
        <v>11368</v>
      </c>
      <c r="W164" t="s">
        <v>528</v>
      </c>
      <c r="X164" t="s">
        <v>548</v>
      </c>
      <c r="Z164" t="s">
        <v>5782</v>
      </c>
      <c r="AA164" t="s">
        <v>6161</v>
      </c>
      <c r="AB164" t="s">
        <v>902</v>
      </c>
      <c r="AC164" t="s">
        <v>906</v>
      </c>
      <c r="AF164" t="s">
        <v>923</v>
      </c>
      <c r="AI164">
        <v>0.1</v>
      </c>
      <c r="AJ164" t="s">
        <v>558</v>
      </c>
      <c r="AK164" t="s">
        <v>933</v>
      </c>
      <c r="AL164" t="s">
        <v>274</v>
      </c>
      <c r="AT164">
        <v>5</v>
      </c>
      <c r="AU164">
        <v>1</v>
      </c>
      <c r="AV164" t="s">
        <v>273</v>
      </c>
      <c r="AY164" t="s">
        <v>273</v>
      </c>
      <c r="BB164">
        <v>0</v>
      </c>
      <c r="BC164">
        <v>0</v>
      </c>
      <c r="BD164">
        <v>0</v>
      </c>
      <c r="BE164">
        <v>0</v>
      </c>
      <c r="BF164" t="s">
        <v>1063</v>
      </c>
      <c r="BG164" t="s">
        <v>6596</v>
      </c>
      <c r="BH164">
        <v>36</v>
      </c>
      <c r="BI164" t="s">
        <v>7023</v>
      </c>
      <c r="BK164">
        <v>824956</v>
      </c>
    </row>
    <row r="165" spans="1:63">
      <c r="A165" s="1">
        <f>HYPERLINK("https://lsnyc.legalserver.org/matter/dynamic-profile/view/1900584","19-1900584")</f>
        <v>0</v>
      </c>
      <c r="B165" t="s">
        <v>5220</v>
      </c>
      <c r="C165" t="s">
        <v>5625</v>
      </c>
      <c r="D165" t="s">
        <v>253</v>
      </c>
      <c r="E165" t="s">
        <v>3694</v>
      </c>
      <c r="F165" t="s">
        <v>274</v>
      </c>
      <c r="G165" t="s">
        <v>274</v>
      </c>
      <c r="H165">
        <v>80.45</v>
      </c>
      <c r="I165" t="s">
        <v>274</v>
      </c>
      <c r="K165" t="s">
        <v>1030</v>
      </c>
      <c r="Q165" t="s">
        <v>501</v>
      </c>
      <c r="S165" t="s">
        <v>503</v>
      </c>
      <c r="T165" t="s">
        <v>508</v>
      </c>
      <c r="U165" t="s">
        <v>511</v>
      </c>
      <c r="V165">
        <v>11368</v>
      </c>
      <c r="W165" t="s">
        <v>520</v>
      </c>
      <c r="X165" t="s">
        <v>548</v>
      </c>
      <c r="Z165" t="s">
        <v>5782</v>
      </c>
      <c r="AA165" t="s">
        <v>6161</v>
      </c>
      <c r="AB165" t="s">
        <v>902</v>
      </c>
      <c r="AC165" t="s">
        <v>906</v>
      </c>
      <c r="AF165" t="s">
        <v>923</v>
      </c>
      <c r="AI165">
        <v>0.3</v>
      </c>
      <c r="AJ165" t="s">
        <v>558</v>
      </c>
      <c r="AK165" t="s">
        <v>933</v>
      </c>
      <c r="AL165" t="s">
        <v>274</v>
      </c>
      <c r="AT165">
        <v>5</v>
      </c>
      <c r="AU165">
        <v>1</v>
      </c>
      <c r="AV165" t="s">
        <v>273</v>
      </c>
      <c r="AY165" t="s">
        <v>273</v>
      </c>
      <c r="BB165">
        <v>0</v>
      </c>
      <c r="BC165">
        <v>0</v>
      </c>
      <c r="BD165">
        <v>0</v>
      </c>
      <c r="BE165">
        <v>0</v>
      </c>
      <c r="BF165" t="s">
        <v>1063</v>
      </c>
      <c r="BG165" t="s">
        <v>6596</v>
      </c>
      <c r="BH165">
        <v>36</v>
      </c>
      <c r="BI165" t="s">
        <v>7023</v>
      </c>
      <c r="BK165">
        <v>824956</v>
      </c>
    </row>
    <row r="166" spans="1:63">
      <c r="A166" s="1">
        <f>HYPERLINK("https://lsnyc.legalserver.org/matter/dynamic-profile/view/1900108","19-1900108")</f>
        <v>0</v>
      </c>
      <c r="B166" t="s">
        <v>5221</v>
      </c>
      <c r="C166" t="s">
        <v>5625</v>
      </c>
      <c r="D166" t="s">
        <v>257</v>
      </c>
      <c r="E166" t="s">
        <v>5630</v>
      </c>
      <c r="F166" t="s">
        <v>274</v>
      </c>
      <c r="G166" t="s">
        <v>274</v>
      </c>
      <c r="H166">
        <v>0</v>
      </c>
      <c r="I166" t="s">
        <v>274</v>
      </c>
      <c r="K166" t="s">
        <v>312</v>
      </c>
      <c r="O166" t="s">
        <v>275</v>
      </c>
      <c r="Q166" t="s">
        <v>501</v>
      </c>
      <c r="S166" t="s">
        <v>503</v>
      </c>
      <c r="T166" t="s">
        <v>507</v>
      </c>
      <c r="U166" t="s">
        <v>511</v>
      </c>
      <c r="V166">
        <v>10458</v>
      </c>
      <c r="W166" t="s">
        <v>521</v>
      </c>
      <c r="X166" t="s">
        <v>554</v>
      </c>
      <c r="Y166" t="s">
        <v>275</v>
      </c>
      <c r="Z166" t="s">
        <v>5783</v>
      </c>
      <c r="AA166" t="s">
        <v>6162</v>
      </c>
      <c r="AB166" t="s">
        <v>902</v>
      </c>
      <c r="AC166" t="s">
        <v>905</v>
      </c>
      <c r="AF166" t="s">
        <v>923</v>
      </c>
      <c r="AI166">
        <v>9.1</v>
      </c>
      <c r="AJ166" t="s">
        <v>558</v>
      </c>
      <c r="AK166" t="s">
        <v>937</v>
      </c>
      <c r="AL166" t="s">
        <v>274</v>
      </c>
      <c r="AM166" t="s">
        <v>973</v>
      </c>
      <c r="AN166" t="s">
        <v>462</v>
      </c>
      <c r="AT166">
        <v>0</v>
      </c>
      <c r="AU166">
        <v>1</v>
      </c>
      <c r="AV166" t="s">
        <v>273</v>
      </c>
      <c r="AY166" t="s">
        <v>273</v>
      </c>
      <c r="BB166">
        <v>0</v>
      </c>
      <c r="BC166">
        <v>0</v>
      </c>
      <c r="BD166">
        <v>0</v>
      </c>
      <c r="BE166">
        <v>0</v>
      </c>
      <c r="BF166" t="s">
        <v>1063</v>
      </c>
      <c r="BG166" t="s">
        <v>6597</v>
      </c>
      <c r="BH166">
        <v>32</v>
      </c>
      <c r="BI166" t="s">
        <v>1247</v>
      </c>
      <c r="BK166">
        <v>1900758</v>
      </c>
    </row>
    <row r="167" spans="1:63">
      <c r="A167" s="1">
        <f>HYPERLINK("https://lsnyc.legalserver.org/matter/dynamic-profile/view/1899940","19-1899940")</f>
        <v>0</v>
      </c>
      <c r="B167" t="s">
        <v>5176</v>
      </c>
      <c r="C167" t="s">
        <v>5625</v>
      </c>
      <c r="D167" t="s">
        <v>252</v>
      </c>
      <c r="E167" t="s">
        <v>3694</v>
      </c>
      <c r="F167" t="s">
        <v>274</v>
      </c>
      <c r="G167" t="s">
        <v>275</v>
      </c>
      <c r="H167">
        <v>186.41</v>
      </c>
      <c r="I167" t="s">
        <v>274</v>
      </c>
      <c r="K167" t="s">
        <v>995</v>
      </c>
      <c r="Q167" t="s">
        <v>502</v>
      </c>
      <c r="S167" t="s">
        <v>503</v>
      </c>
      <c r="T167" t="s">
        <v>507</v>
      </c>
      <c r="U167" t="s">
        <v>511</v>
      </c>
      <c r="V167">
        <v>11230</v>
      </c>
      <c r="W167" t="s">
        <v>529</v>
      </c>
      <c r="Z167" t="s">
        <v>2067</v>
      </c>
      <c r="AA167" t="s">
        <v>6135</v>
      </c>
      <c r="AB167" t="s">
        <v>902</v>
      </c>
      <c r="AC167" t="s">
        <v>905</v>
      </c>
      <c r="AF167" t="s">
        <v>923</v>
      </c>
      <c r="AI167">
        <v>1.25</v>
      </c>
      <c r="AJ167" t="s">
        <v>558</v>
      </c>
      <c r="AK167" t="s">
        <v>936</v>
      </c>
      <c r="AL167" t="s">
        <v>274</v>
      </c>
      <c r="AT167">
        <v>2</v>
      </c>
      <c r="AU167">
        <v>2</v>
      </c>
      <c r="AV167" t="s">
        <v>273</v>
      </c>
      <c r="AY167" t="s">
        <v>273</v>
      </c>
      <c r="BB167">
        <v>0</v>
      </c>
      <c r="BC167">
        <v>0</v>
      </c>
      <c r="BD167">
        <v>0</v>
      </c>
      <c r="BE167">
        <v>0</v>
      </c>
      <c r="BF167" t="s">
        <v>1063</v>
      </c>
      <c r="BG167" t="s">
        <v>6558</v>
      </c>
      <c r="BH167">
        <v>9</v>
      </c>
      <c r="BI167" t="s">
        <v>7008</v>
      </c>
      <c r="BK167">
        <v>1900589</v>
      </c>
    </row>
    <row r="168" spans="1:63">
      <c r="A168" s="1">
        <f>HYPERLINK("https://lsnyc.legalserver.org/matter/dynamic-profile/view/1899945","19-1899945")</f>
        <v>0</v>
      </c>
      <c r="B168" t="s">
        <v>5177</v>
      </c>
      <c r="C168" t="s">
        <v>5625</v>
      </c>
      <c r="D168" t="s">
        <v>252</v>
      </c>
      <c r="E168" t="s">
        <v>3694</v>
      </c>
      <c r="F168" t="s">
        <v>274</v>
      </c>
      <c r="G168" t="s">
        <v>275</v>
      </c>
      <c r="H168">
        <v>186.41</v>
      </c>
      <c r="I168" t="s">
        <v>274</v>
      </c>
      <c r="K168" t="s">
        <v>995</v>
      </c>
      <c r="Q168" t="s">
        <v>502</v>
      </c>
      <c r="S168" t="s">
        <v>503</v>
      </c>
      <c r="T168" t="s">
        <v>507</v>
      </c>
      <c r="U168" t="s">
        <v>511</v>
      </c>
      <c r="V168">
        <v>11230</v>
      </c>
      <c r="W168" t="s">
        <v>529</v>
      </c>
      <c r="Z168" t="s">
        <v>5754</v>
      </c>
      <c r="AA168" t="s">
        <v>6135</v>
      </c>
      <c r="AB168" t="s">
        <v>902</v>
      </c>
      <c r="AC168" t="s">
        <v>905</v>
      </c>
      <c r="AF168" t="s">
        <v>923</v>
      </c>
      <c r="AI168">
        <v>4.35</v>
      </c>
      <c r="AJ168" t="s">
        <v>558</v>
      </c>
      <c r="AK168" t="s">
        <v>936</v>
      </c>
      <c r="AL168" t="s">
        <v>274</v>
      </c>
      <c r="AT168">
        <v>2</v>
      </c>
      <c r="AU168">
        <v>2</v>
      </c>
      <c r="AV168" t="s">
        <v>273</v>
      </c>
      <c r="AY168" t="s">
        <v>273</v>
      </c>
      <c r="BB168">
        <v>0</v>
      </c>
      <c r="BC168">
        <v>0</v>
      </c>
      <c r="BD168">
        <v>0</v>
      </c>
      <c r="BE168">
        <v>0</v>
      </c>
      <c r="BF168" t="s">
        <v>1063</v>
      </c>
      <c r="BG168" t="s">
        <v>6559</v>
      </c>
      <c r="BH168">
        <v>6</v>
      </c>
      <c r="BI168" t="s">
        <v>7008</v>
      </c>
      <c r="BK168">
        <v>1900594</v>
      </c>
    </row>
    <row r="169" spans="1:63">
      <c r="A169" s="1">
        <f>HYPERLINK("https://lsnyc.legalserver.org/matter/dynamic-profile/view/1899432","19-1899432")</f>
        <v>0</v>
      </c>
      <c r="B169" t="s">
        <v>5222</v>
      </c>
      <c r="C169" t="s">
        <v>5625</v>
      </c>
      <c r="D169" t="s">
        <v>255</v>
      </c>
      <c r="E169" t="s">
        <v>5630</v>
      </c>
      <c r="F169" t="s">
        <v>274</v>
      </c>
      <c r="G169" t="s">
        <v>274</v>
      </c>
      <c r="H169">
        <v>93.76000000000001</v>
      </c>
      <c r="I169" t="s">
        <v>274</v>
      </c>
      <c r="K169" t="s">
        <v>3281</v>
      </c>
      <c r="L169" t="s">
        <v>282</v>
      </c>
      <c r="P169" t="s">
        <v>493</v>
      </c>
      <c r="Q169" t="s">
        <v>501</v>
      </c>
      <c r="S169" t="s">
        <v>503</v>
      </c>
      <c r="T169" t="s">
        <v>508</v>
      </c>
      <c r="U169" t="s">
        <v>511</v>
      </c>
      <c r="V169">
        <v>10029</v>
      </c>
      <c r="W169" t="s">
        <v>544</v>
      </c>
      <c r="X169" t="s">
        <v>549</v>
      </c>
      <c r="Y169" t="s">
        <v>274</v>
      </c>
      <c r="Z169" t="s">
        <v>5784</v>
      </c>
      <c r="AA169" t="s">
        <v>6163</v>
      </c>
      <c r="AB169" t="s">
        <v>902</v>
      </c>
      <c r="AC169" t="s">
        <v>904</v>
      </c>
      <c r="AD169" t="s">
        <v>275</v>
      </c>
      <c r="AE169" t="s">
        <v>920</v>
      </c>
      <c r="AF169" t="s">
        <v>923</v>
      </c>
      <c r="AI169">
        <v>0.3</v>
      </c>
      <c r="AJ169" t="s">
        <v>558</v>
      </c>
      <c r="AK169" t="s">
        <v>965</v>
      </c>
      <c r="AL169" t="s">
        <v>274</v>
      </c>
      <c r="AQ169" t="s">
        <v>1033</v>
      </c>
      <c r="AR169" t="s">
        <v>1052</v>
      </c>
      <c r="AT169">
        <v>0</v>
      </c>
      <c r="AU169">
        <v>3</v>
      </c>
      <c r="AV169" t="s">
        <v>273</v>
      </c>
      <c r="AY169" t="s">
        <v>273</v>
      </c>
      <c r="BB169">
        <v>0</v>
      </c>
      <c r="BC169">
        <v>0</v>
      </c>
      <c r="BD169">
        <v>0</v>
      </c>
      <c r="BE169">
        <v>0</v>
      </c>
      <c r="BF169" t="s">
        <v>493</v>
      </c>
      <c r="BG169" t="s">
        <v>6598</v>
      </c>
      <c r="BH169">
        <v>33</v>
      </c>
      <c r="BI169" t="s">
        <v>1251</v>
      </c>
      <c r="BK169">
        <v>1838498</v>
      </c>
    </row>
    <row r="170" spans="1:63">
      <c r="A170" s="1">
        <f>HYPERLINK("https://lsnyc.legalserver.org/matter/dynamic-profile/view/1899423","19-1899423")</f>
        <v>0</v>
      </c>
      <c r="B170" t="s">
        <v>5223</v>
      </c>
      <c r="C170" t="s">
        <v>5625</v>
      </c>
      <c r="D170" t="s">
        <v>257</v>
      </c>
      <c r="E170" t="s">
        <v>5630</v>
      </c>
      <c r="F170" t="s">
        <v>274</v>
      </c>
      <c r="G170" t="s">
        <v>274</v>
      </c>
      <c r="H170">
        <v>184.63</v>
      </c>
      <c r="I170" t="s">
        <v>274</v>
      </c>
      <c r="K170" t="s">
        <v>3281</v>
      </c>
      <c r="Q170" t="s">
        <v>501</v>
      </c>
      <c r="S170" t="s">
        <v>503</v>
      </c>
      <c r="T170" t="s">
        <v>508</v>
      </c>
      <c r="U170" t="s">
        <v>511</v>
      </c>
      <c r="V170">
        <v>10452</v>
      </c>
      <c r="W170" t="s">
        <v>544</v>
      </c>
      <c r="X170" t="s">
        <v>548</v>
      </c>
      <c r="Z170" t="s">
        <v>5785</v>
      </c>
      <c r="AA170" t="s">
        <v>4726</v>
      </c>
      <c r="AB170" t="s">
        <v>902</v>
      </c>
      <c r="AC170" t="s">
        <v>904</v>
      </c>
      <c r="AF170" t="s">
        <v>923</v>
      </c>
      <c r="AI170">
        <v>0.4</v>
      </c>
      <c r="AJ170" t="s">
        <v>558</v>
      </c>
      <c r="AK170" t="s">
        <v>934</v>
      </c>
      <c r="AL170" t="s">
        <v>274</v>
      </c>
      <c r="AT170">
        <v>0</v>
      </c>
      <c r="AU170">
        <v>1</v>
      </c>
      <c r="AV170" t="s">
        <v>273</v>
      </c>
      <c r="AY170" t="s">
        <v>273</v>
      </c>
      <c r="BB170">
        <v>0</v>
      </c>
      <c r="BC170">
        <v>0</v>
      </c>
      <c r="BD170">
        <v>0</v>
      </c>
      <c r="BE170">
        <v>0</v>
      </c>
      <c r="BF170" t="s">
        <v>1063</v>
      </c>
      <c r="BG170" t="s">
        <v>6599</v>
      </c>
      <c r="BH170">
        <v>54</v>
      </c>
      <c r="BI170" t="s">
        <v>7024</v>
      </c>
      <c r="BK170">
        <v>419773</v>
      </c>
    </row>
    <row r="171" spans="1:63">
      <c r="A171" s="1">
        <f>HYPERLINK("https://lsnyc.legalserver.org/matter/dynamic-profile/view/1899443","19-1899443")</f>
        <v>0</v>
      </c>
      <c r="B171" t="s">
        <v>5224</v>
      </c>
      <c r="C171" t="s">
        <v>5625</v>
      </c>
      <c r="D171" t="s">
        <v>252</v>
      </c>
      <c r="E171" t="s">
        <v>5630</v>
      </c>
      <c r="F171" t="s">
        <v>274</v>
      </c>
      <c r="G171" t="s">
        <v>274</v>
      </c>
      <c r="H171">
        <v>140.65</v>
      </c>
      <c r="I171" t="s">
        <v>274</v>
      </c>
      <c r="K171" t="s">
        <v>3281</v>
      </c>
      <c r="Q171" t="s">
        <v>501</v>
      </c>
      <c r="S171" t="s">
        <v>503</v>
      </c>
      <c r="T171" t="s">
        <v>508</v>
      </c>
      <c r="U171" t="s">
        <v>511</v>
      </c>
      <c r="V171">
        <v>11204</v>
      </c>
      <c r="W171" t="s">
        <v>544</v>
      </c>
      <c r="Z171" t="s">
        <v>5786</v>
      </c>
      <c r="AA171" t="s">
        <v>6164</v>
      </c>
      <c r="AB171" t="s">
        <v>902</v>
      </c>
      <c r="AC171" t="s">
        <v>904</v>
      </c>
      <c r="AF171" t="s">
        <v>923</v>
      </c>
      <c r="AI171">
        <v>0.15</v>
      </c>
      <c r="AJ171" t="s">
        <v>558</v>
      </c>
      <c r="AK171" t="s">
        <v>951</v>
      </c>
      <c r="AL171" t="s">
        <v>274</v>
      </c>
      <c r="AM171" t="s">
        <v>973</v>
      </c>
      <c r="AN171" t="s">
        <v>1688</v>
      </c>
      <c r="AT171">
        <v>1</v>
      </c>
      <c r="AU171">
        <v>2</v>
      </c>
      <c r="AV171" t="s">
        <v>273</v>
      </c>
      <c r="AY171" t="s">
        <v>273</v>
      </c>
      <c r="BB171">
        <v>0</v>
      </c>
      <c r="BC171">
        <v>0</v>
      </c>
      <c r="BD171">
        <v>0</v>
      </c>
      <c r="BE171">
        <v>0</v>
      </c>
      <c r="BF171" t="s">
        <v>1063</v>
      </c>
      <c r="BG171" t="s">
        <v>6600</v>
      </c>
      <c r="BH171">
        <v>25</v>
      </c>
      <c r="BI171" t="s">
        <v>1272</v>
      </c>
      <c r="BK171">
        <v>1886774</v>
      </c>
    </row>
    <row r="172" spans="1:63">
      <c r="A172" s="1">
        <f>HYPERLINK("https://lsnyc.legalserver.org/matter/dynamic-profile/view/1899477","19-1899477")</f>
        <v>0</v>
      </c>
      <c r="B172" t="s">
        <v>5225</v>
      </c>
      <c r="C172" t="s">
        <v>5625</v>
      </c>
      <c r="D172" t="s">
        <v>252</v>
      </c>
      <c r="E172" t="s">
        <v>5630</v>
      </c>
      <c r="F172" t="s">
        <v>274</v>
      </c>
      <c r="G172" t="s">
        <v>274</v>
      </c>
      <c r="H172">
        <v>53.22</v>
      </c>
      <c r="I172" t="s">
        <v>274</v>
      </c>
      <c r="K172" t="s">
        <v>3281</v>
      </c>
      <c r="Q172" t="s">
        <v>501</v>
      </c>
      <c r="S172" t="s">
        <v>503</v>
      </c>
      <c r="T172" t="s">
        <v>508</v>
      </c>
      <c r="U172" t="s">
        <v>511</v>
      </c>
      <c r="V172">
        <v>11225</v>
      </c>
      <c r="W172" t="s">
        <v>544</v>
      </c>
      <c r="X172" t="s">
        <v>548</v>
      </c>
      <c r="Z172" t="s">
        <v>601</v>
      </c>
      <c r="AA172" t="s">
        <v>6165</v>
      </c>
      <c r="AB172" t="s">
        <v>902</v>
      </c>
      <c r="AC172" t="s">
        <v>904</v>
      </c>
      <c r="AF172" t="s">
        <v>923</v>
      </c>
      <c r="AI172">
        <v>0.45</v>
      </c>
      <c r="AJ172" t="s">
        <v>558</v>
      </c>
      <c r="AK172" t="s">
        <v>950</v>
      </c>
      <c r="AL172" t="s">
        <v>274</v>
      </c>
      <c r="AM172" t="s">
        <v>973</v>
      </c>
      <c r="AN172" t="s">
        <v>1680</v>
      </c>
      <c r="AT172">
        <v>0</v>
      </c>
      <c r="AU172">
        <v>2</v>
      </c>
      <c r="AV172" t="s">
        <v>273</v>
      </c>
      <c r="AY172" t="s">
        <v>273</v>
      </c>
      <c r="BB172">
        <v>0</v>
      </c>
      <c r="BC172">
        <v>0</v>
      </c>
      <c r="BD172">
        <v>0</v>
      </c>
      <c r="BE172">
        <v>0</v>
      </c>
      <c r="BF172" t="s">
        <v>1063</v>
      </c>
      <c r="BG172" t="s">
        <v>2623</v>
      </c>
      <c r="BH172">
        <v>52</v>
      </c>
      <c r="BI172" t="s">
        <v>2724</v>
      </c>
      <c r="BK172">
        <v>1867138</v>
      </c>
    </row>
    <row r="173" spans="1:63">
      <c r="A173" s="1">
        <f>HYPERLINK("https://lsnyc.legalserver.org/matter/dynamic-profile/view/1899531","19-1899531")</f>
        <v>0</v>
      </c>
      <c r="B173" t="s">
        <v>5226</v>
      </c>
      <c r="C173" t="s">
        <v>5625</v>
      </c>
      <c r="D173" t="s">
        <v>254</v>
      </c>
      <c r="E173" t="s">
        <v>5630</v>
      </c>
      <c r="F173" t="s">
        <v>274</v>
      </c>
      <c r="G173" t="s">
        <v>274</v>
      </c>
      <c r="H173">
        <v>13.45</v>
      </c>
      <c r="I173" t="s">
        <v>274</v>
      </c>
      <c r="K173" t="s">
        <v>3281</v>
      </c>
      <c r="Q173" t="s">
        <v>501</v>
      </c>
      <c r="S173" t="s">
        <v>503</v>
      </c>
      <c r="T173" t="s">
        <v>508</v>
      </c>
      <c r="U173" t="s">
        <v>511</v>
      </c>
      <c r="V173">
        <v>10303</v>
      </c>
      <c r="W173" t="s">
        <v>544</v>
      </c>
      <c r="Z173" t="s">
        <v>5787</v>
      </c>
      <c r="AA173" t="s">
        <v>6166</v>
      </c>
      <c r="AB173" t="s">
        <v>902</v>
      </c>
      <c r="AC173" t="s">
        <v>904</v>
      </c>
      <c r="AF173" t="s">
        <v>923</v>
      </c>
      <c r="AI173">
        <v>0.35</v>
      </c>
      <c r="AJ173" t="s">
        <v>558</v>
      </c>
      <c r="AK173" t="s">
        <v>961</v>
      </c>
      <c r="AL173" t="s">
        <v>274</v>
      </c>
      <c r="AM173" t="s">
        <v>973</v>
      </c>
      <c r="AN173" t="s">
        <v>1685</v>
      </c>
      <c r="AT173">
        <v>0</v>
      </c>
      <c r="AU173">
        <v>1</v>
      </c>
      <c r="AV173" t="s">
        <v>273</v>
      </c>
      <c r="AY173" t="s">
        <v>273</v>
      </c>
      <c r="BB173">
        <v>0</v>
      </c>
      <c r="BC173">
        <v>0</v>
      </c>
      <c r="BD173">
        <v>0</v>
      </c>
      <c r="BE173">
        <v>0</v>
      </c>
      <c r="BF173" t="s">
        <v>1063</v>
      </c>
      <c r="BG173" t="s">
        <v>6601</v>
      </c>
      <c r="BH173">
        <v>64</v>
      </c>
      <c r="BI173" t="s">
        <v>7025</v>
      </c>
      <c r="BK173">
        <v>1886653</v>
      </c>
    </row>
    <row r="174" spans="1:63">
      <c r="A174" s="1">
        <f>HYPERLINK("https://lsnyc.legalserver.org/matter/dynamic-profile/view/1899534","19-1899534")</f>
        <v>0</v>
      </c>
      <c r="B174" t="s">
        <v>5227</v>
      </c>
      <c r="C174" t="s">
        <v>5625</v>
      </c>
      <c r="D174" t="s">
        <v>255</v>
      </c>
      <c r="E174" t="s">
        <v>5630</v>
      </c>
      <c r="F174" t="s">
        <v>274</v>
      </c>
      <c r="G174" t="s">
        <v>274</v>
      </c>
      <c r="H174">
        <v>97.09999999999999</v>
      </c>
      <c r="I174" t="s">
        <v>274</v>
      </c>
      <c r="K174" t="s">
        <v>3281</v>
      </c>
      <c r="Q174" t="s">
        <v>501</v>
      </c>
      <c r="S174" t="s">
        <v>503</v>
      </c>
      <c r="T174" t="s">
        <v>508</v>
      </c>
      <c r="U174" t="s">
        <v>511</v>
      </c>
      <c r="V174">
        <v>10026</v>
      </c>
      <c r="W174" t="s">
        <v>544</v>
      </c>
      <c r="X174" t="s">
        <v>549</v>
      </c>
      <c r="Z174" t="s">
        <v>5788</v>
      </c>
      <c r="AA174" t="s">
        <v>6167</v>
      </c>
      <c r="AB174" t="s">
        <v>902</v>
      </c>
      <c r="AC174" t="s">
        <v>904</v>
      </c>
      <c r="AF174" t="s">
        <v>923</v>
      </c>
      <c r="AI174">
        <v>0.75</v>
      </c>
      <c r="AJ174" t="s">
        <v>558</v>
      </c>
      <c r="AK174" t="s">
        <v>3255</v>
      </c>
      <c r="AL174" t="s">
        <v>274</v>
      </c>
      <c r="AM174" t="s">
        <v>973</v>
      </c>
      <c r="AN174" t="s">
        <v>311</v>
      </c>
      <c r="AT174">
        <v>2</v>
      </c>
      <c r="AU174">
        <v>1</v>
      </c>
      <c r="AV174" t="s">
        <v>273</v>
      </c>
      <c r="AY174" t="s">
        <v>273</v>
      </c>
      <c r="BB174">
        <v>0</v>
      </c>
      <c r="BC174">
        <v>0</v>
      </c>
      <c r="BD174">
        <v>0</v>
      </c>
      <c r="BE174">
        <v>0</v>
      </c>
      <c r="BF174" t="s">
        <v>1063</v>
      </c>
      <c r="BG174" t="s">
        <v>6602</v>
      </c>
      <c r="BH174">
        <v>44</v>
      </c>
      <c r="BI174" t="s">
        <v>7026</v>
      </c>
      <c r="BK174">
        <v>1887987</v>
      </c>
    </row>
    <row r="175" spans="1:63">
      <c r="A175" s="1">
        <f>HYPERLINK("https://lsnyc.legalserver.org/matter/dynamic-profile/view/1899326","19-1899326")</f>
        <v>0</v>
      </c>
      <c r="B175" t="s">
        <v>5228</v>
      </c>
      <c r="C175" t="s">
        <v>5625</v>
      </c>
      <c r="D175" t="s">
        <v>257</v>
      </c>
      <c r="E175" t="s">
        <v>5630</v>
      </c>
      <c r="F175" t="s">
        <v>274</v>
      </c>
      <c r="G175" t="s">
        <v>274</v>
      </c>
      <c r="H175">
        <v>176.14</v>
      </c>
      <c r="I175" t="s">
        <v>274</v>
      </c>
      <c r="K175" t="s">
        <v>315</v>
      </c>
      <c r="L175" t="s">
        <v>295</v>
      </c>
      <c r="P175" t="s">
        <v>493</v>
      </c>
      <c r="Q175" t="s">
        <v>501</v>
      </c>
      <c r="S175" t="s">
        <v>503</v>
      </c>
      <c r="T175" t="s">
        <v>507</v>
      </c>
      <c r="U175" t="s">
        <v>511</v>
      </c>
      <c r="V175">
        <v>10462</v>
      </c>
      <c r="W175" t="s">
        <v>544</v>
      </c>
      <c r="X175" t="s">
        <v>548</v>
      </c>
      <c r="Y175" t="s">
        <v>274</v>
      </c>
      <c r="Z175" t="s">
        <v>1883</v>
      </c>
      <c r="AA175" t="s">
        <v>6168</v>
      </c>
      <c r="AB175" t="s">
        <v>902</v>
      </c>
      <c r="AC175" t="s">
        <v>904</v>
      </c>
      <c r="AD175" t="s">
        <v>275</v>
      </c>
      <c r="AE175" t="s">
        <v>919</v>
      </c>
      <c r="AF175" t="s">
        <v>923</v>
      </c>
      <c r="AI175">
        <v>0.3</v>
      </c>
      <c r="AJ175" t="s">
        <v>558</v>
      </c>
      <c r="AK175" t="s">
        <v>950</v>
      </c>
      <c r="AL175" t="s">
        <v>274</v>
      </c>
      <c r="AM175" t="s">
        <v>973</v>
      </c>
      <c r="AN175" t="s">
        <v>998</v>
      </c>
      <c r="AO175" t="s">
        <v>2403</v>
      </c>
      <c r="AP175" t="s">
        <v>1684</v>
      </c>
      <c r="AQ175" t="s">
        <v>1048</v>
      </c>
      <c r="AR175" t="s">
        <v>1054</v>
      </c>
      <c r="AT175">
        <v>0</v>
      </c>
      <c r="AU175">
        <v>1</v>
      </c>
      <c r="AV175" t="s">
        <v>273</v>
      </c>
      <c r="AY175" t="s">
        <v>273</v>
      </c>
      <c r="BB175">
        <v>0</v>
      </c>
      <c r="BC175">
        <v>0</v>
      </c>
      <c r="BD175">
        <v>0</v>
      </c>
      <c r="BE175">
        <v>0</v>
      </c>
      <c r="BF175" t="s">
        <v>493</v>
      </c>
      <c r="BG175" t="s">
        <v>6603</v>
      </c>
      <c r="BH175">
        <v>58</v>
      </c>
      <c r="BI175" t="s">
        <v>2738</v>
      </c>
      <c r="BK175">
        <v>1843088</v>
      </c>
    </row>
    <row r="176" spans="1:63">
      <c r="A176" s="1">
        <f>HYPERLINK("https://lsnyc.legalserver.org/matter/dynamic-profile/view/1899319","19-1899319")</f>
        <v>0</v>
      </c>
      <c r="B176" t="s">
        <v>5229</v>
      </c>
      <c r="C176" t="s">
        <v>5625</v>
      </c>
      <c r="D176" t="s">
        <v>257</v>
      </c>
      <c r="E176" t="s">
        <v>5630</v>
      </c>
      <c r="F176" t="s">
        <v>274</v>
      </c>
      <c r="G176" t="s">
        <v>274</v>
      </c>
      <c r="H176">
        <v>0</v>
      </c>
      <c r="I176" t="s">
        <v>274</v>
      </c>
      <c r="K176" t="s">
        <v>315</v>
      </c>
      <c r="Q176" t="s">
        <v>501</v>
      </c>
      <c r="S176" t="s">
        <v>503</v>
      </c>
      <c r="T176" t="s">
        <v>507</v>
      </c>
      <c r="U176" t="s">
        <v>511</v>
      </c>
      <c r="V176">
        <v>10466</v>
      </c>
      <c r="W176" t="s">
        <v>544</v>
      </c>
      <c r="X176" t="s">
        <v>548</v>
      </c>
      <c r="Z176" t="s">
        <v>1857</v>
      </c>
      <c r="AA176" t="s">
        <v>2037</v>
      </c>
      <c r="AB176" t="s">
        <v>902</v>
      </c>
      <c r="AC176" t="s">
        <v>904</v>
      </c>
      <c r="AF176" t="s">
        <v>923</v>
      </c>
      <c r="AI176">
        <v>1.6</v>
      </c>
      <c r="AJ176" t="s">
        <v>558</v>
      </c>
      <c r="AK176" t="s">
        <v>950</v>
      </c>
      <c r="AL176" t="s">
        <v>274</v>
      </c>
      <c r="AT176">
        <v>1</v>
      </c>
      <c r="AU176">
        <v>4</v>
      </c>
      <c r="AV176" t="s">
        <v>273</v>
      </c>
      <c r="AY176" t="s">
        <v>273</v>
      </c>
      <c r="BB176">
        <v>0</v>
      </c>
      <c r="BC176">
        <v>0</v>
      </c>
      <c r="BD176">
        <v>0</v>
      </c>
      <c r="BE176">
        <v>0</v>
      </c>
      <c r="BF176" t="s">
        <v>1063</v>
      </c>
      <c r="BG176" t="s">
        <v>6604</v>
      </c>
      <c r="BH176">
        <v>25</v>
      </c>
      <c r="BI176" t="s">
        <v>1247</v>
      </c>
      <c r="BK176">
        <v>1887181</v>
      </c>
    </row>
    <row r="177" spans="1:63">
      <c r="A177" s="1">
        <f>HYPERLINK("https://lsnyc.legalserver.org/matter/dynamic-profile/view/1899330","19-1899330")</f>
        <v>0</v>
      </c>
      <c r="B177" t="s">
        <v>5230</v>
      </c>
      <c r="C177" t="s">
        <v>5625</v>
      </c>
      <c r="D177" t="s">
        <v>254</v>
      </c>
      <c r="E177" t="s">
        <v>5630</v>
      </c>
      <c r="F177" t="s">
        <v>274</v>
      </c>
      <c r="G177" t="s">
        <v>274</v>
      </c>
      <c r="H177">
        <v>118.92</v>
      </c>
      <c r="I177" t="s">
        <v>274</v>
      </c>
      <c r="K177" t="s">
        <v>315</v>
      </c>
      <c r="Q177" t="s">
        <v>501</v>
      </c>
      <c r="S177" t="s">
        <v>503</v>
      </c>
      <c r="T177" t="s">
        <v>508</v>
      </c>
      <c r="U177" t="s">
        <v>511</v>
      </c>
      <c r="V177">
        <v>10303</v>
      </c>
      <c r="W177" t="s">
        <v>544</v>
      </c>
      <c r="X177" t="s">
        <v>549</v>
      </c>
      <c r="Z177" t="s">
        <v>5789</v>
      </c>
      <c r="AA177" t="s">
        <v>3105</v>
      </c>
      <c r="AB177" t="s">
        <v>902</v>
      </c>
      <c r="AC177" t="s">
        <v>904</v>
      </c>
      <c r="AF177" t="s">
        <v>923</v>
      </c>
      <c r="AI177">
        <v>0.2</v>
      </c>
      <c r="AJ177" t="s">
        <v>558</v>
      </c>
      <c r="AK177" t="s">
        <v>2384</v>
      </c>
      <c r="AL177" t="s">
        <v>274</v>
      </c>
      <c r="AM177" t="s">
        <v>973</v>
      </c>
      <c r="AN177" t="s">
        <v>483</v>
      </c>
      <c r="AT177">
        <v>4</v>
      </c>
      <c r="AU177">
        <v>2</v>
      </c>
      <c r="AV177" t="s">
        <v>273</v>
      </c>
      <c r="AY177" t="s">
        <v>273</v>
      </c>
      <c r="BB177">
        <v>0</v>
      </c>
      <c r="BC177">
        <v>0</v>
      </c>
      <c r="BD177">
        <v>0</v>
      </c>
      <c r="BE177">
        <v>0</v>
      </c>
      <c r="BF177" t="s">
        <v>1063</v>
      </c>
      <c r="BG177" t="s">
        <v>6605</v>
      </c>
      <c r="BH177">
        <v>12</v>
      </c>
      <c r="BI177" t="s">
        <v>7027</v>
      </c>
      <c r="BK177">
        <v>1882415</v>
      </c>
    </row>
    <row r="178" spans="1:63">
      <c r="A178" s="1">
        <f>HYPERLINK("https://lsnyc.legalserver.org/matter/dynamic-profile/view/1899344","19-1899344")</f>
        <v>0</v>
      </c>
      <c r="B178" t="s">
        <v>5231</v>
      </c>
      <c r="C178" t="s">
        <v>5625</v>
      </c>
      <c r="D178" t="s">
        <v>255</v>
      </c>
      <c r="E178" t="s">
        <v>5630</v>
      </c>
      <c r="F178" t="s">
        <v>274</v>
      </c>
      <c r="G178" t="s">
        <v>274</v>
      </c>
      <c r="H178">
        <v>61.5</v>
      </c>
      <c r="I178" t="s">
        <v>274</v>
      </c>
      <c r="K178" t="s">
        <v>315</v>
      </c>
      <c r="Q178" t="s">
        <v>501</v>
      </c>
      <c r="S178" t="s">
        <v>503</v>
      </c>
      <c r="T178" t="s">
        <v>508</v>
      </c>
      <c r="U178" t="s">
        <v>511</v>
      </c>
      <c r="V178">
        <v>10001</v>
      </c>
      <c r="W178" t="s">
        <v>544</v>
      </c>
      <c r="X178" t="s">
        <v>549</v>
      </c>
      <c r="Z178" t="s">
        <v>5790</v>
      </c>
      <c r="AA178" t="s">
        <v>6169</v>
      </c>
      <c r="AB178" t="s">
        <v>902</v>
      </c>
      <c r="AC178" t="s">
        <v>904</v>
      </c>
      <c r="AF178" t="s">
        <v>923</v>
      </c>
      <c r="AI178">
        <v>0.4</v>
      </c>
      <c r="AJ178" t="s">
        <v>558</v>
      </c>
      <c r="AK178" t="s">
        <v>2384</v>
      </c>
      <c r="AL178" t="s">
        <v>274</v>
      </c>
      <c r="AT178">
        <v>1</v>
      </c>
      <c r="AU178">
        <v>1</v>
      </c>
      <c r="AV178" t="s">
        <v>273</v>
      </c>
      <c r="AY178" t="s">
        <v>273</v>
      </c>
      <c r="BB178">
        <v>0</v>
      </c>
      <c r="BC178">
        <v>0</v>
      </c>
      <c r="BD178">
        <v>0</v>
      </c>
      <c r="BE178">
        <v>0</v>
      </c>
      <c r="BF178" t="s">
        <v>1063</v>
      </c>
      <c r="BG178" t="s">
        <v>6606</v>
      </c>
      <c r="BH178">
        <v>34</v>
      </c>
      <c r="BI178" t="s">
        <v>1301</v>
      </c>
      <c r="BK178">
        <v>1882737</v>
      </c>
    </row>
    <row r="179" spans="1:63">
      <c r="A179" s="1">
        <f>HYPERLINK("https://lsnyc.legalserver.org/matter/dynamic-profile/view/1899356","19-1899356")</f>
        <v>0</v>
      </c>
      <c r="B179" t="s">
        <v>5232</v>
      </c>
      <c r="C179" t="s">
        <v>5625</v>
      </c>
      <c r="D179" t="s">
        <v>257</v>
      </c>
      <c r="E179" t="s">
        <v>5630</v>
      </c>
      <c r="F179" t="s">
        <v>274</v>
      </c>
      <c r="G179" t="s">
        <v>274</v>
      </c>
      <c r="H179">
        <v>111.25</v>
      </c>
      <c r="I179" t="s">
        <v>274</v>
      </c>
      <c r="K179" t="s">
        <v>315</v>
      </c>
      <c r="Q179" t="s">
        <v>501</v>
      </c>
      <c r="S179" t="s">
        <v>503</v>
      </c>
      <c r="T179" t="s">
        <v>507</v>
      </c>
      <c r="U179" t="s">
        <v>511</v>
      </c>
      <c r="V179">
        <v>10456</v>
      </c>
      <c r="W179" t="s">
        <v>544</v>
      </c>
      <c r="Z179" t="s">
        <v>5791</v>
      </c>
      <c r="AA179" t="s">
        <v>6170</v>
      </c>
      <c r="AB179" t="s">
        <v>902</v>
      </c>
      <c r="AC179" t="s">
        <v>904</v>
      </c>
      <c r="AF179" t="s">
        <v>923</v>
      </c>
      <c r="AI179">
        <v>0.1</v>
      </c>
      <c r="AJ179" t="s">
        <v>558</v>
      </c>
      <c r="AK179" t="s">
        <v>6457</v>
      </c>
      <c r="AL179" t="s">
        <v>274</v>
      </c>
      <c r="AT179">
        <v>4</v>
      </c>
      <c r="AU179">
        <v>3</v>
      </c>
      <c r="AV179" t="s">
        <v>273</v>
      </c>
      <c r="AY179" t="s">
        <v>273</v>
      </c>
      <c r="BB179">
        <v>0</v>
      </c>
      <c r="BC179">
        <v>0</v>
      </c>
      <c r="BD179">
        <v>0</v>
      </c>
      <c r="BE179">
        <v>0</v>
      </c>
      <c r="BF179" t="s">
        <v>1063</v>
      </c>
      <c r="BG179" t="s">
        <v>6607</v>
      </c>
      <c r="BH179">
        <v>56</v>
      </c>
      <c r="BI179" t="s">
        <v>3473</v>
      </c>
      <c r="BK179">
        <v>786497</v>
      </c>
    </row>
    <row r="180" spans="1:63">
      <c r="A180" s="1">
        <f>HYPERLINK("https://lsnyc.legalserver.org/matter/dynamic-profile/view/1899370","19-1899370")</f>
        <v>0</v>
      </c>
      <c r="B180" t="s">
        <v>5233</v>
      </c>
      <c r="C180" t="s">
        <v>5625</v>
      </c>
      <c r="D180" t="s">
        <v>255</v>
      </c>
      <c r="E180" t="s">
        <v>5630</v>
      </c>
      <c r="F180" t="s">
        <v>274</v>
      </c>
      <c r="G180" t="s">
        <v>274</v>
      </c>
      <c r="H180">
        <v>28.95</v>
      </c>
      <c r="I180" t="s">
        <v>274</v>
      </c>
      <c r="K180" t="s">
        <v>315</v>
      </c>
      <c r="Q180" t="s">
        <v>501</v>
      </c>
      <c r="S180" t="s">
        <v>503</v>
      </c>
      <c r="T180" t="s">
        <v>508</v>
      </c>
      <c r="U180" t="s">
        <v>511</v>
      </c>
      <c r="V180">
        <v>10032</v>
      </c>
      <c r="W180" t="s">
        <v>544</v>
      </c>
      <c r="X180" t="s">
        <v>548</v>
      </c>
      <c r="Z180" t="s">
        <v>5792</v>
      </c>
      <c r="AA180" t="s">
        <v>6171</v>
      </c>
      <c r="AB180" t="s">
        <v>902</v>
      </c>
      <c r="AC180" t="s">
        <v>904</v>
      </c>
      <c r="AF180" t="s">
        <v>923</v>
      </c>
      <c r="AI180">
        <v>0.2</v>
      </c>
      <c r="AJ180" t="s">
        <v>558</v>
      </c>
      <c r="AK180" t="s">
        <v>950</v>
      </c>
      <c r="AL180" t="s">
        <v>274</v>
      </c>
      <c r="AT180">
        <v>0</v>
      </c>
      <c r="AU180">
        <v>2</v>
      </c>
      <c r="AV180" t="s">
        <v>273</v>
      </c>
      <c r="AY180" t="s">
        <v>273</v>
      </c>
      <c r="BB180">
        <v>0</v>
      </c>
      <c r="BC180">
        <v>0</v>
      </c>
      <c r="BD180">
        <v>0</v>
      </c>
      <c r="BE180">
        <v>0</v>
      </c>
      <c r="BF180" t="s">
        <v>1063</v>
      </c>
      <c r="BG180" t="s">
        <v>6608</v>
      </c>
      <c r="BH180">
        <v>72</v>
      </c>
      <c r="BI180" t="s">
        <v>7028</v>
      </c>
      <c r="BK180">
        <v>1845446</v>
      </c>
    </row>
    <row r="181" spans="1:63">
      <c r="A181" s="1">
        <f>HYPERLINK("https://lsnyc.legalserver.org/matter/dynamic-profile/view/1899396","19-1899396")</f>
        <v>0</v>
      </c>
      <c r="B181" t="s">
        <v>5234</v>
      </c>
      <c r="C181" t="s">
        <v>5625</v>
      </c>
      <c r="D181" t="s">
        <v>254</v>
      </c>
      <c r="E181" t="s">
        <v>3694</v>
      </c>
      <c r="F181" t="s">
        <v>274</v>
      </c>
      <c r="G181" t="s">
        <v>274</v>
      </c>
      <c r="H181">
        <v>81.58</v>
      </c>
      <c r="I181" t="s">
        <v>274</v>
      </c>
      <c r="K181" t="s">
        <v>315</v>
      </c>
      <c r="Q181" t="s">
        <v>501</v>
      </c>
      <c r="S181" t="s">
        <v>503</v>
      </c>
      <c r="T181" t="s">
        <v>507</v>
      </c>
      <c r="U181" t="s">
        <v>511</v>
      </c>
      <c r="V181">
        <v>10301</v>
      </c>
      <c r="W181" t="s">
        <v>544</v>
      </c>
      <c r="Z181" t="s">
        <v>657</v>
      </c>
      <c r="AA181" t="s">
        <v>2183</v>
      </c>
      <c r="AB181" t="s">
        <v>902</v>
      </c>
      <c r="AC181" t="s">
        <v>904</v>
      </c>
      <c r="AF181" t="s">
        <v>923</v>
      </c>
      <c r="AI181">
        <v>0</v>
      </c>
      <c r="AJ181" t="s">
        <v>558</v>
      </c>
      <c r="AK181" t="s">
        <v>950</v>
      </c>
      <c r="AL181" t="s">
        <v>274</v>
      </c>
      <c r="AT181">
        <v>1</v>
      </c>
      <c r="AU181">
        <v>2</v>
      </c>
      <c r="AV181" t="s">
        <v>273</v>
      </c>
      <c r="AY181" t="s">
        <v>273</v>
      </c>
      <c r="BB181">
        <v>0</v>
      </c>
      <c r="BC181">
        <v>0</v>
      </c>
      <c r="BD181">
        <v>0</v>
      </c>
      <c r="BE181">
        <v>0</v>
      </c>
      <c r="BF181" t="s">
        <v>1063</v>
      </c>
      <c r="BG181" t="s">
        <v>6522</v>
      </c>
      <c r="BH181">
        <v>37</v>
      </c>
      <c r="BI181" t="s">
        <v>7029</v>
      </c>
      <c r="BK181">
        <v>1878377</v>
      </c>
    </row>
    <row r="182" spans="1:63">
      <c r="A182" s="1">
        <f>HYPERLINK("https://lsnyc.legalserver.org/matter/dynamic-profile/view/1899197","19-1899197")</f>
        <v>0</v>
      </c>
      <c r="B182" t="s">
        <v>5235</v>
      </c>
      <c r="C182" t="s">
        <v>5625</v>
      </c>
      <c r="D182" t="s">
        <v>252</v>
      </c>
      <c r="E182" t="s">
        <v>3694</v>
      </c>
      <c r="F182" t="s">
        <v>274</v>
      </c>
      <c r="G182" t="s">
        <v>274</v>
      </c>
      <c r="H182">
        <v>175.22</v>
      </c>
      <c r="I182" t="s">
        <v>274</v>
      </c>
      <c r="K182" t="s">
        <v>5635</v>
      </c>
      <c r="Q182" t="s">
        <v>501</v>
      </c>
      <c r="S182" t="s">
        <v>503</v>
      </c>
      <c r="T182" t="s">
        <v>508</v>
      </c>
      <c r="U182" t="s">
        <v>511</v>
      </c>
      <c r="V182">
        <v>11219</v>
      </c>
      <c r="W182" t="s">
        <v>528</v>
      </c>
      <c r="Z182" t="s">
        <v>5793</v>
      </c>
      <c r="AA182" t="s">
        <v>764</v>
      </c>
      <c r="AB182" t="s">
        <v>902</v>
      </c>
      <c r="AC182" t="s">
        <v>905</v>
      </c>
      <c r="AF182" t="s">
        <v>923</v>
      </c>
      <c r="AI182">
        <v>0</v>
      </c>
      <c r="AJ182" t="s">
        <v>558</v>
      </c>
      <c r="AK182" t="s">
        <v>941</v>
      </c>
      <c r="AL182" t="s">
        <v>274</v>
      </c>
      <c r="AT182">
        <v>3</v>
      </c>
      <c r="AU182">
        <v>1</v>
      </c>
      <c r="AV182" t="s">
        <v>273</v>
      </c>
      <c r="AY182" t="s">
        <v>273</v>
      </c>
      <c r="BB182">
        <v>0</v>
      </c>
      <c r="BC182">
        <v>0</v>
      </c>
      <c r="BD182">
        <v>0</v>
      </c>
      <c r="BE182">
        <v>0</v>
      </c>
      <c r="BF182" t="s">
        <v>1063</v>
      </c>
      <c r="BG182" t="s">
        <v>6609</v>
      </c>
      <c r="BH182">
        <v>33</v>
      </c>
      <c r="BI182" t="s">
        <v>7030</v>
      </c>
      <c r="BK182">
        <v>1867965</v>
      </c>
    </row>
    <row r="183" spans="1:63">
      <c r="A183" s="1">
        <f>HYPERLINK("https://lsnyc.legalserver.org/matter/dynamic-profile/view/1899205","19-1899205")</f>
        <v>0</v>
      </c>
      <c r="B183" t="s">
        <v>5236</v>
      </c>
      <c r="C183" t="s">
        <v>5625</v>
      </c>
      <c r="D183" t="s">
        <v>252</v>
      </c>
      <c r="E183" t="s">
        <v>3694</v>
      </c>
      <c r="F183" t="s">
        <v>274</v>
      </c>
      <c r="G183" t="s">
        <v>274</v>
      </c>
      <c r="H183">
        <v>175.22</v>
      </c>
      <c r="I183" t="s">
        <v>274</v>
      </c>
      <c r="K183" t="s">
        <v>5635</v>
      </c>
      <c r="Q183" t="s">
        <v>501</v>
      </c>
      <c r="S183" t="s">
        <v>503</v>
      </c>
      <c r="T183" t="s">
        <v>507</v>
      </c>
      <c r="U183" t="s">
        <v>511</v>
      </c>
      <c r="V183">
        <v>11219</v>
      </c>
      <c r="W183" t="s">
        <v>538</v>
      </c>
      <c r="Z183" t="s">
        <v>615</v>
      </c>
      <c r="AA183" t="s">
        <v>6172</v>
      </c>
      <c r="AB183" t="s">
        <v>902</v>
      </c>
      <c r="AC183" t="s">
        <v>908</v>
      </c>
      <c r="AF183" t="s">
        <v>923</v>
      </c>
      <c r="AI183">
        <v>0</v>
      </c>
      <c r="AJ183" t="s">
        <v>558</v>
      </c>
      <c r="AK183" t="s">
        <v>941</v>
      </c>
      <c r="AL183" t="s">
        <v>274</v>
      </c>
      <c r="AT183">
        <v>3</v>
      </c>
      <c r="AU183">
        <v>1</v>
      </c>
      <c r="AV183" t="s">
        <v>273</v>
      </c>
      <c r="AY183" t="s">
        <v>273</v>
      </c>
      <c r="BB183">
        <v>0</v>
      </c>
      <c r="BC183">
        <v>0</v>
      </c>
      <c r="BD183">
        <v>0</v>
      </c>
      <c r="BE183">
        <v>0</v>
      </c>
      <c r="BF183" t="s">
        <v>1063</v>
      </c>
      <c r="BG183" t="s">
        <v>6610</v>
      </c>
      <c r="BH183">
        <v>15</v>
      </c>
      <c r="BI183" t="s">
        <v>7030</v>
      </c>
      <c r="BK183">
        <v>1899853</v>
      </c>
    </row>
    <row r="184" spans="1:63">
      <c r="A184" s="1">
        <f>HYPERLINK("https://lsnyc.legalserver.org/matter/dynamic-profile/view/1899212","19-1899212")</f>
        <v>0</v>
      </c>
      <c r="B184" t="s">
        <v>5237</v>
      </c>
      <c r="C184" t="s">
        <v>5625</v>
      </c>
      <c r="D184" t="s">
        <v>252</v>
      </c>
      <c r="E184" t="s">
        <v>3694</v>
      </c>
      <c r="F184" t="s">
        <v>274</v>
      </c>
      <c r="G184" t="s">
        <v>274</v>
      </c>
      <c r="H184">
        <v>175.22</v>
      </c>
      <c r="I184" t="s">
        <v>274</v>
      </c>
      <c r="K184" t="s">
        <v>5635</v>
      </c>
      <c r="Q184" t="s">
        <v>501</v>
      </c>
      <c r="S184" t="s">
        <v>503</v>
      </c>
      <c r="T184" t="s">
        <v>508</v>
      </c>
      <c r="U184" t="s">
        <v>511</v>
      </c>
      <c r="V184">
        <v>11219</v>
      </c>
      <c r="W184" t="s">
        <v>538</v>
      </c>
      <c r="Z184" t="s">
        <v>5794</v>
      </c>
      <c r="AA184" t="s">
        <v>764</v>
      </c>
      <c r="AB184" t="s">
        <v>902</v>
      </c>
      <c r="AC184" t="s">
        <v>908</v>
      </c>
      <c r="AF184" t="s">
        <v>923</v>
      </c>
      <c r="AI184">
        <v>0</v>
      </c>
      <c r="AJ184" t="s">
        <v>558</v>
      </c>
      <c r="AK184" t="s">
        <v>941</v>
      </c>
      <c r="AL184" t="s">
        <v>274</v>
      </c>
      <c r="AT184">
        <v>3</v>
      </c>
      <c r="AU184">
        <v>1</v>
      </c>
      <c r="AV184" t="s">
        <v>273</v>
      </c>
      <c r="AY184" t="s">
        <v>273</v>
      </c>
      <c r="BB184">
        <v>0</v>
      </c>
      <c r="BC184">
        <v>0</v>
      </c>
      <c r="BD184">
        <v>0</v>
      </c>
      <c r="BE184">
        <v>0</v>
      </c>
      <c r="BF184" t="s">
        <v>1063</v>
      </c>
      <c r="BG184" t="s">
        <v>6611</v>
      </c>
      <c r="BH184">
        <v>2</v>
      </c>
      <c r="BI184" t="s">
        <v>7030</v>
      </c>
      <c r="BK184">
        <v>1899860</v>
      </c>
    </row>
    <row r="185" spans="1:63">
      <c r="A185" s="1">
        <f>HYPERLINK("https://lsnyc.legalserver.org/matter/dynamic-profile/view/1899229","19-1899229")</f>
        <v>0</v>
      </c>
      <c r="B185" t="s">
        <v>5237</v>
      </c>
      <c r="C185" t="s">
        <v>5625</v>
      </c>
      <c r="D185" t="s">
        <v>252</v>
      </c>
      <c r="E185" t="s">
        <v>3694</v>
      </c>
      <c r="F185" t="s">
        <v>274</v>
      </c>
      <c r="G185" t="s">
        <v>274</v>
      </c>
      <c r="H185">
        <v>175.22</v>
      </c>
      <c r="I185" t="s">
        <v>274</v>
      </c>
      <c r="K185" t="s">
        <v>5635</v>
      </c>
      <c r="Q185" t="s">
        <v>501</v>
      </c>
      <c r="S185" t="s">
        <v>503</v>
      </c>
      <c r="T185" t="s">
        <v>508</v>
      </c>
      <c r="U185" t="s">
        <v>511</v>
      </c>
      <c r="V185">
        <v>11219</v>
      </c>
      <c r="W185" t="s">
        <v>528</v>
      </c>
      <c r="Z185" t="s">
        <v>5794</v>
      </c>
      <c r="AA185" t="s">
        <v>764</v>
      </c>
      <c r="AB185" t="s">
        <v>902</v>
      </c>
      <c r="AC185" t="s">
        <v>908</v>
      </c>
      <c r="AF185" t="s">
        <v>923</v>
      </c>
      <c r="AI185">
        <v>0</v>
      </c>
      <c r="AJ185" t="s">
        <v>558</v>
      </c>
      <c r="AK185" t="s">
        <v>941</v>
      </c>
      <c r="AL185" t="s">
        <v>274</v>
      </c>
      <c r="AT185">
        <v>3</v>
      </c>
      <c r="AU185">
        <v>1</v>
      </c>
      <c r="AV185" t="s">
        <v>273</v>
      </c>
      <c r="AY185" t="s">
        <v>273</v>
      </c>
      <c r="BB185">
        <v>0</v>
      </c>
      <c r="BC185">
        <v>0</v>
      </c>
      <c r="BD185">
        <v>0</v>
      </c>
      <c r="BE185">
        <v>0</v>
      </c>
      <c r="BF185" t="s">
        <v>1063</v>
      </c>
      <c r="BG185" t="s">
        <v>6611</v>
      </c>
      <c r="BH185">
        <v>2</v>
      </c>
      <c r="BI185" t="s">
        <v>7030</v>
      </c>
      <c r="BK185">
        <v>1899860</v>
      </c>
    </row>
    <row r="186" spans="1:63">
      <c r="A186" s="1">
        <f>HYPERLINK("https://lsnyc.legalserver.org/matter/dynamic-profile/view/1899236","19-1899236")</f>
        <v>0</v>
      </c>
      <c r="B186" t="s">
        <v>5236</v>
      </c>
      <c r="C186" t="s">
        <v>5625</v>
      </c>
      <c r="D186" t="s">
        <v>252</v>
      </c>
      <c r="E186" t="s">
        <v>3694</v>
      </c>
      <c r="F186" t="s">
        <v>274</v>
      </c>
      <c r="G186" t="s">
        <v>274</v>
      </c>
      <c r="H186">
        <v>175.22</v>
      </c>
      <c r="I186" t="s">
        <v>274</v>
      </c>
      <c r="K186" t="s">
        <v>5635</v>
      </c>
      <c r="Q186" t="s">
        <v>501</v>
      </c>
      <c r="S186" t="s">
        <v>503</v>
      </c>
      <c r="T186" t="s">
        <v>507</v>
      </c>
      <c r="U186" t="s">
        <v>511</v>
      </c>
      <c r="V186">
        <v>11219</v>
      </c>
      <c r="W186" t="s">
        <v>528</v>
      </c>
      <c r="Z186" t="s">
        <v>615</v>
      </c>
      <c r="AA186" t="s">
        <v>6172</v>
      </c>
      <c r="AB186" t="s">
        <v>902</v>
      </c>
      <c r="AC186" t="s">
        <v>908</v>
      </c>
      <c r="AF186" t="s">
        <v>923</v>
      </c>
      <c r="AI186">
        <v>0</v>
      </c>
      <c r="AJ186" t="s">
        <v>558</v>
      </c>
      <c r="AK186" t="s">
        <v>941</v>
      </c>
      <c r="AL186" t="s">
        <v>274</v>
      </c>
      <c r="AT186">
        <v>3</v>
      </c>
      <c r="AU186">
        <v>1</v>
      </c>
      <c r="AV186" t="s">
        <v>273</v>
      </c>
      <c r="AY186" t="s">
        <v>273</v>
      </c>
      <c r="BB186">
        <v>0</v>
      </c>
      <c r="BC186">
        <v>0</v>
      </c>
      <c r="BD186">
        <v>0</v>
      </c>
      <c r="BE186">
        <v>0</v>
      </c>
      <c r="BF186" t="s">
        <v>1063</v>
      </c>
      <c r="BG186" t="s">
        <v>6610</v>
      </c>
      <c r="BH186">
        <v>15</v>
      </c>
      <c r="BI186" t="s">
        <v>7030</v>
      </c>
      <c r="BK186">
        <v>1899853</v>
      </c>
    </row>
    <row r="187" spans="1:63">
      <c r="A187" s="1">
        <f>HYPERLINK("https://lsnyc.legalserver.org/matter/dynamic-profile/view/1899249","19-1899249")</f>
        <v>0</v>
      </c>
      <c r="B187" t="s">
        <v>5238</v>
      </c>
      <c r="C187" t="s">
        <v>5625</v>
      </c>
      <c r="D187" t="s">
        <v>255</v>
      </c>
      <c r="E187" t="s">
        <v>3694</v>
      </c>
      <c r="F187" t="s">
        <v>274</v>
      </c>
      <c r="G187" t="s">
        <v>274</v>
      </c>
      <c r="H187">
        <v>115.21</v>
      </c>
      <c r="I187" t="s">
        <v>274</v>
      </c>
      <c r="K187" t="s">
        <v>5635</v>
      </c>
      <c r="Q187" t="s">
        <v>501</v>
      </c>
      <c r="S187" t="s">
        <v>503</v>
      </c>
      <c r="T187" t="s">
        <v>508</v>
      </c>
      <c r="U187" t="s">
        <v>511</v>
      </c>
      <c r="V187">
        <v>10453</v>
      </c>
      <c r="W187" t="s">
        <v>544</v>
      </c>
      <c r="Z187" t="s">
        <v>5795</v>
      </c>
      <c r="AA187" t="s">
        <v>6173</v>
      </c>
      <c r="AB187" t="s">
        <v>902</v>
      </c>
      <c r="AC187" t="s">
        <v>904</v>
      </c>
      <c r="AF187" t="s">
        <v>923</v>
      </c>
      <c r="AI187">
        <v>0.5</v>
      </c>
      <c r="AJ187" t="s">
        <v>558</v>
      </c>
      <c r="AK187" t="s">
        <v>950</v>
      </c>
      <c r="AL187" t="s">
        <v>274</v>
      </c>
      <c r="AT187">
        <v>2</v>
      </c>
      <c r="AU187">
        <v>2</v>
      </c>
      <c r="AV187" t="s">
        <v>273</v>
      </c>
      <c r="AY187" t="s">
        <v>273</v>
      </c>
      <c r="BB187">
        <v>0</v>
      </c>
      <c r="BC187">
        <v>0</v>
      </c>
      <c r="BD187">
        <v>0</v>
      </c>
      <c r="BE187">
        <v>0</v>
      </c>
      <c r="BF187" t="s">
        <v>1063</v>
      </c>
      <c r="BG187" t="s">
        <v>6612</v>
      </c>
      <c r="BH187">
        <v>38</v>
      </c>
      <c r="BI187" t="s">
        <v>7031</v>
      </c>
      <c r="BK187">
        <v>1869380</v>
      </c>
    </row>
    <row r="188" spans="1:63">
      <c r="A188" s="1">
        <f>HYPERLINK("https://lsnyc.legalserver.org/matter/dynamic-profile/view/1899057","19-1899057")</f>
        <v>0</v>
      </c>
      <c r="B188" t="s">
        <v>5239</v>
      </c>
      <c r="C188" t="s">
        <v>5625</v>
      </c>
      <c r="D188" t="s">
        <v>253</v>
      </c>
      <c r="E188" t="s">
        <v>3694</v>
      </c>
      <c r="F188" t="s">
        <v>274</v>
      </c>
      <c r="G188" t="s">
        <v>274</v>
      </c>
      <c r="H188">
        <v>0</v>
      </c>
      <c r="I188" t="s">
        <v>274</v>
      </c>
      <c r="K188" t="s">
        <v>2985</v>
      </c>
      <c r="Q188" t="s">
        <v>501</v>
      </c>
      <c r="S188" t="s">
        <v>503</v>
      </c>
      <c r="T188" t="s">
        <v>507</v>
      </c>
      <c r="U188" t="s">
        <v>511</v>
      </c>
      <c r="V188">
        <v>11372</v>
      </c>
      <c r="W188" t="s">
        <v>520</v>
      </c>
      <c r="Z188" t="s">
        <v>5796</v>
      </c>
      <c r="AA188" t="s">
        <v>6174</v>
      </c>
      <c r="AB188" t="s">
        <v>902</v>
      </c>
      <c r="AC188" t="s">
        <v>905</v>
      </c>
      <c r="AF188" t="s">
        <v>923</v>
      </c>
      <c r="AI188">
        <v>0</v>
      </c>
      <c r="AJ188" t="s">
        <v>558</v>
      </c>
      <c r="AK188" t="s">
        <v>945</v>
      </c>
      <c r="AL188" t="s">
        <v>275</v>
      </c>
      <c r="AT188">
        <v>0</v>
      </c>
      <c r="AU188">
        <v>1</v>
      </c>
      <c r="AV188" t="s">
        <v>273</v>
      </c>
      <c r="AY188" t="s">
        <v>273</v>
      </c>
      <c r="BB188">
        <v>0</v>
      </c>
      <c r="BC188">
        <v>0</v>
      </c>
      <c r="BD188">
        <v>0</v>
      </c>
      <c r="BE188">
        <v>0</v>
      </c>
      <c r="BF188" t="s">
        <v>1063</v>
      </c>
      <c r="BG188" t="s">
        <v>6613</v>
      </c>
      <c r="BH188">
        <v>24</v>
      </c>
      <c r="BI188" t="s">
        <v>1247</v>
      </c>
      <c r="BK188">
        <v>1870708</v>
      </c>
    </row>
    <row r="189" spans="1:63">
      <c r="A189" s="1">
        <f>HYPERLINK("https://lsnyc.legalserver.org/matter/dynamic-profile/view/1899068","19-1899068")</f>
        <v>0</v>
      </c>
      <c r="B189" t="s">
        <v>5092</v>
      </c>
      <c r="C189" t="s">
        <v>5625</v>
      </c>
      <c r="D189" t="s">
        <v>257</v>
      </c>
      <c r="E189" t="s">
        <v>5630</v>
      </c>
      <c r="F189" t="s">
        <v>273</v>
      </c>
      <c r="G189" t="s">
        <v>275</v>
      </c>
      <c r="H189">
        <v>76.88</v>
      </c>
      <c r="I189" t="s">
        <v>274</v>
      </c>
      <c r="K189" t="s">
        <v>2985</v>
      </c>
      <c r="Q189" t="s">
        <v>501</v>
      </c>
      <c r="S189" t="s">
        <v>503</v>
      </c>
      <c r="T189" t="s">
        <v>508</v>
      </c>
      <c r="U189" t="s">
        <v>511</v>
      </c>
      <c r="V189">
        <v>10458</v>
      </c>
      <c r="W189" t="s">
        <v>518</v>
      </c>
      <c r="Z189" t="s">
        <v>5697</v>
      </c>
      <c r="AA189" t="s">
        <v>6070</v>
      </c>
      <c r="AB189" t="s">
        <v>902</v>
      </c>
      <c r="AC189" t="s">
        <v>905</v>
      </c>
      <c r="AF189" t="s">
        <v>926</v>
      </c>
      <c r="AI189">
        <v>14.1</v>
      </c>
      <c r="AJ189" t="s">
        <v>558</v>
      </c>
      <c r="AK189" t="s">
        <v>934</v>
      </c>
      <c r="AL189" t="s">
        <v>274</v>
      </c>
      <c r="AT189">
        <v>1</v>
      </c>
      <c r="AU189">
        <v>1</v>
      </c>
      <c r="AV189" t="s">
        <v>273</v>
      </c>
      <c r="AY189" t="s">
        <v>273</v>
      </c>
      <c r="BB189">
        <v>0</v>
      </c>
      <c r="BC189">
        <v>0</v>
      </c>
      <c r="BD189">
        <v>0</v>
      </c>
      <c r="BE189">
        <v>0</v>
      </c>
      <c r="BF189" t="s">
        <v>1063</v>
      </c>
      <c r="BG189" t="s">
        <v>6480</v>
      </c>
      <c r="BH189">
        <v>25</v>
      </c>
      <c r="BI189" t="s">
        <v>1264</v>
      </c>
      <c r="BK189">
        <v>1899716</v>
      </c>
    </row>
    <row r="190" spans="1:63">
      <c r="A190" s="1">
        <f>HYPERLINK("https://lsnyc.legalserver.org/matter/dynamic-profile/view/1899076","19-1899076")</f>
        <v>0</v>
      </c>
      <c r="B190" t="s">
        <v>5240</v>
      </c>
      <c r="C190" t="s">
        <v>5625</v>
      </c>
      <c r="D190" t="s">
        <v>257</v>
      </c>
      <c r="E190" t="s">
        <v>3694</v>
      </c>
      <c r="F190" t="s">
        <v>274</v>
      </c>
      <c r="G190" t="s">
        <v>274</v>
      </c>
      <c r="H190">
        <v>170.31</v>
      </c>
      <c r="I190" t="s">
        <v>274</v>
      </c>
      <c r="K190" t="s">
        <v>2985</v>
      </c>
      <c r="Q190" t="s">
        <v>501</v>
      </c>
      <c r="S190" t="s">
        <v>503</v>
      </c>
      <c r="T190" t="s">
        <v>507</v>
      </c>
      <c r="U190" t="s">
        <v>511</v>
      </c>
      <c r="V190">
        <v>10474</v>
      </c>
      <c r="W190" t="s">
        <v>544</v>
      </c>
      <c r="Z190" t="s">
        <v>5797</v>
      </c>
      <c r="AA190" t="s">
        <v>6175</v>
      </c>
      <c r="AB190" t="s">
        <v>902</v>
      </c>
      <c r="AC190" t="s">
        <v>904</v>
      </c>
      <c r="AF190" t="s">
        <v>923</v>
      </c>
      <c r="AI190">
        <v>0</v>
      </c>
      <c r="AJ190" t="s">
        <v>558</v>
      </c>
      <c r="AK190" t="s">
        <v>936</v>
      </c>
      <c r="AT190">
        <v>0</v>
      </c>
      <c r="AU190">
        <v>2</v>
      </c>
      <c r="AV190" t="s">
        <v>273</v>
      </c>
      <c r="AY190" t="s">
        <v>273</v>
      </c>
      <c r="BB190">
        <v>0</v>
      </c>
      <c r="BC190">
        <v>0</v>
      </c>
      <c r="BD190">
        <v>0</v>
      </c>
      <c r="BE190">
        <v>0</v>
      </c>
      <c r="BF190" t="s">
        <v>1063</v>
      </c>
      <c r="BG190" t="s">
        <v>6614</v>
      </c>
      <c r="BH190">
        <v>55</v>
      </c>
      <c r="BI190" t="s">
        <v>2744</v>
      </c>
      <c r="BK190">
        <v>1839441</v>
      </c>
    </row>
    <row r="191" spans="1:63">
      <c r="A191" s="1">
        <f>HYPERLINK("https://lsnyc.legalserver.org/matter/dynamic-profile/view/1899160","19-1899160")</f>
        <v>0</v>
      </c>
      <c r="B191" t="s">
        <v>5241</v>
      </c>
      <c r="C191" t="s">
        <v>5625</v>
      </c>
      <c r="D191" t="s">
        <v>253</v>
      </c>
      <c r="E191" t="s">
        <v>3694</v>
      </c>
      <c r="F191" t="s">
        <v>274</v>
      </c>
      <c r="G191" t="s">
        <v>274</v>
      </c>
      <c r="H191">
        <v>68.94</v>
      </c>
      <c r="I191" t="s">
        <v>274</v>
      </c>
      <c r="K191" t="s">
        <v>2985</v>
      </c>
      <c r="Q191" t="s">
        <v>501</v>
      </c>
      <c r="S191" t="s">
        <v>503</v>
      </c>
      <c r="T191" t="s">
        <v>508</v>
      </c>
      <c r="U191" t="s">
        <v>511</v>
      </c>
      <c r="V191">
        <v>11372</v>
      </c>
      <c r="W191" t="s">
        <v>544</v>
      </c>
      <c r="X191" t="s">
        <v>548</v>
      </c>
      <c r="Z191" t="s">
        <v>5798</v>
      </c>
      <c r="AA191" t="s">
        <v>6176</v>
      </c>
      <c r="AB191" t="s">
        <v>902</v>
      </c>
      <c r="AC191" t="s">
        <v>905</v>
      </c>
      <c r="AF191" t="s">
        <v>923</v>
      </c>
      <c r="AI191">
        <v>0</v>
      </c>
      <c r="AJ191" t="s">
        <v>558</v>
      </c>
      <c r="AK191" t="s">
        <v>933</v>
      </c>
      <c r="AL191" t="s">
        <v>274</v>
      </c>
      <c r="AT191">
        <v>4</v>
      </c>
      <c r="AU191">
        <v>1</v>
      </c>
      <c r="AV191" t="s">
        <v>273</v>
      </c>
      <c r="AY191" t="s">
        <v>273</v>
      </c>
      <c r="BB191">
        <v>0</v>
      </c>
      <c r="BC191">
        <v>0</v>
      </c>
      <c r="BD191">
        <v>0</v>
      </c>
      <c r="BE191">
        <v>0</v>
      </c>
      <c r="BF191" t="s">
        <v>1063</v>
      </c>
      <c r="BG191" t="s">
        <v>6615</v>
      </c>
      <c r="BH191">
        <v>28</v>
      </c>
      <c r="BI191" t="s">
        <v>1261</v>
      </c>
      <c r="BK191">
        <v>1870995</v>
      </c>
    </row>
    <row r="192" spans="1:63">
      <c r="A192" s="1">
        <f>HYPERLINK("https://lsnyc.legalserver.org/matter/dynamic-profile/view/1899169","19-1899169")</f>
        <v>0</v>
      </c>
      <c r="B192" t="s">
        <v>5241</v>
      </c>
      <c r="C192" t="s">
        <v>5625</v>
      </c>
      <c r="D192" t="s">
        <v>253</v>
      </c>
      <c r="E192" t="s">
        <v>3694</v>
      </c>
      <c r="F192" t="s">
        <v>274</v>
      </c>
      <c r="G192" t="s">
        <v>274</v>
      </c>
      <c r="H192">
        <v>68.94</v>
      </c>
      <c r="I192" t="s">
        <v>274</v>
      </c>
      <c r="K192" t="s">
        <v>2985</v>
      </c>
      <c r="Q192" t="s">
        <v>501</v>
      </c>
      <c r="S192" t="s">
        <v>503</v>
      </c>
      <c r="T192" t="s">
        <v>508</v>
      </c>
      <c r="U192" t="s">
        <v>511</v>
      </c>
      <c r="V192">
        <v>11372</v>
      </c>
      <c r="W192" t="s">
        <v>528</v>
      </c>
      <c r="X192" t="s">
        <v>548</v>
      </c>
      <c r="Z192" t="s">
        <v>5798</v>
      </c>
      <c r="AA192" t="s">
        <v>6176</v>
      </c>
      <c r="AB192" t="s">
        <v>902</v>
      </c>
      <c r="AC192" t="s">
        <v>905</v>
      </c>
      <c r="AF192" t="s">
        <v>923</v>
      </c>
      <c r="AI192">
        <v>0</v>
      </c>
      <c r="AJ192" t="s">
        <v>558</v>
      </c>
      <c r="AK192" t="s">
        <v>933</v>
      </c>
      <c r="AL192" t="s">
        <v>274</v>
      </c>
      <c r="AT192">
        <v>4</v>
      </c>
      <c r="AU192">
        <v>1</v>
      </c>
      <c r="AV192" t="s">
        <v>273</v>
      </c>
      <c r="AY192" t="s">
        <v>273</v>
      </c>
      <c r="BB192">
        <v>0</v>
      </c>
      <c r="BC192">
        <v>0</v>
      </c>
      <c r="BD192">
        <v>0</v>
      </c>
      <c r="BE192">
        <v>0</v>
      </c>
      <c r="BF192" t="s">
        <v>1063</v>
      </c>
      <c r="BG192" t="s">
        <v>6615</v>
      </c>
      <c r="BH192">
        <v>28</v>
      </c>
      <c r="BI192" t="s">
        <v>1261</v>
      </c>
      <c r="BK192">
        <v>1870995</v>
      </c>
    </row>
    <row r="193" spans="1:63">
      <c r="A193" s="1">
        <f>HYPERLINK("https://lsnyc.legalserver.org/matter/dynamic-profile/view/1899173","19-1899173")</f>
        <v>0</v>
      </c>
      <c r="B193" t="s">
        <v>5241</v>
      </c>
      <c r="C193" t="s">
        <v>5625</v>
      </c>
      <c r="D193" t="s">
        <v>253</v>
      </c>
      <c r="E193" t="s">
        <v>3694</v>
      </c>
      <c r="F193" t="s">
        <v>274</v>
      </c>
      <c r="G193" t="s">
        <v>274</v>
      </c>
      <c r="H193">
        <v>68.94</v>
      </c>
      <c r="I193" t="s">
        <v>274</v>
      </c>
      <c r="K193" t="s">
        <v>2985</v>
      </c>
      <c r="Q193" t="s">
        <v>501</v>
      </c>
      <c r="S193" t="s">
        <v>503</v>
      </c>
      <c r="T193" t="s">
        <v>508</v>
      </c>
      <c r="U193" t="s">
        <v>511</v>
      </c>
      <c r="V193">
        <v>11372</v>
      </c>
      <c r="W193" t="s">
        <v>520</v>
      </c>
      <c r="Z193" t="s">
        <v>5798</v>
      </c>
      <c r="AA193" t="s">
        <v>6176</v>
      </c>
      <c r="AB193" t="s">
        <v>902</v>
      </c>
      <c r="AC193" t="s">
        <v>905</v>
      </c>
      <c r="AF193" t="s">
        <v>923</v>
      </c>
      <c r="AI193">
        <v>0</v>
      </c>
      <c r="AJ193" t="s">
        <v>558</v>
      </c>
      <c r="AK193" t="s">
        <v>933</v>
      </c>
      <c r="AL193" t="s">
        <v>274</v>
      </c>
      <c r="AT193">
        <v>4</v>
      </c>
      <c r="AU193">
        <v>1</v>
      </c>
      <c r="AV193" t="s">
        <v>273</v>
      </c>
      <c r="AY193" t="s">
        <v>273</v>
      </c>
      <c r="BB193">
        <v>0</v>
      </c>
      <c r="BC193">
        <v>0</v>
      </c>
      <c r="BD193">
        <v>0</v>
      </c>
      <c r="BE193">
        <v>0</v>
      </c>
      <c r="BF193" t="s">
        <v>1063</v>
      </c>
      <c r="BG193" t="s">
        <v>6615</v>
      </c>
      <c r="BH193">
        <v>28</v>
      </c>
      <c r="BI193" t="s">
        <v>1261</v>
      </c>
      <c r="BK193">
        <v>1870995</v>
      </c>
    </row>
    <row r="194" spans="1:63">
      <c r="A194" s="1">
        <f>HYPERLINK("https://lsnyc.legalserver.org/matter/dynamic-profile/view/1898943","19-1898943")</f>
        <v>0</v>
      </c>
      <c r="B194" t="s">
        <v>5242</v>
      </c>
      <c r="C194" t="s">
        <v>5625</v>
      </c>
      <c r="D194" t="s">
        <v>257</v>
      </c>
      <c r="E194" t="s">
        <v>3694</v>
      </c>
      <c r="F194" t="s">
        <v>274</v>
      </c>
      <c r="G194" t="s">
        <v>274</v>
      </c>
      <c r="H194">
        <v>119.22</v>
      </c>
      <c r="I194" t="s">
        <v>274</v>
      </c>
      <c r="K194" t="s">
        <v>316</v>
      </c>
      <c r="Q194" t="s">
        <v>501</v>
      </c>
      <c r="S194" t="s">
        <v>503</v>
      </c>
      <c r="T194" t="s">
        <v>507</v>
      </c>
      <c r="U194" t="s">
        <v>511</v>
      </c>
      <c r="V194">
        <v>10469</v>
      </c>
      <c r="W194" t="s">
        <v>544</v>
      </c>
      <c r="Z194" t="s">
        <v>5799</v>
      </c>
      <c r="AA194" t="s">
        <v>6177</v>
      </c>
      <c r="AB194" t="s">
        <v>902</v>
      </c>
      <c r="AC194" t="s">
        <v>904</v>
      </c>
      <c r="AF194" t="s">
        <v>923</v>
      </c>
      <c r="AI194">
        <v>0</v>
      </c>
      <c r="AJ194" t="s">
        <v>558</v>
      </c>
      <c r="AK194" t="s">
        <v>939</v>
      </c>
      <c r="AT194">
        <v>0</v>
      </c>
      <c r="AU194">
        <v>2</v>
      </c>
      <c r="AV194" t="s">
        <v>273</v>
      </c>
      <c r="AY194" t="s">
        <v>273</v>
      </c>
      <c r="BB194">
        <v>0</v>
      </c>
      <c r="BC194">
        <v>0</v>
      </c>
      <c r="BD194">
        <v>0</v>
      </c>
      <c r="BE194">
        <v>0</v>
      </c>
      <c r="BF194" t="s">
        <v>1063</v>
      </c>
      <c r="BG194" t="s">
        <v>6616</v>
      </c>
      <c r="BH194">
        <v>69</v>
      </c>
      <c r="BI194" t="s">
        <v>5072</v>
      </c>
      <c r="BK194">
        <v>830644</v>
      </c>
    </row>
    <row r="195" spans="1:63">
      <c r="A195" s="1">
        <f>HYPERLINK("https://lsnyc.legalserver.org/matter/dynamic-profile/view/1898958","19-1898958")</f>
        <v>0</v>
      </c>
      <c r="B195" t="s">
        <v>5243</v>
      </c>
      <c r="C195" t="s">
        <v>5625</v>
      </c>
      <c r="D195" t="s">
        <v>253</v>
      </c>
      <c r="E195" t="s">
        <v>3694</v>
      </c>
      <c r="F195" t="s">
        <v>274</v>
      </c>
      <c r="G195" t="s">
        <v>274</v>
      </c>
      <c r="H195">
        <v>73.14</v>
      </c>
      <c r="I195" t="s">
        <v>274</v>
      </c>
      <c r="K195" t="s">
        <v>316</v>
      </c>
      <c r="Q195" t="s">
        <v>501</v>
      </c>
      <c r="S195" t="s">
        <v>503</v>
      </c>
      <c r="T195" t="s">
        <v>508</v>
      </c>
      <c r="U195" t="s">
        <v>511</v>
      </c>
      <c r="V195">
        <v>11385</v>
      </c>
      <c r="W195" t="s">
        <v>5682</v>
      </c>
      <c r="Z195" t="s">
        <v>5800</v>
      </c>
      <c r="AA195" t="s">
        <v>6178</v>
      </c>
      <c r="AB195" t="s">
        <v>902</v>
      </c>
      <c r="AC195" t="s">
        <v>905</v>
      </c>
      <c r="AF195" t="s">
        <v>923</v>
      </c>
      <c r="AI195">
        <v>0.4</v>
      </c>
      <c r="AJ195" t="s">
        <v>558</v>
      </c>
      <c r="AK195" t="s">
        <v>945</v>
      </c>
      <c r="AL195" t="s">
        <v>274</v>
      </c>
      <c r="AT195">
        <v>2</v>
      </c>
      <c r="AU195">
        <v>1</v>
      </c>
      <c r="AV195" t="s">
        <v>273</v>
      </c>
      <c r="AY195" t="s">
        <v>273</v>
      </c>
      <c r="BB195">
        <v>0</v>
      </c>
      <c r="BC195">
        <v>0</v>
      </c>
      <c r="BD195">
        <v>0</v>
      </c>
      <c r="BE195">
        <v>0</v>
      </c>
      <c r="BF195" t="s">
        <v>1063</v>
      </c>
      <c r="BG195" t="s">
        <v>6617</v>
      </c>
      <c r="BH195">
        <v>51</v>
      </c>
      <c r="BI195" t="s">
        <v>1270</v>
      </c>
      <c r="BK195">
        <v>84978</v>
      </c>
    </row>
    <row r="196" spans="1:63">
      <c r="A196" s="1">
        <f>HYPERLINK("https://lsnyc.legalserver.org/matter/dynamic-profile/view/1899030","19-1899030")</f>
        <v>0</v>
      </c>
      <c r="B196" t="s">
        <v>5244</v>
      </c>
      <c r="C196" t="s">
        <v>5625</v>
      </c>
      <c r="D196" t="s">
        <v>257</v>
      </c>
      <c r="E196" t="s">
        <v>264</v>
      </c>
      <c r="F196" t="s">
        <v>274</v>
      </c>
      <c r="G196" t="s">
        <v>274</v>
      </c>
      <c r="H196">
        <v>80.06</v>
      </c>
      <c r="I196" t="s">
        <v>274</v>
      </c>
      <c r="K196" t="s">
        <v>316</v>
      </c>
      <c r="O196" t="s">
        <v>274</v>
      </c>
      <c r="P196" t="s">
        <v>498</v>
      </c>
      <c r="Q196" t="s">
        <v>501</v>
      </c>
      <c r="S196" t="s">
        <v>503</v>
      </c>
      <c r="T196" t="s">
        <v>507</v>
      </c>
      <c r="U196" t="s">
        <v>511</v>
      </c>
      <c r="V196">
        <v>10451</v>
      </c>
      <c r="X196" t="s">
        <v>548</v>
      </c>
      <c r="Z196" t="s">
        <v>3850</v>
      </c>
      <c r="AA196" t="s">
        <v>6179</v>
      </c>
      <c r="AB196" t="s">
        <v>902</v>
      </c>
      <c r="AC196" t="s">
        <v>905</v>
      </c>
      <c r="AF196" t="s">
        <v>925</v>
      </c>
      <c r="AI196">
        <v>5.6</v>
      </c>
      <c r="AJ196" t="s">
        <v>558</v>
      </c>
      <c r="AK196" t="s">
        <v>933</v>
      </c>
      <c r="AL196" t="s">
        <v>274</v>
      </c>
      <c r="AT196">
        <v>0</v>
      </c>
      <c r="AU196">
        <v>1</v>
      </c>
      <c r="AV196" t="s">
        <v>273</v>
      </c>
      <c r="AY196" t="s">
        <v>273</v>
      </c>
      <c r="BB196">
        <v>0</v>
      </c>
      <c r="BC196">
        <v>0</v>
      </c>
      <c r="BD196">
        <v>0</v>
      </c>
      <c r="BE196">
        <v>0</v>
      </c>
      <c r="BF196" t="s">
        <v>1063</v>
      </c>
      <c r="BG196" t="s">
        <v>6618</v>
      </c>
      <c r="BH196">
        <v>40</v>
      </c>
      <c r="BI196" t="s">
        <v>1268</v>
      </c>
      <c r="BK196">
        <v>1899678</v>
      </c>
    </row>
    <row r="197" spans="1:63">
      <c r="A197" s="1">
        <f>HYPERLINK("https://lsnyc.legalserver.org/matter/dynamic-profile/view/1898669","19-1898669")</f>
        <v>0</v>
      </c>
      <c r="B197" t="s">
        <v>5245</v>
      </c>
      <c r="C197" t="s">
        <v>5625</v>
      </c>
      <c r="D197" t="s">
        <v>252</v>
      </c>
      <c r="E197" t="s">
        <v>3694</v>
      </c>
      <c r="F197" t="s">
        <v>273</v>
      </c>
      <c r="G197" t="s">
        <v>275</v>
      </c>
      <c r="H197">
        <v>35.48</v>
      </c>
      <c r="I197" t="s">
        <v>274</v>
      </c>
      <c r="K197" t="s">
        <v>2986</v>
      </c>
      <c r="P197" t="s">
        <v>499</v>
      </c>
      <c r="Q197" t="s">
        <v>502</v>
      </c>
      <c r="S197" t="s">
        <v>503</v>
      </c>
      <c r="T197" t="s">
        <v>507</v>
      </c>
      <c r="U197" t="s">
        <v>511</v>
      </c>
      <c r="V197">
        <v>11235</v>
      </c>
      <c r="W197" t="s">
        <v>518</v>
      </c>
      <c r="X197" t="s">
        <v>548</v>
      </c>
      <c r="Z197" t="s">
        <v>5801</v>
      </c>
      <c r="AA197" t="s">
        <v>6134</v>
      </c>
      <c r="AB197" t="s">
        <v>902</v>
      </c>
      <c r="AC197" t="s">
        <v>905</v>
      </c>
      <c r="AF197" t="s">
        <v>926</v>
      </c>
      <c r="AI197">
        <v>0.6</v>
      </c>
      <c r="AK197" t="s">
        <v>936</v>
      </c>
      <c r="AL197" t="s">
        <v>274</v>
      </c>
      <c r="AT197">
        <v>1</v>
      </c>
      <c r="AU197">
        <v>1</v>
      </c>
      <c r="AV197" t="s">
        <v>273</v>
      </c>
      <c r="AY197" t="s">
        <v>273</v>
      </c>
      <c r="BB197">
        <v>0</v>
      </c>
      <c r="BC197">
        <v>0</v>
      </c>
      <c r="BD197">
        <v>0</v>
      </c>
      <c r="BE197">
        <v>0</v>
      </c>
      <c r="BF197" t="s">
        <v>1063</v>
      </c>
      <c r="BG197" t="s">
        <v>6619</v>
      </c>
      <c r="BH197">
        <v>16</v>
      </c>
      <c r="BI197" t="s">
        <v>1266</v>
      </c>
      <c r="BK197">
        <v>1898580</v>
      </c>
    </row>
    <row r="198" spans="1:63">
      <c r="A198" s="1">
        <f>HYPERLINK("https://lsnyc.legalserver.org/matter/dynamic-profile/view/1898671","19-1898671")</f>
        <v>0</v>
      </c>
      <c r="B198" t="s">
        <v>5245</v>
      </c>
      <c r="C198" t="s">
        <v>5625</v>
      </c>
      <c r="D198" t="s">
        <v>252</v>
      </c>
      <c r="E198" t="s">
        <v>3694</v>
      </c>
      <c r="F198" t="s">
        <v>273</v>
      </c>
      <c r="G198" t="s">
        <v>275</v>
      </c>
      <c r="H198">
        <v>35.48</v>
      </c>
      <c r="I198" t="s">
        <v>274</v>
      </c>
      <c r="K198" t="s">
        <v>2986</v>
      </c>
      <c r="P198" t="s">
        <v>499</v>
      </c>
      <c r="Q198" t="s">
        <v>502</v>
      </c>
      <c r="S198" t="s">
        <v>503</v>
      </c>
      <c r="T198" t="s">
        <v>507</v>
      </c>
      <c r="U198" t="s">
        <v>511</v>
      </c>
      <c r="V198">
        <v>11235</v>
      </c>
      <c r="W198" t="s">
        <v>520</v>
      </c>
      <c r="X198" t="s">
        <v>548</v>
      </c>
      <c r="Z198" t="s">
        <v>5801</v>
      </c>
      <c r="AA198" t="s">
        <v>6134</v>
      </c>
      <c r="AB198" t="s">
        <v>902</v>
      </c>
      <c r="AC198" t="s">
        <v>905</v>
      </c>
      <c r="AF198" t="s">
        <v>923</v>
      </c>
      <c r="AI198">
        <v>0.1</v>
      </c>
      <c r="AK198" t="s">
        <v>936</v>
      </c>
      <c r="AL198" t="s">
        <v>274</v>
      </c>
      <c r="AT198">
        <v>1</v>
      </c>
      <c r="AU198">
        <v>1</v>
      </c>
      <c r="AV198" t="s">
        <v>273</v>
      </c>
      <c r="AY198" t="s">
        <v>273</v>
      </c>
      <c r="BB198">
        <v>0</v>
      </c>
      <c r="BC198">
        <v>0</v>
      </c>
      <c r="BD198">
        <v>0</v>
      </c>
      <c r="BE198">
        <v>0</v>
      </c>
      <c r="BF198" t="s">
        <v>1063</v>
      </c>
      <c r="BG198" t="s">
        <v>6619</v>
      </c>
      <c r="BH198">
        <v>16</v>
      </c>
      <c r="BI198" t="s">
        <v>1266</v>
      </c>
      <c r="BK198">
        <v>1898580</v>
      </c>
    </row>
    <row r="199" spans="1:63">
      <c r="A199" s="1">
        <f>HYPERLINK("https://lsnyc.legalserver.org/matter/dynamic-profile/view/1898132","19-1898132")</f>
        <v>0</v>
      </c>
      <c r="B199" t="s">
        <v>5166</v>
      </c>
      <c r="C199" t="s">
        <v>5625</v>
      </c>
      <c r="D199" t="s">
        <v>252</v>
      </c>
      <c r="E199" t="s">
        <v>3694</v>
      </c>
      <c r="F199" t="s">
        <v>274</v>
      </c>
      <c r="G199" t="s">
        <v>274</v>
      </c>
      <c r="H199">
        <v>85.33</v>
      </c>
      <c r="I199" t="s">
        <v>274</v>
      </c>
      <c r="K199" t="s">
        <v>319</v>
      </c>
      <c r="P199" t="s">
        <v>492</v>
      </c>
      <c r="Q199" t="s">
        <v>502</v>
      </c>
      <c r="S199" t="s">
        <v>503</v>
      </c>
      <c r="T199" t="s">
        <v>507</v>
      </c>
      <c r="U199" t="s">
        <v>511</v>
      </c>
      <c r="V199">
        <v>11204</v>
      </c>
      <c r="W199" t="s">
        <v>521</v>
      </c>
      <c r="X199" t="s">
        <v>548</v>
      </c>
      <c r="Z199" t="s">
        <v>5747</v>
      </c>
      <c r="AA199" t="s">
        <v>6127</v>
      </c>
      <c r="AB199" t="s">
        <v>902</v>
      </c>
      <c r="AC199" t="s">
        <v>905</v>
      </c>
      <c r="AF199" t="s">
        <v>923</v>
      </c>
      <c r="AI199">
        <v>3.15</v>
      </c>
      <c r="AJ199" t="s">
        <v>558</v>
      </c>
      <c r="AK199" t="s">
        <v>941</v>
      </c>
      <c r="AL199" t="s">
        <v>274</v>
      </c>
      <c r="AT199">
        <v>2</v>
      </c>
      <c r="AU199">
        <v>1</v>
      </c>
      <c r="AV199" t="s">
        <v>273</v>
      </c>
      <c r="AY199" t="s">
        <v>273</v>
      </c>
      <c r="BB199">
        <v>0</v>
      </c>
      <c r="BC199">
        <v>0</v>
      </c>
      <c r="BD199">
        <v>0</v>
      </c>
      <c r="BE199">
        <v>0</v>
      </c>
      <c r="BF199" t="s">
        <v>1063</v>
      </c>
      <c r="BG199" t="s">
        <v>6548</v>
      </c>
      <c r="BH199">
        <v>16</v>
      </c>
      <c r="BI199" t="s">
        <v>1260</v>
      </c>
      <c r="BK199">
        <v>1896229</v>
      </c>
    </row>
    <row r="200" spans="1:63">
      <c r="A200" s="1">
        <f>HYPERLINK("https://lsnyc.legalserver.org/matter/dynamic-profile/view/1898135","19-1898135")</f>
        <v>0</v>
      </c>
      <c r="B200" t="s">
        <v>5180</v>
      </c>
      <c r="C200" t="s">
        <v>5625</v>
      </c>
      <c r="D200" t="s">
        <v>252</v>
      </c>
      <c r="E200" t="s">
        <v>3694</v>
      </c>
      <c r="F200" t="s">
        <v>274</v>
      </c>
      <c r="G200" t="s">
        <v>274</v>
      </c>
      <c r="H200">
        <v>85.33</v>
      </c>
      <c r="I200" t="s">
        <v>274</v>
      </c>
      <c r="K200" t="s">
        <v>319</v>
      </c>
      <c r="P200" t="s">
        <v>492</v>
      </c>
      <c r="Q200" t="s">
        <v>502</v>
      </c>
      <c r="S200" t="s">
        <v>503</v>
      </c>
      <c r="T200" t="s">
        <v>507</v>
      </c>
      <c r="U200" t="s">
        <v>511</v>
      </c>
      <c r="V200">
        <v>11204</v>
      </c>
      <c r="W200" t="s">
        <v>521</v>
      </c>
      <c r="X200" t="s">
        <v>548</v>
      </c>
      <c r="Z200" t="s">
        <v>564</v>
      </c>
      <c r="AA200" t="s">
        <v>6127</v>
      </c>
      <c r="AB200" t="s">
        <v>902</v>
      </c>
      <c r="AC200" t="s">
        <v>905</v>
      </c>
      <c r="AF200" t="s">
        <v>923</v>
      </c>
      <c r="AI200">
        <v>5.6</v>
      </c>
      <c r="AJ200" t="s">
        <v>558</v>
      </c>
      <c r="AK200" t="s">
        <v>941</v>
      </c>
      <c r="AL200" t="s">
        <v>274</v>
      </c>
      <c r="AT200">
        <v>2</v>
      </c>
      <c r="AU200">
        <v>1</v>
      </c>
      <c r="AV200" t="s">
        <v>273</v>
      </c>
      <c r="AY200" t="s">
        <v>273</v>
      </c>
      <c r="BB200">
        <v>0</v>
      </c>
      <c r="BC200">
        <v>0</v>
      </c>
      <c r="BD200">
        <v>0</v>
      </c>
      <c r="BE200">
        <v>0</v>
      </c>
      <c r="BF200" t="s">
        <v>1063</v>
      </c>
      <c r="BG200" t="s">
        <v>6562</v>
      </c>
      <c r="BH200">
        <v>15</v>
      </c>
      <c r="BI200" t="s">
        <v>1260</v>
      </c>
      <c r="BK200">
        <v>1896229</v>
      </c>
    </row>
    <row r="201" spans="1:63">
      <c r="A201" s="1">
        <f>HYPERLINK("https://lsnyc.legalserver.org/matter/dynamic-profile/view/1897934","19-1897934")</f>
        <v>0</v>
      </c>
      <c r="B201" t="s">
        <v>5246</v>
      </c>
      <c r="C201" t="s">
        <v>5625</v>
      </c>
      <c r="D201" t="s">
        <v>254</v>
      </c>
      <c r="E201" t="s">
        <v>3694</v>
      </c>
      <c r="F201" t="s">
        <v>274</v>
      </c>
      <c r="G201" t="s">
        <v>274</v>
      </c>
      <c r="H201">
        <v>92.25</v>
      </c>
      <c r="I201" t="s">
        <v>274</v>
      </c>
      <c r="K201" t="s">
        <v>1690</v>
      </c>
      <c r="Q201" t="s">
        <v>502</v>
      </c>
      <c r="S201" t="s">
        <v>503</v>
      </c>
      <c r="T201" t="s">
        <v>507</v>
      </c>
      <c r="U201" t="s">
        <v>511</v>
      </c>
      <c r="V201">
        <v>10303</v>
      </c>
      <c r="W201" t="s">
        <v>519</v>
      </c>
      <c r="X201" t="s">
        <v>548</v>
      </c>
      <c r="Z201" t="s">
        <v>5802</v>
      </c>
      <c r="AA201" t="s">
        <v>6180</v>
      </c>
      <c r="AB201" t="s">
        <v>902</v>
      </c>
      <c r="AC201" t="s">
        <v>905</v>
      </c>
      <c r="AF201" t="s">
        <v>923</v>
      </c>
      <c r="AI201">
        <v>1</v>
      </c>
      <c r="AJ201" t="s">
        <v>558</v>
      </c>
      <c r="AK201" t="s">
        <v>941</v>
      </c>
      <c r="AL201" t="s">
        <v>274</v>
      </c>
      <c r="AT201">
        <v>1</v>
      </c>
      <c r="AU201">
        <v>1</v>
      </c>
      <c r="AV201" t="s">
        <v>273</v>
      </c>
      <c r="AY201" t="s">
        <v>273</v>
      </c>
      <c r="BB201">
        <v>0</v>
      </c>
      <c r="BC201">
        <v>0</v>
      </c>
      <c r="BD201">
        <v>0</v>
      </c>
      <c r="BE201">
        <v>0</v>
      </c>
      <c r="BF201" t="s">
        <v>1063</v>
      </c>
      <c r="BG201" t="s">
        <v>6620</v>
      </c>
      <c r="BH201">
        <v>14</v>
      </c>
      <c r="BI201" t="s">
        <v>1270</v>
      </c>
      <c r="BK201">
        <v>1893690</v>
      </c>
    </row>
    <row r="202" spans="1:63">
      <c r="A202" s="1">
        <f>HYPERLINK("https://lsnyc.legalserver.org/matter/dynamic-profile/view/1897935","19-1897935")</f>
        <v>0</v>
      </c>
      <c r="B202" t="s">
        <v>5247</v>
      </c>
      <c r="C202" t="s">
        <v>5625</v>
      </c>
      <c r="D202" t="s">
        <v>252</v>
      </c>
      <c r="E202" t="s">
        <v>3694</v>
      </c>
      <c r="F202" t="s">
        <v>273</v>
      </c>
      <c r="G202" t="s">
        <v>275</v>
      </c>
      <c r="H202">
        <v>70.95999999999999</v>
      </c>
      <c r="I202" t="s">
        <v>274</v>
      </c>
      <c r="K202" t="s">
        <v>1690</v>
      </c>
      <c r="O202" t="s">
        <v>275</v>
      </c>
      <c r="P202" t="s">
        <v>499</v>
      </c>
      <c r="Q202" t="s">
        <v>501</v>
      </c>
      <c r="S202" t="s">
        <v>503</v>
      </c>
      <c r="T202" t="s">
        <v>508</v>
      </c>
      <c r="U202" t="s">
        <v>511</v>
      </c>
      <c r="V202">
        <v>11235</v>
      </c>
      <c r="W202" t="s">
        <v>520</v>
      </c>
      <c r="Z202" t="s">
        <v>584</v>
      </c>
      <c r="AA202" t="s">
        <v>6181</v>
      </c>
      <c r="AB202" t="s">
        <v>902</v>
      </c>
      <c r="AC202" t="s">
        <v>905</v>
      </c>
      <c r="AF202" t="s">
        <v>923</v>
      </c>
      <c r="AI202">
        <v>5.95</v>
      </c>
      <c r="AJ202" t="s">
        <v>558</v>
      </c>
      <c r="AK202" t="s">
        <v>936</v>
      </c>
      <c r="AL202" t="s">
        <v>274</v>
      </c>
      <c r="AT202">
        <v>1</v>
      </c>
      <c r="AU202">
        <v>1</v>
      </c>
      <c r="AV202" t="s">
        <v>273</v>
      </c>
      <c r="AY202" t="s">
        <v>273</v>
      </c>
      <c r="BB202">
        <v>0</v>
      </c>
      <c r="BC202">
        <v>0</v>
      </c>
      <c r="BD202">
        <v>0</v>
      </c>
      <c r="BE202">
        <v>0</v>
      </c>
      <c r="BF202" t="s">
        <v>1063</v>
      </c>
      <c r="BG202" t="s">
        <v>6621</v>
      </c>
      <c r="BH202">
        <v>46</v>
      </c>
      <c r="BI202" t="s">
        <v>1267</v>
      </c>
      <c r="BK202">
        <v>1896759</v>
      </c>
    </row>
    <row r="203" spans="1:63">
      <c r="A203" s="1">
        <f>HYPERLINK("https://lsnyc.legalserver.org/matter/dynamic-profile/view/1897937","19-1897937")</f>
        <v>0</v>
      </c>
      <c r="B203" t="s">
        <v>5245</v>
      </c>
      <c r="C203" t="s">
        <v>5625</v>
      </c>
      <c r="D203" t="s">
        <v>252</v>
      </c>
      <c r="E203" t="s">
        <v>3694</v>
      </c>
      <c r="F203" t="s">
        <v>273</v>
      </c>
      <c r="G203" t="s">
        <v>275</v>
      </c>
      <c r="H203">
        <v>35.48</v>
      </c>
      <c r="I203" t="s">
        <v>274</v>
      </c>
      <c r="K203" t="s">
        <v>1690</v>
      </c>
      <c r="P203" t="s">
        <v>499</v>
      </c>
      <c r="Q203" t="s">
        <v>502</v>
      </c>
      <c r="S203" t="s">
        <v>503</v>
      </c>
      <c r="T203" t="s">
        <v>507</v>
      </c>
      <c r="U203" t="s">
        <v>511</v>
      </c>
      <c r="V203">
        <v>11235</v>
      </c>
      <c r="W203" t="s">
        <v>531</v>
      </c>
      <c r="X203" t="s">
        <v>548</v>
      </c>
      <c r="Z203" t="s">
        <v>5801</v>
      </c>
      <c r="AA203" t="s">
        <v>6134</v>
      </c>
      <c r="AB203" t="s">
        <v>902</v>
      </c>
      <c r="AC203" t="s">
        <v>905</v>
      </c>
      <c r="AF203" t="s">
        <v>923</v>
      </c>
      <c r="AI203">
        <v>1.9</v>
      </c>
      <c r="AJ203" t="s">
        <v>558</v>
      </c>
      <c r="AK203" t="s">
        <v>936</v>
      </c>
      <c r="AL203" t="s">
        <v>275</v>
      </c>
      <c r="AT203">
        <v>1</v>
      </c>
      <c r="AU203">
        <v>1</v>
      </c>
      <c r="AV203" t="s">
        <v>273</v>
      </c>
      <c r="AY203" t="s">
        <v>273</v>
      </c>
      <c r="BB203">
        <v>0</v>
      </c>
      <c r="BC203">
        <v>0</v>
      </c>
      <c r="BD203">
        <v>0</v>
      </c>
      <c r="BE203">
        <v>0</v>
      </c>
      <c r="BF203" t="s">
        <v>1063</v>
      </c>
      <c r="BG203" t="s">
        <v>6619</v>
      </c>
      <c r="BH203">
        <v>16</v>
      </c>
      <c r="BI203" t="s">
        <v>1266</v>
      </c>
      <c r="BK203">
        <v>1898580</v>
      </c>
    </row>
    <row r="204" spans="1:63">
      <c r="A204" s="1">
        <f>HYPERLINK("https://lsnyc.legalserver.org/matter/dynamic-profile/view/1897548","19-1897548")</f>
        <v>0</v>
      </c>
      <c r="B204" t="s">
        <v>5248</v>
      </c>
      <c r="C204" t="s">
        <v>5625</v>
      </c>
      <c r="D204" t="s">
        <v>255</v>
      </c>
      <c r="E204" t="s">
        <v>3694</v>
      </c>
      <c r="F204" t="s">
        <v>274</v>
      </c>
      <c r="G204" t="s">
        <v>274</v>
      </c>
      <c r="H204">
        <v>141.93</v>
      </c>
      <c r="I204" t="s">
        <v>274</v>
      </c>
      <c r="K204" t="s">
        <v>321</v>
      </c>
      <c r="Q204" t="s">
        <v>501</v>
      </c>
      <c r="S204" t="s">
        <v>503</v>
      </c>
      <c r="T204" t="s">
        <v>507</v>
      </c>
      <c r="U204" t="s">
        <v>511</v>
      </c>
      <c r="V204">
        <v>10035</v>
      </c>
      <c r="W204" t="s">
        <v>520</v>
      </c>
      <c r="X204" t="s">
        <v>553</v>
      </c>
      <c r="Z204" t="s">
        <v>4575</v>
      </c>
      <c r="AA204" t="s">
        <v>6182</v>
      </c>
      <c r="AB204" t="s">
        <v>902</v>
      </c>
      <c r="AC204" t="s">
        <v>905</v>
      </c>
      <c r="AF204" t="s">
        <v>923</v>
      </c>
      <c r="AI204">
        <v>0</v>
      </c>
      <c r="AJ204" t="s">
        <v>558</v>
      </c>
      <c r="AK204" t="s">
        <v>948</v>
      </c>
      <c r="AL204" t="s">
        <v>274</v>
      </c>
      <c r="AT204">
        <v>0</v>
      </c>
      <c r="AU204">
        <v>2</v>
      </c>
      <c r="AV204" t="s">
        <v>273</v>
      </c>
      <c r="AY204" t="s">
        <v>273</v>
      </c>
      <c r="BB204">
        <v>0</v>
      </c>
      <c r="BC204">
        <v>0</v>
      </c>
      <c r="BD204">
        <v>0</v>
      </c>
      <c r="BE204">
        <v>0</v>
      </c>
      <c r="BF204" t="s">
        <v>1063</v>
      </c>
      <c r="BG204" t="s">
        <v>6622</v>
      </c>
      <c r="BH204">
        <v>40</v>
      </c>
      <c r="BI204" t="s">
        <v>1259</v>
      </c>
      <c r="BK204">
        <v>1878426</v>
      </c>
    </row>
    <row r="205" spans="1:63">
      <c r="A205" s="1">
        <f>HYPERLINK("https://lsnyc.legalserver.org/matter/dynamic-profile/view/1897565","19-1897565")</f>
        <v>0</v>
      </c>
      <c r="B205" t="s">
        <v>5249</v>
      </c>
      <c r="C205" t="s">
        <v>5625</v>
      </c>
      <c r="D205" t="s">
        <v>253</v>
      </c>
      <c r="E205" t="s">
        <v>3694</v>
      </c>
      <c r="F205" t="s">
        <v>274</v>
      </c>
      <c r="G205" t="s">
        <v>274</v>
      </c>
      <c r="H205">
        <v>55.92</v>
      </c>
      <c r="I205" t="s">
        <v>274</v>
      </c>
      <c r="K205" t="s">
        <v>321</v>
      </c>
      <c r="Q205" t="s">
        <v>501</v>
      </c>
      <c r="S205" t="s">
        <v>503</v>
      </c>
      <c r="T205" t="s">
        <v>507</v>
      </c>
      <c r="U205" t="s">
        <v>511</v>
      </c>
      <c r="V205">
        <v>11692</v>
      </c>
      <c r="W205" t="s">
        <v>520</v>
      </c>
      <c r="X205" t="s">
        <v>549</v>
      </c>
      <c r="Z205" t="s">
        <v>5754</v>
      </c>
      <c r="AA205" t="s">
        <v>6183</v>
      </c>
      <c r="AB205" t="s">
        <v>902</v>
      </c>
      <c r="AC205" t="s">
        <v>905</v>
      </c>
      <c r="AF205" t="s">
        <v>923</v>
      </c>
      <c r="AI205">
        <v>0</v>
      </c>
      <c r="AJ205" t="s">
        <v>558</v>
      </c>
      <c r="AK205" t="s">
        <v>939</v>
      </c>
      <c r="AL205" t="s">
        <v>274</v>
      </c>
      <c r="AT205">
        <v>1</v>
      </c>
      <c r="AU205">
        <v>3</v>
      </c>
      <c r="AV205" t="s">
        <v>273</v>
      </c>
      <c r="AY205" t="s">
        <v>273</v>
      </c>
      <c r="BB205">
        <v>0</v>
      </c>
      <c r="BC205">
        <v>0</v>
      </c>
      <c r="BD205">
        <v>0</v>
      </c>
      <c r="BE205">
        <v>0</v>
      </c>
      <c r="BF205" t="s">
        <v>1063</v>
      </c>
      <c r="BG205" t="s">
        <v>6623</v>
      </c>
      <c r="BH205">
        <v>20</v>
      </c>
      <c r="BI205" t="s">
        <v>1253</v>
      </c>
      <c r="BK205">
        <v>1857894</v>
      </c>
    </row>
    <row r="206" spans="1:63">
      <c r="A206" s="1">
        <f>HYPERLINK("https://lsnyc.legalserver.org/matter/dynamic-profile/view/1897607","19-1897607")</f>
        <v>0</v>
      </c>
      <c r="B206" t="s">
        <v>5246</v>
      </c>
      <c r="C206" t="s">
        <v>5625</v>
      </c>
      <c r="D206" t="s">
        <v>254</v>
      </c>
      <c r="E206" t="s">
        <v>3694</v>
      </c>
      <c r="F206" t="s">
        <v>274</v>
      </c>
      <c r="G206" t="s">
        <v>274</v>
      </c>
      <c r="H206">
        <v>33.32</v>
      </c>
      <c r="I206" t="s">
        <v>274</v>
      </c>
      <c r="K206" t="s">
        <v>321</v>
      </c>
      <c r="Q206" t="s">
        <v>502</v>
      </c>
      <c r="S206" t="s">
        <v>503</v>
      </c>
      <c r="T206" t="s">
        <v>507</v>
      </c>
      <c r="U206" t="s">
        <v>511</v>
      </c>
      <c r="V206">
        <v>10303</v>
      </c>
      <c r="W206" t="s">
        <v>520</v>
      </c>
      <c r="X206" t="s">
        <v>548</v>
      </c>
      <c r="Z206" t="s">
        <v>5802</v>
      </c>
      <c r="AA206" t="s">
        <v>6180</v>
      </c>
      <c r="AB206" t="s">
        <v>902</v>
      </c>
      <c r="AC206" t="s">
        <v>905</v>
      </c>
      <c r="AF206" t="s">
        <v>923</v>
      </c>
      <c r="AI206">
        <v>0.46</v>
      </c>
      <c r="AJ206" t="s">
        <v>558</v>
      </c>
      <c r="AK206" t="s">
        <v>941</v>
      </c>
      <c r="AL206" t="s">
        <v>274</v>
      </c>
      <c r="AT206">
        <v>1</v>
      </c>
      <c r="AU206">
        <v>6</v>
      </c>
      <c r="AV206" t="s">
        <v>273</v>
      </c>
      <c r="AY206" t="s">
        <v>273</v>
      </c>
      <c r="BB206">
        <v>0</v>
      </c>
      <c r="BC206">
        <v>0</v>
      </c>
      <c r="BD206">
        <v>0</v>
      </c>
      <c r="BE206">
        <v>0</v>
      </c>
      <c r="BF206" t="s">
        <v>1063</v>
      </c>
      <c r="BG206" t="s">
        <v>6624</v>
      </c>
      <c r="BH206">
        <v>14</v>
      </c>
      <c r="BI206" t="s">
        <v>4265</v>
      </c>
      <c r="BK206">
        <v>1893690</v>
      </c>
    </row>
    <row r="207" spans="1:63">
      <c r="A207" s="1">
        <f>HYPERLINK("https://lsnyc.legalserver.org/matter/dynamic-profile/view/1897524","19-1897524")</f>
        <v>0</v>
      </c>
      <c r="B207" t="s">
        <v>5250</v>
      </c>
      <c r="C207" t="s">
        <v>5625</v>
      </c>
      <c r="D207" t="s">
        <v>257</v>
      </c>
      <c r="E207" t="s">
        <v>3694</v>
      </c>
      <c r="F207" t="s">
        <v>274</v>
      </c>
      <c r="G207" t="s">
        <v>274</v>
      </c>
      <c r="H207">
        <v>0</v>
      </c>
      <c r="I207" t="s">
        <v>274</v>
      </c>
      <c r="K207" t="s">
        <v>2987</v>
      </c>
      <c r="Q207" t="s">
        <v>502</v>
      </c>
      <c r="S207" t="s">
        <v>503</v>
      </c>
      <c r="T207" t="s">
        <v>508</v>
      </c>
      <c r="U207" t="s">
        <v>511</v>
      </c>
      <c r="V207">
        <v>10454</v>
      </c>
      <c r="W207" t="s">
        <v>519</v>
      </c>
      <c r="X207" t="s">
        <v>548</v>
      </c>
      <c r="Z207" t="s">
        <v>4661</v>
      </c>
      <c r="AA207" t="s">
        <v>6184</v>
      </c>
      <c r="AB207" t="s">
        <v>902</v>
      </c>
      <c r="AC207" t="s">
        <v>905</v>
      </c>
      <c r="AF207" t="s">
        <v>926</v>
      </c>
      <c r="AI207">
        <v>1.55</v>
      </c>
      <c r="AJ207" t="s">
        <v>558</v>
      </c>
      <c r="AK207" t="s">
        <v>934</v>
      </c>
      <c r="AL207" t="s">
        <v>274</v>
      </c>
      <c r="AT207">
        <v>1</v>
      </c>
      <c r="AU207">
        <v>2</v>
      </c>
      <c r="AV207" t="s">
        <v>273</v>
      </c>
      <c r="AY207" t="s">
        <v>273</v>
      </c>
      <c r="BB207">
        <v>0</v>
      </c>
      <c r="BC207">
        <v>0</v>
      </c>
      <c r="BD207">
        <v>0</v>
      </c>
      <c r="BE207">
        <v>0</v>
      </c>
      <c r="BF207" t="s">
        <v>1063</v>
      </c>
      <c r="BG207" t="s">
        <v>6625</v>
      </c>
      <c r="BH207">
        <v>7</v>
      </c>
      <c r="BI207" t="s">
        <v>1247</v>
      </c>
      <c r="BK207">
        <v>1893418</v>
      </c>
    </row>
    <row r="208" spans="1:63">
      <c r="A208" s="1">
        <f>HYPERLINK("https://lsnyc.legalserver.org/matter/dynamic-profile/view/1897288","19-1897288")</f>
        <v>0</v>
      </c>
      <c r="B208" t="s">
        <v>5251</v>
      </c>
      <c r="C208" t="s">
        <v>5625</v>
      </c>
      <c r="D208" t="s">
        <v>255</v>
      </c>
      <c r="E208" t="s">
        <v>3694</v>
      </c>
      <c r="F208" t="s">
        <v>274</v>
      </c>
      <c r="G208" t="s">
        <v>274</v>
      </c>
      <c r="H208">
        <v>171.17</v>
      </c>
      <c r="I208" t="s">
        <v>274</v>
      </c>
      <c r="K208" t="s">
        <v>3697</v>
      </c>
      <c r="P208" t="s">
        <v>492</v>
      </c>
      <c r="Q208" t="s">
        <v>501</v>
      </c>
      <c r="S208" t="s">
        <v>503</v>
      </c>
      <c r="T208" t="s">
        <v>507</v>
      </c>
      <c r="U208" t="s">
        <v>511</v>
      </c>
      <c r="V208">
        <v>10002</v>
      </c>
      <c r="W208" t="s">
        <v>517</v>
      </c>
      <c r="X208" t="s">
        <v>548</v>
      </c>
      <c r="Z208" t="s">
        <v>1857</v>
      </c>
      <c r="AA208" t="s">
        <v>2111</v>
      </c>
      <c r="AB208" t="s">
        <v>902</v>
      </c>
      <c r="AC208" t="s">
        <v>904</v>
      </c>
      <c r="AF208" t="s">
        <v>923</v>
      </c>
      <c r="AI208">
        <v>2.1</v>
      </c>
      <c r="AJ208" t="s">
        <v>558</v>
      </c>
      <c r="AK208" t="s">
        <v>950</v>
      </c>
      <c r="AL208" t="s">
        <v>274</v>
      </c>
      <c r="AS208" t="s">
        <v>3283</v>
      </c>
      <c r="AT208">
        <v>0</v>
      </c>
      <c r="AU208">
        <v>4</v>
      </c>
      <c r="AV208" t="s">
        <v>273</v>
      </c>
      <c r="AY208" t="s">
        <v>273</v>
      </c>
      <c r="BB208">
        <v>0</v>
      </c>
      <c r="BC208">
        <v>0</v>
      </c>
      <c r="BD208">
        <v>0</v>
      </c>
      <c r="BE208">
        <v>0</v>
      </c>
      <c r="BF208" t="s">
        <v>1063</v>
      </c>
      <c r="BG208" t="s">
        <v>6572</v>
      </c>
      <c r="BH208">
        <v>83</v>
      </c>
      <c r="BI208" t="s">
        <v>7014</v>
      </c>
      <c r="BK208">
        <v>797141</v>
      </c>
    </row>
    <row r="209" spans="1:63">
      <c r="A209" s="1">
        <f>HYPERLINK("https://lsnyc.legalserver.org/matter/dynamic-profile/view/1897300","19-1897300")</f>
        <v>0</v>
      </c>
      <c r="B209" t="s">
        <v>5252</v>
      </c>
      <c r="C209" t="s">
        <v>5625</v>
      </c>
      <c r="D209" t="s">
        <v>255</v>
      </c>
      <c r="E209" t="s">
        <v>3694</v>
      </c>
      <c r="F209" t="s">
        <v>274</v>
      </c>
      <c r="G209" t="s">
        <v>274</v>
      </c>
      <c r="H209">
        <v>112.09</v>
      </c>
      <c r="I209" t="s">
        <v>274</v>
      </c>
      <c r="K209" t="s">
        <v>3697</v>
      </c>
      <c r="O209" t="s">
        <v>274</v>
      </c>
      <c r="P209" t="s">
        <v>498</v>
      </c>
      <c r="Q209" t="s">
        <v>501</v>
      </c>
      <c r="S209" t="s">
        <v>503</v>
      </c>
      <c r="T209" t="s">
        <v>508</v>
      </c>
      <c r="U209" t="s">
        <v>511</v>
      </c>
      <c r="V209">
        <v>10023</v>
      </c>
      <c r="W209" t="s">
        <v>517</v>
      </c>
      <c r="X209" t="s">
        <v>549</v>
      </c>
      <c r="Z209" t="s">
        <v>5803</v>
      </c>
      <c r="AA209" t="s">
        <v>5826</v>
      </c>
      <c r="AB209" t="s">
        <v>902</v>
      </c>
      <c r="AC209" t="s">
        <v>904</v>
      </c>
      <c r="AF209" t="s">
        <v>923</v>
      </c>
      <c r="AI209">
        <v>13.15</v>
      </c>
      <c r="AJ209" t="s">
        <v>558</v>
      </c>
      <c r="AK209" t="s">
        <v>965</v>
      </c>
      <c r="AL209" t="s">
        <v>274</v>
      </c>
      <c r="AT209">
        <v>0</v>
      </c>
      <c r="AU209">
        <v>1</v>
      </c>
      <c r="AV209" t="s">
        <v>273</v>
      </c>
      <c r="AY209" t="s">
        <v>273</v>
      </c>
      <c r="BB209">
        <v>0</v>
      </c>
      <c r="BC209">
        <v>0</v>
      </c>
      <c r="BD209">
        <v>0</v>
      </c>
      <c r="BE209">
        <v>0</v>
      </c>
      <c r="BF209" t="s">
        <v>1063</v>
      </c>
      <c r="BG209" t="s">
        <v>6626</v>
      </c>
      <c r="BH209">
        <v>50</v>
      </c>
      <c r="BI209" t="s">
        <v>7032</v>
      </c>
      <c r="BK209">
        <v>1840302</v>
      </c>
    </row>
    <row r="210" spans="1:63">
      <c r="A210" s="1">
        <f>HYPERLINK("https://lsnyc.legalserver.org/matter/dynamic-profile/view/1897213","19-1897213")</f>
        <v>0</v>
      </c>
      <c r="B210" t="s">
        <v>5253</v>
      </c>
      <c r="C210" t="s">
        <v>5625</v>
      </c>
      <c r="D210" t="s">
        <v>257</v>
      </c>
      <c r="E210" t="s">
        <v>5630</v>
      </c>
      <c r="F210" t="s">
        <v>274</v>
      </c>
      <c r="G210" t="s">
        <v>274</v>
      </c>
      <c r="H210">
        <v>136.11</v>
      </c>
      <c r="I210" t="s">
        <v>274</v>
      </c>
      <c r="K210" t="s">
        <v>1691</v>
      </c>
      <c r="O210" t="s">
        <v>274</v>
      </c>
      <c r="P210" t="s">
        <v>498</v>
      </c>
      <c r="Q210" t="s">
        <v>501</v>
      </c>
      <c r="S210" t="s">
        <v>503</v>
      </c>
      <c r="T210" t="s">
        <v>508</v>
      </c>
      <c r="U210" t="s">
        <v>511</v>
      </c>
      <c r="V210">
        <v>10459</v>
      </c>
      <c r="W210" t="s">
        <v>517</v>
      </c>
      <c r="X210" t="s">
        <v>548</v>
      </c>
      <c r="Z210" t="s">
        <v>5804</v>
      </c>
      <c r="AA210" t="s">
        <v>6185</v>
      </c>
      <c r="AB210" t="s">
        <v>902</v>
      </c>
      <c r="AC210" t="s">
        <v>904</v>
      </c>
      <c r="AF210" t="s">
        <v>923</v>
      </c>
      <c r="AI210">
        <v>4.15</v>
      </c>
      <c r="AJ210" t="s">
        <v>558</v>
      </c>
      <c r="AK210" t="s">
        <v>950</v>
      </c>
      <c r="AL210" t="s">
        <v>274</v>
      </c>
      <c r="AT210">
        <v>0</v>
      </c>
      <c r="AU210">
        <v>1</v>
      </c>
      <c r="AV210" t="s">
        <v>273</v>
      </c>
      <c r="AY210" t="s">
        <v>273</v>
      </c>
      <c r="BB210">
        <v>0</v>
      </c>
      <c r="BC210">
        <v>0</v>
      </c>
      <c r="BD210">
        <v>0</v>
      </c>
      <c r="BE210">
        <v>0</v>
      </c>
      <c r="BF210" t="s">
        <v>1063</v>
      </c>
      <c r="BG210" t="s">
        <v>6627</v>
      </c>
      <c r="BH210">
        <v>26</v>
      </c>
      <c r="BI210" t="s">
        <v>1314</v>
      </c>
      <c r="BK210">
        <v>1897856</v>
      </c>
    </row>
    <row r="211" spans="1:63">
      <c r="A211" s="1">
        <f>HYPERLINK("https://lsnyc.legalserver.org/matter/dynamic-profile/view/1897242","19-1897242")</f>
        <v>0</v>
      </c>
      <c r="B211" t="s">
        <v>5254</v>
      </c>
      <c r="C211" t="s">
        <v>5625</v>
      </c>
      <c r="D211" t="s">
        <v>257</v>
      </c>
      <c r="E211" t="s">
        <v>3694</v>
      </c>
      <c r="F211" t="s">
        <v>274</v>
      </c>
      <c r="G211" t="s">
        <v>274</v>
      </c>
      <c r="H211">
        <v>138.77</v>
      </c>
      <c r="I211" t="s">
        <v>274</v>
      </c>
      <c r="K211" t="s">
        <v>1691</v>
      </c>
      <c r="O211" t="s">
        <v>275</v>
      </c>
      <c r="Q211" t="s">
        <v>502</v>
      </c>
      <c r="S211" t="s">
        <v>503</v>
      </c>
      <c r="T211" t="s">
        <v>507</v>
      </c>
      <c r="U211" t="s">
        <v>511</v>
      </c>
      <c r="V211">
        <v>10474</v>
      </c>
      <c r="W211" t="s">
        <v>519</v>
      </c>
      <c r="X211" t="s">
        <v>548</v>
      </c>
      <c r="Z211" t="s">
        <v>3839</v>
      </c>
      <c r="AA211" t="s">
        <v>6186</v>
      </c>
      <c r="AB211" t="s">
        <v>902</v>
      </c>
      <c r="AC211" t="s">
        <v>905</v>
      </c>
      <c r="AF211" t="s">
        <v>923</v>
      </c>
      <c r="AI211">
        <v>0.65</v>
      </c>
      <c r="AJ211" t="s">
        <v>558</v>
      </c>
      <c r="AK211" t="s">
        <v>936</v>
      </c>
      <c r="AL211" t="s">
        <v>274</v>
      </c>
      <c r="AT211">
        <v>4</v>
      </c>
      <c r="AU211">
        <v>2</v>
      </c>
      <c r="AV211" t="s">
        <v>273</v>
      </c>
      <c r="AY211" t="s">
        <v>273</v>
      </c>
      <c r="BB211">
        <v>0</v>
      </c>
      <c r="BC211">
        <v>0</v>
      </c>
      <c r="BD211">
        <v>0</v>
      </c>
      <c r="BE211">
        <v>0</v>
      </c>
      <c r="BF211" t="s">
        <v>1063</v>
      </c>
      <c r="BG211" t="s">
        <v>6628</v>
      </c>
      <c r="BH211">
        <v>8</v>
      </c>
      <c r="BI211" t="s">
        <v>7008</v>
      </c>
      <c r="BK211">
        <v>1897885</v>
      </c>
    </row>
    <row r="212" spans="1:63">
      <c r="A212" s="1">
        <f>HYPERLINK("https://lsnyc.legalserver.org/matter/dynamic-profile/view/1897243","19-1897243")</f>
        <v>0</v>
      </c>
      <c r="B212" t="s">
        <v>5255</v>
      </c>
      <c r="C212" t="s">
        <v>5625</v>
      </c>
      <c r="D212" t="s">
        <v>257</v>
      </c>
      <c r="E212" t="s">
        <v>3694</v>
      </c>
      <c r="F212" t="s">
        <v>274</v>
      </c>
      <c r="G212" t="s">
        <v>274</v>
      </c>
      <c r="H212">
        <v>175.67</v>
      </c>
      <c r="I212" t="s">
        <v>274</v>
      </c>
      <c r="K212" t="s">
        <v>1691</v>
      </c>
      <c r="O212" t="s">
        <v>275</v>
      </c>
      <c r="Q212" t="s">
        <v>501</v>
      </c>
      <c r="S212" t="s">
        <v>503</v>
      </c>
      <c r="T212" t="s">
        <v>508</v>
      </c>
      <c r="U212" t="s">
        <v>511</v>
      </c>
      <c r="V212">
        <v>10474</v>
      </c>
      <c r="W212" t="s">
        <v>518</v>
      </c>
      <c r="X212" t="s">
        <v>548</v>
      </c>
      <c r="Z212" t="s">
        <v>1915</v>
      </c>
      <c r="AA212" t="s">
        <v>6187</v>
      </c>
      <c r="AB212" t="s">
        <v>902</v>
      </c>
      <c r="AC212" t="s">
        <v>905</v>
      </c>
      <c r="AF212" t="s">
        <v>923</v>
      </c>
      <c r="AI212">
        <v>37.55</v>
      </c>
      <c r="AJ212" t="s">
        <v>558</v>
      </c>
      <c r="AK212" t="s">
        <v>936</v>
      </c>
      <c r="AL212" t="s">
        <v>274</v>
      </c>
      <c r="AT212">
        <v>3</v>
      </c>
      <c r="AU212">
        <v>2</v>
      </c>
      <c r="AV212" t="s">
        <v>273</v>
      </c>
      <c r="AY212" t="s">
        <v>273</v>
      </c>
      <c r="BB212">
        <v>0</v>
      </c>
      <c r="BC212">
        <v>0</v>
      </c>
      <c r="BD212">
        <v>0</v>
      </c>
      <c r="BE212">
        <v>0</v>
      </c>
      <c r="BF212" t="s">
        <v>1063</v>
      </c>
      <c r="BG212" t="s">
        <v>6629</v>
      </c>
      <c r="BH212">
        <v>33</v>
      </c>
      <c r="BI212" t="s">
        <v>2735</v>
      </c>
      <c r="BK212">
        <v>1897885</v>
      </c>
    </row>
    <row r="213" spans="1:63">
      <c r="A213" s="1">
        <f>HYPERLINK("https://lsnyc.legalserver.org/matter/dynamic-profile/view/1896930","19-1896930")</f>
        <v>0</v>
      </c>
      <c r="B213" t="s">
        <v>5256</v>
      </c>
      <c r="C213" t="s">
        <v>5625</v>
      </c>
      <c r="D213" t="s">
        <v>257</v>
      </c>
      <c r="E213" t="s">
        <v>5630</v>
      </c>
      <c r="F213" t="s">
        <v>274</v>
      </c>
      <c r="G213" t="s">
        <v>274</v>
      </c>
      <c r="H213">
        <v>77.67</v>
      </c>
      <c r="I213" t="s">
        <v>274</v>
      </c>
      <c r="K213" t="s">
        <v>1692</v>
      </c>
      <c r="O213" t="s">
        <v>274</v>
      </c>
      <c r="P213" t="s">
        <v>498</v>
      </c>
      <c r="Q213" t="s">
        <v>501</v>
      </c>
      <c r="S213" t="s">
        <v>503</v>
      </c>
      <c r="T213" t="s">
        <v>508</v>
      </c>
      <c r="U213" t="s">
        <v>511</v>
      </c>
      <c r="V213">
        <v>10451</v>
      </c>
      <c r="W213" t="s">
        <v>517</v>
      </c>
      <c r="X213" t="s">
        <v>548</v>
      </c>
      <c r="Z213" t="s">
        <v>5805</v>
      </c>
      <c r="AA213" t="s">
        <v>6188</v>
      </c>
      <c r="AB213" t="s">
        <v>902</v>
      </c>
      <c r="AC213" t="s">
        <v>904</v>
      </c>
      <c r="AF213" t="s">
        <v>923</v>
      </c>
      <c r="AI213">
        <v>3.95</v>
      </c>
      <c r="AJ213" t="s">
        <v>558</v>
      </c>
      <c r="AK213" t="s">
        <v>950</v>
      </c>
      <c r="AL213" t="s">
        <v>274</v>
      </c>
      <c r="AT213">
        <v>2</v>
      </c>
      <c r="AU213">
        <v>2</v>
      </c>
      <c r="AV213" t="s">
        <v>273</v>
      </c>
      <c r="AY213" t="s">
        <v>273</v>
      </c>
      <c r="BB213">
        <v>0</v>
      </c>
      <c r="BC213">
        <v>0</v>
      </c>
      <c r="BD213">
        <v>0</v>
      </c>
      <c r="BE213">
        <v>0</v>
      </c>
      <c r="BF213" t="s">
        <v>1063</v>
      </c>
      <c r="BG213" t="s">
        <v>6630</v>
      </c>
      <c r="BH213">
        <v>19</v>
      </c>
      <c r="BI213" t="s">
        <v>1251</v>
      </c>
      <c r="BK213">
        <v>1897573</v>
      </c>
    </row>
    <row r="214" spans="1:63">
      <c r="A214" s="1">
        <f>HYPERLINK("https://lsnyc.legalserver.org/matter/dynamic-profile/view/1896737","19-1896737")</f>
        <v>0</v>
      </c>
      <c r="B214" t="s">
        <v>5257</v>
      </c>
      <c r="C214" t="s">
        <v>5625</v>
      </c>
      <c r="D214" t="s">
        <v>257</v>
      </c>
      <c r="E214" t="s">
        <v>3694</v>
      </c>
      <c r="F214" t="s">
        <v>274</v>
      </c>
      <c r="G214" t="s">
        <v>274</v>
      </c>
      <c r="H214">
        <v>118.11</v>
      </c>
      <c r="I214" t="s">
        <v>274</v>
      </c>
      <c r="K214" t="s">
        <v>1693</v>
      </c>
      <c r="O214" t="s">
        <v>274</v>
      </c>
      <c r="Q214" t="s">
        <v>501</v>
      </c>
      <c r="S214" t="s">
        <v>503</v>
      </c>
      <c r="T214" t="s">
        <v>507</v>
      </c>
      <c r="U214" t="s">
        <v>511</v>
      </c>
      <c r="V214">
        <v>10452</v>
      </c>
      <c r="W214" t="s">
        <v>517</v>
      </c>
      <c r="X214" t="s">
        <v>548</v>
      </c>
      <c r="Z214" t="s">
        <v>5806</v>
      </c>
      <c r="AA214" t="s">
        <v>824</v>
      </c>
      <c r="AB214" t="s">
        <v>902</v>
      </c>
      <c r="AC214" t="s">
        <v>904</v>
      </c>
      <c r="AF214" t="s">
        <v>923</v>
      </c>
      <c r="AI214">
        <v>6.75</v>
      </c>
      <c r="AJ214" t="s">
        <v>558</v>
      </c>
      <c r="AK214" t="s">
        <v>950</v>
      </c>
      <c r="AL214" t="s">
        <v>274</v>
      </c>
      <c r="AT214">
        <v>0</v>
      </c>
      <c r="AU214">
        <v>2</v>
      </c>
      <c r="AV214" t="s">
        <v>273</v>
      </c>
      <c r="AY214" t="s">
        <v>273</v>
      </c>
      <c r="BB214">
        <v>0</v>
      </c>
      <c r="BC214">
        <v>0</v>
      </c>
      <c r="BD214">
        <v>0</v>
      </c>
      <c r="BE214">
        <v>0</v>
      </c>
      <c r="BF214" t="s">
        <v>1063</v>
      </c>
      <c r="BG214" t="s">
        <v>6631</v>
      </c>
      <c r="BH214">
        <v>36</v>
      </c>
      <c r="BI214" t="s">
        <v>7033</v>
      </c>
      <c r="BK214">
        <v>1897379</v>
      </c>
    </row>
    <row r="215" spans="1:63">
      <c r="A215" s="1">
        <f>HYPERLINK("https://lsnyc.legalserver.org/matter/dynamic-profile/view/1896619","19-1896619")</f>
        <v>0</v>
      </c>
      <c r="B215" t="s">
        <v>5258</v>
      </c>
      <c r="C215" t="s">
        <v>5625</v>
      </c>
      <c r="D215" t="s">
        <v>257</v>
      </c>
      <c r="E215" t="s">
        <v>3694</v>
      </c>
      <c r="F215" t="s">
        <v>274</v>
      </c>
      <c r="G215" t="s">
        <v>274</v>
      </c>
      <c r="H215">
        <v>0</v>
      </c>
      <c r="I215" t="s">
        <v>274</v>
      </c>
      <c r="K215" t="s">
        <v>1694</v>
      </c>
      <c r="O215" t="s">
        <v>275</v>
      </c>
      <c r="Q215" t="s">
        <v>502</v>
      </c>
      <c r="S215" t="s">
        <v>503</v>
      </c>
      <c r="T215" t="s">
        <v>508</v>
      </c>
      <c r="U215" t="s">
        <v>511</v>
      </c>
      <c r="V215">
        <v>10473</v>
      </c>
      <c r="W215" t="s">
        <v>519</v>
      </c>
      <c r="X215" t="s">
        <v>548</v>
      </c>
      <c r="Z215" t="s">
        <v>5807</v>
      </c>
      <c r="AA215" t="s">
        <v>6189</v>
      </c>
      <c r="AB215" t="s">
        <v>902</v>
      </c>
      <c r="AC215" t="s">
        <v>905</v>
      </c>
      <c r="AF215" t="s">
        <v>926</v>
      </c>
      <c r="AI215">
        <v>10.8</v>
      </c>
      <c r="AJ215" t="s">
        <v>558</v>
      </c>
      <c r="AK215" t="s">
        <v>934</v>
      </c>
      <c r="AL215" t="s">
        <v>274</v>
      </c>
      <c r="AT215">
        <v>1</v>
      </c>
      <c r="AU215">
        <v>1</v>
      </c>
      <c r="AV215" t="s">
        <v>273</v>
      </c>
      <c r="AY215" t="s">
        <v>273</v>
      </c>
      <c r="BB215">
        <v>0</v>
      </c>
      <c r="BC215">
        <v>0</v>
      </c>
      <c r="BD215">
        <v>0</v>
      </c>
      <c r="BE215">
        <v>0</v>
      </c>
      <c r="BF215" t="s">
        <v>1063</v>
      </c>
      <c r="BG215" t="s">
        <v>6632</v>
      </c>
      <c r="BH215">
        <v>4</v>
      </c>
      <c r="BI215" t="s">
        <v>1247</v>
      </c>
      <c r="BK215">
        <v>1897261</v>
      </c>
    </row>
    <row r="216" spans="1:63">
      <c r="A216" s="1">
        <f>HYPERLINK("https://lsnyc.legalserver.org/matter/dynamic-profile/view/1896628","19-1896628")</f>
        <v>0</v>
      </c>
      <c r="B216" t="s">
        <v>5259</v>
      </c>
      <c r="C216" t="s">
        <v>5625</v>
      </c>
      <c r="D216" t="s">
        <v>257</v>
      </c>
      <c r="E216" t="s">
        <v>3694</v>
      </c>
      <c r="F216" t="s">
        <v>275</v>
      </c>
      <c r="G216" t="s">
        <v>274</v>
      </c>
      <c r="H216">
        <v>116.01</v>
      </c>
      <c r="I216" t="s">
        <v>274</v>
      </c>
      <c r="K216" t="s">
        <v>1694</v>
      </c>
      <c r="O216" t="s">
        <v>275</v>
      </c>
      <c r="Q216" t="s">
        <v>501</v>
      </c>
      <c r="S216" t="s">
        <v>503</v>
      </c>
      <c r="T216" t="s">
        <v>508</v>
      </c>
      <c r="U216" t="s">
        <v>511</v>
      </c>
      <c r="V216">
        <v>10473</v>
      </c>
      <c r="W216" t="s">
        <v>518</v>
      </c>
      <c r="X216" t="s">
        <v>548</v>
      </c>
      <c r="Z216" t="s">
        <v>2009</v>
      </c>
      <c r="AA216" t="s">
        <v>6190</v>
      </c>
      <c r="AB216" t="s">
        <v>902</v>
      </c>
      <c r="AC216" t="s">
        <v>905</v>
      </c>
      <c r="AF216" t="s">
        <v>926</v>
      </c>
      <c r="AI216">
        <v>2.5</v>
      </c>
      <c r="AJ216" t="s">
        <v>558</v>
      </c>
      <c r="AK216" t="s">
        <v>934</v>
      </c>
      <c r="AL216" t="s">
        <v>274</v>
      </c>
      <c r="AT216">
        <v>2</v>
      </c>
      <c r="AU216">
        <v>3</v>
      </c>
      <c r="AV216" t="s">
        <v>273</v>
      </c>
      <c r="AY216" t="s">
        <v>273</v>
      </c>
      <c r="BB216">
        <v>0</v>
      </c>
      <c r="BC216">
        <v>0</v>
      </c>
      <c r="BD216">
        <v>0</v>
      </c>
      <c r="BE216">
        <v>0</v>
      </c>
      <c r="BF216" t="s">
        <v>1063</v>
      </c>
      <c r="BG216" t="s">
        <v>1131</v>
      </c>
      <c r="BH216">
        <v>30</v>
      </c>
      <c r="BI216" t="s">
        <v>2736</v>
      </c>
      <c r="BK216">
        <v>1897270</v>
      </c>
    </row>
    <row r="217" spans="1:63">
      <c r="A217" s="1">
        <f>HYPERLINK("https://lsnyc.legalserver.org/matter/dynamic-profile/view/1896645","19-1896645")</f>
        <v>0</v>
      </c>
      <c r="B217" t="s">
        <v>5260</v>
      </c>
      <c r="C217" t="s">
        <v>5625</v>
      </c>
      <c r="D217" t="s">
        <v>255</v>
      </c>
      <c r="E217" t="s">
        <v>3694</v>
      </c>
      <c r="F217" t="s">
        <v>274</v>
      </c>
      <c r="G217" t="s">
        <v>274</v>
      </c>
      <c r="H217">
        <v>0</v>
      </c>
      <c r="I217" t="s">
        <v>274</v>
      </c>
      <c r="K217" t="s">
        <v>1694</v>
      </c>
      <c r="Q217" t="s">
        <v>502</v>
      </c>
      <c r="S217" t="s">
        <v>503</v>
      </c>
      <c r="T217" t="s">
        <v>508</v>
      </c>
      <c r="U217" t="s">
        <v>511</v>
      </c>
      <c r="V217">
        <v>10451</v>
      </c>
      <c r="W217" t="s">
        <v>519</v>
      </c>
      <c r="X217" t="s">
        <v>548</v>
      </c>
      <c r="Z217" t="s">
        <v>5808</v>
      </c>
      <c r="AA217" t="s">
        <v>6191</v>
      </c>
      <c r="AB217" t="s">
        <v>902</v>
      </c>
      <c r="AC217" t="s">
        <v>905</v>
      </c>
      <c r="AF217" t="s">
        <v>926</v>
      </c>
      <c r="AI217">
        <v>7.55</v>
      </c>
      <c r="AJ217" t="s">
        <v>558</v>
      </c>
      <c r="AK217" t="s">
        <v>934</v>
      </c>
      <c r="AL217" t="s">
        <v>274</v>
      </c>
      <c r="AT217">
        <v>1</v>
      </c>
      <c r="AU217">
        <v>1</v>
      </c>
      <c r="AV217" t="s">
        <v>273</v>
      </c>
      <c r="AY217" t="s">
        <v>273</v>
      </c>
      <c r="BB217">
        <v>0</v>
      </c>
      <c r="BC217">
        <v>0</v>
      </c>
      <c r="BD217">
        <v>0</v>
      </c>
      <c r="BE217">
        <v>0</v>
      </c>
      <c r="BF217" t="s">
        <v>1063</v>
      </c>
      <c r="BG217" t="s">
        <v>6633</v>
      </c>
      <c r="BH217">
        <v>19</v>
      </c>
      <c r="BI217" t="s">
        <v>1247</v>
      </c>
      <c r="BK217">
        <v>1897287</v>
      </c>
    </row>
    <row r="218" spans="1:63">
      <c r="A218" s="1">
        <f>HYPERLINK("https://lsnyc.legalserver.org/matter/dynamic-profile/view/1896662","19-1896662")</f>
        <v>0</v>
      </c>
      <c r="B218" t="s">
        <v>5261</v>
      </c>
      <c r="C218" t="s">
        <v>5625</v>
      </c>
      <c r="D218" t="s">
        <v>255</v>
      </c>
      <c r="E218" t="s">
        <v>3694</v>
      </c>
      <c r="F218" t="s">
        <v>274</v>
      </c>
      <c r="G218" t="s">
        <v>274</v>
      </c>
      <c r="H218">
        <v>0</v>
      </c>
      <c r="I218" t="s">
        <v>274</v>
      </c>
      <c r="K218" t="s">
        <v>1694</v>
      </c>
      <c r="Q218" t="s">
        <v>502</v>
      </c>
      <c r="S218" t="s">
        <v>503</v>
      </c>
      <c r="T218" t="s">
        <v>507</v>
      </c>
      <c r="U218" t="s">
        <v>511</v>
      </c>
      <c r="V218">
        <v>10451</v>
      </c>
      <c r="W218" t="s">
        <v>519</v>
      </c>
      <c r="Z218" t="s">
        <v>5809</v>
      </c>
      <c r="AA218" t="s">
        <v>6192</v>
      </c>
      <c r="AB218" t="s">
        <v>902</v>
      </c>
      <c r="AC218" t="s">
        <v>905</v>
      </c>
      <c r="AF218" t="s">
        <v>926</v>
      </c>
      <c r="AI218">
        <v>0.95</v>
      </c>
      <c r="AK218" t="s">
        <v>934</v>
      </c>
      <c r="AL218" t="s">
        <v>274</v>
      </c>
      <c r="AT218">
        <v>1</v>
      </c>
      <c r="AU218">
        <v>1</v>
      </c>
      <c r="AV218" t="s">
        <v>273</v>
      </c>
      <c r="AY218" t="s">
        <v>273</v>
      </c>
      <c r="BB218">
        <v>0</v>
      </c>
      <c r="BC218">
        <v>0</v>
      </c>
      <c r="BD218">
        <v>0</v>
      </c>
      <c r="BE218">
        <v>0</v>
      </c>
      <c r="BF218" t="s">
        <v>1063</v>
      </c>
      <c r="BG218" t="s">
        <v>6634</v>
      </c>
      <c r="BH218">
        <v>2</v>
      </c>
      <c r="BI218" t="s">
        <v>1247</v>
      </c>
      <c r="BK218">
        <v>1897287</v>
      </c>
    </row>
    <row r="219" spans="1:63">
      <c r="A219" s="1">
        <f>HYPERLINK("https://lsnyc.legalserver.org/matter/dynamic-profile/view/1896521","19-1896521")</f>
        <v>0</v>
      </c>
      <c r="B219" t="s">
        <v>5262</v>
      </c>
      <c r="C219" t="s">
        <v>5625</v>
      </c>
      <c r="D219" t="s">
        <v>252</v>
      </c>
      <c r="E219" t="s">
        <v>5630</v>
      </c>
      <c r="F219" t="s">
        <v>274</v>
      </c>
      <c r="G219" t="s">
        <v>274</v>
      </c>
      <c r="H219">
        <v>0</v>
      </c>
      <c r="I219" t="s">
        <v>274</v>
      </c>
      <c r="K219" t="s">
        <v>997</v>
      </c>
      <c r="Q219" t="s">
        <v>501</v>
      </c>
      <c r="S219" t="s">
        <v>503</v>
      </c>
      <c r="T219" t="s">
        <v>507</v>
      </c>
      <c r="U219" t="s">
        <v>511</v>
      </c>
      <c r="V219">
        <v>11230</v>
      </c>
      <c r="W219" t="s">
        <v>521</v>
      </c>
      <c r="X219" t="s">
        <v>553</v>
      </c>
      <c r="Z219" t="s">
        <v>5810</v>
      </c>
      <c r="AA219" t="s">
        <v>6193</v>
      </c>
      <c r="AB219" t="s">
        <v>902</v>
      </c>
      <c r="AC219" t="s">
        <v>905</v>
      </c>
      <c r="AF219" t="s">
        <v>923</v>
      </c>
      <c r="AI219">
        <v>4.35</v>
      </c>
      <c r="AJ219" t="s">
        <v>558</v>
      </c>
      <c r="AK219" t="s">
        <v>3260</v>
      </c>
      <c r="AL219" t="s">
        <v>274</v>
      </c>
      <c r="AT219">
        <v>0</v>
      </c>
      <c r="AU219">
        <v>2</v>
      </c>
      <c r="AV219" t="s">
        <v>273</v>
      </c>
      <c r="AY219" t="s">
        <v>273</v>
      </c>
      <c r="BB219">
        <v>0</v>
      </c>
      <c r="BC219">
        <v>0</v>
      </c>
      <c r="BD219">
        <v>0</v>
      </c>
      <c r="BE219">
        <v>0</v>
      </c>
      <c r="BF219" t="s">
        <v>1063</v>
      </c>
      <c r="BG219" t="s">
        <v>6635</v>
      </c>
      <c r="BH219">
        <v>42</v>
      </c>
      <c r="BI219" t="s">
        <v>1247</v>
      </c>
      <c r="BK219">
        <v>1897163</v>
      </c>
    </row>
    <row r="220" spans="1:63">
      <c r="A220" s="1">
        <f>HYPERLINK("https://lsnyc.legalserver.org/matter/dynamic-profile/view/1896558","19-1896558")</f>
        <v>0</v>
      </c>
      <c r="B220" t="s">
        <v>5263</v>
      </c>
      <c r="C220" t="s">
        <v>5625</v>
      </c>
      <c r="D220" t="s">
        <v>253</v>
      </c>
      <c r="E220" t="s">
        <v>5630</v>
      </c>
      <c r="F220" t="s">
        <v>274</v>
      </c>
      <c r="G220" t="s">
        <v>274</v>
      </c>
      <c r="H220">
        <v>118.27</v>
      </c>
      <c r="I220" t="s">
        <v>274</v>
      </c>
      <c r="K220" t="s">
        <v>997</v>
      </c>
      <c r="O220" t="s">
        <v>274</v>
      </c>
      <c r="Q220" t="s">
        <v>501</v>
      </c>
      <c r="S220" t="s">
        <v>503</v>
      </c>
      <c r="T220" t="s">
        <v>507</v>
      </c>
      <c r="U220" t="s">
        <v>511</v>
      </c>
      <c r="V220">
        <v>11356</v>
      </c>
      <c r="W220" t="s">
        <v>517</v>
      </c>
      <c r="X220" t="s">
        <v>549</v>
      </c>
      <c r="Z220" t="s">
        <v>3121</v>
      </c>
      <c r="AA220" t="s">
        <v>6194</v>
      </c>
      <c r="AB220" t="s">
        <v>902</v>
      </c>
      <c r="AC220" t="s">
        <v>904</v>
      </c>
      <c r="AF220" t="s">
        <v>923</v>
      </c>
      <c r="AI220">
        <v>3.3</v>
      </c>
      <c r="AJ220" t="s">
        <v>558</v>
      </c>
      <c r="AK220" t="s">
        <v>6458</v>
      </c>
      <c r="AL220" t="s">
        <v>274</v>
      </c>
      <c r="AM220" t="s">
        <v>973</v>
      </c>
      <c r="AN220" t="s">
        <v>468</v>
      </c>
      <c r="AT220">
        <v>0</v>
      </c>
      <c r="AU220">
        <v>2</v>
      </c>
      <c r="AV220" t="s">
        <v>273</v>
      </c>
      <c r="AY220" t="s">
        <v>273</v>
      </c>
      <c r="BB220">
        <v>0</v>
      </c>
      <c r="BC220">
        <v>0</v>
      </c>
      <c r="BD220">
        <v>0</v>
      </c>
      <c r="BE220">
        <v>0</v>
      </c>
      <c r="BF220" t="s">
        <v>1063</v>
      </c>
      <c r="BG220" t="s">
        <v>6636</v>
      </c>
      <c r="BH220">
        <v>31</v>
      </c>
      <c r="BI220" t="s">
        <v>1251</v>
      </c>
      <c r="BK220">
        <v>1868981</v>
      </c>
    </row>
    <row r="221" spans="1:63">
      <c r="A221" s="1">
        <f>HYPERLINK("https://lsnyc.legalserver.org/matter/dynamic-profile/view/1896562","19-1896562")</f>
        <v>0</v>
      </c>
      <c r="B221" t="s">
        <v>5264</v>
      </c>
      <c r="C221" t="s">
        <v>5625</v>
      </c>
      <c r="D221" t="s">
        <v>257</v>
      </c>
      <c r="E221" t="s">
        <v>5630</v>
      </c>
      <c r="F221" t="s">
        <v>274</v>
      </c>
      <c r="G221" t="s">
        <v>274</v>
      </c>
      <c r="H221">
        <v>124.27</v>
      </c>
      <c r="I221" t="s">
        <v>274</v>
      </c>
      <c r="K221" t="s">
        <v>997</v>
      </c>
      <c r="O221" t="s">
        <v>274</v>
      </c>
      <c r="P221" t="s">
        <v>498</v>
      </c>
      <c r="Q221" t="s">
        <v>501</v>
      </c>
      <c r="S221" t="s">
        <v>503</v>
      </c>
      <c r="T221" t="s">
        <v>508</v>
      </c>
      <c r="U221" t="s">
        <v>511</v>
      </c>
      <c r="V221">
        <v>10468</v>
      </c>
      <c r="W221" t="s">
        <v>517</v>
      </c>
      <c r="X221" t="s">
        <v>548</v>
      </c>
      <c r="Z221" t="s">
        <v>2086</v>
      </c>
      <c r="AA221" t="s">
        <v>6195</v>
      </c>
      <c r="AB221" t="s">
        <v>902</v>
      </c>
      <c r="AC221" t="s">
        <v>904</v>
      </c>
      <c r="AF221" t="s">
        <v>923</v>
      </c>
      <c r="AI221">
        <v>4.4</v>
      </c>
      <c r="AJ221" t="s">
        <v>558</v>
      </c>
      <c r="AK221" t="s">
        <v>950</v>
      </c>
      <c r="AL221" t="s">
        <v>274</v>
      </c>
      <c r="AT221">
        <v>2</v>
      </c>
      <c r="AU221">
        <v>2</v>
      </c>
      <c r="AV221" t="s">
        <v>273</v>
      </c>
      <c r="AY221" t="s">
        <v>273</v>
      </c>
      <c r="BB221">
        <v>0</v>
      </c>
      <c r="BC221">
        <v>0</v>
      </c>
      <c r="BD221">
        <v>0</v>
      </c>
      <c r="BE221">
        <v>0</v>
      </c>
      <c r="BF221" t="s">
        <v>1063</v>
      </c>
      <c r="BG221" t="s">
        <v>6637</v>
      </c>
      <c r="BH221">
        <v>49</v>
      </c>
      <c r="BI221" t="s">
        <v>3465</v>
      </c>
      <c r="BK221">
        <v>1890715</v>
      </c>
    </row>
    <row r="222" spans="1:63">
      <c r="A222" s="1">
        <f>HYPERLINK("https://lsnyc.legalserver.org/matter/dynamic-profile/view/1896577","19-1896577")</f>
        <v>0</v>
      </c>
      <c r="B222" t="s">
        <v>5265</v>
      </c>
      <c r="C222" t="s">
        <v>5625</v>
      </c>
      <c r="D222" t="s">
        <v>257</v>
      </c>
      <c r="E222" t="s">
        <v>5630</v>
      </c>
      <c r="F222" t="s">
        <v>274</v>
      </c>
      <c r="G222" t="s">
        <v>274</v>
      </c>
      <c r="H222">
        <v>141.93</v>
      </c>
      <c r="I222" t="s">
        <v>274</v>
      </c>
      <c r="K222" t="s">
        <v>997</v>
      </c>
      <c r="O222" t="s">
        <v>274</v>
      </c>
      <c r="P222" t="s">
        <v>498</v>
      </c>
      <c r="Q222" t="s">
        <v>501</v>
      </c>
      <c r="S222" t="s">
        <v>503</v>
      </c>
      <c r="T222" t="s">
        <v>507</v>
      </c>
      <c r="U222" t="s">
        <v>511</v>
      </c>
      <c r="V222">
        <v>10451</v>
      </c>
      <c r="W222" t="s">
        <v>517</v>
      </c>
      <c r="X222" t="s">
        <v>548</v>
      </c>
      <c r="Z222" t="s">
        <v>3130</v>
      </c>
      <c r="AA222" t="s">
        <v>1953</v>
      </c>
      <c r="AB222" t="s">
        <v>902</v>
      </c>
      <c r="AC222" t="s">
        <v>904</v>
      </c>
      <c r="AF222" t="s">
        <v>923</v>
      </c>
      <c r="AI222">
        <v>6.4</v>
      </c>
      <c r="AJ222" t="s">
        <v>558</v>
      </c>
      <c r="AK222" t="s">
        <v>950</v>
      </c>
      <c r="AL222" t="s">
        <v>274</v>
      </c>
      <c r="AM222" t="s">
        <v>973</v>
      </c>
      <c r="AN222" t="s">
        <v>451</v>
      </c>
      <c r="AT222">
        <v>0</v>
      </c>
      <c r="AU222">
        <v>2</v>
      </c>
      <c r="AV222" t="s">
        <v>273</v>
      </c>
      <c r="AY222" t="s">
        <v>273</v>
      </c>
      <c r="BB222">
        <v>0</v>
      </c>
      <c r="BC222">
        <v>0</v>
      </c>
      <c r="BD222">
        <v>0</v>
      </c>
      <c r="BE222">
        <v>0</v>
      </c>
      <c r="BF222" t="s">
        <v>1063</v>
      </c>
      <c r="BG222" t="s">
        <v>6638</v>
      </c>
      <c r="BH222">
        <v>45</v>
      </c>
      <c r="BI222" t="s">
        <v>1259</v>
      </c>
      <c r="BK222">
        <v>827100</v>
      </c>
    </row>
    <row r="223" spans="1:63">
      <c r="A223" s="1">
        <f>HYPERLINK("https://lsnyc.legalserver.org/matter/dynamic-profile/view/1896407","19-1896407")</f>
        <v>0</v>
      </c>
      <c r="B223" t="s">
        <v>5266</v>
      </c>
      <c r="C223" t="s">
        <v>5625</v>
      </c>
      <c r="D223" t="s">
        <v>257</v>
      </c>
      <c r="E223" t="s">
        <v>3694</v>
      </c>
      <c r="F223" t="s">
        <v>274</v>
      </c>
      <c r="G223" t="s">
        <v>274</v>
      </c>
      <c r="H223">
        <v>0</v>
      </c>
      <c r="I223" t="s">
        <v>274</v>
      </c>
      <c r="K223" t="s">
        <v>322</v>
      </c>
      <c r="Q223" t="s">
        <v>502</v>
      </c>
      <c r="S223" t="s">
        <v>503</v>
      </c>
      <c r="T223" t="s">
        <v>507</v>
      </c>
      <c r="U223" t="s">
        <v>511</v>
      </c>
      <c r="V223">
        <v>10451</v>
      </c>
      <c r="W223" t="s">
        <v>519</v>
      </c>
      <c r="X223" t="s">
        <v>548</v>
      </c>
      <c r="Z223" t="s">
        <v>5811</v>
      </c>
      <c r="AA223" t="s">
        <v>6196</v>
      </c>
      <c r="AB223" t="s">
        <v>902</v>
      </c>
      <c r="AC223" t="s">
        <v>908</v>
      </c>
      <c r="AF223" t="s">
        <v>926</v>
      </c>
      <c r="AI223">
        <v>0.35</v>
      </c>
      <c r="AK223" t="s">
        <v>934</v>
      </c>
      <c r="AL223" t="s">
        <v>274</v>
      </c>
      <c r="AT223">
        <v>1</v>
      </c>
      <c r="AU223">
        <v>1</v>
      </c>
      <c r="AV223" t="s">
        <v>273</v>
      </c>
      <c r="AY223" t="s">
        <v>273</v>
      </c>
      <c r="BB223">
        <v>0</v>
      </c>
      <c r="BC223">
        <v>0</v>
      </c>
      <c r="BD223">
        <v>0</v>
      </c>
      <c r="BE223">
        <v>0</v>
      </c>
      <c r="BF223" t="s">
        <v>1063</v>
      </c>
      <c r="BG223" t="s">
        <v>6639</v>
      </c>
      <c r="BH223">
        <v>1</v>
      </c>
      <c r="BI223" t="s">
        <v>1247</v>
      </c>
      <c r="BK223">
        <v>1888822</v>
      </c>
    </row>
    <row r="224" spans="1:63">
      <c r="A224" s="1">
        <f>HYPERLINK("https://lsnyc.legalserver.org/matter/dynamic-profile/view/1896180","19-1896180")</f>
        <v>0</v>
      </c>
      <c r="B224" t="s">
        <v>5267</v>
      </c>
      <c r="C224" t="s">
        <v>5625</v>
      </c>
      <c r="D224" t="s">
        <v>255</v>
      </c>
      <c r="E224" t="s">
        <v>3694</v>
      </c>
      <c r="F224" t="s">
        <v>274</v>
      </c>
      <c r="G224" t="s">
        <v>274</v>
      </c>
      <c r="H224">
        <v>102.48</v>
      </c>
      <c r="I224" t="s">
        <v>274</v>
      </c>
      <c r="K224" t="s">
        <v>323</v>
      </c>
      <c r="O224" t="s">
        <v>275</v>
      </c>
      <c r="Q224" t="s">
        <v>501</v>
      </c>
      <c r="S224" t="s">
        <v>503</v>
      </c>
      <c r="T224" t="s">
        <v>507</v>
      </c>
      <c r="U224" t="s">
        <v>511</v>
      </c>
      <c r="V224">
        <v>10003</v>
      </c>
      <c r="W224" t="s">
        <v>521</v>
      </c>
      <c r="X224" t="s">
        <v>549</v>
      </c>
      <c r="Z224" t="s">
        <v>5812</v>
      </c>
      <c r="AA224" t="s">
        <v>597</v>
      </c>
      <c r="AB224" t="s">
        <v>902</v>
      </c>
      <c r="AC224" t="s">
        <v>905</v>
      </c>
      <c r="AF224" t="s">
        <v>923</v>
      </c>
      <c r="AI224">
        <v>2.55</v>
      </c>
      <c r="AJ224" t="s">
        <v>558</v>
      </c>
      <c r="AK224" t="s">
        <v>961</v>
      </c>
      <c r="AL224" t="s">
        <v>274</v>
      </c>
      <c r="AT224">
        <v>0</v>
      </c>
      <c r="AU224">
        <v>1</v>
      </c>
      <c r="AV224" t="s">
        <v>273</v>
      </c>
      <c r="AY224" t="s">
        <v>273</v>
      </c>
      <c r="BB224">
        <v>0</v>
      </c>
      <c r="BC224">
        <v>0</v>
      </c>
      <c r="BD224">
        <v>0</v>
      </c>
      <c r="BE224">
        <v>0</v>
      </c>
      <c r="BF224" t="s">
        <v>1063</v>
      </c>
      <c r="BG224" t="s">
        <v>6640</v>
      </c>
      <c r="BH224">
        <v>31</v>
      </c>
      <c r="BI224" t="s">
        <v>7034</v>
      </c>
      <c r="BK224">
        <v>1896822</v>
      </c>
    </row>
    <row r="225" spans="1:63">
      <c r="A225" s="1">
        <f>HYPERLINK("https://lsnyc.legalserver.org/matter/dynamic-profile/view/1896117","19-1896117")</f>
        <v>0</v>
      </c>
      <c r="B225" t="s">
        <v>5247</v>
      </c>
      <c r="C225" t="s">
        <v>5625</v>
      </c>
      <c r="D225" t="s">
        <v>252</v>
      </c>
      <c r="E225" t="s">
        <v>3694</v>
      </c>
      <c r="F225" t="s">
        <v>273</v>
      </c>
      <c r="G225" t="s">
        <v>275</v>
      </c>
      <c r="H225">
        <v>70.95999999999999</v>
      </c>
      <c r="I225" t="s">
        <v>274</v>
      </c>
      <c r="K225" t="s">
        <v>1695</v>
      </c>
      <c r="P225" t="s">
        <v>499</v>
      </c>
      <c r="Q225" t="s">
        <v>501</v>
      </c>
      <c r="S225" t="s">
        <v>503</v>
      </c>
      <c r="T225" t="s">
        <v>508</v>
      </c>
      <c r="U225" t="s">
        <v>511</v>
      </c>
      <c r="V225">
        <v>11235</v>
      </c>
      <c r="W225" t="s">
        <v>518</v>
      </c>
      <c r="X225" t="s">
        <v>548</v>
      </c>
      <c r="Z225" t="s">
        <v>584</v>
      </c>
      <c r="AA225" t="s">
        <v>6181</v>
      </c>
      <c r="AB225" t="s">
        <v>902</v>
      </c>
      <c r="AC225" t="s">
        <v>905</v>
      </c>
      <c r="AF225" t="s">
        <v>926</v>
      </c>
      <c r="AI225">
        <v>144.5</v>
      </c>
      <c r="AJ225" t="s">
        <v>558</v>
      </c>
      <c r="AK225" t="s">
        <v>936</v>
      </c>
      <c r="AL225" t="s">
        <v>274</v>
      </c>
      <c r="AT225">
        <v>1</v>
      </c>
      <c r="AU225">
        <v>1</v>
      </c>
      <c r="AV225" t="s">
        <v>273</v>
      </c>
      <c r="AY225" t="s">
        <v>273</v>
      </c>
      <c r="BB225">
        <v>0</v>
      </c>
      <c r="BC225">
        <v>0</v>
      </c>
      <c r="BD225">
        <v>0</v>
      </c>
      <c r="BE225">
        <v>0</v>
      </c>
      <c r="BF225" t="s">
        <v>1063</v>
      </c>
      <c r="BG225" t="s">
        <v>6621</v>
      </c>
      <c r="BH225">
        <v>46</v>
      </c>
      <c r="BI225" t="s">
        <v>1267</v>
      </c>
      <c r="BK225">
        <v>1896759</v>
      </c>
    </row>
    <row r="226" spans="1:63">
      <c r="A226" s="1">
        <f>HYPERLINK("https://lsnyc.legalserver.org/matter/dynamic-profile/view/1903448","19-1903448")</f>
        <v>0</v>
      </c>
      <c r="B226" t="s">
        <v>5175</v>
      </c>
      <c r="C226" t="s">
        <v>5625</v>
      </c>
      <c r="D226" t="s">
        <v>252</v>
      </c>
      <c r="E226" t="s">
        <v>3694</v>
      </c>
      <c r="F226" t="s">
        <v>273</v>
      </c>
      <c r="G226" t="s">
        <v>275</v>
      </c>
      <c r="H226">
        <v>64.05</v>
      </c>
      <c r="I226" t="s">
        <v>274</v>
      </c>
      <c r="K226" t="s">
        <v>1695</v>
      </c>
      <c r="O226" t="s">
        <v>275</v>
      </c>
      <c r="P226" t="s">
        <v>492</v>
      </c>
      <c r="Q226" t="s">
        <v>502</v>
      </c>
      <c r="S226" t="s">
        <v>503</v>
      </c>
      <c r="T226" t="s">
        <v>508</v>
      </c>
      <c r="U226" t="s">
        <v>511</v>
      </c>
      <c r="V226">
        <v>11235</v>
      </c>
      <c r="W226" t="s">
        <v>518</v>
      </c>
      <c r="Z226" t="s">
        <v>1866</v>
      </c>
      <c r="AA226" t="s">
        <v>6134</v>
      </c>
      <c r="AB226" t="s">
        <v>902</v>
      </c>
      <c r="AC226" t="s">
        <v>905</v>
      </c>
      <c r="AF226" t="s">
        <v>926</v>
      </c>
      <c r="AI226">
        <v>0.4</v>
      </c>
      <c r="AK226" t="s">
        <v>936</v>
      </c>
      <c r="AL226" t="s">
        <v>274</v>
      </c>
      <c r="AT226">
        <v>0</v>
      </c>
      <c r="AU226">
        <v>1</v>
      </c>
      <c r="AV226" t="s">
        <v>273</v>
      </c>
      <c r="AY226" t="s">
        <v>273</v>
      </c>
      <c r="BB226">
        <v>0</v>
      </c>
      <c r="BC226">
        <v>0</v>
      </c>
      <c r="BD226">
        <v>0</v>
      </c>
      <c r="BE226">
        <v>0</v>
      </c>
      <c r="BF226" t="s">
        <v>1063</v>
      </c>
      <c r="BG226" t="s">
        <v>6557</v>
      </c>
      <c r="BH226">
        <v>19</v>
      </c>
      <c r="BI226" t="s">
        <v>2758</v>
      </c>
      <c r="BK226">
        <v>1904103</v>
      </c>
    </row>
    <row r="227" spans="1:63">
      <c r="A227" s="1">
        <f>HYPERLINK("https://lsnyc.legalserver.org/matter/dynamic-profile/view/1895884","19-1895884")</f>
        <v>0</v>
      </c>
      <c r="B227" t="s">
        <v>5268</v>
      </c>
      <c r="C227" t="s">
        <v>5625</v>
      </c>
      <c r="D227" t="s">
        <v>252</v>
      </c>
      <c r="E227" t="s">
        <v>5630</v>
      </c>
      <c r="F227" t="s">
        <v>274</v>
      </c>
      <c r="G227" t="s">
        <v>274</v>
      </c>
      <c r="H227">
        <v>43.38</v>
      </c>
      <c r="I227" t="s">
        <v>274</v>
      </c>
      <c r="K227" t="s">
        <v>1696</v>
      </c>
      <c r="O227" t="s">
        <v>274</v>
      </c>
      <c r="P227" t="s">
        <v>498</v>
      </c>
      <c r="Q227" t="s">
        <v>501</v>
      </c>
      <c r="S227" t="s">
        <v>503</v>
      </c>
      <c r="T227" t="s">
        <v>507</v>
      </c>
      <c r="U227" t="s">
        <v>511</v>
      </c>
      <c r="V227">
        <v>11233</v>
      </c>
      <c r="W227" t="s">
        <v>517</v>
      </c>
      <c r="X227" t="s">
        <v>549</v>
      </c>
      <c r="Z227" t="s">
        <v>5813</v>
      </c>
      <c r="AA227" t="s">
        <v>6197</v>
      </c>
      <c r="AB227" t="s">
        <v>902</v>
      </c>
      <c r="AC227" t="s">
        <v>904</v>
      </c>
      <c r="AF227" t="s">
        <v>923</v>
      </c>
      <c r="AI227">
        <v>3.15</v>
      </c>
      <c r="AJ227" t="s">
        <v>558</v>
      </c>
      <c r="AK227" t="s">
        <v>939</v>
      </c>
      <c r="AL227" t="s">
        <v>274</v>
      </c>
      <c r="AM227" t="s">
        <v>973</v>
      </c>
      <c r="AN227" t="s">
        <v>453</v>
      </c>
      <c r="AT227">
        <v>1</v>
      </c>
      <c r="AU227">
        <v>2</v>
      </c>
      <c r="AV227" t="s">
        <v>273</v>
      </c>
      <c r="AY227" t="s">
        <v>273</v>
      </c>
      <c r="BB227">
        <v>0</v>
      </c>
      <c r="BC227">
        <v>0</v>
      </c>
      <c r="BD227">
        <v>0</v>
      </c>
      <c r="BE227">
        <v>0</v>
      </c>
      <c r="BF227" t="s">
        <v>1063</v>
      </c>
      <c r="BG227" t="s">
        <v>6641</v>
      </c>
      <c r="BH227">
        <v>48</v>
      </c>
      <c r="BI227" t="s">
        <v>1249</v>
      </c>
      <c r="BK227">
        <v>1896526</v>
      </c>
    </row>
    <row r="228" spans="1:63">
      <c r="A228" s="1">
        <f>HYPERLINK("https://lsnyc.legalserver.org/matter/dynamic-profile/view/1895896","19-1895896")</f>
        <v>0</v>
      </c>
      <c r="B228" t="s">
        <v>5269</v>
      </c>
      <c r="C228" t="s">
        <v>5625</v>
      </c>
      <c r="D228" t="s">
        <v>257</v>
      </c>
      <c r="E228" t="s">
        <v>3694</v>
      </c>
      <c r="F228" t="s">
        <v>274</v>
      </c>
      <c r="G228" t="s">
        <v>274</v>
      </c>
      <c r="H228">
        <v>0</v>
      </c>
      <c r="I228" t="s">
        <v>274</v>
      </c>
      <c r="K228" t="s">
        <v>1696</v>
      </c>
      <c r="Q228" t="s">
        <v>501</v>
      </c>
      <c r="S228" t="s">
        <v>503</v>
      </c>
      <c r="T228" t="s">
        <v>508</v>
      </c>
      <c r="U228" t="s">
        <v>511</v>
      </c>
      <c r="V228">
        <v>10460</v>
      </c>
      <c r="W228" t="s">
        <v>528</v>
      </c>
      <c r="X228" t="s">
        <v>548</v>
      </c>
      <c r="Z228" t="s">
        <v>1920</v>
      </c>
      <c r="AA228" t="s">
        <v>6198</v>
      </c>
      <c r="AB228" t="s">
        <v>902</v>
      </c>
      <c r="AC228" t="s">
        <v>905</v>
      </c>
      <c r="AF228" t="s">
        <v>923</v>
      </c>
      <c r="AI228">
        <v>0.3</v>
      </c>
      <c r="AJ228" t="s">
        <v>558</v>
      </c>
      <c r="AK228" t="s">
        <v>950</v>
      </c>
      <c r="AL228" t="s">
        <v>274</v>
      </c>
      <c r="AT228">
        <v>1</v>
      </c>
      <c r="AU228">
        <v>3</v>
      </c>
      <c r="AV228" t="s">
        <v>273</v>
      </c>
      <c r="AY228" t="s">
        <v>273</v>
      </c>
      <c r="BB228">
        <v>0</v>
      </c>
      <c r="BC228">
        <v>0</v>
      </c>
      <c r="BD228">
        <v>0</v>
      </c>
      <c r="BE228">
        <v>0</v>
      </c>
      <c r="BF228" t="s">
        <v>1063</v>
      </c>
      <c r="BG228" t="s">
        <v>6642</v>
      </c>
      <c r="BH228">
        <v>48</v>
      </c>
      <c r="BI228" t="s">
        <v>1247</v>
      </c>
      <c r="BK228">
        <v>1881111</v>
      </c>
    </row>
    <row r="229" spans="1:63">
      <c r="A229" s="1">
        <f>HYPERLINK("https://lsnyc.legalserver.org/matter/dynamic-profile/view/1895905","19-1895905")</f>
        <v>0</v>
      </c>
      <c r="B229" t="s">
        <v>5270</v>
      </c>
      <c r="C229" t="s">
        <v>5625</v>
      </c>
      <c r="D229" t="s">
        <v>255</v>
      </c>
      <c r="E229" t="s">
        <v>5630</v>
      </c>
      <c r="F229" t="s">
        <v>274</v>
      </c>
      <c r="G229" t="s">
        <v>274</v>
      </c>
      <c r="H229">
        <v>0</v>
      </c>
      <c r="I229" t="s">
        <v>274</v>
      </c>
      <c r="K229" t="s">
        <v>1696</v>
      </c>
      <c r="P229" t="s">
        <v>492</v>
      </c>
      <c r="Q229" t="s">
        <v>501</v>
      </c>
      <c r="S229" t="s">
        <v>503</v>
      </c>
      <c r="T229" t="s">
        <v>507</v>
      </c>
      <c r="U229" t="s">
        <v>511</v>
      </c>
      <c r="V229">
        <v>10033</v>
      </c>
      <c r="W229" t="s">
        <v>519</v>
      </c>
      <c r="X229" t="s">
        <v>548</v>
      </c>
      <c r="Y229" t="s">
        <v>275</v>
      </c>
      <c r="Z229" t="s">
        <v>5814</v>
      </c>
      <c r="AA229" t="s">
        <v>6199</v>
      </c>
      <c r="AB229" t="s">
        <v>902</v>
      </c>
      <c r="AC229" t="s">
        <v>905</v>
      </c>
      <c r="AF229" t="s">
        <v>923</v>
      </c>
      <c r="AI229">
        <v>38.45</v>
      </c>
      <c r="AJ229" t="s">
        <v>931</v>
      </c>
      <c r="AK229" t="s">
        <v>950</v>
      </c>
      <c r="AL229" t="s">
        <v>274</v>
      </c>
      <c r="AT229">
        <v>0</v>
      </c>
      <c r="AU229">
        <v>1</v>
      </c>
      <c r="AV229" t="s">
        <v>273</v>
      </c>
      <c r="AY229" t="s">
        <v>273</v>
      </c>
      <c r="BB229">
        <v>0</v>
      </c>
      <c r="BC229">
        <v>0</v>
      </c>
      <c r="BD229">
        <v>0</v>
      </c>
      <c r="BE229">
        <v>0</v>
      </c>
      <c r="BF229" t="s">
        <v>1063</v>
      </c>
      <c r="BG229" t="s">
        <v>6643</v>
      </c>
      <c r="BH229">
        <v>35</v>
      </c>
      <c r="BI229" t="s">
        <v>1247</v>
      </c>
      <c r="BK229">
        <v>1896547</v>
      </c>
    </row>
    <row r="230" spans="1:63">
      <c r="A230" s="1">
        <f>HYPERLINK("https://lsnyc.legalserver.org/matter/dynamic-profile/view/1895911","19-1895911")</f>
        <v>0</v>
      </c>
      <c r="B230" t="s">
        <v>5271</v>
      </c>
      <c r="C230" t="s">
        <v>5625</v>
      </c>
      <c r="D230" t="s">
        <v>257</v>
      </c>
      <c r="E230" t="s">
        <v>3694</v>
      </c>
      <c r="F230" t="s">
        <v>274</v>
      </c>
      <c r="G230" t="s">
        <v>274</v>
      </c>
      <c r="H230">
        <v>0</v>
      </c>
      <c r="I230" t="s">
        <v>274</v>
      </c>
      <c r="K230" t="s">
        <v>1696</v>
      </c>
      <c r="Q230" t="s">
        <v>501</v>
      </c>
      <c r="S230" t="s">
        <v>503</v>
      </c>
      <c r="T230" t="s">
        <v>507</v>
      </c>
      <c r="U230" t="s">
        <v>511</v>
      </c>
      <c r="V230">
        <v>10460</v>
      </c>
      <c r="W230" t="s">
        <v>538</v>
      </c>
      <c r="Z230" t="s">
        <v>5815</v>
      </c>
      <c r="AA230" t="s">
        <v>6200</v>
      </c>
      <c r="AB230" t="s">
        <v>902</v>
      </c>
      <c r="AC230" t="s">
        <v>908</v>
      </c>
      <c r="AF230" t="s">
        <v>923</v>
      </c>
      <c r="AI230">
        <v>0</v>
      </c>
      <c r="AJ230" t="s">
        <v>558</v>
      </c>
      <c r="AK230" t="s">
        <v>950</v>
      </c>
      <c r="AL230" t="s">
        <v>274</v>
      </c>
      <c r="AT230">
        <v>1</v>
      </c>
      <c r="AU230">
        <v>3</v>
      </c>
      <c r="AV230" t="s">
        <v>273</v>
      </c>
      <c r="AY230" t="s">
        <v>273</v>
      </c>
      <c r="BB230">
        <v>0</v>
      </c>
      <c r="BC230">
        <v>0</v>
      </c>
      <c r="BD230">
        <v>0</v>
      </c>
      <c r="BE230">
        <v>0</v>
      </c>
      <c r="BF230" t="s">
        <v>1063</v>
      </c>
      <c r="BG230" t="s">
        <v>6644</v>
      </c>
      <c r="BH230">
        <v>19</v>
      </c>
      <c r="BI230" t="s">
        <v>1247</v>
      </c>
      <c r="BK230">
        <v>1896553</v>
      </c>
    </row>
    <row r="231" spans="1:63">
      <c r="A231" s="1">
        <f>HYPERLINK("https://lsnyc.legalserver.org/matter/dynamic-profile/view/1895914","19-1895914")</f>
        <v>0</v>
      </c>
      <c r="B231" t="s">
        <v>5272</v>
      </c>
      <c r="C231" t="s">
        <v>5625</v>
      </c>
      <c r="D231" t="s">
        <v>257</v>
      </c>
      <c r="E231" t="s">
        <v>3694</v>
      </c>
      <c r="F231" t="s">
        <v>274</v>
      </c>
      <c r="G231" t="s">
        <v>274</v>
      </c>
      <c r="H231">
        <v>0</v>
      </c>
      <c r="I231" t="s">
        <v>274</v>
      </c>
      <c r="K231" t="s">
        <v>1696</v>
      </c>
      <c r="Q231" t="s">
        <v>501</v>
      </c>
      <c r="S231" t="s">
        <v>503</v>
      </c>
      <c r="T231" t="s">
        <v>508</v>
      </c>
      <c r="U231" t="s">
        <v>511</v>
      </c>
      <c r="V231">
        <v>10460</v>
      </c>
      <c r="W231" t="s">
        <v>538</v>
      </c>
      <c r="Z231" t="s">
        <v>5816</v>
      </c>
      <c r="AA231" t="s">
        <v>6200</v>
      </c>
      <c r="AB231" t="s">
        <v>902</v>
      </c>
      <c r="AC231" t="s">
        <v>908</v>
      </c>
      <c r="AF231" t="s">
        <v>923</v>
      </c>
      <c r="AI231">
        <v>0</v>
      </c>
      <c r="AJ231" t="s">
        <v>558</v>
      </c>
      <c r="AK231" t="s">
        <v>950</v>
      </c>
      <c r="AL231" t="s">
        <v>274</v>
      </c>
      <c r="AT231">
        <v>1</v>
      </c>
      <c r="AU231">
        <v>3</v>
      </c>
      <c r="AV231" t="s">
        <v>273</v>
      </c>
      <c r="AY231" t="s">
        <v>273</v>
      </c>
      <c r="BB231">
        <v>0</v>
      </c>
      <c r="BC231">
        <v>0</v>
      </c>
      <c r="BD231">
        <v>0</v>
      </c>
      <c r="BE231">
        <v>0</v>
      </c>
      <c r="BF231" t="s">
        <v>1063</v>
      </c>
      <c r="BG231" t="s">
        <v>6645</v>
      </c>
      <c r="BH231">
        <v>16</v>
      </c>
      <c r="BI231" t="s">
        <v>1247</v>
      </c>
      <c r="BK231">
        <v>1896556</v>
      </c>
    </row>
    <row r="232" spans="1:63">
      <c r="A232" s="1">
        <f>HYPERLINK("https://lsnyc.legalserver.org/matter/dynamic-profile/view/1895919","19-1895919")</f>
        <v>0</v>
      </c>
      <c r="B232" t="s">
        <v>5273</v>
      </c>
      <c r="C232" t="s">
        <v>5625</v>
      </c>
      <c r="D232" t="s">
        <v>257</v>
      </c>
      <c r="E232" t="s">
        <v>3694</v>
      </c>
      <c r="F232" t="s">
        <v>274</v>
      </c>
      <c r="G232" t="s">
        <v>274</v>
      </c>
      <c r="H232">
        <v>0</v>
      </c>
      <c r="I232" t="s">
        <v>274</v>
      </c>
      <c r="K232" t="s">
        <v>1696</v>
      </c>
      <c r="Q232" t="s">
        <v>501</v>
      </c>
      <c r="S232" t="s">
        <v>503</v>
      </c>
      <c r="T232" t="s">
        <v>507</v>
      </c>
      <c r="U232" t="s">
        <v>511</v>
      </c>
      <c r="V232">
        <v>10460</v>
      </c>
      <c r="W232" t="s">
        <v>538</v>
      </c>
      <c r="Z232" t="s">
        <v>5817</v>
      </c>
      <c r="AA232" t="s">
        <v>6200</v>
      </c>
      <c r="AB232" t="s">
        <v>902</v>
      </c>
      <c r="AC232" t="s">
        <v>908</v>
      </c>
      <c r="AF232" t="s">
        <v>923</v>
      </c>
      <c r="AI232">
        <v>0</v>
      </c>
      <c r="AJ232" t="s">
        <v>558</v>
      </c>
      <c r="AK232" t="s">
        <v>950</v>
      </c>
      <c r="AL232" t="s">
        <v>274</v>
      </c>
      <c r="AT232">
        <v>1</v>
      </c>
      <c r="AU232">
        <v>3</v>
      </c>
      <c r="AV232" t="s">
        <v>273</v>
      </c>
      <c r="AY232" t="s">
        <v>273</v>
      </c>
      <c r="BB232">
        <v>0</v>
      </c>
      <c r="BC232">
        <v>0</v>
      </c>
      <c r="BD232">
        <v>0</v>
      </c>
      <c r="BE232">
        <v>0</v>
      </c>
      <c r="BF232" t="s">
        <v>1063</v>
      </c>
      <c r="BG232" t="s">
        <v>6646</v>
      </c>
      <c r="BH232">
        <v>21</v>
      </c>
      <c r="BI232" t="s">
        <v>1247</v>
      </c>
      <c r="BK232">
        <v>1896561</v>
      </c>
    </row>
    <row r="233" spans="1:63">
      <c r="A233" s="1">
        <f>HYPERLINK("https://lsnyc.legalserver.org/matter/dynamic-profile/view/1895807","19-1895807")</f>
        <v>0</v>
      </c>
      <c r="B233" t="s">
        <v>5274</v>
      </c>
      <c r="C233" t="s">
        <v>5625</v>
      </c>
      <c r="D233" t="s">
        <v>257</v>
      </c>
      <c r="E233" t="s">
        <v>5630</v>
      </c>
      <c r="F233" t="s">
        <v>274</v>
      </c>
      <c r="G233" t="s">
        <v>274</v>
      </c>
      <c r="H233">
        <v>40.03</v>
      </c>
      <c r="I233" t="s">
        <v>274</v>
      </c>
      <c r="K233" t="s">
        <v>1007</v>
      </c>
      <c r="O233" t="s">
        <v>274</v>
      </c>
      <c r="Q233" t="s">
        <v>501</v>
      </c>
      <c r="S233" t="s">
        <v>503</v>
      </c>
      <c r="T233" t="s">
        <v>508</v>
      </c>
      <c r="U233" t="s">
        <v>511</v>
      </c>
      <c r="V233">
        <v>10462</v>
      </c>
      <c r="W233" t="s">
        <v>517</v>
      </c>
      <c r="X233" t="s">
        <v>548</v>
      </c>
      <c r="Z233" t="s">
        <v>5818</v>
      </c>
      <c r="AA233" t="s">
        <v>6201</v>
      </c>
      <c r="AB233" t="s">
        <v>902</v>
      </c>
      <c r="AC233" t="s">
        <v>904</v>
      </c>
      <c r="AF233" t="s">
        <v>923</v>
      </c>
      <c r="AI233">
        <v>2.3</v>
      </c>
      <c r="AJ233" t="s">
        <v>558</v>
      </c>
      <c r="AK233" t="s">
        <v>950</v>
      </c>
      <c r="AL233" t="s">
        <v>274</v>
      </c>
      <c r="AT233">
        <v>0</v>
      </c>
      <c r="AU233">
        <v>1</v>
      </c>
      <c r="AV233" t="s">
        <v>273</v>
      </c>
      <c r="AY233" t="s">
        <v>273</v>
      </c>
      <c r="BB233">
        <v>0</v>
      </c>
      <c r="BC233">
        <v>0</v>
      </c>
      <c r="BD233">
        <v>0</v>
      </c>
      <c r="BE233">
        <v>0</v>
      </c>
      <c r="BF233" t="s">
        <v>1063</v>
      </c>
      <c r="BG233" t="s">
        <v>6647</v>
      </c>
      <c r="BH233">
        <v>26</v>
      </c>
      <c r="BI233" t="s">
        <v>6976</v>
      </c>
      <c r="BK233">
        <v>1896449</v>
      </c>
    </row>
    <row r="234" spans="1:63">
      <c r="A234" s="1">
        <f>HYPERLINK("https://lsnyc.legalserver.org/matter/dynamic-profile/view/1895814","19-1895814")</f>
        <v>0</v>
      </c>
      <c r="B234" t="s">
        <v>5275</v>
      </c>
      <c r="C234" t="s">
        <v>5625</v>
      </c>
      <c r="D234" t="s">
        <v>255</v>
      </c>
      <c r="E234" t="s">
        <v>5630</v>
      </c>
      <c r="F234" t="s">
        <v>274</v>
      </c>
      <c r="G234" t="s">
        <v>274</v>
      </c>
      <c r="H234">
        <v>0</v>
      </c>
      <c r="I234" t="s">
        <v>274</v>
      </c>
      <c r="K234" t="s">
        <v>1007</v>
      </c>
      <c r="O234" t="s">
        <v>275</v>
      </c>
      <c r="Q234" t="s">
        <v>501</v>
      </c>
      <c r="S234" t="s">
        <v>503</v>
      </c>
      <c r="T234" t="s">
        <v>508</v>
      </c>
      <c r="U234" t="s">
        <v>511</v>
      </c>
      <c r="V234">
        <v>10025</v>
      </c>
      <c r="W234" t="s">
        <v>521</v>
      </c>
      <c r="X234" t="s">
        <v>553</v>
      </c>
      <c r="Z234" t="s">
        <v>5819</v>
      </c>
      <c r="AA234" t="s">
        <v>6202</v>
      </c>
      <c r="AB234" t="s">
        <v>902</v>
      </c>
      <c r="AC234" t="s">
        <v>905</v>
      </c>
      <c r="AF234" t="s">
        <v>923</v>
      </c>
      <c r="AI234">
        <v>8.300000000000001</v>
      </c>
      <c r="AJ234" t="s">
        <v>558</v>
      </c>
      <c r="AK234" t="s">
        <v>948</v>
      </c>
      <c r="AL234" t="s">
        <v>274</v>
      </c>
      <c r="AM234" t="s">
        <v>973</v>
      </c>
      <c r="AN234" t="s">
        <v>464</v>
      </c>
      <c r="AT234">
        <v>0</v>
      </c>
      <c r="AU234">
        <v>2</v>
      </c>
      <c r="AV234" t="s">
        <v>273</v>
      </c>
      <c r="AY234" t="s">
        <v>273</v>
      </c>
      <c r="BB234">
        <v>0</v>
      </c>
      <c r="BC234">
        <v>0</v>
      </c>
      <c r="BD234">
        <v>0</v>
      </c>
      <c r="BE234">
        <v>0</v>
      </c>
      <c r="BF234" t="s">
        <v>1063</v>
      </c>
      <c r="BG234" t="s">
        <v>6648</v>
      </c>
      <c r="BH234">
        <v>30</v>
      </c>
      <c r="BI234" t="s">
        <v>1247</v>
      </c>
      <c r="BK234">
        <v>1896456</v>
      </c>
    </row>
    <row r="235" spans="1:63">
      <c r="A235" s="1">
        <f>HYPERLINK("https://lsnyc.legalserver.org/matter/dynamic-profile/view/1895815","19-1895815")</f>
        <v>0</v>
      </c>
      <c r="B235" t="s">
        <v>5276</v>
      </c>
      <c r="C235" t="s">
        <v>5625</v>
      </c>
      <c r="D235" t="s">
        <v>255</v>
      </c>
      <c r="E235" t="s">
        <v>5630</v>
      </c>
      <c r="F235" t="s">
        <v>274</v>
      </c>
      <c r="G235" t="s">
        <v>274</v>
      </c>
      <c r="H235">
        <v>0</v>
      </c>
      <c r="I235" t="s">
        <v>274</v>
      </c>
      <c r="K235" t="s">
        <v>1007</v>
      </c>
      <c r="M235" t="s">
        <v>474</v>
      </c>
      <c r="N235" t="s">
        <v>462</v>
      </c>
      <c r="O235" t="s">
        <v>275</v>
      </c>
      <c r="Q235" t="s">
        <v>501</v>
      </c>
      <c r="S235" t="s">
        <v>503</v>
      </c>
      <c r="T235" t="s">
        <v>508</v>
      </c>
      <c r="U235" t="s">
        <v>511</v>
      </c>
      <c r="V235">
        <v>10025</v>
      </c>
      <c r="W235" t="s">
        <v>521</v>
      </c>
      <c r="X235" t="s">
        <v>549</v>
      </c>
      <c r="Z235" t="s">
        <v>5820</v>
      </c>
      <c r="AA235" t="s">
        <v>6203</v>
      </c>
      <c r="AB235" t="s">
        <v>902</v>
      </c>
      <c r="AC235" t="s">
        <v>905</v>
      </c>
      <c r="AF235" t="s">
        <v>923</v>
      </c>
      <c r="AI235">
        <v>9.199999999999999</v>
      </c>
      <c r="AJ235" t="s">
        <v>558</v>
      </c>
      <c r="AK235" t="s">
        <v>948</v>
      </c>
      <c r="AL235" t="s">
        <v>274</v>
      </c>
      <c r="AM235" t="s">
        <v>973</v>
      </c>
      <c r="AN235" t="s">
        <v>464</v>
      </c>
      <c r="AT235">
        <v>0</v>
      </c>
      <c r="AU235">
        <v>2</v>
      </c>
      <c r="AV235" t="s">
        <v>273</v>
      </c>
      <c r="AY235" t="s">
        <v>273</v>
      </c>
      <c r="BB235">
        <v>0</v>
      </c>
      <c r="BC235">
        <v>0</v>
      </c>
      <c r="BD235">
        <v>0</v>
      </c>
      <c r="BE235">
        <v>0</v>
      </c>
      <c r="BF235" t="s">
        <v>1063</v>
      </c>
      <c r="BG235" t="s">
        <v>4091</v>
      </c>
      <c r="BH235">
        <v>31</v>
      </c>
      <c r="BI235" t="s">
        <v>1247</v>
      </c>
      <c r="BK235">
        <v>1896457</v>
      </c>
    </row>
    <row r="236" spans="1:63">
      <c r="A236" s="1">
        <f>HYPERLINK("https://lsnyc.legalserver.org/matter/dynamic-profile/view/1895587","19-1895587")</f>
        <v>0</v>
      </c>
      <c r="B236" t="s">
        <v>5166</v>
      </c>
      <c r="C236" t="s">
        <v>5625</v>
      </c>
      <c r="D236" t="s">
        <v>252</v>
      </c>
      <c r="E236" t="s">
        <v>3694</v>
      </c>
      <c r="F236" t="s">
        <v>274</v>
      </c>
      <c r="G236" t="s">
        <v>274</v>
      </c>
      <c r="H236">
        <v>85.33</v>
      </c>
      <c r="I236" t="s">
        <v>274</v>
      </c>
      <c r="K236" t="s">
        <v>324</v>
      </c>
      <c r="O236" t="s">
        <v>275</v>
      </c>
      <c r="Q236" t="s">
        <v>502</v>
      </c>
      <c r="S236" t="s">
        <v>503</v>
      </c>
      <c r="T236" t="s">
        <v>507</v>
      </c>
      <c r="U236" t="s">
        <v>511</v>
      </c>
      <c r="V236">
        <v>11204</v>
      </c>
      <c r="W236" t="s">
        <v>518</v>
      </c>
      <c r="X236" t="s">
        <v>548</v>
      </c>
      <c r="Z236" t="s">
        <v>5747</v>
      </c>
      <c r="AA236" t="s">
        <v>6127</v>
      </c>
      <c r="AB236" t="s">
        <v>902</v>
      </c>
      <c r="AC236" t="s">
        <v>905</v>
      </c>
      <c r="AF236" t="s">
        <v>926</v>
      </c>
      <c r="AI236">
        <v>9.4</v>
      </c>
      <c r="AJ236" t="s">
        <v>558</v>
      </c>
      <c r="AK236" t="s">
        <v>941</v>
      </c>
      <c r="AL236" t="s">
        <v>274</v>
      </c>
      <c r="AT236">
        <v>2</v>
      </c>
      <c r="AU236">
        <v>1</v>
      </c>
      <c r="AV236" t="s">
        <v>273</v>
      </c>
      <c r="AY236" t="s">
        <v>273</v>
      </c>
      <c r="BB236">
        <v>0</v>
      </c>
      <c r="BC236">
        <v>0</v>
      </c>
      <c r="BD236">
        <v>0</v>
      </c>
      <c r="BE236">
        <v>0</v>
      </c>
      <c r="BF236" t="s">
        <v>1063</v>
      </c>
      <c r="BG236" t="s">
        <v>6548</v>
      </c>
      <c r="BH236">
        <v>16</v>
      </c>
      <c r="BI236" t="s">
        <v>1260</v>
      </c>
      <c r="BK236">
        <v>1896229</v>
      </c>
    </row>
    <row r="237" spans="1:63">
      <c r="A237" s="1">
        <f>HYPERLINK("https://lsnyc.legalserver.org/matter/dynamic-profile/view/1895655","19-1895655")</f>
        <v>0</v>
      </c>
      <c r="B237" t="s">
        <v>5180</v>
      </c>
      <c r="C237" t="s">
        <v>5625</v>
      </c>
      <c r="D237" t="s">
        <v>252</v>
      </c>
      <c r="E237" t="s">
        <v>3694</v>
      </c>
      <c r="F237" t="s">
        <v>274</v>
      </c>
      <c r="G237" t="s">
        <v>274</v>
      </c>
      <c r="H237">
        <v>85.33</v>
      </c>
      <c r="I237" t="s">
        <v>274</v>
      </c>
      <c r="K237" t="s">
        <v>324</v>
      </c>
      <c r="O237" t="s">
        <v>275</v>
      </c>
      <c r="Q237" t="s">
        <v>502</v>
      </c>
      <c r="S237" t="s">
        <v>503</v>
      </c>
      <c r="T237" t="s">
        <v>507</v>
      </c>
      <c r="U237" t="s">
        <v>511</v>
      </c>
      <c r="V237">
        <v>11204</v>
      </c>
      <c r="W237" t="s">
        <v>518</v>
      </c>
      <c r="X237" t="s">
        <v>548</v>
      </c>
      <c r="Z237" t="s">
        <v>564</v>
      </c>
      <c r="AA237" t="s">
        <v>6127</v>
      </c>
      <c r="AB237" t="s">
        <v>902</v>
      </c>
      <c r="AC237" t="s">
        <v>905</v>
      </c>
      <c r="AF237" t="s">
        <v>926</v>
      </c>
      <c r="AI237">
        <v>8.949999999999999</v>
      </c>
      <c r="AJ237" t="s">
        <v>558</v>
      </c>
      <c r="AK237" t="s">
        <v>941</v>
      </c>
      <c r="AL237" t="s">
        <v>274</v>
      </c>
      <c r="AT237">
        <v>2</v>
      </c>
      <c r="AU237">
        <v>1</v>
      </c>
      <c r="AV237" t="s">
        <v>273</v>
      </c>
      <c r="AY237" t="s">
        <v>273</v>
      </c>
      <c r="BB237">
        <v>0</v>
      </c>
      <c r="BC237">
        <v>0</v>
      </c>
      <c r="BD237">
        <v>0</v>
      </c>
      <c r="BE237">
        <v>0</v>
      </c>
      <c r="BF237" t="s">
        <v>1063</v>
      </c>
      <c r="BG237" t="s">
        <v>6562</v>
      </c>
      <c r="BH237">
        <v>14</v>
      </c>
      <c r="BI237" t="s">
        <v>1260</v>
      </c>
      <c r="BK237">
        <v>1896229</v>
      </c>
    </row>
    <row r="238" spans="1:63">
      <c r="A238" s="1">
        <f>HYPERLINK("https://lsnyc.legalserver.org/matter/dynamic-profile/view/1895706","19-1895706")</f>
        <v>0</v>
      </c>
      <c r="B238" t="s">
        <v>5167</v>
      </c>
      <c r="C238" t="s">
        <v>5625</v>
      </c>
      <c r="D238" t="s">
        <v>255</v>
      </c>
      <c r="E238" t="s">
        <v>3694</v>
      </c>
      <c r="F238" t="s">
        <v>274</v>
      </c>
      <c r="G238" t="s">
        <v>274</v>
      </c>
      <c r="H238">
        <v>48.04</v>
      </c>
      <c r="I238" t="s">
        <v>274</v>
      </c>
      <c r="K238" t="s">
        <v>324</v>
      </c>
      <c r="Q238" t="s">
        <v>502</v>
      </c>
      <c r="S238" t="s">
        <v>503</v>
      </c>
      <c r="T238" t="s">
        <v>508</v>
      </c>
      <c r="U238" t="s">
        <v>511</v>
      </c>
      <c r="V238">
        <v>10457</v>
      </c>
      <c r="W238" t="s">
        <v>519</v>
      </c>
      <c r="X238" t="s">
        <v>548</v>
      </c>
      <c r="Z238" t="s">
        <v>5748</v>
      </c>
      <c r="AA238" t="s">
        <v>6128</v>
      </c>
      <c r="AB238" t="s">
        <v>902</v>
      </c>
      <c r="AC238" t="s">
        <v>905</v>
      </c>
      <c r="AF238" t="s">
        <v>926</v>
      </c>
      <c r="AI238">
        <v>10</v>
      </c>
      <c r="AK238" t="s">
        <v>934</v>
      </c>
      <c r="AL238" t="s">
        <v>274</v>
      </c>
      <c r="AT238">
        <v>0</v>
      </c>
      <c r="AU238">
        <v>1</v>
      </c>
      <c r="AV238" t="s">
        <v>273</v>
      </c>
      <c r="AY238" t="s">
        <v>273</v>
      </c>
      <c r="BB238">
        <v>0</v>
      </c>
      <c r="BC238">
        <v>0</v>
      </c>
      <c r="BD238">
        <v>0</v>
      </c>
      <c r="BE238">
        <v>0</v>
      </c>
      <c r="BF238" t="s">
        <v>1063</v>
      </c>
      <c r="BG238" t="s">
        <v>6549</v>
      </c>
      <c r="BH238">
        <v>19</v>
      </c>
      <c r="BI238" t="s">
        <v>1266</v>
      </c>
      <c r="BK238">
        <v>1896348</v>
      </c>
    </row>
    <row r="239" spans="1:63">
      <c r="A239" s="1">
        <f>HYPERLINK("https://lsnyc.legalserver.org/matter/dynamic-profile/view/1895454","19-1895454")</f>
        <v>0</v>
      </c>
      <c r="B239" t="s">
        <v>5277</v>
      </c>
      <c r="C239" t="s">
        <v>5625</v>
      </c>
      <c r="D239" t="s">
        <v>252</v>
      </c>
      <c r="E239" t="s">
        <v>3694</v>
      </c>
      <c r="F239" t="s">
        <v>274</v>
      </c>
      <c r="G239" t="s">
        <v>274</v>
      </c>
      <c r="H239">
        <v>0</v>
      </c>
      <c r="I239" t="s">
        <v>274</v>
      </c>
      <c r="K239" t="s">
        <v>988</v>
      </c>
      <c r="O239" t="s">
        <v>275</v>
      </c>
      <c r="P239" t="s">
        <v>498</v>
      </c>
      <c r="Q239" t="s">
        <v>501</v>
      </c>
      <c r="S239" t="s">
        <v>503</v>
      </c>
      <c r="T239" t="s">
        <v>507</v>
      </c>
      <c r="U239" t="s">
        <v>511</v>
      </c>
      <c r="V239">
        <v>11208</v>
      </c>
      <c r="W239" t="s">
        <v>521</v>
      </c>
      <c r="X239" t="s">
        <v>549</v>
      </c>
      <c r="Z239" t="s">
        <v>5821</v>
      </c>
      <c r="AA239" t="s">
        <v>6204</v>
      </c>
      <c r="AB239" t="s">
        <v>902</v>
      </c>
      <c r="AC239" t="s">
        <v>905</v>
      </c>
      <c r="AF239" t="s">
        <v>923</v>
      </c>
      <c r="AI239">
        <v>2.35</v>
      </c>
      <c r="AJ239" t="s">
        <v>558</v>
      </c>
      <c r="AK239" t="s">
        <v>961</v>
      </c>
      <c r="AL239" t="s">
        <v>274</v>
      </c>
      <c r="AT239">
        <v>0</v>
      </c>
      <c r="AU239">
        <v>2</v>
      </c>
      <c r="AV239" t="s">
        <v>273</v>
      </c>
      <c r="AY239" t="s">
        <v>273</v>
      </c>
      <c r="BB239">
        <v>0</v>
      </c>
      <c r="BC239">
        <v>0</v>
      </c>
      <c r="BD239">
        <v>0</v>
      </c>
      <c r="BE239">
        <v>0</v>
      </c>
      <c r="BF239" t="s">
        <v>1063</v>
      </c>
      <c r="BG239" t="s">
        <v>6649</v>
      </c>
      <c r="BH239">
        <v>33</v>
      </c>
      <c r="BI239" t="s">
        <v>1247</v>
      </c>
      <c r="BK239">
        <v>1896096</v>
      </c>
    </row>
    <row r="240" spans="1:63">
      <c r="A240" s="1">
        <f>HYPERLINK("https://lsnyc.legalserver.org/matter/dynamic-profile/view/1895207","19-1895207")</f>
        <v>0</v>
      </c>
      <c r="B240" t="s">
        <v>5278</v>
      </c>
      <c r="C240" t="s">
        <v>5625</v>
      </c>
      <c r="D240" t="s">
        <v>255</v>
      </c>
      <c r="E240" t="s">
        <v>5630</v>
      </c>
      <c r="F240" t="s">
        <v>274</v>
      </c>
      <c r="G240" t="s">
        <v>274</v>
      </c>
      <c r="H240">
        <v>0</v>
      </c>
      <c r="I240" t="s">
        <v>274</v>
      </c>
      <c r="K240" t="s">
        <v>989</v>
      </c>
      <c r="Q240" t="s">
        <v>501</v>
      </c>
      <c r="S240" t="s">
        <v>503</v>
      </c>
      <c r="T240" t="s">
        <v>508</v>
      </c>
      <c r="U240" t="s">
        <v>511</v>
      </c>
      <c r="V240">
        <v>10035</v>
      </c>
      <c r="W240" t="s">
        <v>532</v>
      </c>
      <c r="X240" t="s">
        <v>557</v>
      </c>
      <c r="Z240" t="s">
        <v>5822</v>
      </c>
      <c r="AA240" t="s">
        <v>6205</v>
      </c>
      <c r="AB240" t="s">
        <v>902</v>
      </c>
      <c r="AC240" t="s">
        <v>905</v>
      </c>
      <c r="AF240" t="s">
        <v>923</v>
      </c>
      <c r="AI240">
        <v>7.5</v>
      </c>
      <c r="AJ240" t="s">
        <v>558</v>
      </c>
      <c r="AK240" t="s">
        <v>6457</v>
      </c>
      <c r="AL240" t="s">
        <v>274</v>
      </c>
      <c r="AT240">
        <v>0</v>
      </c>
      <c r="AU240">
        <v>1</v>
      </c>
      <c r="AV240" t="s">
        <v>273</v>
      </c>
      <c r="AY240" t="s">
        <v>273</v>
      </c>
      <c r="BB240">
        <v>0</v>
      </c>
      <c r="BC240">
        <v>0</v>
      </c>
      <c r="BD240">
        <v>0</v>
      </c>
      <c r="BE240">
        <v>0</v>
      </c>
      <c r="BF240" t="s">
        <v>1063</v>
      </c>
      <c r="BG240" t="s">
        <v>6650</v>
      </c>
      <c r="BH240">
        <v>56</v>
      </c>
      <c r="BI240" t="s">
        <v>1247</v>
      </c>
      <c r="BK240">
        <v>828478</v>
      </c>
    </row>
    <row r="241" spans="1:63">
      <c r="A241" s="1">
        <f>HYPERLINK("https://lsnyc.legalserver.org/matter/dynamic-profile/view/1895302","19-1895302")</f>
        <v>0</v>
      </c>
      <c r="B241" t="s">
        <v>5279</v>
      </c>
      <c r="C241" t="s">
        <v>5625</v>
      </c>
      <c r="D241" t="s">
        <v>253</v>
      </c>
      <c r="E241" t="s">
        <v>3694</v>
      </c>
      <c r="F241" t="s">
        <v>274</v>
      </c>
      <c r="G241" t="s">
        <v>274</v>
      </c>
      <c r="H241">
        <v>149.14</v>
      </c>
      <c r="I241" t="s">
        <v>274</v>
      </c>
      <c r="K241" t="s">
        <v>989</v>
      </c>
      <c r="O241" t="s">
        <v>275</v>
      </c>
      <c r="Q241" t="s">
        <v>502</v>
      </c>
      <c r="S241" t="s">
        <v>503</v>
      </c>
      <c r="T241" t="s">
        <v>507</v>
      </c>
      <c r="U241" t="s">
        <v>511</v>
      </c>
      <c r="V241">
        <v>11418</v>
      </c>
      <c r="W241" t="s">
        <v>519</v>
      </c>
      <c r="X241" t="s">
        <v>548</v>
      </c>
      <c r="Z241" t="s">
        <v>5823</v>
      </c>
      <c r="AA241" t="s">
        <v>6206</v>
      </c>
      <c r="AB241" t="s">
        <v>902</v>
      </c>
      <c r="AC241" t="s">
        <v>905</v>
      </c>
      <c r="AF241" t="s">
        <v>923</v>
      </c>
      <c r="AI241">
        <v>1.41</v>
      </c>
      <c r="AJ241" t="s">
        <v>558</v>
      </c>
      <c r="AK241" t="s">
        <v>936</v>
      </c>
      <c r="AL241" t="s">
        <v>274</v>
      </c>
      <c r="AT241">
        <v>1</v>
      </c>
      <c r="AU241">
        <v>1</v>
      </c>
      <c r="AV241" t="s">
        <v>273</v>
      </c>
      <c r="AY241" t="s">
        <v>273</v>
      </c>
      <c r="BB241">
        <v>0</v>
      </c>
      <c r="BC241">
        <v>0</v>
      </c>
      <c r="BD241">
        <v>0</v>
      </c>
      <c r="BE241">
        <v>0</v>
      </c>
      <c r="BF241" t="s">
        <v>1063</v>
      </c>
      <c r="BG241" t="s">
        <v>6651</v>
      </c>
      <c r="BH241">
        <v>6</v>
      </c>
      <c r="BI241" t="s">
        <v>7035</v>
      </c>
      <c r="BK241">
        <v>1895944</v>
      </c>
    </row>
    <row r="242" spans="1:63">
      <c r="A242" s="1">
        <f>HYPERLINK("https://lsnyc.legalserver.org/matter/dynamic-profile/view/1895310","19-1895310")</f>
        <v>0</v>
      </c>
      <c r="B242" t="s">
        <v>5280</v>
      </c>
      <c r="C242" t="s">
        <v>5625</v>
      </c>
      <c r="D242" t="s">
        <v>253</v>
      </c>
      <c r="E242" t="s">
        <v>3694</v>
      </c>
      <c r="F242" t="s">
        <v>274</v>
      </c>
      <c r="G242" t="s">
        <v>274</v>
      </c>
      <c r="H242">
        <v>149.02</v>
      </c>
      <c r="I242" t="s">
        <v>274</v>
      </c>
      <c r="K242" t="s">
        <v>989</v>
      </c>
      <c r="O242" t="s">
        <v>274</v>
      </c>
      <c r="Q242" t="s">
        <v>501</v>
      </c>
      <c r="S242" t="s">
        <v>503</v>
      </c>
      <c r="T242" t="s">
        <v>508</v>
      </c>
      <c r="U242" t="s">
        <v>511</v>
      </c>
      <c r="V242">
        <v>11418</v>
      </c>
      <c r="W242" t="s">
        <v>518</v>
      </c>
      <c r="X242" t="s">
        <v>548</v>
      </c>
      <c r="Z242" t="s">
        <v>3088</v>
      </c>
      <c r="AA242" t="s">
        <v>815</v>
      </c>
      <c r="AB242" t="s">
        <v>902</v>
      </c>
      <c r="AC242" t="s">
        <v>905</v>
      </c>
      <c r="AF242" t="s">
        <v>923</v>
      </c>
      <c r="AI242">
        <v>22.45</v>
      </c>
      <c r="AJ242" t="s">
        <v>558</v>
      </c>
      <c r="AK242" t="s">
        <v>936</v>
      </c>
      <c r="AL242" t="s">
        <v>274</v>
      </c>
      <c r="AT242">
        <v>1</v>
      </c>
      <c r="AU242">
        <v>1</v>
      </c>
      <c r="AV242" t="s">
        <v>273</v>
      </c>
      <c r="AY242" t="s">
        <v>273</v>
      </c>
      <c r="BB242">
        <v>0</v>
      </c>
      <c r="BC242">
        <v>0</v>
      </c>
      <c r="BD242">
        <v>0</v>
      </c>
      <c r="BE242">
        <v>0</v>
      </c>
      <c r="BF242" t="s">
        <v>1063</v>
      </c>
      <c r="BG242" t="s">
        <v>6652</v>
      </c>
      <c r="BH242">
        <v>35</v>
      </c>
      <c r="BI242" t="s">
        <v>6990</v>
      </c>
      <c r="BK242">
        <v>1895952</v>
      </c>
    </row>
    <row r="243" spans="1:63">
      <c r="A243" s="1">
        <f>HYPERLINK("https://lsnyc.legalserver.org/matter/dynamic-profile/view/1895360","19-1895360")</f>
        <v>0</v>
      </c>
      <c r="B243" t="s">
        <v>5281</v>
      </c>
      <c r="C243" t="s">
        <v>5625</v>
      </c>
      <c r="D243" t="s">
        <v>257</v>
      </c>
      <c r="E243" t="s">
        <v>5631</v>
      </c>
      <c r="F243" t="s">
        <v>274</v>
      </c>
      <c r="G243" t="s">
        <v>274</v>
      </c>
      <c r="H243">
        <v>133.59</v>
      </c>
      <c r="I243" t="s">
        <v>274</v>
      </c>
      <c r="K243" t="s">
        <v>989</v>
      </c>
      <c r="O243" t="s">
        <v>275</v>
      </c>
      <c r="Q243" t="s">
        <v>502</v>
      </c>
      <c r="S243" t="s">
        <v>503</v>
      </c>
      <c r="T243" t="s">
        <v>508</v>
      </c>
      <c r="U243" t="s">
        <v>511</v>
      </c>
      <c r="V243">
        <v>10456</v>
      </c>
      <c r="W243" t="s">
        <v>519</v>
      </c>
      <c r="X243" t="s">
        <v>548</v>
      </c>
      <c r="Z243" t="s">
        <v>5824</v>
      </c>
      <c r="AA243" t="s">
        <v>6207</v>
      </c>
      <c r="AB243" t="s">
        <v>902</v>
      </c>
      <c r="AC243" t="s">
        <v>908</v>
      </c>
      <c r="AF243" t="s">
        <v>926</v>
      </c>
      <c r="AI243">
        <v>0.7</v>
      </c>
      <c r="AJ243" t="s">
        <v>558</v>
      </c>
      <c r="AK243" t="s">
        <v>934</v>
      </c>
      <c r="AL243" t="s">
        <v>274</v>
      </c>
      <c r="AT243">
        <v>1</v>
      </c>
      <c r="AU243">
        <v>3</v>
      </c>
      <c r="AV243" t="s">
        <v>273</v>
      </c>
      <c r="AY243" t="s">
        <v>273</v>
      </c>
      <c r="BB243">
        <v>0</v>
      </c>
      <c r="BC243">
        <v>0</v>
      </c>
      <c r="BD243">
        <v>0</v>
      </c>
      <c r="BE243">
        <v>0</v>
      </c>
      <c r="BF243" t="s">
        <v>1063</v>
      </c>
      <c r="BG243" t="s">
        <v>6653</v>
      </c>
      <c r="BH243">
        <v>0</v>
      </c>
      <c r="BI243" t="s">
        <v>7036</v>
      </c>
      <c r="BK243">
        <v>1896002</v>
      </c>
    </row>
    <row r="244" spans="1:63">
      <c r="A244" s="1">
        <f>HYPERLINK("https://lsnyc.legalserver.org/matter/dynamic-profile/view/1895366","19-1895366")</f>
        <v>0</v>
      </c>
      <c r="B244" t="s">
        <v>5282</v>
      </c>
      <c r="C244" t="s">
        <v>5625</v>
      </c>
      <c r="D244" t="s">
        <v>257</v>
      </c>
      <c r="E244" t="s">
        <v>5631</v>
      </c>
      <c r="F244" t="s">
        <v>274</v>
      </c>
      <c r="G244" t="s">
        <v>274</v>
      </c>
      <c r="H244">
        <v>133.59</v>
      </c>
      <c r="I244" t="s">
        <v>274</v>
      </c>
      <c r="K244" t="s">
        <v>989</v>
      </c>
      <c r="O244" t="s">
        <v>275</v>
      </c>
      <c r="Q244" t="s">
        <v>502</v>
      </c>
      <c r="S244" t="s">
        <v>503</v>
      </c>
      <c r="T244" t="s">
        <v>508</v>
      </c>
      <c r="U244" t="s">
        <v>511</v>
      </c>
      <c r="V244">
        <v>10456</v>
      </c>
      <c r="W244" t="s">
        <v>519</v>
      </c>
      <c r="X244" t="s">
        <v>548</v>
      </c>
      <c r="Z244" t="s">
        <v>5825</v>
      </c>
      <c r="AA244" t="s">
        <v>6208</v>
      </c>
      <c r="AB244" t="s">
        <v>902</v>
      </c>
      <c r="AC244" t="s">
        <v>905</v>
      </c>
      <c r="AF244" t="s">
        <v>926</v>
      </c>
      <c r="AI244">
        <v>13.1</v>
      </c>
      <c r="AJ244" t="s">
        <v>558</v>
      </c>
      <c r="AK244" t="s">
        <v>934</v>
      </c>
      <c r="AL244" t="s">
        <v>274</v>
      </c>
      <c r="AT244">
        <v>1</v>
      </c>
      <c r="AU244">
        <v>3</v>
      </c>
      <c r="AV244" t="s">
        <v>273</v>
      </c>
      <c r="AY244" t="s">
        <v>273</v>
      </c>
      <c r="BB244">
        <v>0</v>
      </c>
      <c r="BC244">
        <v>0</v>
      </c>
      <c r="BD244">
        <v>0</v>
      </c>
      <c r="BE244">
        <v>0</v>
      </c>
      <c r="BF244" t="s">
        <v>1063</v>
      </c>
      <c r="BG244" t="s">
        <v>6654</v>
      </c>
      <c r="BH244">
        <v>21</v>
      </c>
      <c r="BI244" t="s">
        <v>7036</v>
      </c>
      <c r="BK244">
        <v>1896008</v>
      </c>
    </row>
    <row r="245" spans="1:63">
      <c r="A245" s="1">
        <f>HYPERLINK("https://lsnyc.legalserver.org/matter/dynamic-profile/view/1895126","19-1895126")</f>
        <v>0</v>
      </c>
      <c r="B245" t="s">
        <v>5283</v>
      </c>
      <c r="C245" t="s">
        <v>5625</v>
      </c>
      <c r="D245" t="s">
        <v>257</v>
      </c>
      <c r="E245" t="s">
        <v>5630</v>
      </c>
      <c r="F245" t="s">
        <v>274</v>
      </c>
      <c r="G245" t="s">
        <v>274</v>
      </c>
      <c r="H245">
        <v>124.19</v>
      </c>
      <c r="I245" t="s">
        <v>274</v>
      </c>
      <c r="K245" t="s">
        <v>986</v>
      </c>
      <c r="O245" t="s">
        <v>274</v>
      </c>
      <c r="Q245" t="s">
        <v>501</v>
      </c>
      <c r="S245" t="s">
        <v>503</v>
      </c>
      <c r="T245" t="s">
        <v>507</v>
      </c>
      <c r="U245" t="s">
        <v>511</v>
      </c>
      <c r="V245">
        <v>10451</v>
      </c>
      <c r="W245" t="s">
        <v>517</v>
      </c>
      <c r="X245" t="s">
        <v>549</v>
      </c>
      <c r="Y245" t="s">
        <v>275</v>
      </c>
      <c r="Z245" t="s">
        <v>5826</v>
      </c>
      <c r="AA245" t="s">
        <v>6209</v>
      </c>
      <c r="AB245" t="s">
        <v>902</v>
      </c>
      <c r="AC245" t="s">
        <v>904</v>
      </c>
      <c r="AF245" t="s">
        <v>923</v>
      </c>
      <c r="AI245">
        <v>3.2</v>
      </c>
      <c r="AJ245" t="s">
        <v>558</v>
      </c>
      <c r="AK245" t="s">
        <v>3268</v>
      </c>
      <c r="AL245" t="s">
        <v>274</v>
      </c>
      <c r="AT245">
        <v>0</v>
      </c>
      <c r="AU245">
        <v>2</v>
      </c>
      <c r="AV245" t="s">
        <v>273</v>
      </c>
      <c r="AY245" t="s">
        <v>273</v>
      </c>
      <c r="BB245">
        <v>0</v>
      </c>
      <c r="BC245">
        <v>0</v>
      </c>
      <c r="BD245">
        <v>0</v>
      </c>
      <c r="BE245">
        <v>0</v>
      </c>
      <c r="BF245" t="s">
        <v>1063</v>
      </c>
      <c r="BG245" t="s">
        <v>4881</v>
      </c>
      <c r="BH245">
        <v>24</v>
      </c>
      <c r="BI245" t="s">
        <v>2760</v>
      </c>
      <c r="BK245">
        <v>1895767</v>
      </c>
    </row>
    <row r="246" spans="1:63">
      <c r="A246" s="1">
        <f>HYPERLINK("https://lsnyc.legalserver.org/matter/dynamic-profile/view/1893054","19-1893054")</f>
        <v>0</v>
      </c>
      <c r="B246" t="s">
        <v>5284</v>
      </c>
      <c r="C246" t="s">
        <v>5625</v>
      </c>
      <c r="D246" t="s">
        <v>254</v>
      </c>
      <c r="E246" t="s">
        <v>3694</v>
      </c>
      <c r="F246" t="s">
        <v>274</v>
      </c>
      <c r="G246" t="s">
        <v>274</v>
      </c>
      <c r="H246">
        <v>92.25</v>
      </c>
      <c r="I246" t="s">
        <v>274</v>
      </c>
      <c r="K246" t="s">
        <v>325</v>
      </c>
      <c r="P246" t="s">
        <v>499</v>
      </c>
      <c r="Q246" t="s">
        <v>501</v>
      </c>
      <c r="S246" t="s">
        <v>503</v>
      </c>
      <c r="T246" t="s">
        <v>507</v>
      </c>
      <c r="U246" t="s">
        <v>511</v>
      </c>
      <c r="V246">
        <v>10302</v>
      </c>
      <c r="W246" t="s">
        <v>518</v>
      </c>
      <c r="X246" t="s">
        <v>548</v>
      </c>
      <c r="Z246" t="s">
        <v>2067</v>
      </c>
      <c r="AA246" t="s">
        <v>6210</v>
      </c>
      <c r="AB246" t="s">
        <v>902</v>
      </c>
      <c r="AC246" t="s">
        <v>905</v>
      </c>
      <c r="AF246" t="s">
        <v>926</v>
      </c>
      <c r="AI246">
        <v>8.699999999999999</v>
      </c>
      <c r="AK246" t="s">
        <v>941</v>
      </c>
      <c r="AL246" t="s">
        <v>274</v>
      </c>
      <c r="AT246">
        <v>1</v>
      </c>
      <c r="AU246">
        <v>1</v>
      </c>
      <c r="AV246" t="s">
        <v>273</v>
      </c>
      <c r="AY246" t="s">
        <v>273</v>
      </c>
      <c r="BB246">
        <v>0</v>
      </c>
      <c r="BC246">
        <v>0</v>
      </c>
      <c r="BD246">
        <v>0</v>
      </c>
      <c r="BE246">
        <v>0</v>
      </c>
      <c r="BF246" t="s">
        <v>1063</v>
      </c>
      <c r="BG246" t="s">
        <v>6655</v>
      </c>
      <c r="BH246">
        <v>35</v>
      </c>
      <c r="BI246" t="s">
        <v>1270</v>
      </c>
      <c r="BK246">
        <v>1893690</v>
      </c>
    </row>
    <row r="247" spans="1:63">
      <c r="A247" s="1">
        <f>HYPERLINK("https://lsnyc.legalserver.org/matter/dynamic-profile/view/1895083","19-1895083")</f>
        <v>0</v>
      </c>
      <c r="B247" t="s">
        <v>5285</v>
      </c>
      <c r="C247" t="s">
        <v>5625</v>
      </c>
      <c r="D247" t="s">
        <v>252</v>
      </c>
      <c r="E247" t="s">
        <v>5630</v>
      </c>
      <c r="F247" t="s">
        <v>274</v>
      </c>
      <c r="G247" t="s">
        <v>274</v>
      </c>
      <c r="H247">
        <v>0</v>
      </c>
      <c r="I247" t="s">
        <v>274</v>
      </c>
      <c r="K247" t="s">
        <v>325</v>
      </c>
      <c r="O247" t="s">
        <v>275</v>
      </c>
      <c r="Q247" t="s">
        <v>501</v>
      </c>
      <c r="S247" t="s">
        <v>503</v>
      </c>
      <c r="T247" t="s">
        <v>507</v>
      </c>
      <c r="U247" t="s">
        <v>511</v>
      </c>
      <c r="V247">
        <v>11221</v>
      </c>
      <c r="W247" t="s">
        <v>521</v>
      </c>
      <c r="X247" t="s">
        <v>549</v>
      </c>
      <c r="Z247" t="s">
        <v>600</v>
      </c>
      <c r="AA247" t="s">
        <v>6211</v>
      </c>
      <c r="AB247" t="s">
        <v>902</v>
      </c>
      <c r="AC247" t="s">
        <v>905</v>
      </c>
      <c r="AF247" t="s">
        <v>923</v>
      </c>
      <c r="AI247">
        <v>8.449999999999999</v>
      </c>
      <c r="AJ247" t="s">
        <v>558</v>
      </c>
      <c r="AK247" t="s">
        <v>948</v>
      </c>
      <c r="AL247" t="s">
        <v>274</v>
      </c>
      <c r="AM247" t="s">
        <v>973</v>
      </c>
      <c r="AN247" t="s">
        <v>1671</v>
      </c>
      <c r="AT247">
        <v>0</v>
      </c>
      <c r="AU247">
        <v>1</v>
      </c>
      <c r="AV247" t="s">
        <v>273</v>
      </c>
      <c r="AY247" t="s">
        <v>273</v>
      </c>
      <c r="BB247">
        <v>0</v>
      </c>
      <c r="BC247">
        <v>0</v>
      </c>
      <c r="BD247">
        <v>0</v>
      </c>
      <c r="BE247">
        <v>0</v>
      </c>
      <c r="BF247" t="s">
        <v>1063</v>
      </c>
      <c r="BG247" t="s">
        <v>6656</v>
      </c>
      <c r="BH247">
        <v>32</v>
      </c>
      <c r="BI247" t="s">
        <v>1247</v>
      </c>
      <c r="BK247">
        <v>1895724</v>
      </c>
    </row>
    <row r="248" spans="1:63">
      <c r="A248" s="1">
        <f>HYPERLINK("https://lsnyc.legalserver.org/matter/dynamic-profile/view/1895105","19-1895105")</f>
        <v>0</v>
      </c>
      <c r="B248" t="s">
        <v>5286</v>
      </c>
      <c r="C248" t="s">
        <v>5625</v>
      </c>
      <c r="D248" t="s">
        <v>252</v>
      </c>
      <c r="E248" t="s">
        <v>5630</v>
      </c>
      <c r="F248" t="s">
        <v>274</v>
      </c>
      <c r="G248" t="s">
        <v>274</v>
      </c>
      <c r="H248">
        <v>76.88</v>
      </c>
      <c r="I248" t="s">
        <v>274</v>
      </c>
      <c r="K248" t="s">
        <v>325</v>
      </c>
      <c r="O248" t="s">
        <v>274</v>
      </c>
      <c r="Q248" t="s">
        <v>501</v>
      </c>
      <c r="S248" t="s">
        <v>503</v>
      </c>
      <c r="T248" t="s">
        <v>508</v>
      </c>
      <c r="U248" t="s">
        <v>511</v>
      </c>
      <c r="V248">
        <v>11233</v>
      </c>
      <c r="W248" t="s">
        <v>517</v>
      </c>
      <c r="X248" t="s">
        <v>549</v>
      </c>
      <c r="Z248" t="s">
        <v>5827</v>
      </c>
      <c r="AA248" t="s">
        <v>6212</v>
      </c>
      <c r="AB248" t="s">
        <v>902</v>
      </c>
      <c r="AC248" t="s">
        <v>904</v>
      </c>
      <c r="AF248" t="s">
        <v>923</v>
      </c>
      <c r="AI248">
        <v>2</v>
      </c>
      <c r="AJ248" t="s">
        <v>558</v>
      </c>
      <c r="AK248" t="s">
        <v>2379</v>
      </c>
      <c r="AL248" t="s">
        <v>274</v>
      </c>
      <c r="AT248">
        <v>0</v>
      </c>
      <c r="AU248">
        <v>2</v>
      </c>
      <c r="AV248" t="s">
        <v>273</v>
      </c>
      <c r="AY248" t="s">
        <v>273</v>
      </c>
      <c r="BB248">
        <v>0</v>
      </c>
      <c r="BC248">
        <v>0</v>
      </c>
      <c r="BD248">
        <v>0</v>
      </c>
      <c r="BE248">
        <v>0</v>
      </c>
      <c r="BF248" t="s">
        <v>1063</v>
      </c>
      <c r="BG248" t="s">
        <v>6657</v>
      </c>
      <c r="BH248">
        <v>57</v>
      </c>
      <c r="BI248" t="s">
        <v>1264</v>
      </c>
      <c r="BK248">
        <v>1895746</v>
      </c>
    </row>
    <row r="249" spans="1:63">
      <c r="A249" s="1">
        <f>HYPERLINK("https://lsnyc.legalserver.org/matter/dynamic-profile/view/1895113","19-1895113")</f>
        <v>0</v>
      </c>
      <c r="B249" t="s">
        <v>5287</v>
      </c>
      <c r="C249" t="s">
        <v>5625</v>
      </c>
      <c r="D249" t="s">
        <v>252</v>
      </c>
      <c r="E249" t="s">
        <v>5630</v>
      </c>
      <c r="F249" t="s">
        <v>274</v>
      </c>
      <c r="G249" t="s">
        <v>274</v>
      </c>
      <c r="H249">
        <v>0</v>
      </c>
      <c r="I249" t="s">
        <v>274</v>
      </c>
      <c r="K249" t="s">
        <v>325</v>
      </c>
      <c r="Q249" t="s">
        <v>501</v>
      </c>
      <c r="S249" t="s">
        <v>503</v>
      </c>
      <c r="T249" t="s">
        <v>508</v>
      </c>
      <c r="U249" t="s">
        <v>511</v>
      </c>
      <c r="V249">
        <v>11206</v>
      </c>
      <c r="W249" t="s">
        <v>532</v>
      </c>
      <c r="X249" t="s">
        <v>548</v>
      </c>
      <c r="Z249" t="s">
        <v>5828</v>
      </c>
      <c r="AA249" t="s">
        <v>6213</v>
      </c>
      <c r="AB249" t="s">
        <v>902</v>
      </c>
      <c r="AC249" t="s">
        <v>905</v>
      </c>
      <c r="AF249" t="s">
        <v>923</v>
      </c>
      <c r="AI249">
        <v>9.65</v>
      </c>
      <c r="AJ249" t="s">
        <v>558</v>
      </c>
      <c r="AK249" t="s">
        <v>941</v>
      </c>
      <c r="AL249" t="s">
        <v>274</v>
      </c>
      <c r="AM249" t="s">
        <v>973</v>
      </c>
      <c r="AN249" t="s">
        <v>983</v>
      </c>
      <c r="AT249">
        <v>2</v>
      </c>
      <c r="AU249">
        <v>1</v>
      </c>
      <c r="AV249" t="s">
        <v>273</v>
      </c>
      <c r="AY249" t="s">
        <v>273</v>
      </c>
      <c r="BB249">
        <v>0</v>
      </c>
      <c r="BC249">
        <v>0</v>
      </c>
      <c r="BD249">
        <v>0</v>
      </c>
      <c r="BE249">
        <v>0</v>
      </c>
      <c r="BF249" t="s">
        <v>1063</v>
      </c>
      <c r="BG249" t="s">
        <v>6658</v>
      </c>
      <c r="BH249">
        <v>30</v>
      </c>
      <c r="BI249" t="s">
        <v>1247</v>
      </c>
      <c r="BK249">
        <v>1895754</v>
      </c>
    </row>
    <row r="250" spans="1:63">
      <c r="A250" s="1">
        <f>HYPERLINK("https://lsnyc.legalserver.org/matter/dynamic-profile/view/1894776","19-1894776")</f>
        <v>0</v>
      </c>
      <c r="B250" t="s">
        <v>5288</v>
      </c>
      <c r="C250" t="s">
        <v>5625</v>
      </c>
      <c r="D250" t="s">
        <v>257</v>
      </c>
      <c r="E250" t="s">
        <v>3694</v>
      </c>
      <c r="F250" t="s">
        <v>274</v>
      </c>
      <c r="G250" t="s">
        <v>274</v>
      </c>
      <c r="H250">
        <v>109.43</v>
      </c>
      <c r="I250" t="s">
        <v>274</v>
      </c>
      <c r="K250" t="s">
        <v>327</v>
      </c>
      <c r="O250" t="s">
        <v>274</v>
      </c>
      <c r="P250" t="s">
        <v>498</v>
      </c>
      <c r="Q250" t="s">
        <v>501</v>
      </c>
      <c r="S250" t="s">
        <v>503</v>
      </c>
      <c r="T250" t="s">
        <v>508</v>
      </c>
      <c r="U250" t="s">
        <v>511</v>
      </c>
      <c r="V250">
        <v>10451</v>
      </c>
      <c r="W250" t="s">
        <v>517</v>
      </c>
      <c r="X250" t="s">
        <v>548</v>
      </c>
      <c r="Z250" t="s">
        <v>584</v>
      </c>
      <c r="AA250" t="s">
        <v>6214</v>
      </c>
      <c r="AB250" t="s">
        <v>902</v>
      </c>
      <c r="AC250" t="s">
        <v>904</v>
      </c>
      <c r="AF250" t="s">
        <v>923</v>
      </c>
      <c r="AI250">
        <v>2.15</v>
      </c>
      <c r="AJ250" t="s">
        <v>558</v>
      </c>
      <c r="AK250" t="s">
        <v>949</v>
      </c>
      <c r="AL250" t="s">
        <v>274</v>
      </c>
      <c r="AT250">
        <v>0</v>
      </c>
      <c r="AU250">
        <v>2</v>
      </c>
      <c r="AV250" t="s">
        <v>273</v>
      </c>
      <c r="AY250" t="s">
        <v>273</v>
      </c>
      <c r="BB250">
        <v>0</v>
      </c>
      <c r="BC250">
        <v>0</v>
      </c>
      <c r="BD250">
        <v>0</v>
      </c>
      <c r="BE250">
        <v>0</v>
      </c>
      <c r="BF250" t="s">
        <v>1063</v>
      </c>
      <c r="BG250" t="s">
        <v>6659</v>
      </c>
      <c r="BH250">
        <v>60</v>
      </c>
      <c r="BI250" t="s">
        <v>7037</v>
      </c>
      <c r="BK250">
        <v>1895417</v>
      </c>
    </row>
    <row r="251" spans="1:63">
      <c r="A251" s="1">
        <f>HYPERLINK("https://lsnyc.legalserver.org/matter/dynamic-profile/view/1894783","19-1894783")</f>
        <v>0</v>
      </c>
      <c r="B251" t="s">
        <v>5168</v>
      </c>
      <c r="C251" t="s">
        <v>5625</v>
      </c>
      <c r="D251" t="s">
        <v>253</v>
      </c>
      <c r="E251" t="s">
        <v>3694</v>
      </c>
      <c r="F251" t="s">
        <v>274</v>
      </c>
      <c r="G251" t="s">
        <v>274</v>
      </c>
      <c r="H251">
        <v>114.95</v>
      </c>
      <c r="I251" t="s">
        <v>274</v>
      </c>
      <c r="K251" t="s">
        <v>327</v>
      </c>
      <c r="O251" t="s">
        <v>275</v>
      </c>
      <c r="Q251" t="s">
        <v>502</v>
      </c>
      <c r="S251" t="s">
        <v>503</v>
      </c>
      <c r="T251" t="s">
        <v>507</v>
      </c>
      <c r="U251" t="s">
        <v>511</v>
      </c>
      <c r="V251">
        <v>11692</v>
      </c>
      <c r="W251" t="s">
        <v>521</v>
      </c>
      <c r="X251" t="s">
        <v>548</v>
      </c>
      <c r="Z251" t="s">
        <v>2005</v>
      </c>
      <c r="AA251" t="s">
        <v>6129</v>
      </c>
      <c r="AB251" t="s">
        <v>902</v>
      </c>
      <c r="AC251" t="s">
        <v>905</v>
      </c>
      <c r="AF251" t="s">
        <v>926</v>
      </c>
      <c r="AI251">
        <v>2.45</v>
      </c>
      <c r="AJ251" t="s">
        <v>558</v>
      </c>
      <c r="AK251" t="s">
        <v>936</v>
      </c>
      <c r="AL251" t="s">
        <v>274</v>
      </c>
      <c r="AT251">
        <v>2</v>
      </c>
      <c r="AU251">
        <v>4</v>
      </c>
      <c r="AV251" t="s">
        <v>273</v>
      </c>
      <c r="AY251" t="s">
        <v>273</v>
      </c>
      <c r="BB251">
        <v>0</v>
      </c>
      <c r="BC251">
        <v>0</v>
      </c>
      <c r="BD251">
        <v>0</v>
      </c>
      <c r="BE251">
        <v>0</v>
      </c>
      <c r="BF251" t="s">
        <v>1063</v>
      </c>
      <c r="BG251" t="s">
        <v>6550</v>
      </c>
      <c r="BH251">
        <v>15</v>
      </c>
      <c r="BI251" t="s">
        <v>7006</v>
      </c>
      <c r="BK251">
        <v>1895424</v>
      </c>
    </row>
    <row r="252" spans="1:63">
      <c r="A252" s="1">
        <f>HYPERLINK("https://lsnyc.legalserver.org/matter/dynamic-profile/view/1894827","19-1894827")</f>
        <v>0</v>
      </c>
      <c r="B252" t="s">
        <v>5289</v>
      </c>
      <c r="C252" t="s">
        <v>5625</v>
      </c>
      <c r="D252" t="s">
        <v>257</v>
      </c>
      <c r="E252" t="s">
        <v>5630</v>
      </c>
      <c r="F252" t="s">
        <v>274</v>
      </c>
      <c r="G252" t="s">
        <v>274</v>
      </c>
      <c r="H252">
        <v>90.87</v>
      </c>
      <c r="I252" t="s">
        <v>274</v>
      </c>
      <c r="K252" t="s">
        <v>327</v>
      </c>
      <c r="O252" t="s">
        <v>274</v>
      </c>
      <c r="P252" t="s">
        <v>498</v>
      </c>
      <c r="Q252" t="s">
        <v>501</v>
      </c>
      <c r="S252" t="s">
        <v>503</v>
      </c>
      <c r="T252" t="s">
        <v>507</v>
      </c>
      <c r="U252" t="s">
        <v>511</v>
      </c>
      <c r="V252">
        <v>10453</v>
      </c>
      <c r="W252" t="s">
        <v>517</v>
      </c>
      <c r="X252" t="s">
        <v>548</v>
      </c>
      <c r="Z252" t="s">
        <v>3043</v>
      </c>
      <c r="AA252" t="s">
        <v>6215</v>
      </c>
      <c r="AB252" t="s">
        <v>902</v>
      </c>
      <c r="AC252" t="s">
        <v>904</v>
      </c>
      <c r="AF252" t="s">
        <v>923</v>
      </c>
      <c r="AI252">
        <v>1.7</v>
      </c>
      <c r="AJ252" t="s">
        <v>558</v>
      </c>
      <c r="AK252" t="s">
        <v>950</v>
      </c>
      <c r="AL252" t="s">
        <v>274</v>
      </c>
      <c r="AM252" t="s">
        <v>973</v>
      </c>
      <c r="AN252" t="s">
        <v>1683</v>
      </c>
      <c r="AT252">
        <v>3</v>
      </c>
      <c r="AU252">
        <v>1</v>
      </c>
      <c r="AV252" t="s">
        <v>273</v>
      </c>
      <c r="AY252" t="s">
        <v>273</v>
      </c>
      <c r="BB252">
        <v>0</v>
      </c>
      <c r="BC252">
        <v>0</v>
      </c>
      <c r="BD252">
        <v>0</v>
      </c>
      <c r="BE252">
        <v>0</v>
      </c>
      <c r="BF252" t="s">
        <v>1063</v>
      </c>
      <c r="BG252" t="s">
        <v>6660</v>
      </c>
      <c r="BH252">
        <v>37</v>
      </c>
      <c r="BI252" t="s">
        <v>1248</v>
      </c>
      <c r="BK252">
        <v>1895468</v>
      </c>
    </row>
    <row r="253" spans="1:63">
      <c r="A253" s="1">
        <f>HYPERLINK("https://lsnyc.legalserver.org/matter/dynamic-profile/view/1894856","19-1894856")</f>
        <v>0</v>
      </c>
      <c r="B253" t="s">
        <v>5169</v>
      </c>
      <c r="C253" t="s">
        <v>5625</v>
      </c>
      <c r="D253" t="s">
        <v>253</v>
      </c>
      <c r="E253" t="s">
        <v>3694</v>
      </c>
      <c r="F253" t="s">
        <v>274</v>
      </c>
      <c r="G253" t="s">
        <v>274</v>
      </c>
      <c r="H253">
        <v>114.95</v>
      </c>
      <c r="I253" t="s">
        <v>274</v>
      </c>
      <c r="K253" t="s">
        <v>327</v>
      </c>
      <c r="O253" t="s">
        <v>275</v>
      </c>
      <c r="Q253" t="s">
        <v>502</v>
      </c>
      <c r="S253" t="s">
        <v>503</v>
      </c>
      <c r="T253" t="s">
        <v>508</v>
      </c>
      <c r="U253" t="s">
        <v>511</v>
      </c>
      <c r="V253">
        <v>11692</v>
      </c>
      <c r="W253" t="s">
        <v>518</v>
      </c>
      <c r="X253" t="s">
        <v>548</v>
      </c>
      <c r="Z253" t="s">
        <v>5749</v>
      </c>
      <c r="AA253" t="s">
        <v>6129</v>
      </c>
      <c r="AB253" t="s">
        <v>902</v>
      </c>
      <c r="AC253" t="s">
        <v>905</v>
      </c>
      <c r="AF253" t="s">
        <v>926</v>
      </c>
      <c r="AI253">
        <v>7.55</v>
      </c>
      <c r="AJ253" t="s">
        <v>558</v>
      </c>
      <c r="AK253" t="s">
        <v>936</v>
      </c>
      <c r="AL253" t="s">
        <v>274</v>
      </c>
      <c r="AT253">
        <v>2</v>
      </c>
      <c r="AU253">
        <v>4</v>
      </c>
      <c r="AV253" t="s">
        <v>273</v>
      </c>
      <c r="AY253" t="s">
        <v>273</v>
      </c>
      <c r="BB253">
        <v>0</v>
      </c>
      <c r="BC253">
        <v>0</v>
      </c>
      <c r="BD253">
        <v>0</v>
      </c>
      <c r="BE253">
        <v>0</v>
      </c>
      <c r="BF253" t="s">
        <v>1063</v>
      </c>
      <c r="BG253" t="s">
        <v>6551</v>
      </c>
      <c r="BH253">
        <v>12</v>
      </c>
      <c r="BI253" t="s">
        <v>7006</v>
      </c>
      <c r="BK253">
        <v>1895424</v>
      </c>
    </row>
    <row r="254" spans="1:63">
      <c r="A254" s="1">
        <f>HYPERLINK("https://lsnyc.legalserver.org/matter/dynamic-profile/view/1894622","19-1894622")</f>
        <v>0</v>
      </c>
      <c r="B254" t="s">
        <v>5290</v>
      </c>
      <c r="C254" t="s">
        <v>5625</v>
      </c>
      <c r="D254" t="s">
        <v>253</v>
      </c>
      <c r="E254" t="s">
        <v>5630</v>
      </c>
      <c r="F254" t="s">
        <v>274</v>
      </c>
      <c r="G254" t="s">
        <v>274</v>
      </c>
      <c r="H254">
        <v>56.04</v>
      </c>
      <c r="I254" t="s">
        <v>274</v>
      </c>
      <c r="K254" t="s">
        <v>328</v>
      </c>
      <c r="Q254" t="s">
        <v>501</v>
      </c>
      <c r="S254" t="s">
        <v>503</v>
      </c>
      <c r="T254" t="s">
        <v>508</v>
      </c>
      <c r="U254" t="s">
        <v>511</v>
      </c>
      <c r="V254">
        <v>11370</v>
      </c>
      <c r="W254" t="s">
        <v>544</v>
      </c>
      <c r="X254" t="s">
        <v>548</v>
      </c>
      <c r="Z254" t="s">
        <v>5829</v>
      </c>
      <c r="AA254" t="s">
        <v>2320</v>
      </c>
      <c r="AB254" t="s">
        <v>902</v>
      </c>
      <c r="AC254" t="s">
        <v>904</v>
      </c>
      <c r="AF254" t="s">
        <v>923</v>
      </c>
      <c r="AI254">
        <v>0.4</v>
      </c>
      <c r="AJ254" t="s">
        <v>558</v>
      </c>
      <c r="AK254" t="s">
        <v>949</v>
      </c>
      <c r="AL254" t="s">
        <v>274</v>
      </c>
      <c r="AM254" t="s">
        <v>973</v>
      </c>
      <c r="AN254" t="s">
        <v>6465</v>
      </c>
      <c r="AT254">
        <v>0</v>
      </c>
      <c r="AU254">
        <v>1</v>
      </c>
      <c r="AV254" t="s">
        <v>273</v>
      </c>
      <c r="AY254" t="s">
        <v>273</v>
      </c>
      <c r="BB254">
        <v>0</v>
      </c>
      <c r="BC254">
        <v>0</v>
      </c>
      <c r="BD254">
        <v>0</v>
      </c>
      <c r="BE254">
        <v>0</v>
      </c>
      <c r="BF254" t="s">
        <v>1063</v>
      </c>
      <c r="BG254" t="s">
        <v>6661</v>
      </c>
      <c r="BH254">
        <v>57</v>
      </c>
      <c r="BI254" t="s">
        <v>7038</v>
      </c>
      <c r="BK254">
        <v>1880685</v>
      </c>
    </row>
    <row r="255" spans="1:63">
      <c r="A255" s="1">
        <f>HYPERLINK("https://lsnyc.legalserver.org/matter/dynamic-profile/view/1894676","19-1894676")</f>
        <v>0</v>
      </c>
      <c r="B255" t="s">
        <v>5291</v>
      </c>
      <c r="C255" t="s">
        <v>5625</v>
      </c>
      <c r="D255" t="s">
        <v>252</v>
      </c>
      <c r="E255" t="s">
        <v>3694</v>
      </c>
      <c r="F255" t="s">
        <v>274</v>
      </c>
      <c r="G255" t="s">
        <v>274</v>
      </c>
      <c r="H255">
        <v>49.91</v>
      </c>
      <c r="I255" t="s">
        <v>274</v>
      </c>
      <c r="K255" t="s">
        <v>328</v>
      </c>
      <c r="O255" t="s">
        <v>274</v>
      </c>
      <c r="Q255" t="s">
        <v>501</v>
      </c>
      <c r="S255" t="s">
        <v>503</v>
      </c>
      <c r="T255" t="s">
        <v>508</v>
      </c>
      <c r="U255" t="s">
        <v>511</v>
      </c>
      <c r="V255">
        <v>11221</v>
      </c>
      <c r="W255" t="s">
        <v>517</v>
      </c>
      <c r="X255" t="s">
        <v>548</v>
      </c>
      <c r="Z255" t="s">
        <v>5830</v>
      </c>
      <c r="AA255" t="s">
        <v>6216</v>
      </c>
      <c r="AB255" t="s">
        <v>902</v>
      </c>
      <c r="AC255" t="s">
        <v>904</v>
      </c>
      <c r="AD255" t="s">
        <v>275</v>
      </c>
      <c r="AF255" t="s">
        <v>923</v>
      </c>
      <c r="AI255">
        <v>3.15</v>
      </c>
      <c r="AJ255" t="s">
        <v>558</v>
      </c>
      <c r="AK255" t="s">
        <v>934</v>
      </c>
      <c r="AL255" t="s">
        <v>274</v>
      </c>
      <c r="AQ255" t="s">
        <v>1033</v>
      </c>
      <c r="AR255" t="s">
        <v>1052</v>
      </c>
      <c r="AT255">
        <v>0</v>
      </c>
      <c r="AU255">
        <v>1</v>
      </c>
      <c r="AV255" t="s">
        <v>273</v>
      </c>
      <c r="AY255" t="s">
        <v>273</v>
      </c>
      <c r="BB255">
        <v>0</v>
      </c>
      <c r="BC255">
        <v>0</v>
      </c>
      <c r="BD255">
        <v>0</v>
      </c>
      <c r="BE255">
        <v>0</v>
      </c>
      <c r="BF255" t="s">
        <v>1063</v>
      </c>
      <c r="BG255" t="s">
        <v>6662</v>
      </c>
      <c r="BH255">
        <v>54</v>
      </c>
      <c r="BI255" t="s">
        <v>7039</v>
      </c>
      <c r="BK255">
        <v>1895317</v>
      </c>
    </row>
    <row r="256" spans="1:63">
      <c r="A256" s="1">
        <f>HYPERLINK("https://lsnyc.legalserver.org/matter/dynamic-profile/view/1894474","19-1894474")</f>
        <v>0</v>
      </c>
      <c r="B256" t="s">
        <v>5292</v>
      </c>
      <c r="C256" t="s">
        <v>5625</v>
      </c>
      <c r="D256" t="s">
        <v>257</v>
      </c>
      <c r="E256" t="s">
        <v>264</v>
      </c>
      <c r="F256" t="s">
        <v>274</v>
      </c>
      <c r="G256" t="s">
        <v>274</v>
      </c>
      <c r="H256">
        <v>102.8</v>
      </c>
      <c r="I256" t="s">
        <v>274</v>
      </c>
      <c r="K256" t="s">
        <v>329</v>
      </c>
      <c r="L256" t="s">
        <v>1677</v>
      </c>
      <c r="O256" t="s">
        <v>274</v>
      </c>
      <c r="Q256" t="s">
        <v>501</v>
      </c>
      <c r="S256" t="s">
        <v>503</v>
      </c>
      <c r="T256" t="s">
        <v>507</v>
      </c>
      <c r="U256" t="s">
        <v>511</v>
      </c>
      <c r="V256">
        <v>10460</v>
      </c>
      <c r="W256" t="s">
        <v>517</v>
      </c>
      <c r="X256" t="s">
        <v>548</v>
      </c>
      <c r="Z256" t="s">
        <v>4632</v>
      </c>
      <c r="AA256" t="s">
        <v>6217</v>
      </c>
      <c r="AB256" t="s">
        <v>902</v>
      </c>
      <c r="AC256" t="s">
        <v>904</v>
      </c>
      <c r="AD256" t="s">
        <v>275</v>
      </c>
      <c r="AE256" t="s">
        <v>920</v>
      </c>
      <c r="AF256" t="s">
        <v>923</v>
      </c>
      <c r="AI256">
        <v>1.65</v>
      </c>
      <c r="AJ256" t="s">
        <v>558</v>
      </c>
      <c r="AK256" t="s">
        <v>938</v>
      </c>
      <c r="AL256" t="s">
        <v>274</v>
      </c>
      <c r="AQ256" t="s">
        <v>1033</v>
      </c>
      <c r="AR256" t="s">
        <v>1052</v>
      </c>
      <c r="AT256">
        <v>0</v>
      </c>
      <c r="AU256">
        <v>1</v>
      </c>
      <c r="AV256" t="s">
        <v>273</v>
      </c>
      <c r="AY256" t="s">
        <v>273</v>
      </c>
      <c r="BB256">
        <v>0</v>
      </c>
      <c r="BC256">
        <v>0</v>
      </c>
      <c r="BD256">
        <v>0</v>
      </c>
      <c r="BE256">
        <v>0</v>
      </c>
      <c r="BF256" t="s">
        <v>493</v>
      </c>
      <c r="BG256" t="s">
        <v>6663</v>
      </c>
      <c r="BH256">
        <v>67</v>
      </c>
      <c r="BI256" t="s">
        <v>7040</v>
      </c>
      <c r="BK256">
        <v>1895115</v>
      </c>
    </row>
    <row r="257" spans="1:63">
      <c r="A257" s="1">
        <f>HYPERLINK("https://lsnyc.legalserver.org/matter/dynamic-profile/view/1894578","19-1894578")</f>
        <v>0</v>
      </c>
      <c r="B257" t="s">
        <v>5293</v>
      </c>
      <c r="C257" t="s">
        <v>5625</v>
      </c>
      <c r="D257" t="s">
        <v>257</v>
      </c>
      <c r="E257" t="s">
        <v>264</v>
      </c>
      <c r="F257" t="s">
        <v>274</v>
      </c>
      <c r="G257" t="s">
        <v>274</v>
      </c>
      <c r="H257">
        <v>162.67</v>
      </c>
      <c r="I257" t="s">
        <v>274</v>
      </c>
      <c r="K257" t="s">
        <v>329</v>
      </c>
      <c r="O257" t="s">
        <v>274</v>
      </c>
      <c r="Q257" t="s">
        <v>501</v>
      </c>
      <c r="S257" t="s">
        <v>503</v>
      </c>
      <c r="T257" t="s">
        <v>507</v>
      </c>
      <c r="U257" t="s">
        <v>511</v>
      </c>
      <c r="V257">
        <v>10468</v>
      </c>
      <c r="W257" t="s">
        <v>517</v>
      </c>
      <c r="X257" t="s">
        <v>548</v>
      </c>
      <c r="Z257" t="s">
        <v>5831</v>
      </c>
      <c r="AA257" t="s">
        <v>6218</v>
      </c>
      <c r="AB257" t="s">
        <v>902</v>
      </c>
      <c r="AC257" t="s">
        <v>904</v>
      </c>
      <c r="AF257" t="s">
        <v>923</v>
      </c>
      <c r="AI257">
        <v>13.95</v>
      </c>
      <c r="AJ257" t="s">
        <v>558</v>
      </c>
      <c r="AK257" t="s">
        <v>950</v>
      </c>
      <c r="AL257" t="s">
        <v>274</v>
      </c>
      <c r="AT257">
        <v>0</v>
      </c>
      <c r="AU257">
        <v>1</v>
      </c>
      <c r="AV257" t="s">
        <v>273</v>
      </c>
      <c r="AY257" t="s">
        <v>273</v>
      </c>
      <c r="BB257">
        <v>0</v>
      </c>
      <c r="BC257">
        <v>0</v>
      </c>
      <c r="BD257">
        <v>0</v>
      </c>
      <c r="BE257">
        <v>0</v>
      </c>
      <c r="BF257" t="s">
        <v>1063</v>
      </c>
      <c r="BG257" t="s">
        <v>6664</v>
      </c>
      <c r="BH257">
        <v>51</v>
      </c>
      <c r="BI257" t="s">
        <v>7041</v>
      </c>
      <c r="BK257">
        <v>1841481</v>
      </c>
    </row>
    <row r="258" spans="1:63">
      <c r="A258" s="1">
        <f>HYPERLINK("https://lsnyc.legalserver.org/matter/dynamic-profile/view/1894053","19-1894053")</f>
        <v>0</v>
      </c>
      <c r="B258" t="s">
        <v>5294</v>
      </c>
      <c r="C258" t="s">
        <v>5625</v>
      </c>
      <c r="D258" t="s">
        <v>257</v>
      </c>
      <c r="E258" t="s">
        <v>5630</v>
      </c>
      <c r="F258" t="s">
        <v>274</v>
      </c>
      <c r="G258" t="s">
        <v>274</v>
      </c>
      <c r="H258">
        <v>157.7</v>
      </c>
      <c r="I258" t="s">
        <v>274</v>
      </c>
      <c r="K258" t="s">
        <v>331</v>
      </c>
      <c r="Q258" t="s">
        <v>501</v>
      </c>
      <c r="S258" t="s">
        <v>503</v>
      </c>
      <c r="T258" t="s">
        <v>508</v>
      </c>
      <c r="U258" t="s">
        <v>511</v>
      </c>
      <c r="V258">
        <v>10456</v>
      </c>
      <c r="W258" t="s">
        <v>544</v>
      </c>
      <c r="X258" t="s">
        <v>549</v>
      </c>
      <c r="Z258" t="s">
        <v>5832</v>
      </c>
      <c r="AA258" t="s">
        <v>6219</v>
      </c>
      <c r="AB258" t="s">
        <v>902</v>
      </c>
      <c r="AC258" t="s">
        <v>904</v>
      </c>
      <c r="AF258" t="s">
        <v>923</v>
      </c>
      <c r="AI258">
        <v>0</v>
      </c>
      <c r="AJ258" t="s">
        <v>558</v>
      </c>
      <c r="AK258" t="s">
        <v>6459</v>
      </c>
      <c r="AL258" t="s">
        <v>274</v>
      </c>
      <c r="AT258">
        <v>2</v>
      </c>
      <c r="AU258">
        <v>4</v>
      </c>
      <c r="AV258" t="s">
        <v>273</v>
      </c>
      <c r="AY258" t="s">
        <v>273</v>
      </c>
      <c r="BB258">
        <v>0</v>
      </c>
      <c r="BC258">
        <v>0</v>
      </c>
      <c r="BD258">
        <v>0</v>
      </c>
      <c r="BE258">
        <v>0</v>
      </c>
      <c r="BF258" t="s">
        <v>1063</v>
      </c>
      <c r="BG258" t="s">
        <v>4972</v>
      </c>
      <c r="BH258">
        <v>40</v>
      </c>
      <c r="BI258" t="s">
        <v>7042</v>
      </c>
      <c r="BK258">
        <v>98288</v>
      </c>
    </row>
    <row r="259" spans="1:63">
      <c r="A259" s="1">
        <f>HYPERLINK("https://lsnyc.legalserver.org/matter/dynamic-profile/view/1894092","19-1894092")</f>
        <v>0</v>
      </c>
      <c r="B259" t="s">
        <v>5295</v>
      </c>
      <c r="C259" t="s">
        <v>5625</v>
      </c>
      <c r="D259" t="s">
        <v>255</v>
      </c>
      <c r="E259" t="s">
        <v>3694</v>
      </c>
      <c r="F259" t="s">
        <v>274</v>
      </c>
      <c r="G259" t="s">
        <v>274</v>
      </c>
      <c r="H259">
        <v>46.54</v>
      </c>
      <c r="I259" t="s">
        <v>274</v>
      </c>
      <c r="K259" t="s">
        <v>331</v>
      </c>
      <c r="Q259" t="s">
        <v>501</v>
      </c>
      <c r="S259" t="s">
        <v>503</v>
      </c>
      <c r="T259" t="s">
        <v>508</v>
      </c>
      <c r="U259" t="s">
        <v>511</v>
      </c>
      <c r="V259">
        <v>10128</v>
      </c>
      <c r="W259" t="s">
        <v>544</v>
      </c>
      <c r="Z259" t="s">
        <v>5833</v>
      </c>
      <c r="AA259" t="s">
        <v>6220</v>
      </c>
      <c r="AB259" t="s">
        <v>902</v>
      </c>
      <c r="AC259" t="s">
        <v>904</v>
      </c>
      <c r="AF259" t="s">
        <v>923</v>
      </c>
      <c r="AI259">
        <v>0.4</v>
      </c>
      <c r="AJ259" t="s">
        <v>558</v>
      </c>
      <c r="AK259" t="s">
        <v>933</v>
      </c>
      <c r="AL259" t="s">
        <v>274</v>
      </c>
      <c r="AT259">
        <v>4</v>
      </c>
      <c r="AU259">
        <v>1</v>
      </c>
      <c r="AV259" t="s">
        <v>273</v>
      </c>
      <c r="AY259" t="s">
        <v>273</v>
      </c>
      <c r="BB259">
        <v>0</v>
      </c>
      <c r="BC259">
        <v>0</v>
      </c>
      <c r="BD259">
        <v>0</v>
      </c>
      <c r="BE259">
        <v>0</v>
      </c>
      <c r="BF259" t="s">
        <v>1063</v>
      </c>
      <c r="BG259" t="s">
        <v>6665</v>
      </c>
      <c r="BH259">
        <v>33</v>
      </c>
      <c r="BI259" t="s">
        <v>7043</v>
      </c>
      <c r="BK259">
        <v>1868365</v>
      </c>
    </row>
    <row r="260" spans="1:63">
      <c r="A260" s="1">
        <f>HYPERLINK("https://lsnyc.legalserver.org/matter/dynamic-profile/view/1894097","19-1894097")</f>
        <v>0</v>
      </c>
      <c r="B260" t="s">
        <v>5295</v>
      </c>
      <c r="C260" t="s">
        <v>5625</v>
      </c>
      <c r="D260" t="s">
        <v>255</v>
      </c>
      <c r="E260" t="s">
        <v>3694</v>
      </c>
      <c r="F260" t="s">
        <v>274</v>
      </c>
      <c r="G260" t="s">
        <v>274</v>
      </c>
      <c r="H260">
        <v>46.54</v>
      </c>
      <c r="I260" t="s">
        <v>274</v>
      </c>
      <c r="K260" t="s">
        <v>331</v>
      </c>
      <c r="Q260" t="s">
        <v>501</v>
      </c>
      <c r="S260" t="s">
        <v>503</v>
      </c>
      <c r="T260" t="s">
        <v>508</v>
      </c>
      <c r="U260" t="s">
        <v>511</v>
      </c>
      <c r="V260">
        <v>10128</v>
      </c>
      <c r="W260" t="s">
        <v>525</v>
      </c>
      <c r="Z260" t="s">
        <v>5833</v>
      </c>
      <c r="AA260" t="s">
        <v>6220</v>
      </c>
      <c r="AB260" t="s">
        <v>902</v>
      </c>
      <c r="AC260" t="s">
        <v>904</v>
      </c>
      <c r="AF260" t="s">
        <v>923</v>
      </c>
      <c r="AI260">
        <v>0.2</v>
      </c>
      <c r="AJ260" t="s">
        <v>558</v>
      </c>
      <c r="AK260" t="s">
        <v>933</v>
      </c>
      <c r="AL260" t="s">
        <v>274</v>
      </c>
      <c r="AT260">
        <v>4</v>
      </c>
      <c r="AU260">
        <v>1</v>
      </c>
      <c r="AV260" t="s">
        <v>273</v>
      </c>
      <c r="AY260" t="s">
        <v>273</v>
      </c>
      <c r="BB260">
        <v>0</v>
      </c>
      <c r="BC260">
        <v>0</v>
      </c>
      <c r="BD260">
        <v>0</v>
      </c>
      <c r="BE260">
        <v>0</v>
      </c>
      <c r="BF260" t="s">
        <v>1063</v>
      </c>
      <c r="BG260" t="s">
        <v>6665</v>
      </c>
      <c r="BH260">
        <v>33</v>
      </c>
      <c r="BI260" t="s">
        <v>7043</v>
      </c>
      <c r="BK260">
        <v>1868365</v>
      </c>
    </row>
    <row r="261" spans="1:63">
      <c r="A261" s="1">
        <f>HYPERLINK("https://lsnyc.legalserver.org/matter/dynamic-profile/view/1894105","19-1894105")</f>
        <v>0</v>
      </c>
      <c r="B261" t="s">
        <v>5296</v>
      </c>
      <c r="C261" t="s">
        <v>5625</v>
      </c>
      <c r="D261" t="s">
        <v>254</v>
      </c>
      <c r="E261" t="s">
        <v>5630</v>
      </c>
      <c r="F261" t="s">
        <v>274</v>
      </c>
      <c r="G261" t="s">
        <v>274</v>
      </c>
      <c r="H261">
        <v>160.9</v>
      </c>
      <c r="I261" t="s">
        <v>274</v>
      </c>
      <c r="K261" t="s">
        <v>331</v>
      </c>
      <c r="Q261" t="s">
        <v>501</v>
      </c>
      <c r="S261" t="s">
        <v>503</v>
      </c>
      <c r="T261" t="s">
        <v>508</v>
      </c>
      <c r="U261" t="s">
        <v>511</v>
      </c>
      <c r="V261">
        <v>10304</v>
      </c>
      <c r="W261" t="s">
        <v>544</v>
      </c>
      <c r="X261" t="s">
        <v>549</v>
      </c>
      <c r="Z261" t="s">
        <v>5834</v>
      </c>
      <c r="AA261" t="s">
        <v>6221</v>
      </c>
      <c r="AB261" t="s">
        <v>902</v>
      </c>
      <c r="AC261" t="s">
        <v>904</v>
      </c>
      <c r="AF261" t="s">
        <v>923</v>
      </c>
      <c r="AI261">
        <v>0.3</v>
      </c>
      <c r="AJ261" t="s">
        <v>558</v>
      </c>
      <c r="AK261" t="s">
        <v>3262</v>
      </c>
      <c r="AL261" t="s">
        <v>274</v>
      </c>
      <c r="AT261">
        <v>1</v>
      </c>
      <c r="AU261">
        <v>2</v>
      </c>
      <c r="AV261" t="s">
        <v>273</v>
      </c>
      <c r="AY261" t="s">
        <v>273</v>
      </c>
      <c r="BB261">
        <v>0</v>
      </c>
      <c r="BC261">
        <v>0</v>
      </c>
      <c r="BD261">
        <v>0</v>
      </c>
      <c r="BE261">
        <v>0</v>
      </c>
      <c r="BF261" t="s">
        <v>1063</v>
      </c>
      <c r="BG261" t="s">
        <v>6666</v>
      </c>
      <c r="BH261">
        <v>22</v>
      </c>
      <c r="BI261" t="s">
        <v>7044</v>
      </c>
      <c r="BK261">
        <v>1881754</v>
      </c>
    </row>
    <row r="262" spans="1:63">
      <c r="A262" s="1">
        <f>HYPERLINK("https://lsnyc.legalserver.org/matter/dynamic-profile/view/1893381","19-1893381")</f>
        <v>0</v>
      </c>
      <c r="B262" t="s">
        <v>5297</v>
      </c>
      <c r="C262" t="s">
        <v>5625</v>
      </c>
      <c r="D262" t="s">
        <v>257</v>
      </c>
      <c r="E262" t="s">
        <v>5630</v>
      </c>
      <c r="F262" t="s">
        <v>274</v>
      </c>
      <c r="G262" t="s">
        <v>274</v>
      </c>
      <c r="H262">
        <v>46.13</v>
      </c>
      <c r="I262" t="s">
        <v>274</v>
      </c>
      <c r="K262" t="s">
        <v>333</v>
      </c>
      <c r="O262" t="s">
        <v>274</v>
      </c>
      <c r="P262" t="s">
        <v>498</v>
      </c>
      <c r="Q262" t="s">
        <v>501</v>
      </c>
      <c r="S262" t="s">
        <v>503</v>
      </c>
      <c r="T262" t="s">
        <v>508</v>
      </c>
      <c r="U262" t="s">
        <v>511</v>
      </c>
      <c r="V262">
        <v>10463</v>
      </c>
      <c r="W262" t="s">
        <v>517</v>
      </c>
      <c r="X262" t="s">
        <v>549</v>
      </c>
      <c r="Z262" t="s">
        <v>5835</v>
      </c>
      <c r="AA262" t="s">
        <v>6222</v>
      </c>
      <c r="AB262" t="s">
        <v>902</v>
      </c>
      <c r="AC262" t="s">
        <v>904</v>
      </c>
      <c r="AF262" t="s">
        <v>923</v>
      </c>
      <c r="AI262">
        <v>2.6</v>
      </c>
      <c r="AJ262" t="s">
        <v>558</v>
      </c>
      <c r="AK262" t="s">
        <v>932</v>
      </c>
      <c r="AL262" t="s">
        <v>274</v>
      </c>
      <c r="AT262">
        <v>1</v>
      </c>
      <c r="AU262">
        <v>1</v>
      </c>
      <c r="AV262" t="s">
        <v>273</v>
      </c>
      <c r="AY262" t="s">
        <v>273</v>
      </c>
      <c r="BB262">
        <v>0</v>
      </c>
      <c r="BC262">
        <v>0</v>
      </c>
      <c r="BD262">
        <v>0</v>
      </c>
      <c r="BE262">
        <v>0</v>
      </c>
      <c r="BF262" t="s">
        <v>1063</v>
      </c>
      <c r="BG262" t="s">
        <v>6667</v>
      </c>
      <c r="BH262">
        <v>37</v>
      </c>
      <c r="BI262" t="s">
        <v>2771</v>
      </c>
      <c r="BK262">
        <v>1894018</v>
      </c>
    </row>
    <row r="263" spans="1:63">
      <c r="A263" s="1">
        <f>HYPERLINK("https://lsnyc.legalserver.org/matter/dynamic-profile/view/1893406","19-1893406")</f>
        <v>0</v>
      </c>
      <c r="B263" t="s">
        <v>5298</v>
      </c>
      <c r="C263" t="s">
        <v>5625</v>
      </c>
      <c r="D263" t="s">
        <v>257</v>
      </c>
      <c r="E263" t="s">
        <v>5630</v>
      </c>
      <c r="F263" t="s">
        <v>274</v>
      </c>
      <c r="G263" t="s">
        <v>274</v>
      </c>
      <c r="H263">
        <v>124.1</v>
      </c>
      <c r="I263" t="s">
        <v>274</v>
      </c>
      <c r="K263" t="s">
        <v>333</v>
      </c>
      <c r="O263" t="s">
        <v>274</v>
      </c>
      <c r="P263" t="s">
        <v>498</v>
      </c>
      <c r="Q263" t="s">
        <v>501</v>
      </c>
      <c r="S263" t="s">
        <v>503</v>
      </c>
      <c r="T263" t="s">
        <v>508</v>
      </c>
      <c r="U263" t="s">
        <v>511</v>
      </c>
      <c r="V263">
        <v>10462</v>
      </c>
      <c r="W263" t="s">
        <v>517</v>
      </c>
      <c r="X263" t="s">
        <v>548</v>
      </c>
      <c r="Z263" t="s">
        <v>5836</v>
      </c>
      <c r="AA263" t="s">
        <v>846</v>
      </c>
      <c r="AB263" t="s">
        <v>902</v>
      </c>
      <c r="AC263" t="s">
        <v>904</v>
      </c>
      <c r="AF263" t="s">
        <v>923</v>
      </c>
      <c r="AI263">
        <v>2.8</v>
      </c>
      <c r="AJ263" t="s">
        <v>558</v>
      </c>
      <c r="AK263" t="s">
        <v>953</v>
      </c>
      <c r="AL263" t="s">
        <v>274</v>
      </c>
      <c r="AT263">
        <v>0</v>
      </c>
      <c r="AU263">
        <v>1</v>
      </c>
      <c r="AV263" t="s">
        <v>273</v>
      </c>
      <c r="AY263" t="s">
        <v>273</v>
      </c>
      <c r="BB263">
        <v>0</v>
      </c>
      <c r="BC263">
        <v>0</v>
      </c>
      <c r="BD263">
        <v>0</v>
      </c>
      <c r="BE263">
        <v>0</v>
      </c>
      <c r="BF263" t="s">
        <v>1063</v>
      </c>
      <c r="BG263" t="s">
        <v>6668</v>
      </c>
      <c r="BH263">
        <v>52</v>
      </c>
      <c r="BI263" t="s">
        <v>7045</v>
      </c>
      <c r="BK263">
        <v>1894043</v>
      </c>
    </row>
    <row r="264" spans="1:63">
      <c r="A264" s="1">
        <f>HYPERLINK("https://lsnyc.legalserver.org/matter/dynamic-profile/view/1893458","19-1893458")</f>
        <v>0</v>
      </c>
      <c r="B264" t="s">
        <v>5299</v>
      </c>
      <c r="C264" t="s">
        <v>5625</v>
      </c>
      <c r="D264" t="s">
        <v>252</v>
      </c>
      <c r="E264" t="s">
        <v>3694</v>
      </c>
      <c r="F264" t="s">
        <v>274</v>
      </c>
      <c r="G264" t="s">
        <v>274</v>
      </c>
      <c r="H264">
        <v>0</v>
      </c>
      <c r="I264" t="s">
        <v>274</v>
      </c>
      <c r="K264" t="s">
        <v>333</v>
      </c>
      <c r="Q264" t="s">
        <v>501</v>
      </c>
      <c r="S264" t="s">
        <v>503</v>
      </c>
      <c r="T264" t="s">
        <v>507</v>
      </c>
      <c r="U264" t="s">
        <v>511</v>
      </c>
      <c r="V264">
        <v>11224</v>
      </c>
      <c r="W264" t="s">
        <v>519</v>
      </c>
      <c r="X264" t="s">
        <v>553</v>
      </c>
      <c r="Z264" t="s">
        <v>721</v>
      </c>
      <c r="AA264" t="s">
        <v>6223</v>
      </c>
      <c r="AB264" t="s">
        <v>902</v>
      </c>
      <c r="AC264" t="s">
        <v>905</v>
      </c>
      <c r="AF264" t="s">
        <v>926</v>
      </c>
      <c r="AI264">
        <v>5.05</v>
      </c>
      <c r="AJ264" t="s">
        <v>558</v>
      </c>
      <c r="AK264" t="s">
        <v>948</v>
      </c>
      <c r="AL264" t="s">
        <v>274</v>
      </c>
      <c r="AT264">
        <v>2</v>
      </c>
      <c r="AU264">
        <v>2</v>
      </c>
      <c r="AV264" t="s">
        <v>273</v>
      </c>
      <c r="AY264" t="s">
        <v>273</v>
      </c>
      <c r="BB264">
        <v>0</v>
      </c>
      <c r="BC264">
        <v>0</v>
      </c>
      <c r="BD264">
        <v>0</v>
      </c>
      <c r="BE264">
        <v>0</v>
      </c>
      <c r="BF264" t="s">
        <v>1063</v>
      </c>
      <c r="BG264" t="s">
        <v>6669</v>
      </c>
      <c r="BH264">
        <v>36</v>
      </c>
      <c r="BI264" t="s">
        <v>1247</v>
      </c>
      <c r="BK264">
        <v>1889665</v>
      </c>
    </row>
    <row r="265" spans="1:63">
      <c r="A265" s="1">
        <f>HYPERLINK("https://lsnyc.legalserver.org/matter/dynamic-profile/view/1893459","19-1893459")</f>
        <v>0</v>
      </c>
      <c r="B265" t="s">
        <v>5300</v>
      </c>
      <c r="C265" t="s">
        <v>5625</v>
      </c>
      <c r="D265" t="s">
        <v>252</v>
      </c>
      <c r="E265" t="s">
        <v>3694</v>
      </c>
      <c r="F265" t="s">
        <v>274</v>
      </c>
      <c r="G265" t="s">
        <v>274</v>
      </c>
      <c r="H265">
        <v>0</v>
      </c>
      <c r="I265" t="s">
        <v>274</v>
      </c>
      <c r="K265" t="s">
        <v>333</v>
      </c>
      <c r="Q265" t="s">
        <v>502</v>
      </c>
      <c r="S265" t="s">
        <v>503</v>
      </c>
      <c r="T265" t="s">
        <v>507</v>
      </c>
      <c r="U265" t="s">
        <v>511</v>
      </c>
      <c r="V265">
        <v>11224</v>
      </c>
      <c r="W265" t="s">
        <v>519</v>
      </c>
      <c r="X265" t="s">
        <v>553</v>
      </c>
      <c r="Z265" t="s">
        <v>623</v>
      </c>
      <c r="AA265" t="s">
        <v>6223</v>
      </c>
      <c r="AB265" t="s">
        <v>902</v>
      </c>
      <c r="AC265" t="s">
        <v>905</v>
      </c>
      <c r="AF265" t="s">
        <v>926</v>
      </c>
      <c r="AI265">
        <v>0.95</v>
      </c>
      <c r="AK265" t="s">
        <v>948</v>
      </c>
      <c r="AL265" t="s">
        <v>274</v>
      </c>
      <c r="AT265">
        <v>2</v>
      </c>
      <c r="AU265">
        <v>2</v>
      </c>
      <c r="AV265" t="s">
        <v>273</v>
      </c>
      <c r="AY265" t="s">
        <v>273</v>
      </c>
      <c r="BB265">
        <v>0</v>
      </c>
      <c r="BC265">
        <v>0</v>
      </c>
      <c r="BD265">
        <v>0</v>
      </c>
      <c r="BE265">
        <v>0</v>
      </c>
      <c r="BF265" t="s">
        <v>1063</v>
      </c>
      <c r="BG265" t="s">
        <v>6670</v>
      </c>
      <c r="BH265">
        <v>5</v>
      </c>
      <c r="BI265" t="s">
        <v>1247</v>
      </c>
      <c r="BK265">
        <v>1889665</v>
      </c>
    </row>
    <row r="266" spans="1:63">
      <c r="A266" s="1">
        <f>HYPERLINK("https://lsnyc.legalserver.org/matter/dynamic-profile/view/1893461","19-1893461")</f>
        <v>0</v>
      </c>
      <c r="B266" t="s">
        <v>5170</v>
      </c>
      <c r="C266" t="s">
        <v>5625</v>
      </c>
      <c r="D266" t="s">
        <v>252</v>
      </c>
      <c r="E266" t="s">
        <v>3694</v>
      </c>
      <c r="F266" t="s">
        <v>274</v>
      </c>
      <c r="G266" t="s">
        <v>274</v>
      </c>
      <c r="H266">
        <v>0</v>
      </c>
      <c r="I266" t="s">
        <v>274</v>
      </c>
      <c r="K266" t="s">
        <v>333</v>
      </c>
      <c r="Q266" t="s">
        <v>502</v>
      </c>
      <c r="S266" t="s">
        <v>503</v>
      </c>
      <c r="T266" t="s">
        <v>507</v>
      </c>
      <c r="U266" t="s">
        <v>511</v>
      </c>
      <c r="V266">
        <v>11224</v>
      </c>
      <c r="W266" t="s">
        <v>519</v>
      </c>
      <c r="X266" t="s">
        <v>553</v>
      </c>
      <c r="Z266" t="s">
        <v>5750</v>
      </c>
      <c r="AA266" t="s">
        <v>6130</v>
      </c>
      <c r="AB266" t="s">
        <v>902</v>
      </c>
      <c r="AC266" t="s">
        <v>905</v>
      </c>
      <c r="AF266" t="s">
        <v>926</v>
      </c>
      <c r="AI266">
        <v>0.65</v>
      </c>
      <c r="AJ266" t="s">
        <v>558</v>
      </c>
      <c r="AK266" t="s">
        <v>948</v>
      </c>
      <c r="AL266" t="s">
        <v>274</v>
      </c>
      <c r="AT266">
        <v>2</v>
      </c>
      <c r="AU266">
        <v>2</v>
      </c>
      <c r="AV266" t="s">
        <v>273</v>
      </c>
      <c r="AY266" t="s">
        <v>273</v>
      </c>
      <c r="BB266">
        <v>0</v>
      </c>
      <c r="BC266">
        <v>0</v>
      </c>
      <c r="BD266">
        <v>0</v>
      </c>
      <c r="BE266">
        <v>0</v>
      </c>
      <c r="BF266" t="s">
        <v>1063</v>
      </c>
      <c r="BG266" t="s">
        <v>6552</v>
      </c>
      <c r="BH266">
        <v>16</v>
      </c>
      <c r="BI266" t="s">
        <v>1247</v>
      </c>
      <c r="BK266">
        <v>1889665</v>
      </c>
    </row>
    <row r="267" spans="1:63">
      <c r="A267" s="1">
        <f>HYPERLINK("https://lsnyc.legalserver.org/matter/dynamic-profile/view/1893186","19-1893186")</f>
        <v>0</v>
      </c>
      <c r="B267" t="s">
        <v>5301</v>
      </c>
      <c r="C267" t="s">
        <v>5625</v>
      </c>
      <c r="D267" t="s">
        <v>257</v>
      </c>
      <c r="E267" t="s">
        <v>5630</v>
      </c>
      <c r="F267" t="s">
        <v>274</v>
      </c>
      <c r="G267" t="s">
        <v>274</v>
      </c>
      <c r="H267">
        <v>65.63</v>
      </c>
      <c r="I267" t="s">
        <v>274</v>
      </c>
      <c r="K267" t="s">
        <v>2387</v>
      </c>
      <c r="O267" t="s">
        <v>274</v>
      </c>
      <c r="P267" t="s">
        <v>498</v>
      </c>
      <c r="Q267" t="s">
        <v>501</v>
      </c>
      <c r="S267" t="s">
        <v>503</v>
      </c>
      <c r="T267" t="s">
        <v>507</v>
      </c>
      <c r="U267" t="s">
        <v>511</v>
      </c>
      <c r="V267">
        <v>10451</v>
      </c>
      <c r="W267" t="s">
        <v>517</v>
      </c>
      <c r="X267" t="s">
        <v>549</v>
      </c>
      <c r="Z267" t="s">
        <v>5837</v>
      </c>
      <c r="AA267" t="s">
        <v>6224</v>
      </c>
      <c r="AB267" t="s">
        <v>902</v>
      </c>
      <c r="AC267" t="s">
        <v>904</v>
      </c>
      <c r="AF267" t="s">
        <v>923</v>
      </c>
      <c r="AI267">
        <v>2.61</v>
      </c>
      <c r="AJ267" t="s">
        <v>558</v>
      </c>
      <c r="AK267" t="s">
        <v>3253</v>
      </c>
      <c r="AL267" t="s">
        <v>274</v>
      </c>
      <c r="AM267" t="s">
        <v>973</v>
      </c>
      <c r="AN267" t="s">
        <v>485</v>
      </c>
      <c r="AT267">
        <v>2</v>
      </c>
      <c r="AU267">
        <v>2</v>
      </c>
      <c r="AV267" t="s">
        <v>273</v>
      </c>
      <c r="AY267" t="s">
        <v>273</v>
      </c>
      <c r="BB267">
        <v>0</v>
      </c>
      <c r="BC267">
        <v>0</v>
      </c>
      <c r="BD267">
        <v>0</v>
      </c>
      <c r="BE267">
        <v>0</v>
      </c>
      <c r="BF267" t="s">
        <v>1063</v>
      </c>
      <c r="BG267" t="s">
        <v>6671</v>
      </c>
      <c r="BH267">
        <v>35</v>
      </c>
      <c r="BI267" t="s">
        <v>7046</v>
      </c>
      <c r="BK267">
        <v>1893822</v>
      </c>
    </row>
    <row r="268" spans="1:63">
      <c r="A268" s="1">
        <f>HYPERLINK("https://lsnyc.legalserver.org/matter/dynamic-profile/view/1893227","19-1893227")</f>
        <v>0</v>
      </c>
      <c r="B268" t="s">
        <v>5302</v>
      </c>
      <c r="C268" t="s">
        <v>5625</v>
      </c>
      <c r="D268" t="s">
        <v>257</v>
      </c>
      <c r="E268" t="s">
        <v>5630</v>
      </c>
      <c r="F268" t="s">
        <v>274</v>
      </c>
      <c r="G268" t="s">
        <v>274</v>
      </c>
      <c r="H268">
        <v>82.86</v>
      </c>
      <c r="I268" t="s">
        <v>274</v>
      </c>
      <c r="K268" t="s">
        <v>2387</v>
      </c>
      <c r="O268" t="s">
        <v>275</v>
      </c>
      <c r="Q268" t="s">
        <v>501</v>
      </c>
      <c r="S268" t="s">
        <v>503</v>
      </c>
      <c r="T268" t="s">
        <v>507</v>
      </c>
      <c r="U268" t="s">
        <v>511</v>
      </c>
      <c r="V268">
        <v>10468</v>
      </c>
      <c r="W268" t="s">
        <v>532</v>
      </c>
      <c r="X268" t="s">
        <v>548</v>
      </c>
      <c r="Z268" t="s">
        <v>3839</v>
      </c>
      <c r="AA268" t="s">
        <v>4742</v>
      </c>
      <c r="AB268" t="s">
        <v>902</v>
      </c>
      <c r="AC268" t="s">
        <v>906</v>
      </c>
      <c r="AF268" t="s">
        <v>923</v>
      </c>
      <c r="AI268">
        <v>4.7</v>
      </c>
      <c r="AJ268" t="s">
        <v>558</v>
      </c>
      <c r="AK268" t="s">
        <v>933</v>
      </c>
      <c r="AL268" t="s">
        <v>274</v>
      </c>
      <c r="AT268">
        <v>3</v>
      </c>
      <c r="AU268">
        <v>2</v>
      </c>
      <c r="AV268" t="s">
        <v>273</v>
      </c>
      <c r="AY268" t="s">
        <v>273</v>
      </c>
      <c r="BB268">
        <v>0</v>
      </c>
      <c r="BC268">
        <v>0</v>
      </c>
      <c r="BD268">
        <v>0</v>
      </c>
      <c r="BE268">
        <v>0</v>
      </c>
      <c r="BF268" t="s">
        <v>1063</v>
      </c>
      <c r="BG268" t="s">
        <v>6672</v>
      </c>
      <c r="BH268">
        <v>35</v>
      </c>
      <c r="BI268" t="s">
        <v>1274</v>
      </c>
      <c r="BK268">
        <v>819291</v>
      </c>
    </row>
    <row r="269" spans="1:63">
      <c r="A269" s="1">
        <f>HYPERLINK("https://lsnyc.legalserver.org/matter/dynamic-profile/view/1892721","19-1892721")</f>
        <v>0</v>
      </c>
      <c r="B269" t="s">
        <v>5303</v>
      </c>
      <c r="C269" t="s">
        <v>5625</v>
      </c>
      <c r="D269" t="s">
        <v>252</v>
      </c>
      <c r="E269" t="s">
        <v>5630</v>
      </c>
      <c r="F269" t="s">
        <v>274</v>
      </c>
      <c r="G269" t="s">
        <v>274</v>
      </c>
      <c r="H269">
        <v>0</v>
      </c>
      <c r="I269" t="s">
        <v>274</v>
      </c>
      <c r="K269" t="s">
        <v>335</v>
      </c>
      <c r="O269" t="s">
        <v>275</v>
      </c>
      <c r="P269" t="s">
        <v>498</v>
      </c>
      <c r="Q269" t="s">
        <v>501</v>
      </c>
      <c r="S269" t="s">
        <v>503</v>
      </c>
      <c r="T269" t="s">
        <v>507</v>
      </c>
      <c r="U269" t="s">
        <v>511</v>
      </c>
      <c r="V269">
        <v>11230</v>
      </c>
      <c r="W269" t="s">
        <v>521</v>
      </c>
      <c r="X269" t="s">
        <v>553</v>
      </c>
      <c r="Y269" t="s">
        <v>275</v>
      </c>
      <c r="Z269" t="s">
        <v>4601</v>
      </c>
      <c r="AA269" t="s">
        <v>6225</v>
      </c>
      <c r="AB269" t="s">
        <v>902</v>
      </c>
      <c r="AC269" t="s">
        <v>905</v>
      </c>
      <c r="AF269" t="s">
        <v>923</v>
      </c>
      <c r="AI269">
        <v>9.81</v>
      </c>
      <c r="AJ269" t="s">
        <v>558</v>
      </c>
      <c r="AK269" t="s">
        <v>3260</v>
      </c>
      <c r="AL269" t="s">
        <v>274</v>
      </c>
      <c r="AM269" t="s">
        <v>973</v>
      </c>
      <c r="AN269" t="s">
        <v>468</v>
      </c>
      <c r="AT269">
        <v>0</v>
      </c>
      <c r="AU269">
        <v>2</v>
      </c>
      <c r="AV269" t="s">
        <v>273</v>
      </c>
      <c r="AY269" t="s">
        <v>273</v>
      </c>
      <c r="BB269">
        <v>0</v>
      </c>
      <c r="BC269">
        <v>0</v>
      </c>
      <c r="BD269">
        <v>0</v>
      </c>
      <c r="BE269">
        <v>0</v>
      </c>
      <c r="BF269" t="s">
        <v>1063</v>
      </c>
      <c r="BG269" t="s">
        <v>6673</v>
      </c>
      <c r="BH269">
        <v>38</v>
      </c>
      <c r="BI269" t="s">
        <v>1247</v>
      </c>
      <c r="BK269">
        <v>1893357</v>
      </c>
    </row>
    <row r="270" spans="1:63">
      <c r="A270" s="1">
        <f>HYPERLINK("https://lsnyc.legalserver.org/matter/dynamic-profile/view/1892768","19-1892768")</f>
        <v>0</v>
      </c>
      <c r="B270" t="s">
        <v>5304</v>
      </c>
      <c r="C270" t="s">
        <v>5625</v>
      </c>
      <c r="D270" t="s">
        <v>252</v>
      </c>
      <c r="E270" t="s">
        <v>5630</v>
      </c>
      <c r="F270" t="s">
        <v>274</v>
      </c>
      <c r="G270" t="s">
        <v>274</v>
      </c>
      <c r="H270">
        <v>105.88</v>
      </c>
      <c r="I270" t="s">
        <v>274</v>
      </c>
      <c r="K270" t="s">
        <v>335</v>
      </c>
      <c r="O270" t="s">
        <v>274</v>
      </c>
      <c r="Q270" t="s">
        <v>501</v>
      </c>
      <c r="S270" t="s">
        <v>503</v>
      </c>
      <c r="T270" t="s">
        <v>508</v>
      </c>
      <c r="U270" t="s">
        <v>511</v>
      </c>
      <c r="V270">
        <v>11236</v>
      </c>
      <c r="W270" t="s">
        <v>517</v>
      </c>
      <c r="X270" t="s">
        <v>549</v>
      </c>
      <c r="Z270" t="s">
        <v>5838</v>
      </c>
      <c r="AA270" t="s">
        <v>785</v>
      </c>
      <c r="AB270" t="s">
        <v>902</v>
      </c>
      <c r="AC270" t="s">
        <v>904</v>
      </c>
      <c r="AF270" t="s">
        <v>923</v>
      </c>
      <c r="AI270">
        <v>5.6</v>
      </c>
      <c r="AJ270" t="s">
        <v>558</v>
      </c>
      <c r="AK270" t="s">
        <v>939</v>
      </c>
      <c r="AL270" t="s">
        <v>274</v>
      </c>
      <c r="AT270">
        <v>3</v>
      </c>
      <c r="AU270">
        <v>1</v>
      </c>
      <c r="AV270" t="s">
        <v>273</v>
      </c>
      <c r="AY270" t="s">
        <v>273</v>
      </c>
      <c r="BB270">
        <v>0</v>
      </c>
      <c r="BC270">
        <v>0</v>
      </c>
      <c r="BD270">
        <v>0</v>
      </c>
      <c r="BE270">
        <v>0</v>
      </c>
      <c r="BF270" t="s">
        <v>1063</v>
      </c>
      <c r="BG270" t="s">
        <v>6674</v>
      </c>
      <c r="BH270">
        <v>34</v>
      </c>
      <c r="BI270" t="s">
        <v>7047</v>
      </c>
      <c r="BK270">
        <v>189240</v>
      </c>
    </row>
    <row r="271" spans="1:63">
      <c r="A271" s="1">
        <f>HYPERLINK("https://lsnyc.legalserver.org/matter/dynamic-profile/view/1892550","19-1892550")</f>
        <v>0</v>
      </c>
      <c r="B271" t="s">
        <v>5305</v>
      </c>
      <c r="C271" t="s">
        <v>5625</v>
      </c>
      <c r="D271" t="s">
        <v>252</v>
      </c>
      <c r="E271" t="s">
        <v>264</v>
      </c>
      <c r="F271" t="s">
        <v>274</v>
      </c>
      <c r="G271" t="s">
        <v>274</v>
      </c>
      <c r="H271">
        <v>165.58</v>
      </c>
      <c r="I271" t="s">
        <v>274</v>
      </c>
      <c r="K271" t="s">
        <v>336</v>
      </c>
      <c r="O271" t="s">
        <v>274</v>
      </c>
      <c r="P271" t="s">
        <v>498</v>
      </c>
      <c r="Q271" t="s">
        <v>501</v>
      </c>
      <c r="S271" t="s">
        <v>503</v>
      </c>
      <c r="T271" t="s">
        <v>508</v>
      </c>
      <c r="U271" t="s">
        <v>511</v>
      </c>
      <c r="V271">
        <v>11208</v>
      </c>
      <c r="X271" t="s">
        <v>549</v>
      </c>
      <c r="Z271" t="s">
        <v>5839</v>
      </c>
      <c r="AA271" t="s">
        <v>2287</v>
      </c>
      <c r="AB271" t="s">
        <v>902</v>
      </c>
      <c r="AC271" t="s">
        <v>904</v>
      </c>
      <c r="AF271" t="s">
        <v>925</v>
      </c>
      <c r="AI271">
        <v>1.15</v>
      </c>
      <c r="AJ271" t="s">
        <v>558</v>
      </c>
      <c r="AK271" t="s">
        <v>953</v>
      </c>
      <c r="AL271" t="s">
        <v>274</v>
      </c>
      <c r="AT271">
        <v>1</v>
      </c>
      <c r="AU271">
        <v>1</v>
      </c>
      <c r="AV271" t="s">
        <v>273</v>
      </c>
      <c r="AY271" t="s">
        <v>273</v>
      </c>
      <c r="BB271">
        <v>0</v>
      </c>
      <c r="BC271">
        <v>0</v>
      </c>
      <c r="BD271">
        <v>0</v>
      </c>
      <c r="BE271">
        <v>0</v>
      </c>
      <c r="BF271" t="s">
        <v>1063</v>
      </c>
      <c r="BG271" t="s">
        <v>6675</v>
      </c>
      <c r="BH271">
        <v>37</v>
      </c>
      <c r="BI271" t="s">
        <v>6987</v>
      </c>
      <c r="BK271">
        <v>1893186</v>
      </c>
    </row>
    <row r="272" spans="1:63">
      <c r="A272" s="1">
        <f>HYPERLINK("https://lsnyc.legalserver.org/matter/dynamic-profile/view/1892366","19-1892366")</f>
        <v>0</v>
      </c>
      <c r="B272" t="s">
        <v>5306</v>
      </c>
      <c r="C272" t="s">
        <v>5625</v>
      </c>
      <c r="D272" t="s">
        <v>257</v>
      </c>
      <c r="E272" t="s">
        <v>3694</v>
      </c>
      <c r="F272" t="s">
        <v>274</v>
      </c>
      <c r="G272" t="s">
        <v>274</v>
      </c>
      <c r="H272">
        <v>55.81</v>
      </c>
      <c r="I272" t="s">
        <v>274</v>
      </c>
      <c r="K272" t="s">
        <v>1021</v>
      </c>
      <c r="O272" t="s">
        <v>274</v>
      </c>
      <c r="Q272" t="s">
        <v>501</v>
      </c>
      <c r="S272" t="s">
        <v>503</v>
      </c>
      <c r="T272" t="s">
        <v>508</v>
      </c>
      <c r="U272" t="s">
        <v>511</v>
      </c>
      <c r="V272">
        <v>10456</v>
      </c>
      <c r="W272" t="s">
        <v>1831</v>
      </c>
      <c r="X272" t="s">
        <v>548</v>
      </c>
      <c r="Z272" t="s">
        <v>5840</v>
      </c>
      <c r="AA272" t="s">
        <v>6226</v>
      </c>
      <c r="AB272" t="s">
        <v>902</v>
      </c>
      <c r="AC272" t="s">
        <v>904</v>
      </c>
      <c r="AF272" t="s">
        <v>923</v>
      </c>
      <c r="AI272">
        <v>13</v>
      </c>
      <c r="AJ272" t="s">
        <v>558</v>
      </c>
      <c r="AK272" t="s">
        <v>950</v>
      </c>
      <c r="AL272" t="s">
        <v>274</v>
      </c>
      <c r="AT272">
        <v>2</v>
      </c>
      <c r="AU272">
        <v>1</v>
      </c>
      <c r="AV272" t="s">
        <v>273</v>
      </c>
      <c r="AY272" t="s">
        <v>273</v>
      </c>
      <c r="BB272">
        <v>0</v>
      </c>
      <c r="BC272">
        <v>0</v>
      </c>
      <c r="BD272">
        <v>0</v>
      </c>
      <c r="BE272">
        <v>0</v>
      </c>
      <c r="BF272" t="s">
        <v>1063</v>
      </c>
      <c r="BG272" t="s">
        <v>6676</v>
      </c>
      <c r="BH272">
        <v>29</v>
      </c>
      <c r="BI272" t="s">
        <v>7048</v>
      </c>
      <c r="BK272">
        <v>1893002</v>
      </c>
    </row>
    <row r="273" spans="1:63">
      <c r="A273" s="1">
        <f>HYPERLINK("https://lsnyc.legalserver.org/matter/dynamic-profile/view/1892396","19-1892396")</f>
        <v>0</v>
      </c>
      <c r="B273" t="s">
        <v>5307</v>
      </c>
      <c r="C273" t="s">
        <v>5625</v>
      </c>
      <c r="D273" t="s">
        <v>253</v>
      </c>
      <c r="E273" t="s">
        <v>3694</v>
      </c>
      <c r="F273" t="s">
        <v>274</v>
      </c>
      <c r="G273" t="s">
        <v>274</v>
      </c>
      <c r="H273">
        <v>103.14</v>
      </c>
      <c r="I273" t="s">
        <v>274</v>
      </c>
      <c r="K273" t="s">
        <v>1021</v>
      </c>
      <c r="O273" t="s">
        <v>274</v>
      </c>
      <c r="Q273" t="s">
        <v>501</v>
      </c>
      <c r="S273" t="s">
        <v>503</v>
      </c>
      <c r="T273" t="s">
        <v>508</v>
      </c>
      <c r="U273" t="s">
        <v>511</v>
      </c>
      <c r="V273">
        <v>11420</v>
      </c>
      <c r="W273" t="s">
        <v>517</v>
      </c>
      <c r="X273" t="s">
        <v>548</v>
      </c>
      <c r="Z273" t="s">
        <v>5841</v>
      </c>
      <c r="AA273" t="s">
        <v>2350</v>
      </c>
      <c r="AB273" t="s">
        <v>902</v>
      </c>
      <c r="AC273" t="s">
        <v>904</v>
      </c>
      <c r="AF273" t="s">
        <v>923</v>
      </c>
      <c r="AI273">
        <v>2.8</v>
      </c>
      <c r="AJ273" t="s">
        <v>558</v>
      </c>
      <c r="AK273" t="s">
        <v>950</v>
      </c>
      <c r="AL273" t="s">
        <v>274</v>
      </c>
      <c r="AT273">
        <v>2</v>
      </c>
      <c r="AU273">
        <v>1</v>
      </c>
      <c r="AV273" t="s">
        <v>273</v>
      </c>
      <c r="AY273" t="s">
        <v>273</v>
      </c>
      <c r="BB273">
        <v>0</v>
      </c>
      <c r="BC273">
        <v>0</v>
      </c>
      <c r="BD273">
        <v>0</v>
      </c>
      <c r="BE273">
        <v>0</v>
      </c>
      <c r="BF273" t="s">
        <v>1063</v>
      </c>
      <c r="BG273" t="s">
        <v>6677</v>
      </c>
      <c r="BH273">
        <v>32</v>
      </c>
      <c r="BI273" t="s">
        <v>2738</v>
      </c>
      <c r="BK273">
        <v>1893032</v>
      </c>
    </row>
    <row r="274" spans="1:63">
      <c r="A274" s="1">
        <f>HYPERLINK("https://lsnyc.legalserver.org/matter/dynamic-profile/view/1892209","19-1892209")</f>
        <v>0</v>
      </c>
      <c r="B274" t="s">
        <v>5308</v>
      </c>
      <c r="C274" t="s">
        <v>5625</v>
      </c>
      <c r="D274" t="s">
        <v>257</v>
      </c>
      <c r="E274" t="s">
        <v>264</v>
      </c>
      <c r="F274" t="s">
        <v>274</v>
      </c>
      <c r="G274" t="s">
        <v>274</v>
      </c>
      <c r="H274">
        <v>14.19</v>
      </c>
      <c r="I274" t="s">
        <v>274</v>
      </c>
      <c r="K274" t="s">
        <v>1697</v>
      </c>
      <c r="L274" t="s">
        <v>1004</v>
      </c>
      <c r="O274" t="s">
        <v>274</v>
      </c>
      <c r="P274" t="s">
        <v>493</v>
      </c>
      <c r="Q274" t="s">
        <v>501</v>
      </c>
      <c r="S274" t="s">
        <v>503</v>
      </c>
      <c r="T274" t="s">
        <v>508</v>
      </c>
      <c r="U274" t="s">
        <v>511</v>
      </c>
      <c r="V274">
        <v>10451</v>
      </c>
      <c r="W274" t="s">
        <v>532</v>
      </c>
      <c r="X274" t="s">
        <v>549</v>
      </c>
      <c r="Y274" t="s">
        <v>275</v>
      </c>
      <c r="Z274" t="s">
        <v>5842</v>
      </c>
      <c r="AA274" t="s">
        <v>6227</v>
      </c>
      <c r="AB274" t="s">
        <v>902</v>
      </c>
      <c r="AC274" t="s">
        <v>905</v>
      </c>
      <c r="AD274" t="s">
        <v>274</v>
      </c>
      <c r="AE274" t="s">
        <v>920</v>
      </c>
      <c r="AF274" t="s">
        <v>928</v>
      </c>
      <c r="AI274">
        <v>2.4</v>
      </c>
      <c r="AJ274" t="s">
        <v>558</v>
      </c>
      <c r="AK274" t="s">
        <v>939</v>
      </c>
      <c r="AL274" t="s">
        <v>274</v>
      </c>
      <c r="AQ274" t="s">
        <v>1033</v>
      </c>
      <c r="AR274" t="s">
        <v>1052</v>
      </c>
      <c r="AT274">
        <v>1</v>
      </c>
      <c r="AU274">
        <v>1</v>
      </c>
      <c r="AV274" t="s">
        <v>273</v>
      </c>
      <c r="AY274" t="s">
        <v>273</v>
      </c>
      <c r="BB274">
        <v>0</v>
      </c>
      <c r="BC274">
        <v>0</v>
      </c>
      <c r="BD274">
        <v>0</v>
      </c>
      <c r="BE274">
        <v>0</v>
      </c>
      <c r="BF274" t="s">
        <v>493</v>
      </c>
      <c r="BG274" t="s">
        <v>6678</v>
      </c>
      <c r="BH274">
        <v>33</v>
      </c>
      <c r="BI274" t="s">
        <v>1291</v>
      </c>
      <c r="BK274">
        <v>1892845</v>
      </c>
    </row>
    <row r="275" spans="1:63">
      <c r="A275" s="1">
        <f>HYPERLINK("https://lsnyc.legalserver.org/matter/dynamic-profile/view/1892225","19-1892225")</f>
        <v>0</v>
      </c>
      <c r="B275" t="s">
        <v>5309</v>
      </c>
      <c r="C275" t="s">
        <v>5625</v>
      </c>
      <c r="D275" t="s">
        <v>257</v>
      </c>
      <c r="E275" t="s">
        <v>5630</v>
      </c>
      <c r="F275" t="s">
        <v>274</v>
      </c>
      <c r="G275" t="s">
        <v>274</v>
      </c>
      <c r="H275">
        <v>19.15</v>
      </c>
      <c r="I275" t="s">
        <v>274</v>
      </c>
      <c r="K275" t="s">
        <v>1697</v>
      </c>
      <c r="O275" t="s">
        <v>274</v>
      </c>
      <c r="Q275" t="s">
        <v>501</v>
      </c>
      <c r="S275" t="s">
        <v>503</v>
      </c>
      <c r="T275" t="s">
        <v>507</v>
      </c>
      <c r="U275" t="s">
        <v>511</v>
      </c>
      <c r="V275">
        <v>10456</v>
      </c>
      <c r="W275" t="s">
        <v>517</v>
      </c>
      <c r="X275" t="s">
        <v>549</v>
      </c>
      <c r="Y275" t="s">
        <v>274</v>
      </c>
      <c r="Z275" t="s">
        <v>5843</v>
      </c>
      <c r="AA275" t="s">
        <v>6228</v>
      </c>
      <c r="AB275" t="s">
        <v>902</v>
      </c>
      <c r="AC275" t="s">
        <v>904</v>
      </c>
      <c r="AD275" t="s">
        <v>275</v>
      </c>
      <c r="AF275" t="s">
        <v>923</v>
      </c>
      <c r="AI275">
        <v>3.6</v>
      </c>
      <c r="AJ275" t="s">
        <v>558</v>
      </c>
      <c r="AK275" t="s">
        <v>939</v>
      </c>
      <c r="AL275" t="s">
        <v>274</v>
      </c>
      <c r="AQ275" t="s">
        <v>1033</v>
      </c>
      <c r="AR275" t="s">
        <v>1053</v>
      </c>
      <c r="AT275">
        <v>0</v>
      </c>
      <c r="AU275">
        <v>1</v>
      </c>
      <c r="AV275" t="s">
        <v>273</v>
      </c>
      <c r="AY275" t="s">
        <v>273</v>
      </c>
      <c r="BB275">
        <v>0</v>
      </c>
      <c r="BC275">
        <v>0</v>
      </c>
      <c r="BD275">
        <v>0</v>
      </c>
      <c r="BE275">
        <v>0</v>
      </c>
      <c r="BF275" t="s">
        <v>1063</v>
      </c>
      <c r="BG275" t="s">
        <v>6679</v>
      </c>
      <c r="BH275">
        <v>64</v>
      </c>
      <c r="BI275" t="s">
        <v>7049</v>
      </c>
      <c r="BJ275" t="s">
        <v>452</v>
      </c>
      <c r="BK275">
        <v>1892861</v>
      </c>
    </row>
    <row r="276" spans="1:63">
      <c r="A276" s="1">
        <f>HYPERLINK("https://lsnyc.legalserver.org/matter/dynamic-profile/view/1892163","19-1892163")</f>
        <v>0</v>
      </c>
      <c r="B276" t="s">
        <v>5310</v>
      </c>
      <c r="C276" t="s">
        <v>5625</v>
      </c>
      <c r="D276" t="s">
        <v>255</v>
      </c>
      <c r="E276" t="s">
        <v>3694</v>
      </c>
      <c r="F276" t="s">
        <v>274</v>
      </c>
      <c r="G276" t="s">
        <v>274</v>
      </c>
      <c r="H276">
        <v>192.15</v>
      </c>
      <c r="I276" t="s">
        <v>274</v>
      </c>
      <c r="K276" t="s">
        <v>337</v>
      </c>
      <c r="Q276" t="s">
        <v>501</v>
      </c>
      <c r="S276" t="s">
        <v>503</v>
      </c>
      <c r="T276" t="s">
        <v>507</v>
      </c>
      <c r="U276" t="s">
        <v>511</v>
      </c>
      <c r="V276">
        <v>10033</v>
      </c>
      <c r="W276" t="s">
        <v>525</v>
      </c>
      <c r="X276" t="s">
        <v>548</v>
      </c>
      <c r="Z276" t="s">
        <v>1877</v>
      </c>
      <c r="AA276" t="s">
        <v>6229</v>
      </c>
      <c r="AB276" t="s">
        <v>902</v>
      </c>
      <c r="AC276" t="s">
        <v>904</v>
      </c>
      <c r="AF276" t="s">
        <v>923</v>
      </c>
      <c r="AI276">
        <v>0.3</v>
      </c>
      <c r="AJ276" t="s">
        <v>558</v>
      </c>
      <c r="AK276" t="s">
        <v>950</v>
      </c>
      <c r="AL276" t="s">
        <v>274</v>
      </c>
      <c r="AT276">
        <v>0</v>
      </c>
      <c r="AU276">
        <v>1</v>
      </c>
      <c r="AV276" t="s">
        <v>273</v>
      </c>
      <c r="AY276" t="s">
        <v>273</v>
      </c>
      <c r="BB276">
        <v>0</v>
      </c>
      <c r="BC276">
        <v>0</v>
      </c>
      <c r="BD276">
        <v>0</v>
      </c>
      <c r="BE276">
        <v>0</v>
      </c>
      <c r="BF276" t="s">
        <v>1063</v>
      </c>
      <c r="BG276" t="s">
        <v>6680</v>
      </c>
      <c r="BH276">
        <v>41</v>
      </c>
      <c r="BI276" t="s">
        <v>1259</v>
      </c>
      <c r="BK276">
        <v>1844250</v>
      </c>
    </row>
    <row r="277" spans="1:63">
      <c r="A277" s="1">
        <f>HYPERLINK("https://lsnyc.legalserver.org/matter/dynamic-profile/view/1891955","19-1891955")</f>
        <v>0</v>
      </c>
      <c r="B277" t="s">
        <v>5311</v>
      </c>
      <c r="C277" t="s">
        <v>5625</v>
      </c>
      <c r="D277" t="s">
        <v>256</v>
      </c>
      <c r="E277" t="s">
        <v>3694</v>
      </c>
      <c r="F277" t="s">
        <v>274</v>
      </c>
      <c r="G277" t="s">
        <v>274</v>
      </c>
      <c r="H277">
        <v>0</v>
      </c>
      <c r="I277" t="s">
        <v>274</v>
      </c>
      <c r="K277" t="s">
        <v>338</v>
      </c>
      <c r="O277" t="s">
        <v>274</v>
      </c>
      <c r="Q277" t="s">
        <v>501</v>
      </c>
      <c r="S277" t="s">
        <v>503</v>
      </c>
      <c r="T277" t="s">
        <v>507</v>
      </c>
      <c r="U277" t="s">
        <v>511</v>
      </c>
      <c r="V277">
        <v>7102</v>
      </c>
      <c r="W277" t="s">
        <v>517</v>
      </c>
      <c r="X277" t="s">
        <v>548</v>
      </c>
      <c r="Z277" t="s">
        <v>632</v>
      </c>
      <c r="AA277" t="s">
        <v>6230</v>
      </c>
      <c r="AB277" t="s">
        <v>902</v>
      </c>
      <c r="AC277" t="s">
        <v>904</v>
      </c>
      <c r="AF277" t="s">
        <v>923</v>
      </c>
      <c r="AI277">
        <v>3.5</v>
      </c>
      <c r="AK277" t="s">
        <v>947</v>
      </c>
      <c r="AL277" t="s">
        <v>274</v>
      </c>
      <c r="AT277">
        <v>0</v>
      </c>
      <c r="AU277">
        <v>1</v>
      </c>
      <c r="AV277" t="s">
        <v>273</v>
      </c>
      <c r="AY277" t="s">
        <v>273</v>
      </c>
      <c r="BB277">
        <v>0</v>
      </c>
      <c r="BC277">
        <v>0</v>
      </c>
      <c r="BD277">
        <v>0</v>
      </c>
      <c r="BE277">
        <v>0</v>
      </c>
      <c r="BF277" t="s">
        <v>1063</v>
      </c>
      <c r="BG277" t="s">
        <v>6681</v>
      </c>
      <c r="BH277">
        <v>56</v>
      </c>
      <c r="BI277" t="s">
        <v>1247</v>
      </c>
      <c r="BK277">
        <v>1892591</v>
      </c>
    </row>
    <row r="278" spans="1:63">
      <c r="A278" s="1">
        <f>HYPERLINK("https://lsnyc.legalserver.org/matter/dynamic-profile/view/1891538","19-1891538")</f>
        <v>0</v>
      </c>
      <c r="B278" t="s">
        <v>5312</v>
      </c>
      <c r="C278" t="s">
        <v>5625</v>
      </c>
      <c r="D278" t="s">
        <v>257</v>
      </c>
      <c r="E278" t="s">
        <v>264</v>
      </c>
      <c r="F278" t="s">
        <v>274</v>
      </c>
      <c r="G278" t="s">
        <v>274</v>
      </c>
      <c r="H278">
        <v>175.18</v>
      </c>
      <c r="I278" t="s">
        <v>274</v>
      </c>
      <c r="K278" t="s">
        <v>1698</v>
      </c>
      <c r="L278" t="s">
        <v>299</v>
      </c>
      <c r="O278" t="s">
        <v>274</v>
      </c>
      <c r="P278" t="s">
        <v>498</v>
      </c>
      <c r="Q278" t="s">
        <v>501</v>
      </c>
      <c r="S278" t="s">
        <v>503</v>
      </c>
      <c r="T278" t="s">
        <v>507</v>
      </c>
      <c r="U278" t="s">
        <v>511</v>
      </c>
      <c r="V278">
        <v>10458</v>
      </c>
      <c r="W278" t="s">
        <v>532</v>
      </c>
      <c r="X278" t="s">
        <v>548</v>
      </c>
      <c r="Y278" t="s">
        <v>274</v>
      </c>
      <c r="Z278" t="s">
        <v>664</v>
      </c>
      <c r="AA278" t="s">
        <v>6231</v>
      </c>
      <c r="AB278" t="s">
        <v>902</v>
      </c>
      <c r="AC278" t="s">
        <v>905</v>
      </c>
      <c r="AD278" t="s">
        <v>275</v>
      </c>
      <c r="AE278" t="s">
        <v>920</v>
      </c>
      <c r="AF278" t="s">
        <v>928</v>
      </c>
      <c r="AI278">
        <v>5.9</v>
      </c>
      <c r="AJ278" t="s">
        <v>558</v>
      </c>
      <c r="AK278" t="s">
        <v>934</v>
      </c>
      <c r="AL278" t="s">
        <v>274</v>
      </c>
      <c r="AQ278" t="s">
        <v>1033</v>
      </c>
      <c r="AR278" t="s">
        <v>1053</v>
      </c>
      <c r="AT278">
        <v>0</v>
      </c>
      <c r="AU278">
        <v>1</v>
      </c>
      <c r="AV278" t="s">
        <v>273</v>
      </c>
      <c r="AY278" t="s">
        <v>273</v>
      </c>
      <c r="BB278">
        <v>0</v>
      </c>
      <c r="BC278">
        <v>0</v>
      </c>
      <c r="BD278">
        <v>0</v>
      </c>
      <c r="BE278">
        <v>0</v>
      </c>
      <c r="BF278" t="s">
        <v>493</v>
      </c>
      <c r="BG278" t="s">
        <v>6682</v>
      </c>
      <c r="BH278">
        <v>49</v>
      </c>
      <c r="BI278" t="s">
        <v>3477</v>
      </c>
      <c r="BK278">
        <v>1892171</v>
      </c>
    </row>
    <row r="279" spans="1:63">
      <c r="A279" s="1">
        <f>HYPERLINK("https://lsnyc.legalserver.org/matter/dynamic-profile/view/1891429","19-1891429")</f>
        <v>0</v>
      </c>
      <c r="B279" t="s">
        <v>5313</v>
      </c>
      <c r="C279" t="s">
        <v>5625</v>
      </c>
      <c r="D279" t="s">
        <v>257</v>
      </c>
      <c r="E279" t="s">
        <v>3694</v>
      </c>
      <c r="F279" t="s">
        <v>274</v>
      </c>
      <c r="G279" t="s">
        <v>274</v>
      </c>
      <c r="H279">
        <v>124.27</v>
      </c>
      <c r="I279" t="s">
        <v>274</v>
      </c>
      <c r="K279" t="s">
        <v>1698</v>
      </c>
      <c r="Q279" t="s">
        <v>501</v>
      </c>
      <c r="S279" t="s">
        <v>503</v>
      </c>
      <c r="T279" t="s">
        <v>508</v>
      </c>
      <c r="U279" t="s">
        <v>511</v>
      </c>
      <c r="V279">
        <v>10467</v>
      </c>
      <c r="W279" t="s">
        <v>544</v>
      </c>
      <c r="Y279" t="s">
        <v>274</v>
      </c>
      <c r="Z279" t="s">
        <v>5844</v>
      </c>
      <c r="AA279" t="s">
        <v>6232</v>
      </c>
      <c r="AB279" t="s">
        <v>902</v>
      </c>
      <c r="AC279" t="s">
        <v>904</v>
      </c>
      <c r="AF279" t="s">
        <v>923</v>
      </c>
      <c r="AI279">
        <v>0</v>
      </c>
      <c r="AJ279" t="s">
        <v>558</v>
      </c>
      <c r="AK279" t="s">
        <v>965</v>
      </c>
      <c r="AL279" t="s">
        <v>274</v>
      </c>
      <c r="AT279">
        <v>0</v>
      </c>
      <c r="AU279">
        <v>4</v>
      </c>
      <c r="AV279" t="s">
        <v>273</v>
      </c>
      <c r="AY279" t="s">
        <v>273</v>
      </c>
      <c r="BB279">
        <v>0</v>
      </c>
      <c r="BC279">
        <v>0</v>
      </c>
      <c r="BD279">
        <v>0</v>
      </c>
      <c r="BE279">
        <v>0</v>
      </c>
      <c r="BF279" t="s">
        <v>1063</v>
      </c>
      <c r="BG279" t="s">
        <v>6683</v>
      </c>
      <c r="BH279">
        <v>59</v>
      </c>
      <c r="BI279" t="s">
        <v>3465</v>
      </c>
      <c r="BK279">
        <v>1869036</v>
      </c>
    </row>
    <row r="280" spans="1:63">
      <c r="A280" s="1">
        <f>HYPERLINK("https://lsnyc.legalserver.org/matter/dynamic-profile/view/1891437","19-1891437")</f>
        <v>0</v>
      </c>
      <c r="B280" t="s">
        <v>5313</v>
      </c>
      <c r="C280" t="s">
        <v>5625</v>
      </c>
      <c r="D280" t="s">
        <v>257</v>
      </c>
      <c r="E280" t="s">
        <v>3694</v>
      </c>
      <c r="F280" t="s">
        <v>274</v>
      </c>
      <c r="G280" t="s">
        <v>274</v>
      </c>
      <c r="H280">
        <v>124.27</v>
      </c>
      <c r="I280" t="s">
        <v>274</v>
      </c>
      <c r="K280" t="s">
        <v>1698</v>
      </c>
      <c r="Q280" t="s">
        <v>501</v>
      </c>
      <c r="S280" t="s">
        <v>503</v>
      </c>
      <c r="T280" t="s">
        <v>508</v>
      </c>
      <c r="U280" t="s">
        <v>511</v>
      </c>
      <c r="V280">
        <v>10467</v>
      </c>
      <c r="W280" t="s">
        <v>525</v>
      </c>
      <c r="Y280" t="s">
        <v>274</v>
      </c>
      <c r="Z280" t="s">
        <v>5844</v>
      </c>
      <c r="AA280" t="s">
        <v>6232</v>
      </c>
      <c r="AB280" t="s">
        <v>902</v>
      </c>
      <c r="AC280" t="s">
        <v>904</v>
      </c>
      <c r="AF280" t="s">
        <v>923</v>
      </c>
      <c r="AI280">
        <v>0</v>
      </c>
      <c r="AJ280" t="s">
        <v>558</v>
      </c>
      <c r="AK280" t="s">
        <v>965</v>
      </c>
      <c r="AL280" t="s">
        <v>274</v>
      </c>
      <c r="AT280">
        <v>0</v>
      </c>
      <c r="AU280">
        <v>4</v>
      </c>
      <c r="AV280" t="s">
        <v>273</v>
      </c>
      <c r="AY280" t="s">
        <v>273</v>
      </c>
      <c r="BB280">
        <v>0</v>
      </c>
      <c r="BC280">
        <v>0</v>
      </c>
      <c r="BD280">
        <v>0</v>
      </c>
      <c r="BE280">
        <v>0</v>
      </c>
      <c r="BF280" t="s">
        <v>1063</v>
      </c>
      <c r="BG280" t="s">
        <v>6683</v>
      </c>
      <c r="BH280">
        <v>59</v>
      </c>
      <c r="BI280" t="s">
        <v>3465</v>
      </c>
      <c r="BK280">
        <v>1869036</v>
      </c>
    </row>
    <row r="281" spans="1:63">
      <c r="A281" s="1">
        <f>HYPERLINK("https://lsnyc.legalserver.org/matter/dynamic-profile/view/1891450","19-1891450")</f>
        <v>0</v>
      </c>
      <c r="B281" t="s">
        <v>5314</v>
      </c>
      <c r="C281" t="s">
        <v>5625</v>
      </c>
      <c r="D281" t="s">
        <v>257</v>
      </c>
      <c r="E281" t="s">
        <v>3694</v>
      </c>
      <c r="F281" t="s">
        <v>274</v>
      </c>
      <c r="G281" t="s">
        <v>274</v>
      </c>
      <c r="H281">
        <v>38.82</v>
      </c>
      <c r="I281" t="s">
        <v>274</v>
      </c>
      <c r="K281" t="s">
        <v>1698</v>
      </c>
      <c r="Q281" t="s">
        <v>501</v>
      </c>
      <c r="S281" t="s">
        <v>503</v>
      </c>
      <c r="T281" t="s">
        <v>508</v>
      </c>
      <c r="U281" t="s">
        <v>511</v>
      </c>
      <c r="V281">
        <v>10467</v>
      </c>
      <c r="W281" t="s">
        <v>520</v>
      </c>
      <c r="X281" t="s">
        <v>548</v>
      </c>
      <c r="Z281" t="s">
        <v>5845</v>
      </c>
      <c r="AA281" t="s">
        <v>6233</v>
      </c>
      <c r="AB281" t="s">
        <v>902</v>
      </c>
      <c r="AC281" t="s">
        <v>906</v>
      </c>
      <c r="AF281" t="s">
        <v>923</v>
      </c>
      <c r="AI281">
        <v>0.3</v>
      </c>
      <c r="AJ281" t="s">
        <v>558</v>
      </c>
      <c r="AK281" t="s">
        <v>933</v>
      </c>
      <c r="AL281" t="s">
        <v>274</v>
      </c>
      <c r="AT281">
        <v>2</v>
      </c>
      <c r="AU281">
        <v>1</v>
      </c>
      <c r="AV281" t="s">
        <v>273</v>
      </c>
      <c r="AY281" t="s">
        <v>273</v>
      </c>
      <c r="BB281">
        <v>0</v>
      </c>
      <c r="BC281">
        <v>0</v>
      </c>
      <c r="BD281">
        <v>0</v>
      </c>
      <c r="BE281">
        <v>0</v>
      </c>
      <c r="BF281" t="s">
        <v>1063</v>
      </c>
      <c r="BG281" t="s">
        <v>4874</v>
      </c>
      <c r="BH281">
        <v>29</v>
      </c>
      <c r="BI281" t="s">
        <v>7050</v>
      </c>
      <c r="BK281">
        <v>1880488</v>
      </c>
    </row>
    <row r="282" spans="1:63">
      <c r="A282" s="1">
        <f>HYPERLINK("https://lsnyc.legalserver.org/matter/dynamic-profile/view/1891474","19-1891474")</f>
        <v>0</v>
      </c>
      <c r="B282" t="s">
        <v>5315</v>
      </c>
      <c r="C282" t="s">
        <v>5625</v>
      </c>
      <c r="D282" t="s">
        <v>257</v>
      </c>
      <c r="E282" t="s">
        <v>3694</v>
      </c>
      <c r="F282" t="s">
        <v>274</v>
      </c>
      <c r="G282" t="s">
        <v>274</v>
      </c>
      <c r="H282">
        <v>50.49</v>
      </c>
      <c r="I282" t="s">
        <v>274</v>
      </c>
      <c r="K282" t="s">
        <v>1698</v>
      </c>
      <c r="Q282" t="s">
        <v>501</v>
      </c>
      <c r="S282" t="s">
        <v>503</v>
      </c>
      <c r="T282" t="s">
        <v>508</v>
      </c>
      <c r="U282" t="s">
        <v>511</v>
      </c>
      <c r="V282">
        <v>10467</v>
      </c>
      <c r="W282" t="s">
        <v>524</v>
      </c>
      <c r="Z282" t="s">
        <v>638</v>
      </c>
      <c r="AA282" t="s">
        <v>6234</v>
      </c>
      <c r="AB282" t="s">
        <v>902</v>
      </c>
      <c r="AC282" t="s">
        <v>905</v>
      </c>
      <c r="AF282" t="s">
        <v>923</v>
      </c>
      <c r="AI282">
        <v>1.1</v>
      </c>
      <c r="AJ282" t="s">
        <v>558</v>
      </c>
      <c r="AK282" t="s">
        <v>939</v>
      </c>
      <c r="AL282" t="s">
        <v>274</v>
      </c>
      <c r="AT282">
        <v>2</v>
      </c>
      <c r="AU282">
        <v>2</v>
      </c>
      <c r="AV282" t="s">
        <v>273</v>
      </c>
      <c r="AY282" t="s">
        <v>273</v>
      </c>
      <c r="BB282">
        <v>0</v>
      </c>
      <c r="BC282">
        <v>0</v>
      </c>
      <c r="BD282">
        <v>0</v>
      </c>
      <c r="BE282">
        <v>0</v>
      </c>
      <c r="BF282" t="s">
        <v>1063</v>
      </c>
      <c r="BG282" t="s">
        <v>6684</v>
      </c>
      <c r="BH282">
        <v>39</v>
      </c>
      <c r="BI282" t="s">
        <v>1264</v>
      </c>
      <c r="BK282">
        <v>1871560</v>
      </c>
    </row>
    <row r="283" spans="1:63">
      <c r="A283" s="1">
        <f>HYPERLINK("https://lsnyc.legalserver.org/matter/dynamic-profile/view/1891543","19-1891543")</f>
        <v>0</v>
      </c>
      <c r="B283" t="s">
        <v>5316</v>
      </c>
      <c r="C283" t="s">
        <v>5625</v>
      </c>
      <c r="D283" t="s">
        <v>255</v>
      </c>
      <c r="E283" t="s">
        <v>5630</v>
      </c>
      <c r="F283" t="s">
        <v>274</v>
      </c>
      <c r="G283" t="s">
        <v>274</v>
      </c>
      <c r="H283">
        <v>0</v>
      </c>
      <c r="I283" t="s">
        <v>274</v>
      </c>
      <c r="K283" t="s">
        <v>1698</v>
      </c>
      <c r="O283" t="s">
        <v>274</v>
      </c>
      <c r="Q283" t="s">
        <v>501</v>
      </c>
      <c r="S283" t="s">
        <v>503</v>
      </c>
      <c r="T283" t="s">
        <v>507</v>
      </c>
      <c r="U283" t="s">
        <v>511</v>
      </c>
      <c r="V283">
        <v>10039</v>
      </c>
      <c r="W283" t="s">
        <v>517</v>
      </c>
      <c r="X283" t="s">
        <v>549</v>
      </c>
      <c r="Z283" t="s">
        <v>4684</v>
      </c>
      <c r="AA283" t="s">
        <v>6235</v>
      </c>
      <c r="AB283" t="s">
        <v>902</v>
      </c>
      <c r="AC283" t="s">
        <v>904</v>
      </c>
      <c r="AF283" t="s">
        <v>923</v>
      </c>
      <c r="AI283">
        <v>6.8</v>
      </c>
      <c r="AJ283" t="s">
        <v>558</v>
      </c>
      <c r="AK283" t="s">
        <v>948</v>
      </c>
      <c r="AL283" t="s">
        <v>274</v>
      </c>
      <c r="AT283">
        <v>0</v>
      </c>
      <c r="AU283">
        <v>1</v>
      </c>
      <c r="AV283" t="s">
        <v>273</v>
      </c>
      <c r="AY283" t="s">
        <v>273</v>
      </c>
      <c r="BB283">
        <v>0</v>
      </c>
      <c r="BC283">
        <v>0</v>
      </c>
      <c r="BD283">
        <v>0</v>
      </c>
      <c r="BE283">
        <v>0</v>
      </c>
      <c r="BF283" t="s">
        <v>1063</v>
      </c>
      <c r="BG283" t="s">
        <v>6685</v>
      </c>
      <c r="BH283">
        <v>28</v>
      </c>
      <c r="BI283" t="s">
        <v>1247</v>
      </c>
      <c r="BK283">
        <v>1892176</v>
      </c>
    </row>
    <row r="284" spans="1:63">
      <c r="A284" s="1">
        <f>HYPERLINK("https://lsnyc.legalserver.org/matter/dynamic-profile/view/1891380","19-1891380")</f>
        <v>0</v>
      </c>
      <c r="B284" t="s">
        <v>5317</v>
      </c>
      <c r="C284" t="s">
        <v>5625</v>
      </c>
      <c r="D284" t="s">
        <v>255</v>
      </c>
      <c r="E284" t="s">
        <v>5630</v>
      </c>
      <c r="F284" t="s">
        <v>274</v>
      </c>
      <c r="G284" t="s">
        <v>274</v>
      </c>
      <c r="H284">
        <v>70.31999999999999</v>
      </c>
      <c r="I284" t="s">
        <v>274</v>
      </c>
      <c r="K284" t="s">
        <v>1699</v>
      </c>
      <c r="Q284" t="s">
        <v>501</v>
      </c>
      <c r="S284" t="s">
        <v>503</v>
      </c>
      <c r="T284" t="s">
        <v>508</v>
      </c>
      <c r="U284" t="s">
        <v>511</v>
      </c>
      <c r="V284">
        <v>10009</v>
      </c>
      <c r="W284" t="s">
        <v>544</v>
      </c>
      <c r="Z284" t="s">
        <v>5846</v>
      </c>
      <c r="AA284" t="s">
        <v>6236</v>
      </c>
      <c r="AB284" t="s">
        <v>902</v>
      </c>
      <c r="AC284" t="s">
        <v>904</v>
      </c>
      <c r="AF284" t="s">
        <v>923</v>
      </c>
      <c r="AI284">
        <v>0.5</v>
      </c>
      <c r="AJ284" t="s">
        <v>558</v>
      </c>
      <c r="AK284" t="s">
        <v>950</v>
      </c>
      <c r="AL284" t="s">
        <v>274</v>
      </c>
      <c r="AM284" t="s">
        <v>973</v>
      </c>
      <c r="AN284" t="s">
        <v>348</v>
      </c>
      <c r="AT284">
        <v>0</v>
      </c>
      <c r="AU284">
        <v>3</v>
      </c>
      <c r="AV284" t="s">
        <v>273</v>
      </c>
      <c r="AY284" t="s">
        <v>273</v>
      </c>
      <c r="BB284">
        <v>0</v>
      </c>
      <c r="BC284">
        <v>0</v>
      </c>
      <c r="BD284">
        <v>0</v>
      </c>
      <c r="BE284">
        <v>0</v>
      </c>
      <c r="BF284" t="s">
        <v>1063</v>
      </c>
      <c r="BG284" t="s">
        <v>6686</v>
      </c>
      <c r="BH284">
        <v>68</v>
      </c>
      <c r="BI284" t="s">
        <v>2801</v>
      </c>
      <c r="BK284">
        <v>764812</v>
      </c>
    </row>
    <row r="285" spans="1:63">
      <c r="A285" s="1">
        <f>HYPERLINK("https://lsnyc.legalserver.org/matter/dynamic-profile/view/1891181","19-1891181")</f>
        <v>0</v>
      </c>
      <c r="B285" t="s">
        <v>5318</v>
      </c>
      <c r="C285" t="s">
        <v>5625</v>
      </c>
      <c r="D285" t="s">
        <v>252</v>
      </c>
      <c r="E285" t="s">
        <v>3694</v>
      </c>
      <c r="F285" t="s">
        <v>274</v>
      </c>
      <c r="G285" t="s">
        <v>274</v>
      </c>
      <c r="H285">
        <v>54.18</v>
      </c>
      <c r="I285" t="s">
        <v>274</v>
      </c>
      <c r="K285" t="s">
        <v>341</v>
      </c>
      <c r="L285" t="s">
        <v>462</v>
      </c>
      <c r="O285" t="s">
        <v>274</v>
      </c>
      <c r="P285" t="s">
        <v>493</v>
      </c>
      <c r="Q285" t="s">
        <v>501</v>
      </c>
      <c r="S285" t="s">
        <v>503</v>
      </c>
      <c r="T285" t="s">
        <v>508</v>
      </c>
      <c r="U285" t="s">
        <v>511</v>
      </c>
      <c r="V285">
        <v>11214</v>
      </c>
      <c r="W285" t="s">
        <v>517</v>
      </c>
      <c r="X285" t="s">
        <v>1841</v>
      </c>
      <c r="Z285" t="s">
        <v>5847</v>
      </c>
      <c r="AA285" t="s">
        <v>3122</v>
      </c>
      <c r="AB285" t="s">
        <v>902</v>
      </c>
      <c r="AC285" t="s">
        <v>904</v>
      </c>
      <c r="AD285" t="s">
        <v>275</v>
      </c>
      <c r="AE285" t="s">
        <v>918</v>
      </c>
      <c r="AF285" t="s">
        <v>923</v>
      </c>
      <c r="AI285">
        <v>3.65</v>
      </c>
      <c r="AJ285" t="s">
        <v>558</v>
      </c>
      <c r="AK285" t="s">
        <v>2375</v>
      </c>
      <c r="AL285" t="s">
        <v>274</v>
      </c>
      <c r="AQ285" t="s">
        <v>1033</v>
      </c>
      <c r="AR285" t="s">
        <v>1052</v>
      </c>
      <c r="AT285">
        <v>2</v>
      </c>
      <c r="AU285">
        <v>1</v>
      </c>
      <c r="AV285" t="s">
        <v>273</v>
      </c>
      <c r="AY285" t="s">
        <v>273</v>
      </c>
      <c r="BB285">
        <v>0</v>
      </c>
      <c r="BC285">
        <v>0</v>
      </c>
      <c r="BD285">
        <v>0</v>
      </c>
      <c r="BE285">
        <v>0</v>
      </c>
      <c r="BF285" t="s">
        <v>493</v>
      </c>
      <c r="BG285" t="s">
        <v>6687</v>
      </c>
      <c r="BH285">
        <v>47</v>
      </c>
      <c r="BI285" t="s">
        <v>7051</v>
      </c>
      <c r="BK285">
        <v>1891813</v>
      </c>
    </row>
    <row r="286" spans="1:63">
      <c r="A286" s="1">
        <f>HYPERLINK("https://lsnyc.legalserver.org/matter/dynamic-profile/view/1891181","19-1891181")</f>
        <v>0</v>
      </c>
      <c r="B286" t="s">
        <v>5318</v>
      </c>
      <c r="C286" t="s">
        <v>5625</v>
      </c>
      <c r="D286" t="s">
        <v>252</v>
      </c>
      <c r="E286" t="s">
        <v>3694</v>
      </c>
      <c r="F286" t="s">
        <v>274</v>
      </c>
      <c r="G286" t="s">
        <v>274</v>
      </c>
      <c r="H286">
        <v>54.18</v>
      </c>
      <c r="I286" t="s">
        <v>274</v>
      </c>
      <c r="K286" t="s">
        <v>341</v>
      </c>
      <c r="L286" t="s">
        <v>462</v>
      </c>
      <c r="O286" t="s">
        <v>274</v>
      </c>
      <c r="P286" t="s">
        <v>493</v>
      </c>
      <c r="Q286" t="s">
        <v>501</v>
      </c>
      <c r="S286" t="s">
        <v>503</v>
      </c>
      <c r="T286" t="s">
        <v>508</v>
      </c>
      <c r="U286" t="s">
        <v>511</v>
      </c>
      <c r="V286">
        <v>11214</v>
      </c>
      <c r="W286" t="s">
        <v>517</v>
      </c>
      <c r="X286" t="s">
        <v>1841</v>
      </c>
      <c r="Z286" t="s">
        <v>5847</v>
      </c>
      <c r="AA286" t="s">
        <v>3122</v>
      </c>
      <c r="AB286" t="s">
        <v>902</v>
      </c>
      <c r="AC286" t="s">
        <v>904</v>
      </c>
      <c r="AD286" t="s">
        <v>275</v>
      </c>
      <c r="AE286" t="s">
        <v>918</v>
      </c>
      <c r="AF286" t="s">
        <v>923</v>
      </c>
      <c r="AI286">
        <v>3.65</v>
      </c>
      <c r="AJ286" t="s">
        <v>558</v>
      </c>
      <c r="AK286" t="s">
        <v>2375</v>
      </c>
      <c r="AL286" t="s">
        <v>274</v>
      </c>
      <c r="AQ286" t="s">
        <v>1048</v>
      </c>
      <c r="AR286" t="s">
        <v>1052</v>
      </c>
      <c r="AT286">
        <v>2</v>
      </c>
      <c r="AU286">
        <v>1</v>
      </c>
      <c r="AV286" t="s">
        <v>273</v>
      </c>
      <c r="AY286" t="s">
        <v>273</v>
      </c>
      <c r="BB286">
        <v>0</v>
      </c>
      <c r="BC286">
        <v>0</v>
      </c>
      <c r="BD286">
        <v>0</v>
      </c>
      <c r="BE286">
        <v>0</v>
      </c>
      <c r="BF286" t="s">
        <v>493</v>
      </c>
      <c r="BG286" t="s">
        <v>6687</v>
      </c>
      <c r="BH286">
        <v>47</v>
      </c>
      <c r="BI286" t="s">
        <v>7051</v>
      </c>
      <c r="BK286">
        <v>1891813</v>
      </c>
    </row>
    <row r="287" spans="1:63">
      <c r="A287" s="1">
        <f>HYPERLINK("https://lsnyc.legalserver.org/matter/dynamic-profile/view/1891129","19-1891129")</f>
        <v>0</v>
      </c>
      <c r="B287" t="s">
        <v>5319</v>
      </c>
      <c r="C287" t="s">
        <v>5625</v>
      </c>
      <c r="D287" t="s">
        <v>252</v>
      </c>
      <c r="E287" t="s">
        <v>3694</v>
      </c>
      <c r="F287" t="s">
        <v>274</v>
      </c>
      <c r="G287" t="s">
        <v>274</v>
      </c>
      <c r="H287">
        <v>56.77</v>
      </c>
      <c r="I287" t="s">
        <v>274</v>
      </c>
      <c r="K287" t="s">
        <v>1700</v>
      </c>
      <c r="P287" t="s">
        <v>497</v>
      </c>
      <c r="Q287" t="s">
        <v>501</v>
      </c>
      <c r="S287" t="s">
        <v>503</v>
      </c>
      <c r="T287" t="s">
        <v>507</v>
      </c>
      <c r="U287" t="s">
        <v>511</v>
      </c>
      <c r="V287">
        <v>11233</v>
      </c>
      <c r="W287" t="s">
        <v>521</v>
      </c>
      <c r="X287" t="s">
        <v>553</v>
      </c>
      <c r="Y287" t="s">
        <v>275</v>
      </c>
      <c r="Z287" t="s">
        <v>623</v>
      </c>
      <c r="AA287" t="s">
        <v>6237</v>
      </c>
      <c r="AB287" t="s">
        <v>902</v>
      </c>
      <c r="AC287" t="s">
        <v>905</v>
      </c>
      <c r="AF287" t="s">
        <v>923</v>
      </c>
      <c r="AI287">
        <v>2.7</v>
      </c>
      <c r="AJ287" t="s">
        <v>558</v>
      </c>
      <c r="AK287" t="s">
        <v>948</v>
      </c>
      <c r="AL287" t="s">
        <v>274</v>
      </c>
      <c r="AS287" t="s">
        <v>558</v>
      </c>
      <c r="AT287">
        <v>0</v>
      </c>
      <c r="AU287">
        <v>2</v>
      </c>
      <c r="AV287" t="s">
        <v>273</v>
      </c>
      <c r="AY287" t="s">
        <v>273</v>
      </c>
      <c r="BB287">
        <v>0</v>
      </c>
      <c r="BC287">
        <v>0</v>
      </c>
      <c r="BD287">
        <v>0</v>
      </c>
      <c r="BE287">
        <v>0</v>
      </c>
      <c r="BF287" t="s">
        <v>1063</v>
      </c>
      <c r="BG287" t="s">
        <v>6688</v>
      </c>
      <c r="BH287">
        <v>29</v>
      </c>
      <c r="BI287" t="s">
        <v>1280</v>
      </c>
      <c r="BK287">
        <v>1891761</v>
      </c>
    </row>
    <row r="288" spans="1:63">
      <c r="A288" s="1">
        <f>HYPERLINK("https://lsnyc.legalserver.org/matter/dynamic-profile/view/1891130","19-1891130")</f>
        <v>0</v>
      </c>
      <c r="B288" t="s">
        <v>5320</v>
      </c>
      <c r="C288" t="s">
        <v>5625</v>
      </c>
      <c r="D288" t="s">
        <v>252</v>
      </c>
      <c r="E288" t="s">
        <v>3694</v>
      </c>
      <c r="F288" t="s">
        <v>274</v>
      </c>
      <c r="G288" t="s">
        <v>274</v>
      </c>
      <c r="H288">
        <v>56.77</v>
      </c>
      <c r="I288" t="s">
        <v>274</v>
      </c>
      <c r="K288" t="s">
        <v>1700</v>
      </c>
      <c r="P288" t="s">
        <v>497</v>
      </c>
      <c r="Q288" t="s">
        <v>501</v>
      </c>
      <c r="S288" t="s">
        <v>503</v>
      </c>
      <c r="T288" t="s">
        <v>507</v>
      </c>
      <c r="U288" t="s">
        <v>511</v>
      </c>
      <c r="V288">
        <v>11233</v>
      </c>
      <c r="W288" t="s">
        <v>521</v>
      </c>
      <c r="X288" t="s">
        <v>553</v>
      </c>
      <c r="Y288" t="s">
        <v>275</v>
      </c>
      <c r="Z288" t="s">
        <v>5848</v>
      </c>
      <c r="AA288" t="s">
        <v>6238</v>
      </c>
      <c r="AB288" t="s">
        <v>902</v>
      </c>
      <c r="AC288" t="s">
        <v>905</v>
      </c>
      <c r="AF288" t="s">
        <v>923</v>
      </c>
      <c r="AI288">
        <v>3</v>
      </c>
      <c r="AJ288" t="s">
        <v>558</v>
      </c>
      <c r="AK288" t="s">
        <v>948</v>
      </c>
      <c r="AL288" t="s">
        <v>274</v>
      </c>
      <c r="AS288" t="s">
        <v>558</v>
      </c>
      <c r="AT288">
        <v>0</v>
      </c>
      <c r="AU288">
        <v>2</v>
      </c>
      <c r="AV288" t="s">
        <v>273</v>
      </c>
      <c r="AY288" t="s">
        <v>273</v>
      </c>
      <c r="BB288">
        <v>0</v>
      </c>
      <c r="BC288">
        <v>0</v>
      </c>
      <c r="BD288">
        <v>0</v>
      </c>
      <c r="BE288">
        <v>0</v>
      </c>
      <c r="BF288" t="s">
        <v>1063</v>
      </c>
      <c r="BG288" t="s">
        <v>6689</v>
      </c>
      <c r="BH288">
        <v>29</v>
      </c>
      <c r="BI288" t="s">
        <v>1280</v>
      </c>
      <c r="BK288">
        <v>1891762</v>
      </c>
    </row>
    <row r="289" spans="1:63">
      <c r="A289" s="1">
        <f>HYPERLINK("https://lsnyc.legalserver.org/matter/dynamic-profile/view/1890872","19-1890872")</f>
        <v>0</v>
      </c>
      <c r="B289" t="s">
        <v>5321</v>
      </c>
      <c r="C289" t="s">
        <v>5625</v>
      </c>
      <c r="D289" t="s">
        <v>252</v>
      </c>
      <c r="E289" t="s">
        <v>264</v>
      </c>
      <c r="F289" t="s">
        <v>274</v>
      </c>
      <c r="G289" t="s">
        <v>274</v>
      </c>
      <c r="H289">
        <v>79.98</v>
      </c>
      <c r="I289" t="s">
        <v>274</v>
      </c>
      <c r="K289" t="s">
        <v>1701</v>
      </c>
      <c r="L289" t="s">
        <v>301</v>
      </c>
      <c r="O289" t="s">
        <v>274</v>
      </c>
      <c r="Q289" t="s">
        <v>501</v>
      </c>
      <c r="S289" t="s">
        <v>503</v>
      </c>
      <c r="T289" t="s">
        <v>507</v>
      </c>
      <c r="U289" t="s">
        <v>511</v>
      </c>
      <c r="V289">
        <v>11226</v>
      </c>
      <c r="W289" t="s">
        <v>517</v>
      </c>
      <c r="X289" t="s">
        <v>549</v>
      </c>
      <c r="Z289" t="s">
        <v>2028</v>
      </c>
      <c r="AA289" t="s">
        <v>6239</v>
      </c>
      <c r="AB289" t="s">
        <v>902</v>
      </c>
      <c r="AC289" t="s">
        <v>904</v>
      </c>
      <c r="AD289" t="s">
        <v>275</v>
      </c>
      <c r="AE289" t="s">
        <v>920</v>
      </c>
      <c r="AF289" t="s">
        <v>925</v>
      </c>
      <c r="AI289">
        <v>5.25</v>
      </c>
      <c r="AJ289" t="s">
        <v>558</v>
      </c>
      <c r="AK289" t="s">
        <v>965</v>
      </c>
      <c r="AL289" t="s">
        <v>274</v>
      </c>
      <c r="AQ289" t="s">
        <v>1033</v>
      </c>
      <c r="AR289" t="s">
        <v>1053</v>
      </c>
      <c r="AT289">
        <v>0</v>
      </c>
      <c r="AU289">
        <v>2</v>
      </c>
      <c r="AV289" t="s">
        <v>273</v>
      </c>
      <c r="AY289" t="s">
        <v>273</v>
      </c>
      <c r="BB289">
        <v>0</v>
      </c>
      <c r="BC289">
        <v>0</v>
      </c>
      <c r="BD289">
        <v>0</v>
      </c>
      <c r="BE289">
        <v>0</v>
      </c>
      <c r="BF289" t="s">
        <v>493</v>
      </c>
      <c r="BG289" t="s">
        <v>6690</v>
      </c>
      <c r="BH289">
        <v>64</v>
      </c>
      <c r="BI289" t="s">
        <v>7052</v>
      </c>
      <c r="BK289">
        <v>1891504</v>
      </c>
    </row>
    <row r="290" spans="1:63">
      <c r="A290" s="1">
        <f>HYPERLINK("https://lsnyc.legalserver.org/matter/dynamic-profile/view/1890294","19-1890294")</f>
        <v>0</v>
      </c>
      <c r="B290" t="s">
        <v>5322</v>
      </c>
      <c r="C290" t="s">
        <v>5625</v>
      </c>
      <c r="D290" t="s">
        <v>254</v>
      </c>
      <c r="E290" t="s">
        <v>264</v>
      </c>
      <c r="F290" t="s">
        <v>274</v>
      </c>
      <c r="G290" t="s">
        <v>274</v>
      </c>
      <c r="H290">
        <v>0</v>
      </c>
      <c r="I290" t="s">
        <v>274</v>
      </c>
      <c r="K290" t="s">
        <v>342</v>
      </c>
      <c r="L290" t="s">
        <v>297</v>
      </c>
      <c r="O290" t="s">
        <v>274</v>
      </c>
      <c r="P290" t="s">
        <v>493</v>
      </c>
      <c r="Q290" t="s">
        <v>501</v>
      </c>
      <c r="S290" t="s">
        <v>503</v>
      </c>
      <c r="T290" t="s">
        <v>507</v>
      </c>
      <c r="U290" t="s">
        <v>511</v>
      </c>
      <c r="V290">
        <v>10310</v>
      </c>
      <c r="W290" t="s">
        <v>517</v>
      </c>
      <c r="X290" t="s">
        <v>549</v>
      </c>
      <c r="Y290" t="s">
        <v>274</v>
      </c>
      <c r="Z290" t="s">
        <v>5849</v>
      </c>
      <c r="AA290" t="s">
        <v>6071</v>
      </c>
      <c r="AB290" t="s">
        <v>902</v>
      </c>
      <c r="AC290" t="s">
        <v>904</v>
      </c>
      <c r="AD290" t="s">
        <v>275</v>
      </c>
      <c r="AE290" t="s">
        <v>920</v>
      </c>
      <c r="AF290" t="s">
        <v>928</v>
      </c>
      <c r="AI290">
        <v>2.95</v>
      </c>
      <c r="AJ290" t="s">
        <v>558</v>
      </c>
      <c r="AK290" t="s">
        <v>934</v>
      </c>
      <c r="AL290" t="s">
        <v>274</v>
      </c>
      <c r="AQ290" t="s">
        <v>1033</v>
      </c>
      <c r="AR290" t="s">
        <v>1052</v>
      </c>
      <c r="AT290">
        <v>2</v>
      </c>
      <c r="AU290">
        <v>1</v>
      </c>
      <c r="AV290" t="s">
        <v>273</v>
      </c>
      <c r="AY290" t="s">
        <v>273</v>
      </c>
      <c r="BB290">
        <v>0</v>
      </c>
      <c r="BC290">
        <v>0</v>
      </c>
      <c r="BD290">
        <v>0</v>
      </c>
      <c r="BE290">
        <v>0</v>
      </c>
      <c r="BF290" t="s">
        <v>493</v>
      </c>
      <c r="BG290" t="s">
        <v>6691</v>
      </c>
      <c r="BH290">
        <v>25</v>
      </c>
      <c r="BI290" t="s">
        <v>1247</v>
      </c>
      <c r="BK290">
        <v>1890926</v>
      </c>
    </row>
    <row r="291" spans="1:63">
      <c r="A291" s="1">
        <f>HYPERLINK("https://lsnyc.legalserver.org/matter/dynamic-profile/view/1889747","19-1889747")</f>
        <v>0</v>
      </c>
      <c r="B291" t="s">
        <v>5323</v>
      </c>
      <c r="C291" t="s">
        <v>5625</v>
      </c>
      <c r="D291" t="s">
        <v>254</v>
      </c>
      <c r="E291" t="s">
        <v>3694</v>
      </c>
      <c r="F291" t="s">
        <v>274</v>
      </c>
      <c r="G291" t="s">
        <v>274</v>
      </c>
      <c r="H291">
        <v>117.21</v>
      </c>
      <c r="I291" t="s">
        <v>274</v>
      </c>
      <c r="K291" t="s">
        <v>345</v>
      </c>
      <c r="Q291" t="s">
        <v>501</v>
      </c>
      <c r="S291" t="s">
        <v>503</v>
      </c>
      <c r="T291" t="s">
        <v>508</v>
      </c>
      <c r="U291" t="s">
        <v>511</v>
      </c>
      <c r="V291">
        <v>10304</v>
      </c>
      <c r="W291" t="s">
        <v>544</v>
      </c>
      <c r="Y291" t="s">
        <v>274</v>
      </c>
      <c r="Z291" t="s">
        <v>5850</v>
      </c>
      <c r="AA291" t="s">
        <v>6240</v>
      </c>
      <c r="AB291" t="s">
        <v>902</v>
      </c>
      <c r="AC291" t="s">
        <v>904</v>
      </c>
      <c r="AF291" t="s">
        <v>923</v>
      </c>
      <c r="AI291">
        <v>0</v>
      </c>
      <c r="AJ291" t="s">
        <v>558</v>
      </c>
      <c r="AK291" t="s">
        <v>3268</v>
      </c>
      <c r="AL291" t="s">
        <v>274</v>
      </c>
      <c r="AT291">
        <v>0</v>
      </c>
      <c r="AU291">
        <v>3</v>
      </c>
      <c r="AV291" t="s">
        <v>273</v>
      </c>
      <c r="AY291" t="s">
        <v>273</v>
      </c>
      <c r="BB291">
        <v>0</v>
      </c>
      <c r="BC291">
        <v>0</v>
      </c>
      <c r="BD291">
        <v>0</v>
      </c>
      <c r="BE291">
        <v>0</v>
      </c>
      <c r="BF291" t="s">
        <v>1063</v>
      </c>
      <c r="BG291" t="s">
        <v>6692</v>
      </c>
      <c r="BH291">
        <v>26</v>
      </c>
      <c r="BI291" t="s">
        <v>1274</v>
      </c>
      <c r="BK291">
        <v>73465</v>
      </c>
    </row>
    <row r="292" spans="1:63">
      <c r="A292" s="1">
        <f>HYPERLINK("https://lsnyc.legalserver.org/matter/dynamic-profile/view/1889433","19-1889433")</f>
        <v>0</v>
      </c>
      <c r="B292" t="s">
        <v>5324</v>
      </c>
      <c r="C292" t="s">
        <v>5625</v>
      </c>
      <c r="D292" t="s">
        <v>252</v>
      </c>
      <c r="E292" t="s">
        <v>3694</v>
      </c>
      <c r="F292" t="s">
        <v>274</v>
      </c>
      <c r="G292" t="s">
        <v>274</v>
      </c>
      <c r="H292">
        <v>0</v>
      </c>
      <c r="I292" t="s">
        <v>274</v>
      </c>
      <c r="K292" t="s">
        <v>348</v>
      </c>
      <c r="Q292" t="s">
        <v>501</v>
      </c>
      <c r="S292" t="s">
        <v>503</v>
      </c>
      <c r="T292" t="s">
        <v>508</v>
      </c>
      <c r="U292" t="s">
        <v>511</v>
      </c>
      <c r="V292">
        <v>11210</v>
      </c>
      <c r="W292" t="s">
        <v>544</v>
      </c>
      <c r="Y292" t="s">
        <v>275</v>
      </c>
      <c r="Z292" t="s">
        <v>5707</v>
      </c>
      <c r="AA292" t="s">
        <v>688</v>
      </c>
      <c r="AB292" t="s">
        <v>902</v>
      </c>
      <c r="AC292" t="s">
        <v>904</v>
      </c>
      <c r="AF292" t="s">
        <v>923</v>
      </c>
      <c r="AI292">
        <v>0.5</v>
      </c>
      <c r="AJ292" t="s">
        <v>558</v>
      </c>
      <c r="AK292" t="s">
        <v>939</v>
      </c>
      <c r="AL292" t="s">
        <v>274</v>
      </c>
      <c r="AT292">
        <v>0</v>
      </c>
      <c r="AU292">
        <v>1</v>
      </c>
      <c r="AV292" t="s">
        <v>273</v>
      </c>
      <c r="AY292" t="s">
        <v>273</v>
      </c>
      <c r="BB292">
        <v>0</v>
      </c>
      <c r="BC292">
        <v>0</v>
      </c>
      <c r="BD292">
        <v>0</v>
      </c>
      <c r="BE292">
        <v>0</v>
      </c>
      <c r="BF292" t="s">
        <v>1063</v>
      </c>
      <c r="BG292" t="s">
        <v>6693</v>
      </c>
      <c r="BH292">
        <v>51</v>
      </c>
      <c r="BI292" t="s">
        <v>1247</v>
      </c>
      <c r="BK292">
        <v>1854706</v>
      </c>
    </row>
    <row r="293" spans="1:63">
      <c r="A293" s="1">
        <f>HYPERLINK("https://lsnyc.legalserver.org/matter/dynamic-profile/view/1889033","19-1889033")</f>
        <v>0</v>
      </c>
      <c r="B293" t="s">
        <v>5325</v>
      </c>
      <c r="C293" t="s">
        <v>5625</v>
      </c>
      <c r="D293" t="s">
        <v>252</v>
      </c>
      <c r="E293" t="s">
        <v>3694</v>
      </c>
      <c r="F293" t="s">
        <v>274</v>
      </c>
      <c r="G293" t="s">
        <v>274</v>
      </c>
      <c r="H293">
        <v>0</v>
      </c>
      <c r="I293" t="s">
        <v>274</v>
      </c>
      <c r="K293" t="s">
        <v>1705</v>
      </c>
      <c r="O293" t="s">
        <v>275</v>
      </c>
      <c r="Q293" t="s">
        <v>501</v>
      </c>
      <c r="S293" t="s">
        <v>503</v>
      </c>
      <c r="T293" t="s">
        <v>508</v>
      </c>
      <c r="U293" t="s">
        <v>511</v>
      </c>
      <c r="V293">
        <v>11224</v>
      </c>
      <c r="W293" t="s">
        <v>518</v>
      </c>
      <c r="X293" t="s">
        <v>553</v>
      </c>
      <c r="Y293" t="s">
        <v>275</v>
      </c>
      <c r="Z293" t="s">
        <v>5851</v>
      </c>
      <c r="AA293" t="s">
        <v>6223</v>
      </c>
      <c r="AB293" t="s">
        <v>902</v>
      </c>
      <c r="AC293" t="s">
        <v>905</v>
      </c>
      <c r="AF293" t="s">
        <v>926</v>
      </c>
      <c r="AI293">
        <v>12.55</v>
      </c>
      <c r="AJ293" t="s">
        <v>558</v>
      </c>
      <c r="AK293" t="s">
        <v>948</v>
      </c>
      <c r="AL293" t="s">
        <v>274</v>
      </c>
      <c r="AT293">
        <v>2</v>
      </c>
      <c r="AU293">
        <v>2</v>
      </c>
      <c r="AV293" t="s">
        <v>273</v>
      </c>
      <c r="AY293" t="s">
        <v>273</v>
      </c>
      <c r="BB293">
        <v>0</v>
      </c>
      <c r="BC293">
        <v>0</v>
      </c>
      <c r="BD293">
        <v>0</v>
      </c>
      <c r="BE293">
        <v>0</v>
      </c>
      <c r="BF293" t="s">
        <v>1063</v>
      </c>
      <c r="BG293" t="s">
        <v>6694</v>
      </c>
      <c r="BH293">
        <v>36</v>
      </c>
      <c r="BI293" t="s">
        <v>1247</v>
      </c>
      <c r="BK293">
        <v>1889665</v>
      </c>
    </row>
    <row r="294" spans="1:63">
      <c r="A294" s="1">
        <f>HYPERLINK("https://lsnyc.legalserver.org/matter/dynamic-profile/view/1888954","19-1888954")</f>
        <v>0</v>
      </c>
      <c r="B294" t="s">
        <v>5326</v>
      </c>
      <c r="C294" t="s">
        <v>5625</v>
      </c>
      <c r="D294" t="s">
        <v>253</v>
      </c>
      <c r="E294" t="s">
        <v>3694</v>
      </c>
      <c r="F294" t="s">
        <v>274</v>
      </c>
      <c r="G294" t="s">
        <v>274</v>
      </c>
      <c r="H294">
        <v>64.09</v>
      </c>
      <c r="I294" t="s">
        <v>274</v>
      </c>
      <c r="K294" t="s">
        <v>351</v>
      </c>
      <c r="Q294" t="s">
        <v>501</v>
      </c>
      <c r="S294" t="s">
        <v>503</v>
      </c>
      <c r="T294" t="s">
        <v>507</v>
      </c>
      <c r="U294" t="s">
        <v>511</v>
      </c>
      <c r="V294">
        <v>11355</v>
      </c>
      <c r="W294" t="s">
        <v>528</v>
      </c>
      <c r="X294" t="s">
        <v>548</v>
      </c>
      <c r="Z294" t="s">
        <v>5852</v>
      </c>
      <c r="AA294" t="s">
        <v>6241</v>
      </c>
      <c r="AB294" t="s">
        <v>902</v>
      </c>
      <c r="AC294" t="s">
        <v>906</v>
      </c>
      <c r="AF294" t="s">
        <v>923</v>
      </c>
      <c r="AI294">
        <v>0.2</v>
      </c>
      <c r="AJ294" t="s">
        <v>558</v>
      </c>
      <c r="AK294" t="s">
        <v>949</v>
      </c>
      <c r="AL294" t="s">
        <v>274</v>
      </c>
      <c r="AT294">
        <v>5</v>
      </c>
      <c r="AU294">
        <v>2</v>
      </c>
      <c r="AV294" t="s">
        <v>273</v>
      </c>
      <c r="AY294" t="s">
        <v>273</v>
      </c>
      <c r="BB294">
        <v>0</v>
      </c>
      <c r="BC294">
        <v>0</v>
      </c>
      <c r="BD294">
        <v>0</v>
      </c>
      <c r="BE294">
        <v>0</v>
      </c>
      <c r="BF294" t="s">
        <v>1063</v>
      </c>
      <c r="BG294" t="s">
        <v>6695</v>
      </c>
      <c r="BH294">
        <v>14</v>
      </c>
      <c r="BI294" t="s">
        <v>1274</v>
      </c>
      <c r="BK294">
        <v>1859270</v>
      </c>
    </row>
    <row r="295" spans="1:63">
      <c r="A295" s="1">
        <f>HYPERLINK("https://lsnyc.legalserver.org/matter/dynamic-profile/view/1888959","19-1888959")</f>
        <v>0</v>
      </c>
      <c r="B295" t="s">
        <v>5327</v>
      </c>
      <c r="C295" t="s">
        <v>5625</v>
      </c>
      <c r="D295" t="s">
        <v>253</v>
      </c>
      <c r="E295" t="s">
        <v>3694</v>
      </c>
      <c r="F295" t="s">
        <v>274</v>
      </c>
      <c r="G295" t="s">
        <v>274</v>
      </c>
      <c r="H295">
        <v>64.09</v>
      </c>
      <c r="I295" t="s">
        <v>274</v>
      </c>
      <c r="K295" t="s">
        <v>351</v>
      </c>
      <c r="Q295" t="s">
        <v>501</v>
      </c>
      <c r="S295" t="s">
        <v>503</v>
      </c>
      <c r="T295" t="s">
        <v>508</v>
      </c>
      <c r="U295" t="s">
        <v>511</v>
      </c>
      <c r="V295">
        <v>11355</v>
      </c>
      <c r="W295" t="s">
        <v>538</v>
      </c>
      <c r="X295" t="s">
        <v>548</v>
      </c>
      <c r="Z295" t="s">
        <v>584</v>
      </c>
      <c r="AA295" t="s">
        <v>6242</v>
      </c>
      <c r="AB295" t="s">
        <v>902</v>
      </c>
      <c r="AC295" t="s">
        <v>907</v>
      </c>
      <c r="AF295" t="s">
        <v>923</v>
      </c>
      <c r="AI295">
        <v>0.2</v>
      </c>
      <c r="AJ295" t="s">
        <v>558</v>
      </c>
      <c r="AK295" t="s">
        <v>949</v>
      </c>
      <c r="AL295" t="s">
        <v>274</v>
      </c>
      <c r="AT295">
        <v>5</v>
      </c>
      <c r="AU295">
        <v>2</v>
      </c>
      <c r="AV295" t="s">
        <v>273</v>
      </c>
      <c r="AY295" t="s">
        <v>273</v>
      </c>
      <c r="BB295">
        <v>0</v>
      </c>
      <c r="BC295">
        <v>0</v>
      </c>
      <c r="BD295">
        <v>0</v>
      </c>
      <c r="BE295">
        <v>0</v>
      </c>
      <c r="BF295" t="s">
        <v>1063</v>
      </c>
      <c r="BG295" t="s">
        <v>6696</v>
      </c>
      <c r="BH295">
        <v>35</v>
      </c>
      <c r="BI295" t="s">
        <v>1274</v>
      </c>
      <c r="BK295">
        <v>1859270</v>
      </c>
    </row>
    <row r="296" spans="1:63">
      <c r="A296" s="1">
        <f>HYPERLINK("https://lsnyc.legalserver.org/matter/dynamic-profile/view/1888961","19-1888961")</f>
        <v>0</v>
      </c>
      <c r="B296" t="s">
        <v>5327</v>
      </c>
      <c r="C296" t="s">
        <v>5625</v>
      </c>
      <c r="D296" t="s">
        <v>253</v>
      </c>
      <c r="E296" t="s">
        <v>3694</v>
      </c>
      <c r="F296" t="s">
        <v>274</v>
      </c>
      <c r="G296" t="s">
        <v>274</v>
      </c>
      <c r="H296">
        <v>64.09</v>
      </c>
      <c r="I296" t="s">
        <v>274</v>
      </c>
      <c r="K296" t="s">
        <v>351</v>
      </c>
      <c r="Q296" t="s">
        <v>501</v>
      </c>
      <c r="S296" t="s">
        <v>503</v>
      </c>
      <c r="T296" t="s">
        <v>508</v>
      </c>
      <c r="U296" t="s">
        <v>511</v>
      </c>
      <c r="V296">
        <v>11355</v>
      </c>
      <c r="W296" t="s">
        <v>528</v>
      </c>
      <c r="X296" t="s">
        <v>548</v>
      </c>
      <c r="Z296" t="s">
        <v>584</v>
      </c>
      <c r="AA296" t="s">
        <v>6242</v>
      </c>
      <c r="AB296" t="s">
        <v>902</v>
      </c>
      <c r="AC296" t="s">
        <v>907</v>
      </c>
      <c r="AF296" t="s">
        <v>923</v>
      </c>
      <c r="AI296">
        <v>0.2</v>
      </c>
      <c r="AJ296" t="s">
        <v>558</v>
      </c>
      <c r="AK296" t="s">
        <v>949</v>
      </c>
      <c r="AL296" t="s">
        <v>274</v>
      </c>
      <c r="AT296">
        <v>5</v>
      </c>
      <c r="AU296">
        <v>2</v>
      </c>
      <c r="AV296" t="s">
        <v>273</v>
      </c>
      <c r="AY296" t="s">
        <v>273</v>
      </c>
      <c r="BB296">
        <v>0</v>
      </c>
      <c r="BC296">
        <v>0</v>
      </c>
      <c r="BD296">
        <v>0</v>
      </c>
      <c r="BE296">
        <v>0</v>
      </c>
      <c r="BF296" t="s">
        <v>1063</v>
      </c>
      <c r="BG296" t="s">
        <v>6696</v>
      </c>
      <c r="BH296">
        <v>35</v>
      </c>
      <c r="BI296" t="s">
        <v>1274</v>
      </c>
      <c r="BK296">
        <v>1859270</v>
      </c>
    </row>
    <row r="297" spans="1:63">
      <c r="A297" s="1">
        <f>HYPERLINK("https://lsnyc.legalserver.org/matter/dynamic-profile/view/1888963","19-1888963")</f>
        <v>0</v>
      </c>
      <c r="B297" t="s">
        <v>5326</v>
      </c>
      <c r="C297" t="s">
        <v>5625</v>
      </c>
      <c r="D297" t="s">
        <v>253</v>
      </c>
      <c r="E297" t="s">
        <v>3694</v>
      </c>
      <c r="F297" t="s">
        <v>274</v>
      </c>
      <c r="G297" t="s">
        <v>274</v>
      </c>
      <c r="H297">
        <v>64.09</v>
      </c>
      <c r="I297" t="s">
        <v>274</v>
      </c>
      <c r="K297" t="s">
        <v>351</v>
      </c>
      <c r="Q297" t="s">
        <v>501</v>
      </c>
      <c r="S297" t="s">
        <v>503</v>
      </c>
      <c r="T297" t="s">
        <v>507</v>
      </c>
      <c r="U297" t="s">
        <v>511</v>
      </c>
      <c r="V297">
        <v>11355</v>
      </c>
      <c r="W297" t="s">
        <v>538</v>
      </c>
      <c r="X297" t="s">
        <v>548</v>
      </c>
      <c r="Z297" t="s">
        <v>5852</v>
      </c>
      <c r="AA297" t="s">
        <v>6241</v>
      </c>
      <c r="AB297" t="s">
        <v>902</v>
      </c>
      <c r="AC297" t="s">
        <v>906</v>
      </c>
      <c r="AF297" t="s">
        <v>923</v>
      </c>
      <c r="AI297">
        <v>0.2</v>
      </c>
      <c r="AJ297" t="s">
        <v>558</v>
      </c>
      <c r="AK297" t="s">
        <v>949</v>
      </c>
      <c r="AL297" t="s">
        <v>274</v>
      </c>
      <c r="AT297">
        <v>5</v>
      </c>
      <c r="AU297">
        <v>2</v>
      </c>
      <c r="AV297" t="s">
        <v>273</v>
      </c>
      <c r="AY297" t="s">
        <v>273</v>
      </c>
      <c r="BB297">
        <v>0</v>
      </c>
      <c r="BC297">
        <v>0</v>
      </c>
      <c r="BD297">
        <v>0</v>
      </c>
      <c r="BE297">
        <v>0</v>
      </c>
      <c r="BF297" t="s">
        <v>1063</v>
      </c>
      <c r="BG297" t="s">
        <v>6697</v>
      </c>
      <c r="BH297">
        <v>36</v>
      </c>
      <c r="BI297" t="s">
        <v>1274</v>
      </c>
      <c r="BK297">
        <v>1859270</v>
      </c>
    </row>
    <row r="298" spans="1:63">
      <c r="A298" s="1">
        <f>HYPERLINK("https://lsnyc.legalserver.org/matter/dynamic-profile/view/1888966","19-1888966")</f>
        <v>0</v>
      </c>
      <c r="B298" t="s">
        <v>5328</v>
      </c>
      <c r="C298" t="s">
        <v>5625</v>
      </c>
      <c r="D298" t="s">
        <v>253</v>
      </c>
      <c r="E298" t="s">
        <v>3694</v>
      </c>
      <c r="F298" t="s">
        <v>274</v>
      </c>
      <c r="G298" t="s">
        <v>274</v>
      </c>
      <c r="H298">
        <v>64.09</v>
      </c>
      <c r="I298" t="s">
        <v>274</v>
      </c>
      <c r="K298" t="s">
        <v>351</v>
      </c>
      <c r="Q298" t="s">
        <v>501</v>
      </c>
      <c r="S298" t="s">
        <v>503</v>
      </c>
      <c r="T298" t="s">
        <v>507</v>
      </c>
      <c r="U298" t="s">
        <v>511</v>
      </c>
      <c r="V298">
        <v>11355</v>
      </c>
      <c r="W298" t="s">
        <v>528</v>
      </c>
      <c r="X298" t="s">
        <v>548</v>
      </c>
      <c r="Z298" t="s">
        <v>5853</v>
      </c>
      <c r="AA298" t="s">
        <v>6241</v>
      </c>
      <c r="AB298" t="s">
        <v>902</v>
      </c>
      <c r="AC298" t="s">
        <v>906</v>
      </c>
      <c r="AF298" t="s">
        <v>923</v>
      </c>
      <c r="AI298">
        <v>0.4</v>
      </c>
      <c r="AJ298" t="s">
        <v>558</v>
      </c>
      <c r="AK298" t="s">
        <v>949</v>
      </c>
      <c r="AL298" t="s">
        <v>274</v>
      </c>
      <c r="AT298">
        <v>5</v>
      </c>
      <c r="AU298">
        <v>2</v>
      </c>
      <c r="AV298" t="s">
        <v>273</v>
      </c>
      <c r="AY298" t="s">
        <v>273</v>
      </c>
      <c r="BB298">
        <v>0</v>
      </c>
      <c r="BC298">
        <v>0</v>
      </c>
      <c r="BD298">
        <v>0</v>
      </c>
      <c r="BE298">
        <v>0</v>
      </c>
      <c r="BF298" t="s">
        <v>1063</v>
      </c>
      <c r="BG298" t="s">
        <v>6697</v>
      </c>
      <c r="BH298">
        <v>36</v>
      </c>
      <c r="BI298" t="s">
        <v>1274</v>
      </c>
      <c r="BK298">
        <v>1859270</v>
      </c>
    </row>
    <row r="299" spans="1:63">
      <c r="A299" s="1">
        <f>HYPERLINK("https://lsnyc.legalserver.org/matter/dynamic-profile/view/1888747","19-1888747")</f>
        <v>0</v>
      </c>
      <c r="B299" t="s">
        <v>5329</v>
      </c>
      <c r="C299" t="s">
        <v>5625</v>
      </c>
      <c r="D299" t="s">
        <v>252</v>
      </c>
      <c r="E299" t="s">
        <v>5630</v>
      </c>
      <c r="F299" t="s">
        <v>274</v>
      </c>
      <c r="G299" t="s">
        <v>274</v>
      </c>
      <c r="H299">
        <v>0</v>
      </c>
      <c r="I299" t="s">
        <v>274</v>
      </c>
      <c r="K299" t="s">
        <v>1706</v>
      </c>
      <c r="O299" t="s">
        <v>275</v>
      </c>
      <c r="Q299" t="s">
        <v>501</v>
      </c>
      <c r="S299" t="s">
        <v>503</v>
      </c>
      <c r="T299" t="s">
        <v>507</v>
      </c>
      <c r="U299" t="s">
        <v>511</v>
      </c>
      <c r="V299">
        <v>11203</v>
      </c>
      <c r="W299" t="s">
        <v>521</v>
      </c>
      <c r="X299" t="s">
        <v>549</v>
      </c>
      <c r="Z299" t="s">
        <v>5854</v>
      </c>
      <c r="AA299" t="s">
        <v>3924</v>
      </c>
      <c r="AB299" t="s">
        <v>902</v>
      </c>
      <c r="AC299" t="s">
        <v>905</v>
      </c>
      <c r="AF299" t="s">
        <v>923</v>
      </c>
      <c r="AI299">
        <v>10.3</v>
      </c>
      <c r="AJ299" t="s">
        <v>558</v>
      </c>
      <c r="AK299" t="s">
        <v>965</v>
      </c>
      <c r="AL299" t="s">
        <v>274</v>
      </c>
      <c r="AT299">
        <v>0</v>
      </c>
      <c r="AU299">
        <v>1</v>
      </c>
      <c r="AV299" t="s">
        <v>273</v>
      </c>
      <c r="AY299" t="s">
        <v>273</v>
      </c>
      <c r="BB299">
        <v>0</v>
      </c>
      <c r="BC299">
        <v>0</v>
      </c>
      <c r="BD299">
        <v>0</v>
      </c>
      <c r="BE299">
        <v>0</v>
      </c>
      <c r="BF299" t="s">
        <v>1063</v>
      </c>
      <c r="BG299" t="s">
        <v>6698</v>
      </c>
      <c r="BH299">
        <v>36</v>
      </c>
      <c r="BI299" t="s">
        <v>1247</v>
      </c>
      <c r="BK299">
        <v>1889379</v>
      </c>
    </row>
    <row r="300" spans="1:63">
      <c r="A300" s="1">
        <f>HYPERLINK("https://lsnyc.legalserver.org/matter/dynamic-profile/view/1888193","19-1888193")</f>
        <v>0</v>
      </c>
      <c r="B300" t="s">
        <v>5171</v>
      </c>
      <c r="C300" t="s">
        <v>5625</v>
      </c>
      <c r="D300" t="s">
        <v>257</v>
      </c>
      <c r="E300" t="s">
        <v>3694</v>
      </c>
      <c r="F300" t="s">
        <v>274</v>
      </c>
      <c r="G300" t="s">
        <v>274</v>
      </c>
      <c r="H300">
        <v>24.6</v>
      </c>
      <c r="I300" t="s">
        <v>274</v>
      </c>
      <c r="K300" t="s">
        <v>2390</v>
      </c>
      <c r="O300" t="s">
        <v>275</v>
      </c>
      <c r="Q300" t="s">
        <v>502</v>
      </c>
      <c r="S300" t="s">
        <v>503</v>
      </c>
      <c r="T300" t="s">
        <v>508</v>
      </c>
      <c r="U300" t="s">
        <v>511</v>
      </c>
      <c r="V300">
        <v>10451</v>
      </c>
      <c r="W300" t="s">
        <v>519</v>
      </c>
      <c r="X300" t="s">
        <v>548</v>
      </c>
      <c r="Z300" t="s">
        <v>5751</v>
      </c>
      <c r="AA300" t="s">
        <v>6131</v>
      </c>
      <c r="AB300" t="s">
        <v>902</v>
      </c>
      <c r="AC300" t="s">
        <v>905</v>
      </c>
      <c r="AF300" t="s">
        <v>926</v>
      </c>
      <c r="AI300">
        <v>22.25</v>
      </c>
      <c r="AJ300" t="s">
        <v>558</v>
      </c>
      <c r="AK300" t="s">
        <v>934</v>
      </c>
      <c r="AL300" t="s">
        <v>274</v>
      </c>
      <c r="AT300">
        <v>1</v>
      </c>
      <c r="AU300">
        <v>1</v>
      </c>
      <c r="AV300" t="s">
        <v>273</v>
      </c>
      <c r="AY300" t="s">
        <v>273</v>
      </c>
      <c r="BB300">
        <v>0</v>
      </c>
      <c r="BC300">
        <v>0</v>
      </c>
      <c r="BD300">
        <v>0</v>
      </c>
      <c r="BE300">
        <v>0</v>
      </c>
      <c r="BF300" t="s">
        <v>1063</v>
      </c>
      <c r="BG300" t="s">
        <v>6553</v>
      </c>
      <c r="BH300">
        <v>21</v>
      </c>
      <c r="BI300" t="s">
        <v>6975</v>
      </c>
      <c r="BK300">
        <v>1888822</v>
      </c>
    </row>
    <row r="301" spans="1:63">
      <c r="A301" s="1">
        <f>HYPERLINK("https://lsnyc.legalserver.org/matter/dynamic-profile/view/1888118","19-1888118")</f>
        <v>0</v>
      </c>
      <c r="B301" t="s">
        <v>5330</v>
      </c>
      <c r="C301" t="s">
        <v>5625</v>
      </c>
      <c r="D301" t="s">
        <v>257</v>
      </c>
      <c r="E301" t="s">
        <v>264</v>
      </c>
      <c r="F301" t="s">
        <v>274</v>
      </c>
      <c r="G301" t="s">
        <v>274</v>
      </c>
      <c r="H301">
        <v>140.65</v>
      </c>
      <c r="I301" t="s">
        <v>274</v>
      </c>
      <c r="K301" t="s">
        <v>1708</v>
      </c>
      <c r="L301" t="s">
        <v>296</v>
      </c>
      <c r="O301" t="s">
        <v>274</v>
      </c>
      <c r="P301" t="s">
        <v>493</v>
      </c>
      <c r="Q301" t="s">
        <v>501</v>
      </c>
      <c r="S301" t="s">
        <v>503</v>
      </c>
      <c r="T301" t="s">
        <v>508</v>
      </c>
      <c r="U301" t="s">
        <v>511</v>
      </c>
      <c r="V301">
        <v>10455</v>
      </c>
      <c r="W301" t="s">
        <v>517</v>
      </c>
      <c r="X301" t="s">
        <v>548</v>
      </c>
      <c r="Y301" t="s">
        <v>275</v>
      </c>
      <c r="Z301" t="s">
        <v>1851</v>
      </c>
      <c r="AA301" t="s">
        <v>815</v>
      </c>
      <c r="AB301" t="s">
        <v>902</v>
      </c>
      <c r="AC301" t="s">
        <v>904</v>
      </c>
      <c r="AD301" t="s">
        <v>274</v>
      </c>
      <c r="AE301" t="s">
        <v>920</v>
      </c>
      <c r="AF301" t="s">
        <v>928</v>
      </c>
      <c r="AI301">
        <v>1.77</v>
      </c>
      <c r="AJ301" t="s">
        <v>558</v>
      </c>
      <c r="AK301" t="s">
        <v>950</v>
      </c>
      <c r="AL301" t="s">
        <v>274</v>
      </c>
      <c r="AQ301" t="s">
        <v>1033</v>
      </c>
      <c r="AR301" t="s">
        <v>1052</v>
      </c>
      <c r="AT301">
        <v>1</v>
      </c>
      <c r="AU301">
        <v>2</v>
      </c>
      <c r="AV301" t="s">
        <v>273</v>
      </c>
      <c r="AY301" t="s">
        <v>273</v>
      </c>
      <c r="BB301">
        <v>0</v>
      </c>
      <c r="BC301">
        <v>0</v>
      </c>
      <c r="BD301">
        <v>0</v>
      </c>
      <c r="BE301">
        <v>0</v>
      </c>
      <c r="BF301" t="s">
        <v>493</v>
      </c>
      <c r="BG301" t="s">
        <v>6699</v>
      </c>
      <c r="BH301">
        <v>30</v>
      </c>
      <c r="BI301" t="s">
        <v>1272</v>
      </c>
      <c r="BK301">
        <v>1888747</v>
      </c>
    </row>
    <row r="302" spans="1:63">
      <c r="A302" s="1">
        <f>HYPERLINK("https://lsnyc.legalserver.org/matter/dynamic-profile/view/1887881","19-1887881")</f>
        <v>0</v>
      </c>
      <c r="B302" t="s">
        <v>5331</v>
      </c>
      <c r="C302" t="s">
        <v>5625</v>
      </c>
      <c r="D302" t="s">
        <v>257</v>
      </c>
      <c r="E302" t="s">
        <v>5630</v>
      </c>
      <c r="F302" t="s">
        <v>274</v>
      </c>
      <c r="G302" t="s">
        <v>274</v>
      </c>
      <c r="H302">
        <v>107.83</v>
      </c>
      <c r="I302" t="s">
        <v>274</v>
      </c>
      <c r="K302" t="s">
        <v>354</v>
      </c>
      <c r="O302" t="s">
        <v>274</v>
      </c>
      <c r="P302" t="s">
        <v>498</v>
      </c>
      <c r="Q302" t="s">
        <v>501</v>
      </c>
      <c r="S302" t="s">
        <v>503</v>
      </c>
      <c r="T302" t="s">
        <v>508</v>
      </c>
      <c r="U302" t="s">
        <v>511</v>
      </c>
      <c r="V302">
        <v>10452</v>
      </c>
      <c r="W302" t="s">
        <v>517</v>
      </c>
      <c r="X302" t="s">
        <v>548</v>
      </c>
      <c r="Z302" t="s">
        <v>5855</v>
      </c>
      <c r="AA302" t="s">
        <v>6243</v>
      </c>
      <c r="AB302" t="s">
        <v>902</v>
      </c>
      <c r="AC302" t="s">
        <v>904</v>
      </c>
      <c r="AF302" t="s">
        <v>923</v>
      </c>
      <c r="AI302">
        <v>3.65</v>
      </c>
      <c r="AJ302" t="s">
        <v>558</v>
      </c>
      <c r="AK302" t="s">
        <v>950</v>
      </c>
      <c r="AL302" t="s">
        <v>274</v>
      </c>
      <c r="AM302" t="s">
        <v>973</v>
      </c>
      <c r="AN302" t="s">
        <v>450</v>
      </c>
      <c r="AT302">
        <v>1</v>
      </c>
      <c r="AU302">
        <v>2</v>
      </c>
      <c r="AV302" t="s">
        <v>273</v>
      </c>
      <c r="AY302" t="s">
        <v>273</v>
      </c>
      <c r="BB302">
        <v>0</v>
      </c>
      <c r="BC302">
        <v>0</v>
      </c>
      <c r="BD302">
        <v>0</v>
      </c>
      <c r="BE302">
        <v>0</v>
      </c>
      <c r="BF302" t="s">
        <v>1063</v>
      </c>
      <c r="BG302" t="s">
        <v>6700</v>
      </c>
      <c r="BH302">
        <v>50</v>
      </c>
      <c r="BI302" t="s">
        <v>1310</v>
      </c>
      <c r="BK302">
        <v>1888510</v>
      </c>
    </row>
    <row r="303" spans="1:63">
      <c r="A303" s="1">
        <f>HYPERLINK("https://lsnyc.legalserver.org/matter/dynamic-profile/view/1887772","19-1887772")</f>
        <v>0</v>
      </c>
      <c r="B303" t="s">
        <v>5186</v>
      </c>
      <c r="C303" t="s">
        <v>5625</v>
      </c>
      <c r="D303" t="s">
        <v>255</v>
      </c>
      <c r="E303" t="s">
        <v>3694</v>
      </c>
      <c r="F303" t="s">
        <v>274</v>
      </c>
      <c r="G303" t="s">
        <v>274</v>
      </c>
      <c r="H303">
        <v>147.48</v>
      </c>
      <c r="I303" t="s">
        <v>274</v>
      </c>
      <c r="K303" t="s">
        <v>1709</v>
      </c>
      <c r="O303" t="s">
        <v>274</v>
      </c>
      <c r="Q303" t="s">
        <v>501</v>
      </c>
      <c r="S303" t="s">
        <v>503</v>
      </c>
      <c r="T303" t="s">
        <v>508</v>
      </c>
      <c r="U303" t="s">
        <v>511</v>
      </c>
      <c r="V303">
        <v>10002</v>
      </c>
      <c r="W303" t="s">
        <v>517</v>
      </c>
      <c r="X303" t="s">
        <v>548</v>
      </c>
      <c r="Z303" t="s">
        <v>5759</v>
      </c>
      <c r="AA303" t="s">
        <v>2110</v>
      </c>
      <c r="AB303" t="s">
        <v>902</v>
      </c>
      <c r="AC303" t="s">
        <v>904</v>
      </c>
      <c r="AF303" t="s">
        <v>923</v>
      </c>
      <c r="AI303">
        <v>2.15</v>
      </c>
      <c r="AJ303" t="s">
        <v>558</v>
      </c>
      <c r="AK303" t="s">
        <v>933</v>
      </c>
      <c r="AL303" t="s">
        <v>274</v>
      </c>
      <c r="AT303">
        <v>0</v>
      </c>
      <c r="AU303">
        <v>2</v>
      </c>
      <c r="AV303" t="s">
        <v>273</v>
      </c>
      <c r="AY303" t="s">
        <v>273</v>
      </c>
      <c r="BB303">
        <v>0</v>
      </c>
      <c r="BC303">
        <v>0</v>
      </c>
      <c r="BD303">
        <v>0</v>
      </c>
      <c r="BE303">
        <v>0</v>
      </c>
      <c r="BF303" t="s">
        <v>1063</v>
      </c>
      <c r="BG303" t="s">
        <v>6567</v>
      </c>
      <c r="BH303">
        <v>50</v>
      </c>
      <c r="BI303" t="s">
        <v>7053</v>
      </c>
      <c r="BK303">
        <v>243541</v>
      </c>
    </row>
    <row r="304" spans="1:63">
      <c r="A304" s="1">
        <f>HYPERLINK("https://lsnyc.legalserver.org/matter/dynamic-profile/view/1887807","19-1887807")</f>
        <v>0</v>
      </c>
      <c r="B304" t="s">
        <v>5332</v>
      </c>
      <c r="C304" t="s">
        <v>5625</v>
      </c>
      <c r="D304" t="s">
        <v>257</v>
      </c>
      <c r="E304" t="s">
        <v>5630</v>
      </c>
      <c r="F304" t="s">
        <v>274</v>
      </c>
      <c r="G304" t="s">
        <v>274</v>
      </c>
      <c r="H304">
        <v>0</v>
      </c>
      <c r="I304" t="s">
        <v>274</v>
      </c>
      <c r="K304" t="s">
        <v>1709</v>
      </c>
      <c r="M304" t="s">
        <v>471</v>
      </c>
      <c r="N304" t="s">
        <v>465</v>
      </c>
      <c r="O304" t="s">
        <v>275</v>
      </c>
      <c r="P304" t="s">
        <v>498</v>
      </c>
      <c r="Q304" t="s">
        <v>501</v>
      </c>
      <c r="S304" t="s">
        <v>503</v>
      </c>
      <c r="T304" t="s">
        <v>510</v>
      </c>
      <c r="U304" t="s">
        <v>511</v>
      </c>
      <c r="V304">
        <v>10458</v>
      </c>
      <c r="W304" t="s">
        <v>521</v>
      </c>
      <c r="X304" t="s">
        <v>549</v>
      </c>
      <c r="Z304" t="s">
        <v>5856</v>
      </c>
      <c r="AA304" t="s">
        <v>6244</v>
      </c>
      <c r="AB304" t="s">
        <v>902</v>
      </c>
      <c r="AC304" t="s">
        <v>905</v>
      </c>
      <c r="AF304" t="s">
        <v>923</v>
      </c>
      <c r="AI304">
        <v>9</v>
      </c>
      <c r="AJ304" t="s">
        <v>558</v>
      </c>
      <c r="AK304" t="s">
        <v>939</v>
      </c>
      <c r="AL304" t="s">
        <v>274</v>
      </c>
      <c r="AM304" t="s">
        <v>973</v>
      </c>
      <c r="AN304" t="s">
        <v>1688</v>
      </c>
      <c r="AT304">
        <v>0</v>
      </c>
      <c r="AU304">
        <v>1</v>
      </c>
      <c r="AV304" t="s">
        <v>273</v>
      </c>
      <c r="AY304" t="s">
        <v>273</v>
      </c>
      <c r="BB304">
        <v>0</v>
      </c>
      <c r="BC304">
        <v>0</v>
      </c>
      <c r="BD304">
        <v>0</v>
      </c>
      <c r="BE304">
        <v>0</v>
      </c>
      <c r="BF304" t="s">
        <v>1063</v>
      </c>
      <c r="BG304" t="s">
        <v>2695</v>
      </c>
      <c r="BH304">
        <v>21</v>
      </c>
      <c r="BI304" t="s">
        <v>1247</v>
      </c>
      <c r="BK304">
        <v>1888436</v>
      </c>
    </row>
    <row r="305" spans="1:63">
      <c r="A305" s="1">
        <f>HYPERLINK("https://lsnyc.legalserver.org/matter/dynamic-profile/view/1887556","19-1887556")</f>
        <v>0</v>
      </c>
      <c r="B305" t="s">
        <v>5333</v>
      </c>
      <c r="C305" t="s">
        <v>5625</v>
      </c>
      <c r="D305" t="s">
        <v>253</v>
      </c>
      <c r="E305" t="s">
        <v>5630</v>
      </c>
      <c r="F305" t="s">
        <v>274</v>
      </c>
      <c r="G305" t="s">
        <v>274</v>
      </c>
      <c r="H305">
        <v>103.27</v>
      </c>
      <c r="I305" t="s">
        <v>274</v>
      </c>
      <c r="K305" t="s">
        <v>1710</v>
      </c>
      <c r="O305" t="s">
        <v>274</v>
      </c>
      <c r="Q305" t="s">
        <v>501</v>
      </c>
      <c r="S305" t="s">
        <v>503</v>
      </c>
      <c r="T305" t="s">
        <v>508</v>
      </c>
      <c r="U305" t="s">
        <v>511</v>
      </c>
      <c r="V305">
        <v>11434</v>
      </c>
      <c r="W305" t="s">
        <v>1831</v>
      </c>
      <c r="X305" t="s">
        <v>549</v>
      </c>
      <c r="Z305" t="s">
        <v>5857</v>
      </c>
      <c r="AA305" t="s">
        <v>2247</v>
      </c>
      <c r="AB305" t="s">
        <v>902</v>
      </c>
      <c r="AC305" t="s">
        <v>904</v>
      </c>
      <c r="AF305" t="s">
        <v>923</v>
      </c>
      <c r="AI305">
        <v>2.15</v>
      </c>
      <c r="AJ305" t="s">
        <v>558</v>
      </c>
      <c r="AK305" t="s">
        <v>939</v>
      </c>
      <c r="AL305" t="s">
        <v>274</v>
      </c>
      <c r="AT305">
        <v>4</v>
      </c>
      <c r="AU305">
        <v>2</v>
      </c>
      <c r="AV305" t="s">
        <v>273</v>
      </c>
      <c r="AY305" t="s">
        <v>273</v>
      </c>
      <c r="BB305">
        <v>0</v>
      </c>
      <c r="BC305">
        <v>0</v>
      </c>
      <c r="BD305">
        <v>0</v>
      </c>
      <c r="BE305">
        <v>0</v>
      </c>
      <c r="BF305" t="s">
        <v>1063</v>
      </c>
      <c r="BG305" t="s">
        <v>6583</v>
      </c>
      <c r="BH305">
        <v>5</v>
      </c>
      <c r="BI305" t="s">
        <v>2763</v>
      </c>
      <c r="BK305">
        <v>1888184</v>
      </c>
    </row>
    <row r="306" spans="1:63">
      <c r="A306" s="1">
        <f>HYPERLINK("https://lsnyc.legalserver.org/matter/dynamic-profile/view/1887557","19-1887557")</f>
        <v>0</v>
      </c>
      <c r="B306" t="s">
        <v>5192</v>
      </c>
      <c r="C306" t="s">
        <v>5625</v>
      </c>
      <c r="D306" t="s">
        <v>253</v>
      </c>
      <c r="E306" t="s">
        <v>5630</v>
      </c>
      <c r="F306" t="s">
        <v>274</v>
      </c>
      <c r="G306" t="s">
        <v>274</v>
      </c>
      <c r="H306">
        <v>103.27</v>
      </c>
      <c r="I306" t="s">
        <v>274</v>
      </c>
      <c r="K306" t="s">
        <v>1710</v>
      </c>
      <c r="O306" t="s">
        <v>274</v>
      </c>
      <c r="Q306" t="s">
        <v>501</v>
      </c>
      <c r="S306" t="s">
        <v>503</v>
      </c>
      <c r="T306" t="s">
        <v>507</v>
      </c>
      <c r="U306" t="s">
        <v>511</v>
      </c>
      <c r="V306">
        <v>11434</v>
      </c>
      <c r="W306" t="s">
        <v>1831</v>
      </c>
      <c r="X306" t="s">
        <v>549</v>
      </c>
      <c r="Z306" t="s">
        <v>5762</v>
      </c>
      <c r="AA306" t="s">
        <v>2247</v>
      </c>
      <c r="AB306" t="s">
        <v>902</v>
      </c>
      <c r="AC306" t="s">
        <v>904</v>
      </c>
      <c r="AF306" t="s">
        <v>923</v>
      </c>
      <c r="AI306">
        <v>2.7</v>
      </c>
      <c r="AJ306" t="s">
        <v>558</v>
      </c>
      <c r="AK306" t="s">
        <v>939</v>
      </c>
      <c r="AL306" t="s">
        <v>274</v>
      </c>
      <c r="AT306">
        <v>4</v>
      </c>
      <c r="AU306">
        <v>2</v>
      </c>
      <c r="AV306" t="s">
        <v>273</v>
      </c>
      <c r="AY306" t="s">
        <v>273</v>
      </c>
      <c r="BB306">
        <v>0</v>
      </c>
      <c r="BC306">
        <v>0</v>
      </c>
      <c r="BD306">
        <v>0</v>
      </c>
      <c r="BE306">
        <v>0</v>
      </c>
      <c r="BF306" t="s">
        <v>1063</v>
      </c>
      <c r="BG306" t="s">
        <v>6573</v>
      </c>
      <c r="BH306">
        <v>11</v>
      </c>
      <c r="BI306" t="s">
        <v>2763</v>
      </c>
      <c r="BK306">
        <v>1888185</v>
      </c>
    </row>
    <row r="307" spans="1:63">
      <c r="A307" s="1">
        <f>HYPERLINK("https://lsnyc.legalserver.org/matter/dynamic-profile/view/1887596","19-1887596")</f>
        <v>0</v>
      </c>
      <c r="B307" t="s">
        <v>5334</v>
      </c>
      <c r="C307" t="s">
        <v>5625</v>
      </c>
      <c r="D307" t="s">
        <v>257</v>
      </c>
      <c r="E307" t="s">
        <v>5630</v>
      </c>
      <c r="F307" t="s">
        <v>274</v>
      </c>
      <c r="G307" t="s">
        <v>274</v>
      </c>
      <c r="H307">
        <v>66.29000000000001</v>
      </c>
      <c r="I307" t="s">
        <v>274</v>
      </c>
      <c r="K307" t="s">
        <v>1710</v>
      </c>
      <c r="Q307" t="s">
        <v>501</v>
      </c>
      <c r="S307" t="s">
        <v>503</v>
      </c>
      <c r="T307" t="s">
        <v>508</v>
      </c>
      <c r="U307" t="s">
        <v>511</v>
      </c>
      <c r="V307">
        <v>10451</v>
      </c>
      <c r="W307" t="s">
        <v>520</v>
      </c>
      <c r="X307" t="s">
        <v>548</v>
      </c>
      <c r="Z307" t="s">
        <v>5858</v>
      </c>
      <c r="AA307" t="s">
        <v>2110</v>
      </c>
      <c r="AB307" t="s">
        <v>902</v>
      </c>
      <c r="AC307" t="s">
        <v>906</v>
      </c>
      <c r="AF307" t="s">
        <v>923</v>
      </c>
      <c r="AI307">
        <v>0.2</v>
      </c>
      <c r="AJ307" t="s">
        <v>558</v>
      </c>
      <c r="AK307" t="s">
        <v>933</v>
      </c>
      <c r="AL307" t="s">
        <v>275</v>
      </c>
      <c r="AT307">
        <v>3</v>
      </c>
      <c r="AU307">
        <v>1</v>
      </c>
      <c r="AV307" t="s">
        <v>273</v>
      </c>
      <c r="AY307" t="s">
        <v>273</v>
      </c>
      <c r="BB307">
        <v>0</v>
      </c>
      <c r="BC307">
        <v>0</v>
      </c>
      <c r="BD307">
        <v>0</v>
      </c>
      <c r="BE307">
        <v>0</v>
      </c>
      <c r="BF307" t="s">
        <v>1063</v>
      </c>
      <c r="BG307" t="s">
        <v>6701</v>
      </c>
      <c r="BH307">
        <v>35</v>
      </c>
      <c r="BI307" t="s">
        <v>1320</v>
      </c>
      <c r="BK307">
        <v>752053</v>
      </c>
    </row>
    <row r="308" spans="1:63">
      <c r="A308" s="1">
        <f>HYPERLINK("https://lsnyc.legalserver.org/matter/dynamic-profile/view/1887607","19-1887607")</f>
        <v>0</v>
      </c>
      <c r="B308" t="s">
        <v>5335</v>
      </c>
      <c r="C308" t="s">
        <v>5625</v>
      </c>
      <c r="D308" t="s">
        <v>253</v>
      </c>
      <c r="E308" t="s">
        <v>3694</v>
      </c>
      <c r="F308" t="s">
        <v>274</v>
      </c>
      <c r="G308" t="s">
        <v>274</v>
      </c>
      <c r="H308">
        <v>43.31</v>
      </c>
      <c r="I308" t="s">
        <v>274</v>
      </c>
      <c r="K308" t="s">
        <v>1710</v>
      </c>
      <c r="Q308" t="s">
        <v>501</v>
      </c>
      <c r="S308" t="s">
        <v>503</v>
      </c>
      <c r="T308" t="s">
        <v>508</v>
      </c>
      <c r="U308" t="s">
        <v>511</v>
      </c>
      <c r="V308">
        <v>11368</v>
      </c>
      <c r="W308" t="s">
        <v>544</v>
      </c>
      <c r="Z308" t="s">
        <v>5859</v>
      </c>
      <c r="AA308" t="s">
        <v>828</v>
      </c>
      <c r="AB308" t="s">
        <v>902</v>
      </c>
      <c r="AC308" t="s">
        <v>906</v>
      </c>
      <c r="AF308" t="s">
        <v>923</v>
      </c>
      <c r="AI308">
        <v>0</v>
      </c>
      <c r="AJ308" t="s">
        <v>558</v>
      </c>
      <c r="AK308" t="s">
        <v>933</v>
      </c>
      <c r="AL308" t="s">
        <v>274</v>
      </c>
      <c r="AT308">
        <v>2</v>
      </c>
      <c r="AU308">
        <v>1</v>
      </c>
      <c r="AV308" t="s">
        <v>273</v>
      </c>
      <c r="AY308" t="s">
        <v>273</v>
      </c>
      <c r="BB308">
        <v>0</v>
      </c>
      <c r="BC308">
        <v>0</v>
      </c>
      <c r="BD308">
        <v>0</v>
      </c>
      <c r="BE308">
        <v>0</v>
      </c>
      <c r="BF308" t="s">
        <v>1063</v>
      </c>
      <c r="BG308" t="s">
        <v>6702</v>
      </c>
      <c r="BH308">
        <v>36</v>
      </c>
      <c r="BI308" t="s">
        <v>2724</v>
      </c>
      <c r="BK308">
        <v>1881488</v>
      </c>
    </row>
    <row r="309" spans="1:63">
      <c r="A309" s="1">
        <f>HYPERLINK("https://lsnyc.legalserver.org/matter/dynamic-profile/view/1887680","19-1887680")</f>
        <v>0</v>
      </c>
      <c r="B309" t="s">
        <v>5336</v>
      </c>
      <c r="C309" t="s">
        <v>5625</v>
      </c>
      <c r="D309" t="s">
        <v>252</v>
      </c>
      <c r="E309" t="s">
        <v>3694</v>
      </c>
      <c r="F309" t="s">
        <v>274</v>
      </c>
      <c r="G309" t="s">
        <v>274</v>
      </c>
      <c r="H309">
        <v>37.54</v>
      </c>
      <c r="I309" t="s">
        <v>274</v>
      </c>
      <c r="K309" t="s">
        <v>1710</v>
      </c>
      <c r="Q309" t="s">
        <v>501</v>
      </c>
      <c r="S309" t="s">
        <v>503</v>
      </c>
      <c r="T309" t="s">
        <v>508</v>
      </c>
      <c r="U309" t="s">
        <v>511</v>
      </c>
      <c r="V309">
        <v>11233</v>
      </c>
      <c r="W309" t="s">
        <v>525</v>
      </c>
      <c r="Y309" t="s">
        <v>275</v>
      </c>
      <c r="Z309" t="s">
        <v>5860</v>
      </c>
      <c r="AA309" t="s">
        <v>6069</v>
      </c>
      <c r="AB309" t="s">
        <v>902</v>
      </c>
      <c r="AC309" t="s">
        <v>904</v>
      </c>
      <c r="AF309" t="s">
        <v>923</v>
      </c>
      <c r="AI309">
        <v>0.1</v>
      </c>
      <c r="AJ309" t="s">
        <v>558</v>
      </c>
      <c r="AK309" t="s">
        <v>939</v>
      </c>
      <c r="AL309" t="s">
        <v>274</v>
      </c>
      <c r="AT309">
        <v>1</v>
      </c>
      <c r="AU309">
        <v>2</v>
      </c>
      <c r="AV309" t="s">
        <v>273</v>
      </c>
      <c r="AY309" t="s">
        <v>273</v>
      </c>
      <c r="BB309">
        <v>0</v>
      </c>
      <c r="BC309">
        <v>0</v>
      </c>
      <c r="BD309">
        <v>0</v>
      </c>
      <c r="BE309">
        <v>0</v>
      </c>
      <c r="BF309" t="s">
        <v>1063</v>
      </c>
      <c r="BG309" t="s">
        <v>6703</v>
      </c>
      <c r="BH309">
        <v>27</v>
      </c>
      <c r="BI309" t="s">
        <v>2771</v>
      </c>
      <c r="BK309">
        <v>828600</v>
      </c>
    </row>
    <row r="310" spans="1:63">
      <c r="A310" s="1">
        <f>HYPERLINK("https://lsnyc.legalserver.org/matter/dynamic-profile/view/1887481","19-1887481")</f>
        <v>0</v>
      </c>
      <c r="B310" t="s">
        <v>5214</v>
      </c>
      <c r="C310" t="s">
        <v>5625</v>
      </c>
      <c r="D310" t="s">
        <v>253</v>
      </c>
      <c r="E310" t="s">
        <v>5630</v>
      </c>
      <c r="F310" t="s">
        <v>274</v>
      </c>
      <c r="G310" t="s">
        <v>274</v>
      </c>
      <c r="H310">
        <v>67.98</v>
      </c>
      <c r="I310" t="s">
        <v>274</v>
      </c>
      <c r="K310" t="s">
        <v>1711</v>
      </c>
      <c r="O310" t="s">
        <v>274</v>
      </c>
      <c r="P310" t="s">
        <v>498</v>
      </c>
      <c r="Q310" t="s">
        <v>501</v>
      </c>
      <c r="S310" t="s">
        <v>503</v>
      </c>
      <c r="T310" t="s">
        <v>508</v>
      </c>
      <c r="U310" t="s">
        <v>511</v>
      </c>
      <c r="V310">
        <v>11432</v>
      </c>
      <c r="W310" t="s">
        <v>517</v>
      </c>
      <c r="X310" t="s">
        <v>549</v>
      </c>
      <c r="Z310" t="s">
        <v>5716</v>
      </c>
      <c r="AA310" t="s">
        <v>6099</v>
      </c>
      <c r="AB310" t="s">
        <v>902</v>
      </c>
      <c r="AC310" t="s">
        <v>904</v>
      </c>
      <c r="AF310" t="s">
        <v>923</v>
      </c>
      <c r="AI310">
        <v>5.2</v>
      </c>
      <c r="AJ310" t="s">
        <v>558</v>
      </c>
      <c r="AK310" t="s">
        <v>952</v>
      </c>
      <c r="AL310" t="s">
        <v>274</v>
      </c>
      <c r="AM310" t="s">
        <v>973</v>
      </c>
      <c r="AN310" t="s">
        <v>1670</v>
      </c>
      <c r="AT310">
        <v>3</v>
      </c>
      <c r="AU310">
        <v>2</v>
      </c>
      <c r="AV310" t="s">
        <v>273</v>
      </c>
      <c r="AY310" t="s">
        <v>273</v>
      </c>
      <c r="BB310">
        <v>0</v>
      </c>
      <c r="BC310">
        <v>0</v>
      </c>
      <c r="BD310">
        <v>0</v>
      </c>
      <c r="BE310">
        <v>0</v>
      </c>
      <c r="BF310" t="s">
        <v>1063</v>
      </c>
      <c r="BG310" t="s">
        <v>6591</v>
      </c>
      <c r="BH310">
        <v>32</v>
      </c>
      <c r="BI310" t="s">
        <v>1251</v>
      </c>
      <c r="BK310">
        <v>1888109</v>
      </c>
    </row>
    <row r="311" spans="1:63">
      <c r="A311" s="1">
        <f>HYPERLINK("https://lsnyc.legalserver.org/matter/dynamic-profile/view/1887521","19-1887521")</f>
        <v>0</v>
      </c>
      <c r="B311" t="s">
        <v>5337</v>
      </c>
      <c r="C311" t="s">
        <v>5625</v>
      </c>
      <c r="D311" t="s">
        <v>257</v>
      </c>
      <c r="E311" t="s">
        <v>264</v>
      </c>
      <c r="F311" t="s">
        <v>274</v>
      </c>
      <c r="G311" t="s">
        <v>274</v>
      </c>
      <c r="H311">
        <v>17.09</v>
      </c>
      <c r="I311" t="s">
        <v>274</v>
      </c>
      <c r="K311" t="s">
        <v>1711</v>
      </c>
      <c r="O311" t="s">
        <v>274</v>
      </c>
      <c r="Q311" t="s">
        <v>501</v>
      </c>
      <c r="S311" t="s">
        <v>503</v>
      </c>
      <c r="T311" t="s">
        <v>507</v>
      </c>
      <c r="U311" t="s">
        <v>511</v>
      </c>
      <c r="V311">
        <v>10460</v>
      </c>
      <c r="W311" t="s">
        <v>517</v>
      </c>
      <c r="X311" t="s">
        <v>548</v>
      </c>
      <c r="Y311" t="s">
        <v>274</v>
      </c>
      <c r="Z311" t="s">
        <v>5861</v>
      </c>
      <c r="AA311" t="s">
        <v>2254</v>
      </c>
      <c r="AB311" t="s">
        <v>902</v>
      </c>
      <c r="AC311" t="s">
        <v>904</v>
      </c>
      <c r="AF311" t="s">
        <v>923</v>
      </c>
      <c r="AI311">
        <v>3.2</v>
      </c>
      <c r="AJ311" t="s">
        <v>558</v>
      </c>
      <c r="AK311" t="s">
        <v>950</v>
      </c>
      <c r="AL311" t="s">
        <v>274</v>
      </c>
      <c r="AT311">
        <v>5</v>
      </c>
      <c r="AU311">
        <v>4</v>
      </c>
      <c r="AV311" t="s">
        <v>273</v>
      </c>
      <c r="AY311" t="s">
        <v>273</v>
      </c>
      <c r="BB311">
        <v>0</v>
      </c>
      <c r="BC311">
        <v>0</v>
      </c>
      <c r="BD311">
        <v>0</v>
      </c>
      <c r="BE311">
        <v>0</v>
      </c>
      <c r="BF311" t="s">
        <v>1063</v>
      </c>
      <c r="BG311" t="s">
        <v>1148</v>
      </c>
      <c r="BH311">
        <v>47</v>
      </c>
      <c r="BI311" t="s">
        <v>7054</v>
      </c>
      <c r="BK311">
        <v>1852347</v>
      </c>
    </row>
    <row r="312" spans="1:63">
      <c r="A312" s="1">
        <f>HYPERLINK("https://lsnyc.legalserver.org/matter/dynamic-profile/view/1887358","19-1887358")</f>
        <v>0</v>
      </c>
      <c r="B312" t="s">
        <v>5213</v>
      </c>
      <c r="C312" t="s">
        <v>5625</v>
      </c>
      <c r="D312" t="s">
        <v>253</v>
      </c>
      <c r="E312" t="s">
        <v>5630</v>
      </c>
      <c r="F312" t="s">
        <v>274</v>
      </c>
      <c r="G312" t="s">
        <v>274</v>
      </c>
      <c r="H312">
        <v>53.56</v>
      </c>
      <c r="I312" t="s">
        <v>274</v>
      </c>
      <c r="K312" t="s">
        <v>355</v>
      </c>
      <c r="Q312" t="s">
        <v>501</v>
      </c>
      <c r="S312" t="s">
        <v>503</v>
      </c>
      <c r="T312" t="s">
        <v>508</v>
      </c>
      <c r="U312" t="s">
        <v>511</v>
      </c>
      <c r="V312">
        <v>11419</v>
      </c>
      <c r="W312" t="s">
        <v>517</v>
      </c>
      <c r="X312" t="s">
        <v>549</v>
      </c>
      <c r="Y312" t="s">
        <v>275</v>
      </c>
      <c r="Z312" t="s">
        <v>5779</v>
      </c>
      <c r="AA312" t="s">
        <v>6158</v>
      </c>
      <c r="AB312" t="s">
        <v>902</v>
      </c>
      <c r="AC312" t="s">
        <v>904</v>
      </c>
      <c r="AF312" t="s">
        <v>923</v>
      </c>
      <c r="AI312">
        <v>1.85</v>
      </c>
      <c r="AJ312" t="s">
        <v>558</v>
      </c>
      <c r="AK312" t="s">
        <v>944</v>
      </c>
      <c r="AL312" t="s">
        <v>274</v>
      </c>
      <c r="AT312">
        <v>1</v>
      </c>
      <c r="AU312">
        <v>4</v>
      </c>
      <c r="AV312" t="s">
        <v>273</v>
      </c>
      <c r="AY312" t="s">
        <v>273</v>
      </c>
      <c r="BB312">
        <v>0</v>
      </c>
      <c r="BC312">
        <v>0</v>
      </c>
      <c r="BD312">
        <v>0</v>
      </c>
      <c r="BE312">
        <v>0</v>
      </c>
      <c r="BF312" t="s">
        <v>1063</v>
      </c>
      <c r="BG312" t="s">
        <v>6590</v>
      </c>
      <c r="BH312">
        <v>55</v>
      </c>
      <c r="BI312" t="s">
        <v>7021</v>
      </c>
      <c r="BK312">
        <v>1887986</v>
      </c>
    </row>
    <row r="313" spans="1:63">
      <c r="A313" s="1">
        <f>HYPERLINK("https://lsnyc.legalserver.org/matter/dynamic-profile/view/1887359","19-1887359")</f>
        <v>0</v>
      </c>
      <c r="B313" t="s">
        <v>5227</v>
      </c>
      <c r="C313" t="s">
        <v>5625</v>
      </c>
      <c r="D313" t="s">
        <v>255</v>
      </c>
      <c r="E313" t="s">
        <v>5630</v>
      </c>
      <c r="F313" t="s">
        <v>274</v>
      </c>
      <c r="G313" t="s">
        <v>274</v>
      </c>
      <c r="H313">
        <v>99.67</v>
      </c>
      <c r="I313" t="s">
        <v>274</v>
      </c>
      <c r="K313" t="s">
        <v>355</v>
      </c>
      <c r="O313" t="s">
        <v>274</v>
      </c>
      <c r="P313" t="s">
        <v>498</v>
      </c>
      <c r="Q313" t="s">
        <v>501</v>
      </c>
      <c r="S313" t="s">
        <v>503</v>
      </c>
      <c r="T313" t="s">
        <v>508</v>
      </c>
      <c r="U313" t="s">
        <v>511</v>
      </c>
      <c r="V313">
        <v>10026</v>
      </c>
      <c r="W313" t="s">
        <v>517</v>
      </c>
      <c r="X313" t="s">
        <v>549</v>
      </c>
      <c r="Z313" t="s">
        <v>5788</v>
      </c>
      <c r="AA313" t="s">
        <v>6167</v>
      </c>
      <c r="AB313" t="s">
        <v>902</v>
      </c>
      <c r="AC313" t="s">
        <v>904</v>
      </c>
      <c r="AF313" t="s">
        <v>923</v>
      </c>
      <c r="AI313">
        <v>2.45</v>
      </c>
      <c r="AJ313" t="s">
        <v>558</v>
      </c>
      <c r="AK313" t="s">
        <v>3255</v>
      </c>
      <c r="AL313" t="s">
        <v>274</v>
      </c>
      <c r="AM313" t="s">
        <v>973</v>
      </c>
      <c r="AN313" t="s">
        <v>311</v>
      </c>
      <c r="AT313">
        <v>2</v>
      </c>
      <c r="AU313">
        <v>1</v>
      </c>
      <c r="AV313" t="s">
        <v>273</v>
      </c>
      <c r="AY313" t="s">
        <v>273</v>
      </c>
      <c r="BB313">
        <v>0</v>
      </c>
      <c r="BC313">
        <v>0</v>
      </c>
      <c r="BD313">
        <v>0</v>
      </c>
      <c r="BE313">
        <v>0</v>
      </c>
      <c r="BF313" t="s">
        <v>1063</v>
      </c>
      <c r="BG313" t="s">
        <v>6602</v>
      </c>
      <c r="BH313">
        <v>44</v>
      </c>
      <c r="BI313" t="s">
        <v>7026</v>
      </c>
      <c r="BK313">
        <v>1887987</v>
      </c>
    </row>
    <row r="314" spans="1:63">
      <c r="A314" s="1">
        <f>HYPERLINK("https://lsnyc.legalserver.org/matter/dynamic-profile/view/1886939","19-1886939")</f>
        <v>0</v>
      </c>
      <c r="B314" t="s">
        <v>5193</v>
      </c>
      <c r="C314" t="s">
        <v>5625</v>
      </c>
      <c r="D314" t="s">
        <v>257</v>
      </c>
      <c r="E314" t="s">
        <v>3694</v>
      </c>
      <c r="F314" t="s">
        <v>274</v>
      </c>
      <c r="G314" t="s">
        <v>274</v>
      </c>
      <c r="H314">
        <v>74.09999999999999</v>
      </c>
      <c r="I314" t="s">
        <v>274</v>
      </c>
      <c r="K314" t="s">
        <v>356</v>
      </c>
      <c r="O314" t="s">
        <v>274</v>
      </c>
      <c r="Q314" t="s">
        <v>501</v>
      </c>
      <c r="S314" t="s">
        <v>503</v>
      </c>
      <c r="T314" t="s">
        <v>508</v>
      </c>
      <c r="U314" t="s">
        <v>511</v>
      </c>
      <c r="V314">
        <v>10469</v>
      </c>
      <c r="W314" t="s">
        <v>517</v>
      </c>
      <c r="X314" t="s">
        <v>549</v>
      </c>
      <c r="Z314" t="s">
        <v>5763</v>
      </c>
      <c r="AA314" t="s">
        <v>6099</v>
      </c>
      <c r="AB314" t="s">
        <v>902</v>
      </c>
      <c r="AC314" t="s">
        <v>904</v>
      </c>
      <c r="AF314" t="s">
        <v>923</v>
      </c>
      <c r="AI314">
        <v>3.05</v>
      </c>
      <c r="AJ314" t="s">
        <v>558</v>
      </c>
      <c r="AK314" t="s">
        <v>939</v>
      </c>
      <c r="AL314" t="s">
        <v>274</v>
      </c>
      <c r="AT314">
        <v>4</v>
      </c>
      <c r="AU314">
        <v>2</v>
      </c>
      <c r="AV314" t="s">
        <v>273</v>
      </c>
      <c r="AY314" t="s">
        <v>273</v>
      </c>
      <c r="BB314">
        <v>0</v>
      </c>
      <c r="BC314">
        <v>0</v>
      </c>
      <c r="BD314">
        <v>0</v>
      </c>
      <c r="BE314">
        <v>0</v>
      </c>
      <c r="BF314" t="s">
        <v>1063</v>
      </c>
      <c r="BG314" t="s">
        <v>4109</v>
      </c>
      <c r="BH314">
        <v>34</v>
      </c>
      <c r="BI314" t="s">
        <v>1274</v>
      </c>
      <c r="BK314">
        <v>1887567</v>
      </c>
    </row>
    <row r="315" spans="1:63">
      <c r="A315" s="1">
        <f>HYPERLINK("https://lsnyc.legalserver.org/matter/dynamic-profile/view/1886813","19-1886813")</f>
        <v>0</v>
      </c>
      <c r="B315" t="s">
        <v>5202</v>
      </c>
      <c r="C315" t="s">
        <v>5625</v>
      </c>
      <c r="D315" t="s">
        <v>252</v>
      </c>
      <c r="E315" t="s">
        <v>5630</v>
      </c>
      <c r="F315" t="s">
        <v>274</v>
      </c>
      <c r="G315" t="s">
        <v>274</v>
      </c>
      <c r="H315">
        <v>103.28</v>
      </c>
      <c r="I315" t="s">
        <v>274</v>
      </c>
      <c r="K315" t="s">
        <v>2389</v>
      </c>
      <c r="O315" t="s">
        <v>274</v>
      </c>
      <c r="Q315" t="s">
        <v>501</v>
      </c>
      <c r="S315" t="s">
        <v>503</v>
      </c>
      <c r="T315" t="s">
        <v>508</v>
      </c>
      <c r="U315" t="s">
        <v>511</v>
      </c>
      <c r="V315">
        <v>11212</v>
      </c>
      <c r="W315" t="s">
        <v>1831</v>
      </c>
      <c r="X315" t="s">
        <v>549</v>
      </c>
      <c r="Z315" t="s">
        <v>5770</v>
      </c>
      <c r="AA315" t="s">
        <v>5781</v>
      </c>
      <c r="AB315" t="s">
        <v>902</v>
      </c>
      <c r="AC315" t="s">
        <v>904</v>
      </c>
      <c r="AF315" t="s">
        <v>923</v>
      </c>
      <c r="AI315">
        <v>2.8</v>
      </c>
      <c r="AJ315" t="s">
        <v>558</v>
      </c>
      <c r="AK315" t="s">
        <v>965</v>
      </c>
      <c r="AL315" t="s">
        <v>274</v>
      </c>
      <c r="AT315">
        <v>1</v>
      </c>
      <c r="AU315">
        <v>1</v>
      </c>
      <c r="AV315" t="s">
        <v>273</v>
      </c>
      <c r="AY315" t="s">
        <v>273</v>
      </c>
      <c r="BB315">
        <v>0</v>
      </c>
      <c r="BC315">
        <v>0</v>
      </c>
      <c r="BD315">
        <v>0</v>
      </c>
      <c r="BE315">
        <v>0</v>
      </c>
      <c r="BF315" t="s">
        <v>1063</v>
      </c>
      <c r="BG315" t="s">
        <v>6582</v>
      </c>
      <c r="BH315">
        <v>17</v>
      </c>
      <c r="BI315" t="s">
        <v>1314</v>
      </c>
      <c r="BK315">
        <v>1887441</v>
      </c>
    </row>
    <row r="316" spans="1:63">
      <c r="A316" s="1">
        <f>HYPERLINK("https://lsnyc.legalserver.org/matter/dynamic-profile/view/1886763","18-1886763")</f>
        <v>0</v>
      </c>
      <c r="B316" t="s">
        <v>5200</v>
      </c>
      <c r="C316" t="s">
        <v>5625</v>
      </c>
      <c r="D316" t="s">
        <v>252</v>
      </c>
      <c r="E316" t="s">
        <v>3694</v>
      </c>
      <c r="F316" t="s">
        <v>274</v>
      </c>
      <c r="G316" t="s">
        <v>274</v>
      </c>
      <c r="H316">
        <v>191.37</v>
      </c>
      <c r="I316" t="s">
        <v>274</v>
      </c>
      <c r="K316" t="s">
        <v>1814</v>
      </c>
      <c r="O316" t="s">
        <v>274</v>
      </c>
      <c r="P316" t="s">
        <v>498</v>
      </c>
      <c r="Q316" t="s">
        <v>501</v>
      </c>
      <c r="S316" t="s">
        <v>503</v>
      </c>
      <c r="T316" t="s">
        <v>507</v>
      </c>
      <c r="U316" t="s">
        <v>511</v>
      </c>
      <c r="V316">
        <v>11207</v>
      </c>
      <c r="W316" t="s">
        <v>517</v>
      </c>
      <c r="X316" t="s">
        <v>549</v>
      </c>
      <c r="Z316" t="s">
        <v>5769</v>
      </c>
      <c r="AA316" t="s">
        <v>6149</v>
      </c>
      <c r="AB316" t="s">
        <v>902</v>
      </c>
      <c r="AC316" t="s">
        <v>904</v>
      </c>
      <c r="AF316" t="s">
        <v>923</v>
      </c>
      <c r="AI316">
        <v>1.9</v>
      </c>
      <c r="AJ316" t="s">
        <v>558</v>
      </c>
      <c r="AK316" t="s">
        <v>937</v>
      </c>
      <c r="AL316" t="s">
        <v>274</v>
      </c>
      <c r="AT316">
        <v>0</v>
      </c>
      <c r="AU316">
        <v>2</v>
      </c>
      <c r="AV316" t="s">
        <v>273</v>
      </c>
      <c r="AY316" t="s">
        <v>273</v>
      </c>
      <c r="BB316">
        <v>0</v>
      </c>
      <c r="BC316">
        <v>0</v>
      </c>
      <c r="BD316">
        <v>0</v>
      </c>
      <c r="BE316">
        <v>0</v>
      </c>
      <c r="BF316" t="s">
        <v>1063</v>
      </c>
      <c r="BG316" t="s">
        <v>6580</v>
      </c>
      <c r="BH316">
        <v>27</v>
      </c>
      <c r="BI316" t="s">
        <v>7015</v>
      </c>
      <c r="BK316">
        <v>1887391</v>
      </c>
    </row>
    <row r="317" spans="1:63">
      <c r="A317" s="1">
        <f>HYPERLINK("https://lsnyc.legalserver.org/matter/dynamic-profile/view/1886553","18-1886553")</f>
        <v>0</v>
      </c>
      <c r="B317" t="s">
        <v>5229</v>
      </c>
      <c r="C317" t="s">
        <v>5625</v>
      </c>
      <c r="D317" t="s">
        <v>257</v>
      </c>
      <c r="E317" t="s">
        <v>5630</v>
      </c>
      <c r="F317" t="s">
        <v>274</v>
      </c>
      <c r="G317" t="s">
        <v>274</v>
      </c>
      <c r="H317">
        <v>0</v>
      </c>
      <c r="I317" t="s">
        <v>274</v>
      </c>
      <c r="K317" t="s">
        <v>3277</v>
      </c>
      <c r="O317" t="s">
        <v>274</v>
      </c>
      <c r="P317" t="s">
        <v>498</v>
      </c>
      <c r="Q317" t="s">
        <v>501</v>
      </c>
      <c r="S317" t="s">
        <v>503</v>
      </c>
      <c r="T317" t="s">
        <v>507</v>
      </c>
      <c r="U317" t="s">
        <v>511</v>
      </c>
      <c r="V317">
        <v>10466</v>
      </c>
      <c r="W317" t="s">
        <v>517</v>
      </c>
      <c r="X317" t="s">
        <v>548</v>
      </c>
      <c r="Z317" t="s">
        <v>1857</v>
      </c>
      <c r="AA317" t="s">
        <v>2037</v>
      </c>
      <c r="AB317" t="s">
        <v>902</v>
      </c>
      <c r="AC317" t="s">
        <v>904</v>
      </c>
      <c r="AF317" t="s">
        <v>923</v>
      </c>
      <c r="AI317">
        <v>2.34</v>
      </c>
      <c r="AJ317" t="s">
        <v>558</v>
      </c>
      <c r="AK317" t="s">
        <v>950</v>
      </c>
      <c r="AL317" t="s">
        <v>274</v>
      </c>
      <c r="AT317">
        <v>1</v>
      </c>
      <c r="AU317">
        <v>4</v>
      </c>
      <c r="AV317" t="s">
        <v>273</v>
      </c>
      <c r="AY317" t="s">
        <v>273</v>
      </c>
      <c r="BB317">
        <v>0</v>
      </c>
      <c r="BC317">
        <v>0</v>
      </c>
      <c r="BD317">
        <v>0</v>
      </c>
      <c r="BE317">
        <v>0</v>
      </c>
      <c r="BF317" t="s">
        <v>1063</v>
      </c>
      <c r="BG317" t="s">
        <v>6604</v>
      </c>
      <c r="BH317">
        <v>25</v>
      </c>
      <c r="BI317" t="s">
        <v>1247</v>
      </c>
      <c r="BK317">
        <v>1887181</v>
      </c>
    </row>
    <row r="318" spans="1:63">
      <c r="A318" s="1">
        <f>HYPERLINK("https://lsnyc.legalserver.org/matter/dynamic-profile/view/1886608","18-1886608")</f>
        <v>0</v>
      </c>
      <c r="B318" t="s">
        <v>5338</v>
      </c>
      <c r="C318" t="s">
        <v>5625</v>
      </c>
      <c r="D318" t="s">
        <v>254</v>
      </c>
      <c r="E318" t="s">
        <v>5630</v>
      </c>
      <c r="F318" t="s">
        <v>274</v>
      </c>
      <c r="G318" t="s">
        <v>274</v>
      </c>
      <c r="H318">
        <v>55.35</v>
      </c>
      <c r="I318" t="s">
        <v>274</v>
      </c>
      <c r="K318" t="s">
        <v>3277</v>
      </c>
      <c r="O318" t="s">
        <v>274</v>
      </c>
      <c r="P318" t="s">
        <v>498</v>
      </c>
      <c r="Q318" t="s">
        <v>501</v>
      </c>
      <c r="S318" t="s">
        <v>503</v>
      </c>
      <c r="T318" t="s">
        <v>508</v>
      </c>
      <c r="U318" t="s">
        <v>511</v>
      </c>
      <c r="V318">
        <v>10304</v>
      </c>
      <c r="W318" t="s">
        <v>517</v>
      </c>
      <c r="X318" t="s">
        <v>558</v>
      </c>
      <c r="Z318" t="s">
        <v>5862</v>
      </c>
      <c r="AA318" t="s">
        <v>6245</v>
      </c>
      <c r="AB318" t="s">
        <v>902</v>
      </c>
      <c r="AC318" t="s">
        <v>904</v>
      </c>
      <c r="AF318" t="s">
        <v>923</v>
      </c>
      <c r="AI318">
        <v>4.25</v>
      </c>
      <c r="AJ318" t="s">
        <v>558</v>
      </c>
      <c r="AK318" t="s">
        <v>2384</v>
      </c>
      <c r="AL318" t="s">
        <v>274</v>
      </c>
      <c r="AT318">
        <v>0</v>
      </c>
      <c r="AU318">
        <v>1</v>
      </c>
      <c r="AV318" t="s">
        <v>273</v>
      </c>
      <c r="AY318" t="s">
        <v>273</v>
      </c>
      <c r="BB318">
        <v>0</v>
      </c>
      <c r="BC318">
        <v>0</v>
      </c>
      <c r="BD318">
        <v>0</v>
      </c>
      <c r="BE318">
        <v>0</v>
      </c>
      <c r="BF318" t="s">
        <v>1063</v>
      </c>
      <c r="BG318" t="s">
        <v>6704</v>
      </c>
      <c r="BH318">
        <v>65</v>
      </c>
      <c r="BI318" t="s">
        <v>7055</v>
      </c>
      <c r="BK318">
        <v>1887236</v>
      </c>
    </row>
    <row r="319" spans="1:63">
      <c r="A319" s="1">
        <f>HYPERLINK("https://lsnyc.legalserver.org/matter/dynamic-profile/view/1886472","18-1886472")</f>
        <v>0</v>
      </c>
      <c r="B319" t="s">
        <v>5339</v>
      </c>
      <c r="C319" t="s">
        <v>5625</v>
      </c>
      <c r="D319" t="s">
        <v>257</v>
      </c>
      <c r="E319" t="s">
        <v>264</v>
      </c>
      <c r="F319" t="s">
        <v>274</v>
      </c>
      <c r="G319" t="s">
        <v>274</v>
      </c>
      <c r="H319">
        <v>19.6</v>
      </c>
      <c r="I319" t="s">
        <v>274</v>
      </c>
      <c r="K319" t="s">
        <v>2391</v>
      </c>
      <c r="O319" t="s">
        <v>274</v>
      </c>
      <c r="Q319" t="s">
        <v>501</v>
      </c>
      <c r="S319" t="s">
        <v>503</v>
      </c>
      <c r="T319" t="s">
        <v>508</v>
      </c>
      <c r="U319" t="s">
        <v>511</v>
      </c>
      <c r="V319">
        <v>10466</v>
      </c>
      <c r="W319" t="s">
        <v>517</v>
      </c>
      <c r="X319" t="s">
        <v>548</v>
      </c>
      <c r="Y319" t="s">
        <v>275</v>
      </c>
      <c r="Z319" t="s">
        <v>1920</v>
      </c>
      <c r="AA319" t="s">
        <v>6246</v>
      </c>
      <c r="AB319" t="s">
        <v>902</v>
      </c>
      <c r="AC319" t="s">
        <v>904</v>
      </c>
      <c r="AD319" t="s">
        <v>275</v>
      </c>
      <c r="AF319" t="s">
        <v>927</v>
      </c>
      <c r="AI319">
        <v>7.9</v>
      </c>
      <c r="AJ319" t="s">
        <v>558</v>
      </c>
      <c r="AK319" t="s">
        <v>950</v>
      </c>
      <c r="AL319" t="s">
        <v>274</v>
      </c>
      <c r="AQ319" t="s">
        <v>1037</v>
      </c>
      <c r="AR319" t="s">
        <v>1052</v>
      </c>
      <c r="AT319">
        <v>0</v>
      </c>
      <c r="AU319">
        <v>1</v>
      </c>
      <c r="AV319" t="s">
        <v>273</v>
      </c>
      <c r="AY319" t="s">
        <v>273</v>
      </c>
      <c r="BB319">
        <v>0</v>
      </c>
      <c r="BC319">
        <v>0</v>
      </c>
      <c r="BD319">
        <v>0</v>
      </c>
      <c r="BE319">
        <v>0</v>
      </c>
      <c r="BF319" t="s">
        <v>1063</v>
      </c>
      <c r="BG319" t="s">
        <v>6705</v>
      </c>
      <c r="BH319">
        <v>74</v>
      </c>
      <c r="BI319" t="s">
        <v>7056</v>
      </c>
      <c r="BK319">
        <v>1887100</v>
      </c>
    </row>
    <row r="320" spans="1:63">
      <c r="A320" s="1">
        <f>HYPERLINK("https://lsnyc.legalserver.org/matter/dynamic-profile/view/1886147","18-1886147")</f>
        <v>0</v>
      </c>
      <c r="B320" t="s">
        <v>5340</v>
      </c>
      <c r="C320" t="s">
        <v>5625</v>
      </c>
      <c r="D320" t="s">
        <v>252</v>
      </c>
      <c r="E320" t="s">
        <v>5630</v>
      </c>
      <c r="F320" t="s">
        <v>274</v>
      </c>
      <c r="G320" t="s">
        <v>274</v>
      </c>
      <c r="H320">
        <v>144.37</v>
      </c>
      <c r="I320" t="s">
        <v>274</v>
      </c>
      <c r="K320" t="s">
        <v>3699</v>
      </c>
      <c r="O320" t="s">
        <v>274</v>
      </c>
      <c r="Q320" t="s">
        <v>501</v>
      </c>
      <c r="S320" t="s">
        <v>503</v>
      </c>
      <c r="T320" t="s">
        <v>508</v>
      </c>
      <c r="U320" t="s">
        <v>511</v>
      </c>
      <c r="V320">
        <v>11204</v>
      </c>
      <c r="W320" t="s">
        <v>517</v>
      </c>
      <c r="X320" t="s">
        <v>549</v>
      </c>
      <c r="Z320" t="s">
        <v>5863</v>
      </c>
      <c r="AA320" t="s">
        <v>6164</v>
      </c>
      <c r="AB320" t="s">
        <v>902</v>
      </c>
      <c r="AC320" t="s">
        <v>904</v>
      </c>
      <c r="AF320" t="s">
        <v>923</v>
      </c>
      <c r="AI320">
        <v>3.9</v>
      </c>
      <c r="AJ320" t="s">
        <v>558</v>
      </c>
      <c r="AK320" t="s">
        <v>951</v>
      </c>
      <c r="AL320" t="s">
        <v>274</v>
      </c>
      <c r="AM320" t="s">
        <v>973</v>
      </c>
      <c r="AN320" t="s">
        <v>1030</v>
      </c>
      <c r="AT320">
        <v>1</v>
      </c>
      <c r="AU320">
        <v>2</v>
      </c>
      <c r="AV320" t="s">
        <v>273</v>
      </c>
      <c r="AY320" t="s">
        <v>273</v>
      </c>
      <c r="BB320">
        <v>0</v>
      </c>
      <c r="BC320">
        <v>0</v>
      </c>
      <c r="BD320">
        <v>0</v>
      </c>
      <c r="BE320">
        <v>0</v>
      </c>
      <c r="BF320" t="s">
        <v>1063</v>
      </c>
      <c r="BG320" t="s">
        <v>6600</v>
      </c>
      <c r="BH320">
        <v>25</v>
      </c>
      <c r="BI320" t="s">
        <v>1272</v>
      </c>
      <c r="BK320">
        <v>1886774</v>
      </c>
    </row>
    <row r="321" spans="1:63">
      <c r="A321" s="1">
        <f>HYPERLINK("https://lsnyc.legalserver.org/matter/dynamic-profile/view/1886026","18-1886026")</f>
        <v>0</v>
      </c>
      <c r="B321" t="s">
        <v>5226</v>
      </c>
      <c r="C321" t="s">
        <v>5625</v>
      </c>
      <c r="D321" t="s">
        <v>254</v>
      </c>
      <c r="E321" t="s">
        <v>5630</v>
      </c>
      <c r="F321" t="s">
        <v>274</v>
      </c>
      <c r="G321" t="s">
        <v>274</v>
      </c>
      <c r="H321">
        <v>13.84</v>
      </c>
      <c r="I321" t="s">
        <v>274</v>
      </c>
      <c r="K321" t="s">
        <v>3700</v>
      </c>
      <c r="O321" t="s">
        <v>274</v>
      </c>
      <c r="Q321" t="s">
        <v>501</v>
      </c>
      <c r="S321" t="s">
        <v>503</v>
      </c>
      <c r="T321" t="s">
        <v>508</v>
      </c>
      <c r="U321" t="s">
        <v>511</v>
      </c>
      <c r="V321">
        <v>10303</v>
      </c>
      <c r="W321" t="s">
        <v>517</v>
      </c>
      <c r="X321" t="s">
        <v>549</v>
      </c>
      <c r="Z321" t="s">
        <v>5787</v>
      </c>
      <c r="AA321" t="s">
        <v>6166</v>
      </c>
      <c r="AB321" t="s">
        <v>902</v>
      </c>
      <c r="AC321" t="s">
        <v>904</v>
      </c>
      <c r="AF321" t="s">
        <v>923</v>
      </c>
      <c r="AI321">
        <v>2.25</v>
      </c>
      <c r="AJ321" t="s">
        <v>558</v>
      </c>
      <c r="AK321" t="s">
        <v>961</v>
      </c>
      <c r="AL321" t="s">
        <v>274</v>
      </c>
      <c r="AM321" t="s">
        <v>973</v>
      </c>
      <c r="AN321" t="s">
        <v>1685</v>
      </c>
      <c r="AT321">
        <v>0</v>
      </c>
      <c r="AU321">
        <v>1</v>
      </c>
      <c r="AV321" t="s">
        <v>273</v>
      </c>
      <c r="AY321" t="s">
        <v>273</v>
      </c>
      <c r="BB321">
        <v>0</v>
      </c>
      <c r="BC321">
        <v>0</v>
      </c>
      <c r="BD321">
        <v>0</v>
      </c>
      <c r="BE321">
        <v>0</v>
      </c>
      <c r="BF321" t="s">
        <v>1063</v>
      </c>
      <c r="BG321" t="s">
        <v>6601</v>
      </c>
      <c r="BH321">
        <v>63</v>
      </c>
      <c r="BI321" t="s">
        <v>7025</v>
      </c>
      <c r="BK321">
        <v>1886653</v>
      </c>
    </row>
    <row r="322" spans="1:63">
      <c r="A322" s="1">
        <f>HYPERLINK("https://lsnyc.legalserver.org/matter/dynamic-profile/view/1885760","18-1885760")</f>
        <v>0</v>
      </c>
      <c r="B322" t="s">
        <v>5216</v>
      </c>
      <c r="C322" t="s">
        <v>5625</v>
      </c>
      <c r="D322" t="s">
        <v>253</v>
      </c>
      <c r="E322" t="s">
        <v>5630</v>
      </c>
      <c r="F322" t="s">
        <v>274</v>
      </c>
      <c r="G322" t="s">
        <v>274</v>
      </c>
      <c r="H322">
        <v>53.56</v>
      </c>
      <c r="I322" t="s">
        <v>274</v>
      </c>
      <c r="K322" t="s">
        <v>358</v>
      </c>
      <c r="O322" t="s">
        <v>274</v>
      </c>
      <c r="Q322" t="s">
        <v>501</v>
      </c>
      <c r="S322" t="s">
        <v>503</v>
      </c>
      <c r="T322" t="s">
        <v>507</v>
      </c>
      <c r="U322" t="s">
        <v>511</v>
      </c>
      <c r="V322">
        <v>11419</v>
      </c>
      <c r="W322" t="s">
        <v>517</v>
      </c>
      <c r="X322" t="s">
        <v>549</v>
      </c>
      <c r="Z322" t="s">
        <v>5781</v>
      </c>
      <c r="AA322" t="s">
        <v>6158</v>
      </c>
      <c r="AB322" t="s">
        <v>902</v>
      </c>
      <c r="AC322" t="s">
        <v>904</v>
      </c>
      <c r="AF322" t="s">
        <v>923</v>
      </c>
      <c r="AI322">
        <v>3.7</v>
      </c>
      <c r="AJ322" t="s">
        <v>558</v>
      </c>
      <c r="AK322" t="s">
        <v>944</v>
      </c>
      <c r="AL322" t="s">
        <v>274</v>
      </c>
      <c r="AT322">
        <v>1</v>
      </c>
      <c r="AU322">
        <v>4</v>
      </c>
      <c r="AV322" t="s">
        <v>273</v>
      </c>
      <c r="AY322" t="s">
        <v>273</v>
      </c>
      <c r="BB322">
        <v>0</v>
      </c>
      <c r="BC322">
        <v>0</v>
      </c>
      <c r="BD322">
        <v>0</v>
      </c>
      <c r="BE322">
        <v>0</v>
      </c>
      <c r="BF322" t="s">
        <v>1063</v>
      </c>
      <c r="BG322" t="s">
        <v>6593</v>
      </c>
      <c r="BH322">
        <v>67</v>
      </c>
      <c r="BI322" t="s">
        <v>7021</v>
      </c>
      <c r="BK322">
        <v>1886383</v>
      </c>
    </row>
    <row r="323" spans="1:63">
      <c r="A323" s="1">
        <f>HYPERLINK("https://lsnyc.legalserver.org/matter/dynamic-profile/view/1885658","18-1885658")</f>
        <v>0</v>
      </c>
      <c r="B323" t="s">
        <v>5341</v>
      </c>
      <c r="C323" t="s">
        <v>5625</v>
      </c>
      <c r="D323" t="s">
        <v>257</v>
      </c>
      <c r="E323" t="s">
        <v>264</v>
      </c>
      <c r="F323" t="s">
        <v>274</v>
      </c>
      <c r="G323" t="s">
        <v>274</v>
      </c>
      <c r="H323">
        <v>75.81999999999999</v>
      </c>
      <c r="I323" t="s">
        <v>274</v>
      </c>
      <c r="K323" t="s">
        <v>1715</v>
      </c>
      <c r="L323" t="s">
        <v>453</v>
      </c>
      <c r="O323" t="s">
        <v>274</v>
      </c>
      <c r="P323" t="s">
        <v>493</v>
      </c>
      <c r="Q323" t="s">
        <v>501</v>
      </c>
      <c r="S323" t="s">
        <v>503</v>
      </c>
      <c r="T323" t="s">
        <v>508</v>
      </c>
      <c r="U323" t="s">
        <v>511</v>
      </c>
      <c r="V323">
        <v>10472</v>
      </c>
      <c r="W323" t="s">
        <v>517</v>
      </c>
      <c r="X323" t="s">
        <v>549</v>
      </c>
      <c r="Y323" t="s">
        <v>275</v>
      </c>
      <c r="Z323" t="s">
        <v>5864</v>
      </c>
      <c r="AA323" t="s">
        <v>6247</v>
      </c>
      <c r="AB323" t="s">
        <v>902</v>
      </c>
      <c r="AC323" t="s">
        <v>904</v>
      </c>
      <c r="AD323" t="s">
        <v>275</v>
      </c>
      <c r="AE323" t="s">
        <v>920</v>
      </c>
      <c r="AF323" t="s">
        <v>928</v>
      </c>
      <c r="AI323">
        <v>2.55</v>
      </c>
      <c r="AJ323" t="s">
        <v>558</v>
      </c>
      <c r="AK323" t="s">
        <v>2379</v>
      </c>
      <c r="AL323" t="s">
        <v>274</v>
      </c>
      <c r="AQ323" t="s">
        <v>1033</v>
      </c>
      <c r="AR323" t="s">
        <v>1052</v>
      </c>
      <c r="AT323">
        <v>0</v>
      </c>
      <c r="AU323">
        <v>2</v>
      </c>
      <c r="AV323" t="s">
        <v>273</v>
      </c>
      <c r="AY323" t="s">
        <v>273</v>
      </c>
      <c r="BB323">
        <v>0</v>
      </c>
      <c r="BC323">
        <v>0</v>
      </c>
      <c r="BD323">
        <v>0</v>
      </c>
      <c r="BE323">
        <v>0</v>
      </c>
      <c r="BF323" t="s">
        <v>493</v>
      </c>
      <c r="BG323" t="s">
        <v>6706</v>
      </c>
      <c r="BH323">
        <v>42</v>
      </c>
      <c r="BI323" t="s">
        <v>3454</v>
      </c>
      <c r="BK323">
        <v>1886285</v>
      </c>
    </row>
    <row r="324" spans="1:63">
      <c r="A324" s="1">
        <f>HYPERLINK("https://lsnyc.legalserver.org/matter/dynamic-profile/view/1885538","18-1885538")</f>
        <v>0</v>
      </c>
      <c r="B324" t="s">
        <v>5342</v>
      </c>
      <c r="C324" t="s">
        <v>5625</v>
      </c>
      <c r="D324" t="s">
        <v>253</v>
      </c>
      <c r="E324" t="s">
        <v>5630</v>
      </c>
      <c r="F324" t="s">
        <v>274</v>
      </c>
      <c r="G324" t="s">
        <v>274</v>
      </c>
      <c r="H324">
        <v>159.36</v>
      </c>
      <c r="I324" t="s">
        <v>274</v>
      </c>
      <c r="K324" t="s">
        <v>1715</v>
      </c>
      <c r="Q324" t="s">
        <v>501</v>
      </c>
      <c r="S324" t="s">
        <v>503</v>
      </c>
      <c r="T324" t="s">
        <v>507</v>
      </c>
      <c r="U324" t="s">
        <v>511</v>
      </c>
      <c r="V324">
        <v>11418</v>
      </c>
      <c r="W324" t="s">
        <v>544</v>
      </c>
      <c r="Y324" t="s">
        <v>275</v>
      </c>
      <c r="Z324" t="s">
        <v>5865</v>
      </c>
      <c r="AA324" t="s">
        <v>2230</v>
      </c>
      <c r="AB324" t="s">
        <v>902</v>
      </c>
      <c r="AC324" t="s">
        <v>904</v>
      </c>
      <c r="AF324" t="s">
        <v>923</v>
      </c>
      <c r="AI324">
        <v>0.8</v>
      </c>
      <c r="AJ324" t="s">
        <v>558</v>
      </c>
      <c r="AK324" t="s">
        <v>965</v>
      </c>
      <c r="AL324" t="s">
        <v>274</v>
      </c>
      <c r="AM324" t="s">
        <v>973</v>
      </c>
      <c r="AN324" t="s">
        <v>1688</v>
      </c>
      <c r="AT324">
        <v>2</v>
      </c>
      <c r="AU324">
        <v>2</v>
      </c>
      <c r="AV324" t="s">
        <v>273</v>
      </c>
      <c r="AY324" t="s">
        <v>273</v>
      </c>
      <c r="BB324">
        <v>0</v>
      </c>
      <c r="BC324">
        <v>0</v>
      </c>
      <c r="BD324">
        <v>0</v>
      </c>
      <c r="BE324">
        <v>0</v>
      </c>
      <c r="BF324" t="s">
        <v>1063</v>
      </c>
      <c r="BG324" t="s">
        <v>6707</v>
      </c>
      <c r="BH324">
        <v>53</v>
      </c>
      <c r="BI324" t="s">
        <v>2725</v>
      </c>
      <c r="BK324">
        <v>1840541</v>
      </c>
    </row>
    <row r="325" spans="1:63">
      <c r="A325" s="1">
        <f>HYPERLINK("https://lsnyc.legalserver.org/matter/dynamic-profile/view/1885609","18-1885609")</f>
        <v>0</v>
      </c>
      <c r="B325" t="s">
        <v>5343</v>
      </c>
      <c r="C325" t="s">
        <v>5625</v>
      </c>
      <c r="D325" t="s">
        <v>252</v>
      </c>
      <c r="E325" t="s">
        <v>5630</v>
      </c>
      <c r="F325" t="s">
        <v>274</v>
      </c>
      <c r="G325" t="s">
        <v>274</v>
      </c>
      <c r="H325">
        <v>85.67</v>
      </c>
      <c r="I325" t="s">
        <v>274</v>
      </c>
      <c r="K325" t="s">
        <v>1715</v>
      </c>
      <c r="Q325" t="s">
        <v>501</v>
      </c>
      <c r="S325" t="s">
        <v>503</v>
      </c>
      <c r="T325" t="s">
        <v>508</v>
      </c>
      <c r="U325" t="s">
        <v>511</v>
      </c>
      <c r="V325">
        <v>11203</v>
      </c>
      <c r="W325" t="s">
        <v>517</v>
      </c>
      <c r="X325" t="s">
        <v>548</v>
      </c>
      <c r="Z325" t="s">
        <v>5782</v>
      </c>
      <c r="AA325" t="s">
        <v>6248</v>
      </c>
      <c r="AB325" t="s">
        <v>902</v>
      </c>
      <c r="AC325" t="s">
        <v>904</v>
      </c>
      <c r="AF325" t="s">
        <v>923</v>
      </c>
      <c r="AI325">
        <v>11.45</v>
      </c>
      <c r="AJ325" t="s">
        <v>558</v>
      </c>
      <c r="AK325" t="s">
        <v>947</v>
      </c>
      <c r="AL325" t="s">
        <v>274</v>
      </c>
      <c r="AT325">
        <v>0</v>
      </c>
      <c r="AU325">
        <v>1</v>
      </c>
      <c r="AV325" t="s">
        <v>273</v>
      </c>
      <c r="AY325" t="s">
        <v>273</v>
      </c>
      <c r="BB325">
        <v>0</v>
      </c>
      <c r="BC325">
        <v>0</v>
      </c>
      <c r="BD325">
        <v>0</v>
      </c>
      <c r="BE325">
        <v>0</v>
      </c>
      <c r="BF325" t="s">
        <v>1063</v>
      </c>
      <c r="BG325" t="s">
        <v>6708</v>
      </c>
      <c r="BH325">
        <v>63</v>
      </c>
      <c r="BI325" t="s">
        <v>1301</v>
      </c>
      <c r="BK325">
        <v>806252</v>
      </c>
    </row>
    <row r="326" spans="1:63">
      <c r="A326" s="1">
        <f>HYPERLINK("https://lsnyc.legalserver.org/matter/dynamic-profile/view/1885617","18-1885617")</f>
        <v>0</v>
      </c>
      <c r="B326" t="s">
        <v>5344</v>
      </c>
      <c r="C326" t="s">
        <v>5625</v>
      </c>
      <c r="D326" t="s">
        <v>253</v>
      </c>
      <c r="E326" t="s">
        <v>3694</v>
      </c>
      <c r="F326" t="s">
        <v>274</v>
      </c>
      <c r="G326" t="s">
        <v>274</v>
      </c>
      <c r="H326">
        <v>110.94</v>
      </c>
      <c r="I326" t="s">
        <v>274</v>
      </c>
      <c r="K326" t="s">
        <v>1715</v>
      </c>
      <c r="O326" t="s">
        <v>274</v>
      </c>
      <c r="Q326" t="s">
        <v>501</v>
      </c>
      <c r="S326" t="s">
        <v>503</v>
      </c>
      <c r="T326" t="s">
        <v>508</v>
      </c>
      <c r="U326" t="s">
        <v>511</v>
      </c>
      <c r="V326">
        <v>11369</v>
      </c>
      <c r="W326" t="s">
        <v>517</v>
      </c>
      <c r="X326" t="s">
        <v>548</v>
      </c>
      <c r="Z326" t="s">
        <v>5866</v>
      </c>
      <c r="AA326" t="s">
        <v>2293</v>
      </c>
      <c r="AB326" t="s">
        <v>902</v>
      </c>
      <c r="AC326" t="s">
        <v>904</v>
      </c>
      <c r="AF326" t="s">
        <v>923</v>
      </c>
      <c r="AI326">
        <v>6</v>
      </c>
      <c r="AJ326" t="s">
        <v>558</v>
      </c>
      <c r="AK326" t="s">
        <v>950</v>
      </c>
      <c r="AL326" t="s">
        <v>274</v>
      </c>
      <c r="AT326">
        <v>1</v>
      </c>
      <c r="AU326">
        <v>3</v>
      </c>
      <c r="AV326" t="s">
        <v>273</v>
      </c>
      <c r="AY326" t="s">
        <v>273</v>
      </c>
      <c r="BB326">
        <v>0</v>
      </c>
      <c r="BC326">
        <v>0</v>
      </c>
      <c r="BD326">
        <v>0</v>
      </c>
      <c r="BE326">
        <v>0</v>
      </c>
      <c r="BF326" t="s">
        <v>1063</v>
      </c>
      <c r="BG326" t="s">
        <v>6709</v>
      </c>
      <c r="BH326">
        <v>53</v>
      </c>
      <c r="BI326" t="s">
        <v>7057</v>
      </c>
      <c r="BK326">
        <v>518626</v>
      </c>
    </row>
    <row r="327" spans="1:63">
      <c r="A327" s="1">
        <f>HYPERLINK("https://lsnyc.legalserver.org/matter/dynamic-profile/view/1885417","18-1885417")</f>
        <v>0</v>
      </c>
      <c r="B327" t="s">
        <v>5199</v>
      </c>
      <c r="C327" t="s">
        <v>5625</v>
      </c>
      <c r="D327" t="s">
        <v>257</v>
      </c>
      <c r="E327" t="s">
        <v>3694</v>
      </c>
      <c r="F327" t="s">
        <v>274</v>
      </c>
      <c r="G327" t="s">
        <v>274</v>
      </c>
      <c r="H327">
        <v>144.1</v>
      </c>
      <c r="I327" t="s">
        <v>274</v>
      </c>
      <c r="K327" t="s">
        <v>2990</v>
      </c>
      <c r="O327" t="s">
        <v>274</v>
      </c>
      <c r="P327" t="s">
        <v>498</v>
      </c>
      <c r="Q327" t="s">
        <v>501</v>
      </c>
      <c r="S327" t="s">
        <v>503</v>
      </c>
      <c r="T327" t="s">
        <v>508</v>
      </c>
      <c r="U327" t="s">
        <v>511</v>
      </c>
      <c r="V327">
        <v>10467</v>
      </c>
      <c r="W327" t="s">
        <v>517</v>
      </c>
      <c r="X327" t="s">
        <v>549</v>
      </c>
      <c r="Z327" t="s">
        <v>5768</v>
      </c>
      <c r="AA327" t="s">
        <v>6148</v>
      </c>
      <c r="AB327" t="s">
        <v>902</v>
      </c>
      <c r="AC327" t="s">
        <v>904</v>
      </c>
      <c r="AF327" t="s">
        <v>923</v>
      </c>
      <c r="AI327">
        <v>3.53</v>
      </c>
      <c r="AJ327" t="s">
        <v>558</v>
      </c>
      <c r="AK327" t="s">
        <v>949</v>
      </c>
      <c r="AL327" t="s">
        <v>274</v>
      </c>
      <c r="AT327">
        <v>0</v>
      </c>
      <c r="AU327">
        <v>3</v>
      </c>
      <c r="AV327" t="s">
        <v>273</v>
      </c>
      <c r="AY327" t="s">
        <v>273</v>
      </c>
      <c r="BB327">
        <v>0</v>
      </c>
      <c r="BC327">
        <v>0</v>
      </c>
      <c r="BD327">
        <v>0</v>
      </c>
      <c r="BE327">
        <v>0</v>
      </c>
      <c r="BF327" t="s">
        <v>1063</v>
      </c>
      <c r="BG327" t="s">
        <v>6579</v>
      </c>
      <c r="BH327">
        <v>45</v>
      </c>
      <c r="BI327" t="s">
        <v>7058</v>
      </c>
      <c r="BK327">
        <v>1886044</v>
      </c>
    </row>
    <row r="328" spans="1:63">
      <c r="A328" s="1">
        <f>HYPERLINK("https://lsnyc.legalserver.org/matter/dynamic-profile/view/1885441","18-1885441")</f>
        <v>0</v>
      </c>
      <c r="B328" t="s">
        <v>5345</v>
      </c>
      <c r="C328" t="s">
        <v>5625</v>
      </c>
      <c r="D328" t="s">
        <v>252</v>
      </c>
      <c r="E328" t="s">
        <v>3694</v>
      </c>
      <c r="F328" t="s">
        <v>274</v>
      </c>
      <c r="G328" t="s">
        <v>274</v>
      </c>
      <c r="H328">
        <v>99.52</v>
      </c>
      <c r="I328" t="s">
        <v>274</v>
      </c>
      <c r="K328" t="s">
        <v>2990</v>
      </c>
      <c r="Q328" t="s">
        <v>501</v>
      </c>
      <c r="S328" t="s">
        <v>503</v>
      </c>
      <c r="T328" t="s">
        <v>508</v>
      </c>
      <c r="U328" t="s">
        <v>511</v>
      </c>
      <c r="V328">
        <v>11212</v>
      </c>
      <c r="W328" t="s">
        <v>525</v>
      </c>
      <c r="Y328" t="s">
        <v>275</v>
      </c>
      <c r="Z328" t="s">
        <v>5867</v>
      </c>
      <c r="AA328" t="s">
        <v>6249</v>
      </c>
      <c r="AB328" t="s">
        <v>902</v>
      </c>
      <c r="AC328" t="s">
        <v>904</v>
      </c>
      <c r="AF328" t="s">
        <v>923</v>
      </c>
      <c r="AI328">
        <v>0.5</v>
      </c>
      <c r="AJ328" t="s">
        <v>558</v>
      </c>
      <c r="AK328" t="s">
        <v>950</v>
      </c>
      <c r="AL328" t="s">
        <v>274</v>
      </c>
      <c r="AT328">
        <v>2</v>
      </c>
      <c r="AU328">
        <v>2</v>
      </c>
      <c r="AV328" t="s">
        <v>273</v>
      </c>
      <c r="AY328" t="s">
        <v>273</v>
      </c>
      <c r="BB328">
        <v>0</v>
      </c>
      <c r="BC328">
        <v>0</v>
      </c>
      <c r="BD328">
        <v>0</v>
      </c>
      <c r="BE328">
        <v>0</v>
      </c>
      <c r="BF328" t="s">
        <v>1063</v>
      </c>
      <c r="BG328" t="s">
        <v>6710</v>
      </c>
      <c r="BH328">
        <v>44</v>
      </c>
      <c r="BI328" t="s">
        <v>7059</v>
      </c>
      <c r="BK328">
        <v>1868757</v>
      </c>
    </row>
    <row r="329" spans="1:63">
      <c r="A329" s="1">
        <f>HYPERLINK("https://lsnyc.legalserver.org/matter/dynamic-profile/view/1885524","18-1885524")</f>
        <v>0</v>
      </c>
      <c r="B329" t="s">
        <v>5346</v>
      </c>
      <c r="C329" t="s">
        <v>5625</v>
      </c>
      <c r="D329" t="s">
        <v>255</v>
      </c>
      <c r="E329" t="s">
        <v>3694</v>
      </c>
      <c r="F329" t="s">
        <v>274</v>
      </c>
      <c r="G329" t="s">
        <v>275</v>
      </c>
      <c r="H329">
        <v>0</v>
      </c>
      <c r="I329" t="s">
        <v>275</v>
      </c>
      <c r="K329" t="s">
        <v>2990</v>
      </c>
      <c r="P329" t="s">
        <v>499</v>
      </c>
      <c r="Q329" t="s">
        <v>501</v>
      </c>
      <c r="S329" t="s">
        <v>503</v>
      </c>
      <c r="T329" t="s">
        <v>507</v>
      </c>
      <c r="U329" t="s">
        <v>511</v>
      </c>
      <c r="V329">
        <v>10032</v>
      </c>
      <c r="W329" t="s">
        <v>521</v>
      </c>
      <c r="X329" t="s">
        <v>553</v>
      </c>
      <c r="Y329" t="s">
        <v>275</v>
      </c>
      <c r="Z329" t="s">
        <v>5868</v>
      </c>
      <c r="AA329" t="s">
        <v>6250</v>
      </c>
      <c r="AB329" t="s">
        <v>902</v>
      </c>
      <c r="AC329" t="s">
        <v>905</v>
      </c>
      <c r="AF329" t="s">
        <v>923</v>
      </c>
      <c r="AI329">
        <v>8.1</v>
      </c>
      <c r="AJ329" t="s">
        <v>558</v>
      </c>
      <c r="AK329" t="s">
        <v>948</v>
      </c>
      <c r="AL329" t="s">
        <v>275</v>
      </c>
      <c r="AS329" t="s">
        <v>1062</v>
      </c>
      <c r="AT329">
        <v>0</v>
      </c>
      <c r="AU329">
        <v>1</v>
      </c>
      <c r="AV329" t="s">
        <v>273</v>
      </c>
      <c r="AY329" t="s">
        <v>273</v>
      </c>
      <c r="BB329">
        <v>0</v>
      </c>
      <c r="BC329">
        <v>0</v>
      </c>
      <c r="BD329">
        <v>0</v>
      </c>
      <c r="BE329">
        <v>0</v>
      </c>
      <c r="BF329" t="s">
        <v>1063</v>
      </c>
      <c r="BG329" t="s">
        <v>6711</v>
      </c>
      <c r="BH329">
        <v>41</v>
      </c>
      <c r="BI329" t="s">
        <v>1247</v>
      </c>
      <c r="BK329">
        <v>1886151</v>
      </c>
    </row>
    <row r="330" spans="1:63">
      <c r="A330" s="1">
        <f>HYPERLINK("https://lsnyc.legalserver.org/matter/dynamic-profile/view/1885287","18-1885287")</f>
        <v>0</v>
      </c>
      <c r="B330" t="s">
        <v>5207</v>
      </c>
      <c r="C330" t="s">
        <v>5625</v>
      </c>
      <c r="D330" t="s">
        <v>257</v>
      </c>
      <c r="E330" t="s">
        <v>3694</v>
      </c>
      <c r="F330" t="s">
        <v>274</v>
      </c>
      <c r="G330" t="s">
        <v>274</v>
      </c>
      <c r="H330">
        <v>99.34999999999999</v>
      </c>
      <c r="I330" t="s">
        <v>274</v>
      </c>
      <c r="K330" t="s">
        <v>1716</v>
      </c>
      <c r="O330" t="s">
        <v>274</v>
      </c>
      <c r="Q330" t="s">
        <v>501</v>
      </c>
      <c r="S330" t="s">
        <v>503</v>
      </c>
      <c r="T330" t="s">
        <v>508</v>
      </c>
      <c r="U330" t="s">
        <v>511</v>
      </c>
      <c r="V330">
        <v>10460</v>
      </c>
      <c r="W330" t="s">
        <v>517</v>
      </c>
      <c r="X330" t="s">
        <v>548</v>
      </c>
      <c r="Z330" t="s">
        <v>5774</v>
      </c>
      <c r="AA330" t="s">
        <v>6152</v>
      </c>
      <c r="AB330" t="s">
        <v>902</v>
      </c>
      <c r="AC330" t="s">
        <v>904</v>
      </c>
      <c r="AF330" t="s">
        <v>923</v>
      </c>
      <c r="AI330">
        <v>3.4</v>
      </c>
      <c r="AJ330" t="s">
        <v>558</v>
      </c>
      <c r="AK330" t="s">
        <v>950</v>
      </c>
      <c r="AL330" t="s">
        <v>274</v>
      </c>
      <c r="AT330">
        <v>0</v>
      </c>
      <c r="AU330">
        <v>3</v>
      </c>
      <c r="AV330" t="s">
        <v>273</v>
      </c>
      <c r="AY330" t="s">
        <v>273</v>
      </c>
      <c r="BB330">
        <v>0</v>
      </c>
      <c r="BC330">
        <v>0</v>
      </c>
      <c r="BD330">
        <v>0</v>
      </c>
      <c r="BE330">
        <v>0</v>
      </c>
      <c r="BF330" t="s">
        <v>1063</v>
      </c>
      <c r="BG330" t="s">
        <v>2560</v>
      </c>
      <c r="BH330">
        <v>38</v>
      </c>
      <c r="BI330" t="s">
        <v>7020</v>
      </c>
      <c r="BK330">
        <v>1885914</v>
      </c>
    </row>
    <row r="331" spans="1:63">
      <c r="A331" s="1">
        <f>HYPERLINK("https://lsnyc.legalserver.org/matter/dynamic-profile/view/1885298","18-1885298")</f>
        <v>0</v>
      </c>
      <c r="B331" t="s">
        <v>5347</v>
      </c>
      <c r="C331" t="s">
        <v>5625</v>
      </c>
      <c r="D331" t="s">
        <v>257</v>
      </c>
      <c r="E331" t="s">
        <v>3694</v>
      </c>
      <c r="F331" t="s">
        <v>274</v>
      </c>
      <c r="G331" t="s">
        <v>274</v>
      </c>
      <c r="H331">
        <v>182.26</v>
      </c>
      <c r="I331" t="s">
        <v>274</v>
      </c>
      <c r="K331" t="s">
        <v>1716</v>
      </c>
      <c r="O331" t="s">
        <v>275</v>
      </c>
      <c r="P331" t="s">
        <v>498</v>
      </c>
      <c r="Q331" t="s">
        <v>501</v>
      </c>
      <c r="S331" t="s">
        <v>503</v>
      </c>
      <c r="T331" t="s">
        <v>508</v>
      </c>
      <c r="U331" t="s">
        <v>511</v>
      </c>
      <c r="V331">
        <v>10459</v>
      </c>
      <c r="W331" t="s">
        <v>521</v>
      </c>
      <c r="X331" t="s">
        <v>548</v>
      </c>
      <c r="Z331" t="s">
        <v>5869</v>
      </c>
      <c r="AA331" t="s">
        <v>4779</v>
      </c>
      <c r="AB331" t="s">
        <v>902</v>
      </c>
      <c r="AC331" t="s">
        <v>914</v>
      </c>
      <c r="AF331" t="s">
        <v>923</v>
      </c>
      <c r="AI331">
        <v>7.8</v>
      </c>
      <c r="AJ331" t="s">
        <v>558</v>
      </c>
      <c r="AK331" t="s">
        <v>933</v>
      </c>
      <c r="AL331" t="s">
        <v>274</v>
      </c>
      <c r="AT331">
        <v>0</v>
      </c>
      <c r="AU331">
        <v>2</v>
      </c>
      <c r="AV331" t="s">
        <v>273</v>
      </c>
      <c r="AY331" t="s">
        <v>273</v>
      </c>
      <c r="BB331">
        <v>0</v>
      </c>
      <c r="BC331">
        <v>0</v>
      </c>
      <c r="BD331">
        <v>0</v>
      </c>
      <c r="BE331">
        <v>0</v>
      </c>
      <c r="BF331" t="s">
        <v>1063</v>
      </c>
      <c r="BG331" t="s">
        <v>6712</v>
      </c>
      <c r="BH331">
        <v>39</v>
      </c>
      <c r="BI331" t="s">
        <v>1272</v>
      </c>
      <c r="BK331">
        <v>1885925</v>
      </c>
    </row>
    <row r="332" spans="1:63">
      <c r="A332" s="1">
        <f>HYPERLINK("https://lsnyc.legalserver.org/matter/dynamic-profile/view/1885150","18-1885150")</f>
        <v>0</v>
      </c>
      <c r="B332" t="s">
        <v>5348</v>
      </c>
      <c r="C332" t="s">
        <v>5625</v>
      </c>
      <c r="D332" t="s">
        <v>253</v>
      </c>
      <c r="E332" t="s">
        <v>3694</v>
      </c>
      <c r="F332" t="s">
        <v>274</v>
      </c>
      <c r="G332" t="s">
        <v>274</v>
      </c>
      <c r="H332">
        <v>74.14</v>
      </c>
      <c r="I332" t="s">
        <v>274</v>
      </c>
      <c r="K332" t="s">
        <v>1717</v>
      </c>
      <c r="O332" t="s">
        <v>275</v>
      </c>
      <c r="Q332" t="s">
        <v>501</v>
      </c>
      <c r="S332" t="s">
        <v>503</v>
      </c>
      <c r="T332" t="s">
        <v>507</v>
      </c>
      <c r="U332" t="s">
        <v>511</v>
      </c>
      <c r="V332">
        <v>11370</v>
      </c>
      <c r="W332" t="s">
        <v>521</v>
      </c>
      <c r="X332" t="s">
        <v>548</v>
      </c>
      <c r="Z332" t="s">
        <v>5754</v>
      </c>
      <c r="AA332" t="s">
        <v>6251</v>
      </c>
      <c r="AB332" t="s">
        <v>902</v>
      </c>
      <c r="AC332" t="s">
        <v>905</v>
      </c>
      <c r="AF332" t="s">
        <v>923</v>
      </c>
      <c r="AI332">
        <v>6.7</v>
      </c>
      <c r="AJ332" t="s">
        <v>558</v>
      </c>
      <c r="AK332" t="s">
        <v>947</v>
      </c>
      <c r="AL332" t="s">
        <v>274</v>
      </c>
      <c r="AT332">
        <v>0</v>
      </c>
      <c r="AU332">
        <v>1</v>
      </c>
      <c r="AV332" t="s">
        <v>273</v>
      </c>
      <c r="AY332" t="s">
        <v>273</v>
      </c>
      <c r="BB332">
        <v>0</v>
      </c>
      <c r="BC332">
        <v>0</v>
      </c>
      <c r="BD332">
        <v>0</v>
      </c>
      <c r="BE332">
        <v>0</v>
      </c>
      <c r="BF332" t="s">
        <v>1063</v>
      </c>
      <c r="BG332" t="s">
        <v>6713</v>
      </c>
      <c r="BH332">
        <v>33</v>
      </c>
      <c r="BI332" t="s">
        <v>2724</v>
      </c>
      <c r="BK332">
        <v>1885777</v>
      </c>
    </row>
    <row r="333" spans="1:63">
      <c r="A333" s="1">
        <f>HYPERLINK("https://lsnyc.legalserver.org/matter/dynamic-profile/view/1884980","18-1884980")</f>
        <v>0</v>
      </c>
      <c r="B333" t="s">
        <v>5349</v>
      </c>
      <c r="C333" t="s">
        <v>5625</v>
      </c>
      <c r="D333" t="s">
        <v>255</v>
      </c>
      <c r="E333" t="s">
        <v>5630</v>
      </c>
      <c r="F333" t="s">
        <v>274</v>
      </c>
      <c r="G333" t="s">
        <v>274</v>
      </c>
      <c r="H333">
        <v>16.3</v>
      </c>
      <c r="I333" t="s">
        <v>274</v>
      </c>
      <c r="K333" t="s">
        <v>1718</v>
      </c>
      <c r="O333" t="s">
        <v>274</v>
      </c>
      <c r="Q333" t="s">
        <v>501</v>
      </c>
      <c r="S333" t="s">
        <v>503</v>
      </c>
      <c r="T333" t="s">
        <v>508</v>
      </c>
      <c r="U333" t="s">
        <v>511</v>
      </c>
      <c r="V333">
        <v>10035</v>
      </c>
      <c r="W333" t="s">
        <v>517</v>
      </c>
      <c r="X333" t="s">
        <v>548</v>
      </c>
      <c r="Z333" t="s">
        <v>674</v>
      </c>
      <c r="AA333" t="s">
        <v>6252</v>
      </c>
      <c r="AB333" t="s">
        <v>902</v>
      </c>
      <c r="AC333" t="s">
        <v>904</v>
      </c>
      <c r="AF333" t="s">
        <v>923</v>
      </c>
      <c r="AI333">
        <v>4.4</v>
      </c>
      <c r="AJ333" t="s">
        <v>558</v>
      </c>
      <c r="AK333" t="s">
        <v>950</v>
      </c>
      <c r="AL333" t="s">
        <v>274</v>
      </c>
      <c r="AM333" t="s">
        <v>973</v>
      </c>
      <c r="AN333" t="s">
        <v>1672</v>
      </c>
      <c r="AT333">
        <v>2</v>
      </c>
      <c r="AU333">
        <v>2</v>
      </c>
      <c r="AV333" t="s">
        <v>273</v>
      </c>
      <c r="AY333" t="s">
        <v>273</v>
      </c>
      <c r="BB333">
        <v>0</v>
      </c>
      <c r="BC333">
        <v>0</v>
      </c>
      <c r="BD333">
        <v>0</v>
      </c>
      <c r="BE333">
        <v>0</v>
      </c>
      <c r="BF333" t="s">
        <v>1063</v>
      </c>
      <c r="BG333" t="s">
        <v>6714</v>
      </c>
      <c r="BH333">
        <v>23</v>
      </c>
      <c r="BI333" t="s">
        <v>7060</v>
      </c>
      <c r="BK333">
        <v>1885606</v>
      </c>
    </row>
    <row r="334" spans="1:63">
      <c r="A334" s="1">
        <f>HYPERLINK("https://lsnyc.legalserver.org/matter/dynamic-profile/view/1884820","18-1884820")</f>
        <v>0</v>
      </c>
      <c r="B334" t="s">
        <v>5350</v>
      </c>
      <c r="C334" t="s">
        <v>5625</v>
      </c>
      <c r="D334" t="s">
        <v>252</v>
      </c>
      <c r="E334" t="s">
        <v>3694</v>
      </c>
      <c r="F334" t="s">
        <v>274</v>
      </c>
      <c r="G334" t="s">
        <v>274</v>
      </c>
      <c r="H334">
        <v>0</v>
      </c>
      <c r="I334" t="s">
        <v>274</v>
      </c>
      <c r="K334" t="s">
        <v>1719</v>
      </c>
      <c r="L334" t="s">
        <v>447</v>
      </c>
      <c r="O334" t="s">
        <v>275</v>
      </c>
      <c r="P334" t="s">
        <v>493</v>
      </c>
      <c r="Q334" t="s">
        <v>501</v>
      </c>
      <c r="S334" t="s">
        <v>503</v>
      </c>
      <c r="T334" t="s">
        <v>507</v>
      </c>
      <c r="U334" t="s">
        <v>511</v>
      </c>
      <c r="V334">
        <v>11229</v>
      </c>
      <c r="W334" t="s">
        <v>521</v>
      </c>
      <c r="X334" t="s">
        <v>553</v>
      </c>
      <c r="Y334" t="s">
        <v>275</v>
      </c>
      <c r="Z334" t="s">
        <v>616</v>
      </c>
      <c r="AA334" t="s">
        <v>6253</v>
      </c>
      <c r="AB334" t="s">
        <v>902</v>
      </c>
      <c r="AC334" t="s">
        <v>905</v>
      </c>
      <c r="AD334" t="s">
        <v>275</v>
      </c>
      <c r="AE334" t="s">
        <v>919</v>
      </c>
      <c r="AF334" t="s">
        <v>923</v>
      </c>
      <c r="AI334">
        <v>3.4</v>
      </c>
      <c r="AJ334" t="s">
        <v>558</v>
      </c>
      <c r="AK334" t="s">
        <v>968</v>
      </c>
      <c r="AL334" t="s">
        <v>274</v>
      </c>
      <c r="AQ334" t="s">
        <v>1039</v>
      </c>
      <c r="AR334" t="s">
        <v>1051</v>
      </c>
      <c r="AT334">
        <v>0</v>
      </c>
      <c r="AU334">
        <v>1</v>
      </c>
      <c r="AV334" t="s">
        <v>273</v>
      </c>
      <c r="AY334" t="s">
        <v>273</v>
      </c>
      <c r="BB334">
        <v>0</v>
      </c>
      <c r="BC334">
        <v>0</v>
      </c>
      <c r="BD334">
        <v>0</v>
      </c>
      <c r="BE334">
        <v>0</v>
      </c>
      <c r="BF334" t="s">
        <v>493</v>
      </c>
      <c r="BG334" t="s">
        <v>6715</v>
      </c>
      <c r="BH334">
        <v>34</v>
      </c>
      <c r="BI334" t="s">
        <v>1247</v>
      </c>
      <c r="BK334">
        <v>1885446</v>
      </c>
    </row>
    <row r="335" spans="1:63">
      <c r="A335" s="1">
        <f>HYPERLINK("https://lsnyc.legalserver.org/matter/dynamic-profile/view/1884859","18-1884859")</f>
        <v>0</v>
      </c>
      <c r="B335" t="s">
        <v>5351</v>
      </c>
      <c r="C335" t="s">
        <v>5625</v>
      </c>
      <c r="D335" t="s">
        <v>257</v>
      </c>
      <c r="E335" t="s">
        <v>3694</v>
      </c>
      <c r="F335" t="s">
        <v>274</v>
      </c>
      <c r="G335" t="s">
        <v>274</v>
      </c>
      <c r="H335">
        <v>63.18</v>
      </c>
      <c r="I335" t="s">
        <v>274</v>
      </c>
      <c r="K335" t="s">
        <v>1719</v>
      </c>
      <c r="O335" t="s">
        <v>275</v>
      </c>
      <c r="P335" t="s">
        <v>498</v>
      </c>
      <c r="Q335" t="s">
        <v>501</v>
      </c>
      <c r="S335" t="s">
        <v>503</v>
      </c>
      <c r="T335" t="s">
        <v>508</v>
      </c>
      <c r="U335" t="s">
        <v>511</v>
      </c>
      <c r="V335">
        <v>10472</v>
      </c>
      <c r="W335" t="s">
        <v>521</v>
      </c>
      <c r="X335" t="s">
        <v>548</v>
      </c>
      <c r="Z335" t="s">
        <v>5778</v>
      </c>
      <c r="AA335" t="s">
        <v>6254</v>
      </c>
      <c r="AB335" t="s">
        <v>902</v>
      </c>
      <c r="AC335" t="s">
        <v>905</v>
      </c>
      <c r="AF335" t="s">
        <v>923</v>
      </c>
      <c r="AI335">
        <v>6.05</v>
      </c>
      <c r="AJ335" t="s">
        <v>558</v>
      </c>
      <c r="AK335" t="s">
        <v>933</v>
      </c>
      <c r="AL335" t="s">
        <v>274</v>
      </c>
      <c r="AT335">
        <v>0</v>
      </c>
      <c r="AU335">
        <v>2</v>
      </c>
      <c r="AV335" t="s">
        <v>273</v>
      </c>
      <c r="AY335" t="s">
        <v>273</v>
      </c>
      <c r="BB335">
        <v>0</v>
      </c>
      <c r="BC335">
        <v>0</v>
      </c>
      <c r="BD335">
        <v>0</v>
      </c>
      <c r="BE335">
        <v>0</v>
      </c>
      <c r="BF335" t="s">
        <v>1063</v>
      </c>
      <c r="BG335" t="s">
        <v>6716</v>
      </c>
      <c r="BH335">
        <v>28</v>
      </c>
      <c r="BI335" t="s">
        <v>1301</v>
      </c>
      <c r="BK335">
        <v>1885485</v>
      </c>
    </row>
    <row r="336" spans="1:63">
      <c r="A336" s="1">
        <f>HYPERLINK("https://lsnyc.legalserver.org/matter/dynamic-profile/view/1884672","18-1884672")</f>
        <v>0</v>
      </c>
      <c r="B336" t="s">
        <v>5210</v>
      </c>
      <c r="C336" t="s">
        <v>5625</v>
      </c>
      <c r="D336" t="s">
        <v>257</v>
      </c>
      <c r="E336" t="s">
        <v>5630</v>
      </c>
      <c r="F336" t="s">
        <v>274</v>
      </c>
      <c r="G336" t="s">
        <v>274</v>
      </c>
      <c r="H336">
        <v>123.56</v>
      </c>
      <c r="I336" t="s">
        <v>274</v>
      </c>
      <c r="K336" t="s">
        <v>1720</v>
      </c>
      <c r="O336" t="s">
        <v>274</v>
      </c>
      <c r="Q336" t="s">
        <v>501</v>
      </c>
      <c r="S336" t="s">
        <v>503</v>
      </c>
      <c r="T336" t="s">
        <v>507</v>
      </c>
      <c r="U336" t="s">
        <v>511</v>
      </c>
      <c r="V336">
        <v>10468</v>
      </c>
      <c r="W336" t="s">
        <v>517</v>
      </c>
      <c r="X336" t="s">
        <v>548</v>
      </c>
      <c r="Z336" t="s">
        <v>5777</v>
      </c>
      <c r="AA336" t="s">
        <v>6155</v>
      </c>
      <c r="AB336" t="s">
        <v>902</v>
      </c>
      <c r="AC336" t="s">
        <v>904</v>
      </c>
      <c r="AF336" t="s">
        <v>923</v>
      </c>
      <c r="AI336">
        <v>6.6</v>
      </c>
      <c r="AJ336" t="s">
        <v>558</v>
      </c>
      <c r="AK336" t="s">
        <v>933</v>
      </c>
      <c r="AL336" t="s">
        <v>274</v>
      </c>
      <c r="AT336">
        <v>0</v>
      </c>
      <c r="AU336">
        <v>1</v>
      </c>
      <c r="AV336" t="s">
        <v>273</v>
      </c>
      <c r="AY336" t="s">
        <v>273</v>
      </c>
      <c r="BB336">
        <v>0</v>
      </c>
      <c r="BC336">
        <v>0</v>
      </c>
      <c r="BD336">
        <v>0</v>
      </c>
      <c r="BE336">
        <v>0</v>
      </c>
      <c r="BF336" t="s">
        <v>1063</v>
      </c>
      <c r="BG336" t="s">
        <v>6588</v>
      </c>
      <c r="BH336">
        <v>38</v>
      </c>
      <c r="BI336" t="s">
        <v>2801</v>
      </c>
      <c r="BK336">
        <v>1885298</v>
      </c>
    </row>
    <row r="337" spans="1:63">
      <c r="A337" s="1">
        <f>HYPERLINK("https://lsnyc.legalserver.org/matter/dynamic-profile/view/1884695","18-1884695")</f>
        <v>0</v>
      </c>
      <c r="B337" t="s">
        <v>5352</v>
      </c>
      <c r="C337" t="s">
        <v>5625</v>
      </c>
      <c r="D337" t="s">
        <v>257</v>
      </c>
      <c r="E337" t="s">
        <v>5630</v>
      </c>
      <c r="F337" t="s">
        <v>274</v>
      </c>
      <c r="G337" t="s">
        <v>274</v>
      </c>
      <c r="H337">
        <v>171.33</v>
      </c>
      <c r="I337" t="s">
        <v>274</v>
      </c>
      <c r="K337" t="s">
        <v>1720</v>
      </c>
      <c r="O337" t="s">
        <v>274</v>
      </c>
      <c r="Q337" t="s">
        <v>501</v>
      </c>
      <c r="S337" t="s">
        <v>503</v>
      </c>
      <c r="T337" t="s">
        <v>508</v>
      </c>
      <c r="U337" t="s">
        <v>511</v>
      </c>
      <c r="V337">
        <v>10460</v>
      </c>
      <c r="W337" t="s">
        <v>517</v>
      </c>
      <c r="X337" t="s">
        <v>548</v>
      </c>
      <c r="Z337" t="s">
        <v>2085</v>
      </c>
      <c r="AA337" t="s">
        <v>4779</v>
      </c>
      <c r="AB337" t="s">
        <v>902</v>
      </c>
      <c r="AC337" t="s">
        <v>904</v>
      </c>
      <c r="AF337" t="s">
        <v>923</v>
      </c>
      <c r="AI337">
        <v>3.5</v>
      </c>
      <c r="AJ337" t="s">
        <v>558</v>
      </c>
      <c r="AK337" t="s">
        <v>950</v>
      </c>
      <c r="AL337" t="s">
        <v>274</v>
      </c>
      <c r="AT337">
        <v>0</v>
      </c>
      <c r="AU337">
        <v>1</v>
      </c>
      <c r="AV337" t="s">
        <v>273</v>
      </c>
      <c r="AY337" t="s">
        <v>273</v>
      </c>
      <c r="BB337">
        <v>0</v>
      </c>
      <c r="BC337">
        <v>0</v>
      </c>
      <c r="BD337">
        <v>0</v>
      </c>
      <c r="BE337">
        <v>0</v>
      </c>
      <c r="BF337" t="s">
        <v>1063</v>
      </c>
      <c r="BG337" t="s">
        <v>6717</v>
      </c>
      <c r="BH337">
        <v>49</v>
      </c>
      <c r="BI337" t="s">
        <v>1261</v>
      </c>
      <c r="BK337">
        <v>1885321</v>
      </c>
    </row>
    <row r="338" spans="1:63">
      <c r="A338" s="1">
        <f>HYPERLINK("https://lsnyc.legalserver.org/matter/dynamic-profile/view/1884530","18-1884530")</f>
        <v>0</v>
      </c>
      <c r="B338" t="s">
        <v>5353</v>
      </c>
      <c r="C338" t="s">
        <v>5625</v>
      </c>
      <c r="D338" t="s">
        <v>255</v>
      </c>
      <c r="E338" t="s">
        <v>3694</v>
      </c>
      <c r="F338" t="s">
        <v>274</v>
      </c>
      <c r="G338" t="s">
        <v>274</v>
      </c>
      <c r="H338">
        <v>16.47</v>
      </c>
      <c r="I338" t="s">
        <v>274</v>
      </c>
      <c r="K338" t="s">
        <v>3701</v>
      </c>
      <c r="O338" t="s">
        <v>275</v>
      </c>
      <c r="P338" t="s">
        <v>498</v>
      </c>
      <c r="Q338" t="s">
        <v>501</v>
      </c>
      <c r="S338" t="s">
        <v>503</v>
      </c>
      <c r="T338" t="s">
        <v>507</v>
      </c>
      <c r="U338" t="s">
        <v>511</v>
      </c>
      <c r="V338">
        <v>10011</v>
      </c>
      <c r="W338" t="s">
        <v>521</v>
      </c>
      <c r="X338" t="s">
        <v>549</v>
      </c>
      <c r="Z338" t="s">
        <v>1857</v>
      </c>
      <c r="AA338" t="s">
        <v>6255</v>
      </c>
      <c r="AB338" t="s">
        <v>902</v>
      </c>
      <c r="AC338" t="s">
        <v>905</v>
      </c>
      <c r="AF338" t="s">
        <v>923</v>
      </c>
      <c r="AI338">
        <v>4.45</v>
      </c>
      <c r="AJ338" t="s">
        <v>558</v>
      </c>
      <c r="AK338" t="s">
        <v>2366</v>
      </c>
      <c r="AL338" t="s">
        <v>274</v>
      </c>
      <c r="AT338">
        <v>0</v>
      </c>
      <c r="AU338">
        <v>1</v>
      </c>
      <c r="AV338" t="s">
        <v>273</v>
      </c>
      <c r="AY338" t="s">
        <v>273</v>
      </c>
      <c r="BB338">
        <v>0</v>
      </c>
      <c r="BC338">
        <v>0</v>
      </c>
      <c r="BD338">
        <v>0</v>
      </c>
      <c r="BE338">
        <v>0</v>
      </c>
      <c r="BF338" t="s">
        <v>1063</v>
      </c>
      <c r="BG338" t="s">
        <v>6718</v>
      </c>
      <c r="BH338">
        <v>29</v>
      </c>
      <c r="BI338" t="s">
        <v>1263</v>
      </c>
      <c r="BK338">
        <v>1885155</v>
      </c>
    </row>
    <row r="339" spans="1:63">
      <c r="A339" s="1">
        <f>HYPERLINK("https://lsnyc.legalserver.org/matter/dynamic-profile/view/1884177","18-1884177")</f>
        <v>0</v>
      </c>
      <c r="B339" t="s">
        <v>5354</v>
      </c>
      <c r="C339" t="s">
        <v>5625</v>
      </c>
      <c r="D339" t="s">
        <v>257</v>
      </c>
      <c r="E339" t="s">
        <v>5630</v>
      </c>
      <c r="F339" t="s">
        <v>274</v>
      </c>
      <c r="G339" t="s">
        <v>274</v>
      </c>
      <c r="H339">
        <v>75.34999999999999</v>
      </c>
      <c r="I339" t="s">
        <v>274</v>
      </c>
      <c r="K339" t="s">
        <v>1723</v>
      </c>
      <c r="O339" t="s">
        <v>274</v>
      </c>
      <c r="Q339" t="s">
        <v>501</v>
      </c>
      <c r="S339" t="s">
        <v>503</v>
      </c>
      <c r="T339" t="s">
        <v>507</v>
      </c>
      <c r="U339" t="s">
        <v>511</v>
      </c>
      <c r="V339">
        <v>10459</v>
      </c>
      <c r="W339" t="s">
        <v>517</v>
      </c>
      <c r="X339" t="s">
        <v>548</v>
      </c>
      <c r="Z339" t="s">
        <v>5870</v>
      </c>
      <c r="AA339" t="s">
        <v>6256</v>
      </c>
      <c r="AB339" t="s">
        <v>902</v>
      </c>
      <c r="AC339" t="s">
        <v>904</v>
      </c>
      <c r="AF339" t="s">
        <v>923</v>
      </c>
      <c r="AI339">
        <v>4.55</v>
      </c>
      <c r="AJ339" t="s">
        <v>558</v>
      </c>
      <c r="AK339" t="s">
        <v>950</v>
      </c>
      <c r="AL339" t="s">
        <v>274</v>
      </c>
      <c r="AM339" t="s">
        <v>973</v>
      </c>
      <c r="AN339" t="s">
        <v>981</v>
      </c>
      <c r="AT339">
        <v>3</v>
      </c>
      <c r="AU339">
        <v>1</v>
      </c>
      <c r="AV339" t="s">
        <v>273</v>
      </c>
      <c r="AY339" t="s">
        <v>273</v>
      </c>
      <c r="BB339">
        <v>0</v>
      </c>
      <c r="BC339">
        <v>0</v>
      </c>
      <c r="BD339">
        <v>0</v>
      </c>
      <c r="BE339">
        <v>0</v>
      </c>
      <c r="BF339" t="s">
        <v>1063</v>
      </c>
      <c r="BG339" t="s">
        <v>6719</v>
      </c>
      <c r="BH339">
        <v>38</v>
      </c>
      <c r="BI339" t="s">
        <v>7061</v>
      </c>
      <c r="BK339">
        <v>1884791</v>
      </c>
    </row>
    <row r="340" spans="1:63">
      <c r="A340" s="1">
        <f>HYPERLINK("https://lsnyc.legalserver.org/matter/dynamic-profile/view/1884201","18-1884201")</f>
        <v>0</v>
      </c>
      <c r="B340" t="s">
        <v>5355</v>
      </c>
      <c r="C340" t="s">
        <v>5625</v>
      </c>
      <c r="D340" t="s">
        <v>253</v>
      </c>
      <c r="E340" t="s">
        <v>3694</v>
      </c>
      <c r="F340" t="s">
        <v>274</v>
      </c>
      <c r="G340" t="s">
        <v>274</v>
      </c>
      <c r="H340">
        <v>182.26</v>
      </c>
      <c r="I340" t="s">
        <v>274</v>
      </c>
      <c r="K340" t="s">
        <v>1723</v>
      </c>
      <c r="Q340" t="s">
        <v>501</v>
      </c>
      <c r="S340" t="s">
        <v>503</v>
      </c>
      <c r="T340" t="s">
        <v>508</v>
      </c>
      <c r="U340" t="s">
        <v>511</v>
      </c>
      <c r="V340">
        <v>11415</v>
      </c>
      <c r="W340" t="s">
        <v>524</v>
      </c>
      <c r="Z340" t="s">
        <v>5871</v>
      </c>
      <c r="AA340" t="s">
        <v>6257</v>
      </c>
      <c r="AB340" t="s">
        <v>902</v>
      </c>
      <c r="AC340" t="s">
        <v>905</v>
      </c>
      <c r="AF340" t="s">
        <v>923</v>
      </c>
      <c r="AI340">
        <v>3.1</v>
      </c>
      <c r="AJ340" t="s">
        <v>558</v>
      </c>
      <c r="AK340" t="s">
        <v>951</v>
      </c>
      <c r="AL340" t="s">
        <v>274</v>
      </c>
      <c r="AT340">
        <v>0</v>
      </c>
      <c r="AU340">
        <v>2</v>
      </c>
      <c r="AV340" t="s">
        <v>273</v>
      </c>
      <c r="AY340" t="s">
        <v>273</v>
      </c>
      <c r="BB340">
        <v>0</v>
      </c>
      <c r="BC340">
        <v>0</v>
      </c>
      <c r="BD340">
        <v>0</v>
      </c>
      <c r="BE340">
        <v>0</v>
      </c>
      <c r="BF340" t="s">
        <v>1063</v>
      </c>
      <c r="BG340" t="s">
        <v>6720</v>
      </c>
      <c r="BH340">
        <v>30</v>
      </c>
      <c r="BI340" t="s">
        <v>1272</v>
      </c>
      <c r="BK340">
        <v>1867950</v>
      </c>
    </row>
    <row r="341" spans="1:63">
      <c r="A341" s="1">
        <f>HYPERLINK("https://lsnyc.legalserver.org/matter/dynamic-profile/view/1883932","18-1883932")</f>
        <v>0</v>
      </c>
      <c r="B341" t="s">
        <v>5356</v>
      </c>
      <c r="C341" t="s">
        <v>5625</v>
      </c>
      <c r="D341" t="s">
        <v>257</v>
      </c>
      <c r="E341" t="s">
        <v>3694</v>
      </c>
      <c r="F341" t="s">
        <v>274</v>
      </c>
      <c r="G341" t="s">
        <v>274</v>
      </c>
      <c r="H341">
        <v>43.31</v>
      </c>
      <c r="I341" t="s">
        <v>274</v>
      </c>
      <c r="K341" t="s">
        <v>360</v>
      </c>
      <c r="Q341" t="s">
        <v>501</v>
      </c>
      <c r="S341" t="s">
        <v>503</v>
      </c>
      <c r="T341" t="s">
        <v>508</v>
      </c>
      <c r="U341" t="s">
        <v>511</v>
      </c>
      <c r="V341">
        <v>10452</v>
      </c>
      <c r="W341" t="s">
        <v>528</v>
      </c>
      <c r="X341" t="s">
        <v>548</v>
      </c>
      <c r="Z341" t="s">
        <v>2009</v>
      </c>
      <c r="AA341" t="s">
        <v>6258</v>
      </c>
      <c r="AB341" t="s">
        <v>902</v>
      </c>
      <c r="AC341" t="s">
        <v>906</v>
      </c>
      <c r="AF341" t="s">
        <v>923</v>
      </c>
      <c r="AI341">
        <v>0.8</v>
      </c>
      <c r="AJ341" t="s">
        <v>558</v>
      </c>
      <c r="AK341" t="s">
        <v>949</v>
      </c>
      <c r="AL341" t="s">
        <v>274</v>
      </c>
      <c r="AT341">
        <v>2</v>
      </c>
      <c r="AU341">
        <v>1</v>
      </c>
      <c r="AV341" t="s">
        <v>273</v>
      </c>
      <c r="AY341" t="s">
        <v>273</v>
      </c>
      <c r="BB341">
        <v>0</v>
      </c>
      <c r="BC341">
        <v>0</v>
      </c>
      <c r="BD341">
        <v>0</v>
      </c>
      <c r="BE341">
        <v>0</v>
      </c>
      <c r="BF341" t="s">
        <v>1063</v>
      </c>
      <c r="BG341" t="s">
        <v>6721</v>
      </c>
      <c r="BH341">
        <v>39</v>
      </c>
      <c r="BI341" t="s">
        <v>2724</v>
      </c>
      <c r="BK341">
        <v>1882332</v>
      </c>
    </row>
    <row r="342" spans="1:63">
      <c r="A342" s="1">
        <f>HYPERLINK("https://lsnyc.legalserver.org/matter/dynamic-profile/view/1883937","18-1883937")</f>
        <v>0</v>
      </c>
      <c r="B342" t="s">
        <v>5357</v>
      </c>
      <c r="C342" t="s">
        <v>5625</v>
      </c>
      <c r="D342" t="s">
        <v>257</v>
      </c>
      <c r="E342" t="s">
        <v>3694</v>
      </c>
      <c r="F342" t="s">
        <v>274</v>
      </c>
      <c r="G342" t="s">
        <v>274</v>
      </c>
      <c r="H342">
        <v>43.31</v>
      </c>
      <c r="I342" t="s">
        <v>274</v>
      </c>
      <c r="K342" t="s">
        <v>360</v>
      </c>
      <c r="Q342" t="s">
        <v>501</v>
      </c>
      <c r="S342" t="s">
        <v>503</v>
      </c>
      <c r="T342" t="s">
        <v>507</v>
      </c>
      <c r="U342" t="s">
        <v>511</v>
      </c>
      <c r="V342">
        <v>10452</v>
      </c>
      <c r="W342" t="s">
        <v>538</v>
      </c>
      <c r="Z342" t="s">
        <v>5872</v>
      </c>
      <c r="AA342" t="s">
        <v>6259</v>
      </c>
      <c r="AB342" t="s">
        <v>902</v>
      </c>
      <c r="AC342" t="s">
        <v>908</v>
      </c>
      <c r="AF342" t="s">
        <v>923</v>
      </c>
      <c r="AI342">
        <v>0.1</v>
      </c>
      <c r="AJ342" t="s">
        <v>558</v>
      </c>
      <c r="AK342" t="s">
        <v>949</v>
      </c>
      <c r="AL342" t="s">
        <v>274</v>
      </c>
      <c r="AT342">
        <v>2</v>
      </c>
      <c r="AU342">
        <v>1</v>
      </c>
      <c r="AV342" t="s">
        <v>273</v>
      </c>
      <c r="AY342" t="s">
        <v>273</v>
      </c>
      <c r="BB342">
        <v>0</v>
      </c>
      <c r="BC342">
        <v>0</v>
      </c>
      <c r="BD342">
        <v>0</v>
      </c>
      <c r="BE342">
        <v>0</v>
      </c>
      <c r="BF342" t="s">
        <v>1063</v>
      </c>
      <c r="BG342" t="s">
        <v>6722</v>
      </c>
      <c r="BH342">
        <v>4</v>
      </c>
      <c r="BI342" t="s">
        <v>2724</v>
      </c>
      <c r="BK342">
        <v>1882332</v>
      </c>
    </row>
    <row r="343" spans="1:63">
      <c r="A343" s="1">
        <f>HYPERLINK("https://lsnyc.legalserver.org/matter/dynamic-profile/view/1883943","18-1883943")</f>
        <v>0</v>
      </c>
      <c r="B343" t="s">
        <v>5357</v>
      </c>
      <c r="C343" t="s">
        <v>5625</v>
      </c>
      <c r="D343" t="s">
        <v>257</v>
      </c>
      <c r="E343" t="s">
        <v>3694</v>
      </c>
      <c r="F343" t="s">
        <v>274</v>
      </c>
      <c r="G343" t="s">
        <v>274</v>
      </c>
      <c r="H343">
        <v>43.31</v>
      </c>
      <c r="I343" t="s">
        <v>274</v>
      </c>
      <c r="K343" t="s">
        <v>360</v>
      </c>
      <c r="Q343" t="s">
        <v>501</v>
      </c>
      <c r="S343" t="s">
        <v>503</v>
      </c>
      <c r="T343" t="s">
        <v>507</v>
      </c>
      <c r="U343" t="s">
        <v>511</v>
      </c>
      <c r="V343">
        <v>10452</v>
      </c>
      <c r="W343" t="s">
        <v>544</v>
      </c>
      <c r="Z343" t="s">
        <v>5872</v>
      </c>
      <c r="AA343" t="s">
        <v>6259</v>
      </c>
      <c r="AB343" t="s">
        <v>902</v>
      </c>
      <c r="AC343" t="s">
        <v>908</v>
      </c>
      <c r="AF343" t="s">
        <v>923</v>
      </c>
      <c r="AI343">
        <v>0.1</v>
      </c>
      <c r="AJ343" t="s">
        <v>558</v>
      </c>
      <c r="AK343" t="s">
        <v>949</v>
      </c>
      <c r="AL343" t="s">
        <v>274</v>
      </c>
      <c r="AT343">
        <v>2</v>
      </c>
      <c r="AU343">
        <v>1</v>
      </c>
      <c r="AV343" t="s">
        <v>273</v>
      </c>
      <c r="AY343" t="s">
        <v>273</v>
      </c>
      <c r="BB343">
        <v>0</v>
      </c>
      <c r="BC343">
        <v>0</v>
      </c>
      <c r="BD343">
        <v>0</v>
      </c>
      <c r="BE343">
        <v>0</v>
      </c>
      <c r="BF343" t="s">
        <v>1063</v>
      </c>
      <c r="BG343" t="s">
        <v>6722</v>
      </c>
      <c r="BH343">
        <v>4</v>
      </c>
      <c r="BI343" t="s">
        <v>2724</v>
      </c>
      <c r="BK343">
        <v>1882332</v>
      </c>
    </row>
    <row r="344" spans="1:63">
      <c r="A344" s="1">
        <f>HYPERLINK("https://lsnyc.legalserver.org/matter/dynamic-profile/view/1883982","18-1883982")</f>
        <v>0</v>
      </c>
      <c r="B344" t="s">
        <v>5358</v>
      </c>
      <c r="C344" t="s">
        <v>5625</v>
      </c>
      <c r="D344" t="s">
        <v>253</v>
      </c>
      <c r="E344" t="s">
        <v>3694</v>
      </c>
      <c r="F344" t="s">
        <v>274</v>
      </c>
      <c r="G344" t="s">
        <v>274</v>
      </c>
      <c r="H344">
        <v>72.90000000000001</v>
      </c>
      <c r="I344" t="s">
        <v>274</v>
      </c>
      <c r="K344" t="s">
        <v>360</v>
      </c>
      <c r="Q344" t="s">
        <v>501</v>
      </c>
      <c r="S344" t="s">
        <v>503</v>
      </c>
      <c r="T344" t="s">
        <v>508</v>
      </c>
      <c r="U344" t="s">
        <v>511</v>
      </c>
      <c r="V344">
        <v>11372</v>
      </c>
      <c r="W344" t="s">
        <v>524</v>
      </c>
      <c r="Z344" t="s">
        <v>5873</v>
      </c>
      <c r="AA344" t="s">
        <v>6260</v>
      </c>
      <c r="AB344" t="s">
        <v>902</v>
      </c>
      <c r="AC344" t="s">
        <v>905</v>
      </c>
      <c r="AF344" t="s">
        <v>923</v>
      </c>
      <c r="AI344">
        <v>0.7</v>
      </c>
      <c r="AJ344" t="s">
        <v>558</v>
      </c>
      <c r="AK344" t="s">
        <v>947</v>
      </c>
      <c r="AL344" t="s">
        <v>274</v>
      </c>
      <c r="AT344">
        <v>1</v>
      </c>
      <c r="AU344">
        <v>1</v>
      </c>
      <c r="AV344" t="s">
        <v>273</v>
      </c>
      <c r="AY344" t="s">
        <v>273</v>
      </c>
      <c r="BB344">
        <v>0</v>
      </c>
      <c r="BC344">
        <v>0</v>
      </c>
      <c r="BD344">
        <v>0</v>
      </c>
      <c r="BE344">
        <v>0</v>
      </c>
      <c r="BF344" t="s">
        <v>1063</v>
      </c>
      <c r="BG344" t="s">
        <v>6723</v>
      </c>
      <c r="BH344">
        <v>35</v>
      </c>
      <c r="BI344" t="s">
        <v>1267</v>
      </c>
      <c r="BK344">
        <v>1875121</v>
      </c>
    </row>
    <row r="345" spans="1:63">
      <c r="A345" s="1">
        <f>HYPERLINK("https://lsnyc.legalserver.org/matter/dynamic-profile/view/1883890","18-1883890")</f>
        <v>0</v>
      </c>
      <c r="B345" t="s">
        <v>5359</v>
      </c>
      <c r="C345" t="s">
        <v>5625</v>
      </c>
      <c r="D345" t="s">
        <v>255</v>
      </c>
      <c r="E345" t="s">
        <v>3694</v>
      </c>
      <c r="F345" t="s">
        <v>274</v>
      </c>
      <c r="G345" t="s">
        <v>274</v>
      </c>
      <c r="H345">
        <v>125.08</v>
      </c>
      <c r="I345" t="s">
        <v>274</v>
      </c>
      <c r="K345" t="s">
        <v>1724</v>
      </c>
      <c r="Q345" t="s">
        <v>501</v>
      </c>
      <c r="S345" t="s">
        <v>503</v>
      </c>
      <c r="T345" t="s">
        <v>507</v>
      </c>
      <c r="U345" t="s">
        <v>511</v>
      </c>
      <c r="V345">
        <v>10026</v>
      </c>
      <c r="W345" t="s">
        <v>525</v>
      </c>
      <c r="Y345" t="s">
        <v>275</v>
      </c>
      <c r="Z345" t="s">
        <v>1949</v>
      </c>
      <c r="AA345" t="s">
        <v>2302</v>
      </c>
      <c r="AB345" t="s">
        <v>902</v>
      </c>
      <c r="AC345" t="s">
        <v>904</v>
      </c>
      <c r="AF345" t="s">
        <v>923</v>
      </c>
      <c r="AI345">
        <v>0.3</v>
      </c>
      <c r="AJ345" t="s">
        <v>558</v>
      </c>
      <c r="AK345" t="s">
        <v>939</v>
      </c>
      <c r="AL345" t="s">
        <v>274</v>
      </c>
      <c r="AT345">
        <v>2</v>
      </c>
      <c r="AU345">
        <v>3</v>
      </c>
      <c r="AV345" t="s">
        <v>273</v>
      </c>
      <c r="AY345" t="s">
        <v>273</v>
      </c>
      <c r="BB345">
        <v>0</v>
      </c>
      <c r="BC345">
        <v>0</v>
      </c>
      <c r="BD345">
        <v>0</v>
      </c>
      <c r="BE345">
        <v>0</v>
      </c>
      <c r="BF345" t="s">
        <v>1063</v>
      </c>
      <c r="BG345" t="s">
        <v>6724</v>
      </c>
      <c r="BH345">
        <v>43</v>
      </c>
      <c r="BI345" t="s">
        <v>7062</v>
      </c>
      <c r="BK345">
        <v>1870113</v>
      </c>
    </row>
    <row r="346" spans="1:63">
      <c r="A346" s="1">
        <f>HYPERLINK("https://lsnyc.legalserver.org/matter/dynamic-profile/view/1881133","18-1881133")</f>
        <v>0</v>
      </c>
      <c r="B346" t="s">
        <v>5296</v>
      </c>
      <c r="C346" t="s">
        <v>5625</v>
      </c>
      <c r="D346" t="s">
        <v>254</v>
      </c>
      <c r="E346" t="s">
        <v>5630</v>
      </c>
      <c r="F346" t="s">
        <v>274</v>
      </c>
      <c r="G346" t="s">
        <v>274</v>
      </c>
      <c r="H346">
        <v>165.16</v>
      </c>
      <c r="I346" t="s">
        <v>274</v>
      </c>
      <c r="K346" t="s">
        <v>362</v>
      </c>
      <c r="Q346" t="s">
        <v>501</v>
      </c>
      <c r="S346" t="s">
        <v>503</v>
      </c>
      <c r="T346" t="s">
        <v>508</v>
      </c>
      <c r="U346" t="s">
        <v>511</v>
      </c>
      <c r="V346">
        <v>10304</v>
      </c>
      <c r="W346" t="s">
        <v>1831</v>
      </c>
      <c r="X346" t="s">
        <v>549</v>
      </c>
      <c r="Z346" t="s">
        <v>5834</v>
      </c>
      <c r="AA346" t="s">
        <v>6221</v>
      </c>
      <c r="AB346" t="s">
        <v>902</v>
      </c>
      <c r="AC346" t="s">
        <v>904</v>
      </c>
      <c r="AF346" t="s">
        <v>923</v>
      </c>
      <c r="AI346">
        <v>3.02</v>
      </c>
      <c r="AJ346" t="s">
        <v>558</v>
      </c>
      <c r="AK346" t="s">
        <v>3262</v>
      </c>
      <c r="AL346" t="s">
        <v>274</v>
      </c>
      <c r="AT346">
        <v>1</v>
      </c>
      <c r="AU346">
        <v>2</v>
      </c>
      <c r="AV346" t="s">
        <v>273</v>
      </c>
      <c r="AY346" t="s">
        <v>273</v>
      </c>
      <c r="BB346">
        <v>0</v>
      </c>
      <c r="BC346">
        <v>0</v>
      </c>
      <c r="BD346">
        <v>0</v>
      </c>
      <c r="BE346">
        <v>0</v>
      </c>
      <c r="BF346" t="s">
        <v>1063</v>
      </c>
      <c r="BG346" t="s">
        <v>6666</v>
      </c>
      <c r="BH346">
        <v>22</v>
      </c>
      <c r="BI346" t="s">
        <v>7044</v>
      </c>
      <c r="BK346">
        <v>1881754</v>
      </c>
    </row>
    <row r="347" spans="1:63">
      <c r="A347" s="1">
        <f>HYPERLINK("https://lsnyc.legalserver.org/matter/dynamic-profile/view/1883242","18-1883242")</f>
        <v>0</v>
      </c>
      <c r="B347" t="s">
        <v>5360</v>
      </c>
      <c r="C347" t="s">
        <v>5625</v>
      </c>
      <c r="D347" t="s">
        <v>255</v>
      </c>
      <c r="E347" t="s">
        <v>5630</v>
      </c>
      <c r="F347" t="s">
        <v>274</v>
      </c>
      <c r="G347" t="s">
        <v>274</v>
      </c>
      <c r="H347">
        <v>60.8</v>
      </c>
      <c r="I347" t="s">
        <v>274</v>
      </c>
      <c r="K347" t="s">
        <v>363</v>
      </c>
      <c r="P347" t="s">
        <v>492</v>
      </c>
      <c r="Q347" t="s">
        <v>501</v>
      </c>
      <c r="S347" t="s">
        <v>503</v>
      </c>
      <c r="T347" t="s">
        <v>508</v>
      </c>
      <c r="U347" t="s">
        <v>511</v>
      </c>
      <c r="V347">
        <v>10009</v>
      </c>
      <c r="W347" t="s">
        <v>517</v>
      </c>
      <c r="X347" t="s">
        <v>548</v>
      </c>
      <c r="Y347" t="s">
        <v>275</v>
      </c>
      <c r="Z347" t="s">
        <v>1861</v>
      </c>
      <c r="AA347" t="s">
        <v>804</v>
      </c>
      <c r="AB347" t="s">
        <v>902</v>
      </c>
      <c r="AC347" t="s">
        <v>904</v>
      </c>
      <c r="AF347" t="s">
        <v>923</v>
      </c>
      <c r="AI347">
        <v>2.45</v>
      </c>
      <c r="AJ347" t="s">
        <v>558</v>
      </c>
      <c r="AK347" t="s">
        <v>950</v>
      </c>
      <c r="AL347" t="s">
        <v>274</v>
      </c>
      <c r="AS347" t="s">
        <v>3283</v>
      </c>
      <c r="AT347">
        <v>0</v>
      </c>
      <c r="AU347">
        <v>2</v>
      </c>
      <c r="AV347" t="s">
        <v>273</v>
      </c>
      <c r="AY347" t="s">
        <v>273</v>
      </c>
      <c r="BB347">
        <v>0</v>
      </c>
      <c r="BC347">
        <v>0</v>
      </c>
      <c r="BD347">
        <v>0</v>
      </c>
      <c r="BE347">
        <v>0</v>
      </c>
      <c r="BF347" t="s">
        <v>1063</v>
      </c>
      <c r="BG347" t="s">
        <v>6725</v>
      </c>
      <c r="BH347">
        <v>79</v>
      </c>
      <c r="BI347" t="s">
        <v>7063</v>
      </c>
      <c r="BK347">
        <v>753398</v>
      </c>
    </row>
    <row r="348" spans="1:63">
      <c r="A348" s="1">
        <f>HYPERLINK("https://lsnyc.legalserver.org/matter/dynamic-profile/view/1882794","18-1882794")</f>
        <v>0</v>
      </c>
      <c r="B348" t="s">
        <v>5211</v>
      </c>
      <c r="C348" t="s">
        <v>5625</v>
      </c>
      <c r="D348" t="s">
        <v>255</v>
      </c>
      <c r="E348" t="s">
        <v>5630</v>
      </c>
      <c r="F348" t="s">
        <v>274</v>
      </c>
      <c r="G348" t="s">
        <v>274</v>
      </c>
      <c r="H348">
        <v>160.39</v>
      </c>
      <c r="I348" t="s">
        <v>274</v>
      </c>
      <c r="K348" t="s">
        <v>2991</v>
      </c>
      <c r="O348" t="s">
        <v>274</v>
      </c>
      <c r="P348" t="s">
        <v>498</v>
      </c>
      <c r="Q348" t="s">
        <v>501</v>
      </c>
      <c r="S348" t="s">
        <v>503</v>
      </c>
      <c r="T348" t="s">
        <v>508</v>
      </c>
      <c r="U348" t="s">
        <v>511</v>
      </c>
      <c r="V348">
        <v>10025</v>
      </c>
      <c r="W348" t="s">
        <v>517</v>
      </c>
      <c r="X348" t="s">
        <v>549</v>
      </c>
      <c r="Z348" t="s">
        <v>4626</v>
      </c>
      <c r="AA348" t="s">
        <v>6156</v>
      </c>
      <c r="AB348" t="s">
        <v>902</v>
      </c>
      <c r="AC348" t="s">
        <v>904</v>
      </c>
      <c r="AF348" t="s">
        <v>923</v>
      </c>
      <c r="AI348">
        <v>6.6</v>
      </c>
      <c r="AJ348" t="s">
        <v>558</v>
      </c>
      <c r="AK348" t="s">
        <v>941</v>
      </c>
      <c r="AL348" t="s">
        <v>274</v>
      </c>
      <c r="AT348">
        <v>0</v>
      </c>
      <c r="AU348">
        <v>2</v>
      </c>
      <c r="AV348" t="s">
        <v>273</v>
      </c>
      <c r="AY348" t="s">
        <v>273</v>
      </c>
      <c r="BB348">
        <v>0</v>
      </c>
      <c r="BC348">
        <v>0</v>
      </c>
      <c r="BD348">
        <v>0</v>
      </c>
      <c r="BE348">
        <v>0</v>
      </c>
      <c r="BF348" t="s">
        <v>1063</v>
      </c>
      <c r="BG348" t="s">
        <v>6589</v>
      </c>
      <c r="BH348">
        <v>54</v>
      </c>
      <c r="BI348" t="s">
        <v>3446</v>
      </c>
      <c r="BK348">
        <v>774292</v>
      </c>
    </row>
    <row r="349" spans="1:63">
      <c r="A349" s="1">
        <f>HYPERLINK("https://lsnyc.legalserver.org/matter/dynamic-profile/view/1882594","18-1882594")</f>
        <v>0</v>
      </c>
      <c r="B349" t="s">
        <v>5317</v>
      </c>
      <c r="C349" t="s">
        <v>5625</v>
      </c>
      <c r="D349" t="s">
        <v>255</v>
      </c>
      <c r="E349" t="s">
        <v>3694</v>
      </c>
      <c r="F349" t="s">
        <v>274</v>
      </c>
      <c r="G349" t="s">
        <v>274</v>
      </c>
      <c r="H349">
        <v>72.18000000000001</v>
      </c>
      <c r="I349" t="s">
        <v>274</v>
      </c>
      <c r="K349" t="s">
        <v>1012</v>
      </c>
      <c r="P349" t="s">
        <v>492</v>
      </c>
      <c r="Q349" t="s">
        <v>501</v>
      </c>
      <c r="S349" t="s">
        <v>503</v>
      </c>
      <c r="T349" t="s">
        <v>508</v>
      </c>
      <c r="U349" t="s">
        <v>511</v>
      </c>
      <c r="V349">
        <v>10009</v>
      </c>
      <c r="W349" t="s">
        <v>517</v>
      </c>
      <c r="X349" t="s">
        <v>548</v>
      </c>
      <c r="Z349" t="s">
        <v>5846</v>
      </c>
      <c r="AA349" t="s">
        <v>6236</v>
      </c>
      <c r="AB349" t="s">
        <v>902</v>
      </c>
      <c r="AC349" t="s">
        <v>904</v>
      </c>
      <c r="AF349" t="s">
        <v>923</v>
      </c>
      <c r="AI349">
        <v>3.1</v>
      </c>
      <c r="AJ349" t="s">
        <v>558</v>
      </c>
      <c r="AK349" t="s">
        <v>950</v>
      </c>
      <c r="AL349" t="s">
        <v>274</v>
      </c>
      <c r="AM349" t="s">
        <v>973</v>
      </c>
      <c r="AN349" t="s">
        <v>348</v>
      </c>
      <c r="AS349" t="s">
        <v>3283</v>
      </c>
      <c r="AT349">
        <v>0</v>
      </c>
      <c r="AU349">
        <v>3</v>
      </c>
      <c r="AV349" t="s">
        <v>273</v>
      </c>
      <c r="AY349" t="s">
        <v>273</v>
      </c>
      <c r="BB349">
        <v>0</v>
      </c>
      <c r="BC349">
        <v>0</v>
      </c>
      <c r="BD349">
        <v>0</v>
      </c>
      <c r="BE349">
        <v>0</v>
      </c>
      <c r="BF349" t="s">
        <v>1063</v>
      </c>
      <c r="BG349" t="s">
        <v>6686</v>
      </c>
      <c r="BH349">
        <v>68</v>
      </c>
      <c r="BI349" t="s">
        <v>2801</v>
      </c>
      <c r="BK349">
        <v>764812</v>
      </c>
    </row>
    <row r="350" spans="1:63">
      <c r="A350" s="1">
        <f>HYPERLINK("https://lsnyc.legalserver.org/matter/dynamic-profile/view/1882613","18-1882613")</f>
        <v>0</v>
      </c>
      <c r="B350" t="s">
        <v>5361</v>
      </c>
      <c r="C350" t="s">
        <v>5625</v>
      </c>
      <c r="D350" t="s">
        <v>255</v>
      </c>
      <c r="E350" t="s">
        <v>3694</v>
      </c>
      <c r="F350" t="s">
        <v>274</v>
      </c>
      <c r="G350" t="s">
        <v>274</v>
      </c>
      <c r="H350">
        <v>69.14</v>
      </c>
      <c r="I350" t="s">
        <v>274</v>
      </c>
      <c r="K350" t="s">
        <v>1012</v>
      </c>
      <c r="P350" t="s">
        <v>492</v>
      </c>
      <c r="Q350" t="s">
        <v>501</v>
      </c>
      <c r="S350" t="s">
        <v>503</v>
      </c>
      <c r="T350" t="s">
        <v>508</v>
      </c>
      <c r="U350" t="s">
        <v>511</v>
      </c>
      <c r="V350">
        <v>10002</v>
      </c>
      <c r="W350" t="s">
        <v>517</v>
      </c>
      <c r="X350" t="s">
        <v>548</v>
      </c>
      <c r="Y350" t="s">
        <v>275</v>
      </c>
      <c r="Z350" t="s">
        <v>5874</v>
      </c>
      <c r="AA350" t="s">
        <v>6261</v>
      </c>
      <c r="AB350" t="s">
        <v>902</v>
      </c>
      <c r="AC350" t="s">
        <v>904</v>
      </c>
      <c r="AF350" t="s">
        <v>923</v>
      </c>
      <c r="AI350">
        <v>1.9</v>
      </c>
      <c r="AJ350" t="s">
        <v>558</v>
      </c>
      <c r="AK350" t="s">
        <v>950</v>
      </c>
      <c r="AL350" t="s">
        <v>274</v>
      </c>
      <c r="AS350" t="s">
        <v>3283</v>
      </c>
      <c r="AT350">
        <v>3</v>
      </c>
      <c r="AU350">
        <v>3</v>
      </c>
      <c r="AV350" t="s">
        <v>273</v>
      </c>
      <c r="AY350" t="s">
        <v>273</v>
      </c>
      <c r="BB350">
        <v>0</v>
      </c>
      <c r="BC350">
        <v>0</v>
      </c>
      <c r="BD350">
        <v>0</v>
      </c>
      <c r="BE350">
        <v>0</v>
      </c>
      <c r="BF350" t="s">
        <v>1063</v>
      </c>
      <c r="BG350" t="s">
        <v>6726</v>
      </c>
      <c r="BH350">
        <v>43</v>
      </c>
      <c r="BI350" t="s">
        <v>7064</v>
      </c>
      <c r="BK350">
        <v>1883238</v>
      </c>
    </row>
    <row r="351" spans="1:63">
      <c r="A351" s="1">
        <f>HYPERLINK("https://lsnyc.legalserver.org/matter/dynamic-profile/view/1882683","18-1882683")</f>
        <v>0</v>
      </c>
      <c r="B351" t="s">
        <v>5362</v>
      </c>
      <c r="C351" t="s">
        <v>5625</v>
      </c>
      <c r="D351" t="s">
        <v>253</v>
      </c>
      <c r="E351" t="s">
        <v>3694</v>
      </c>
      <c r="F351" t="s">
        <v>274</v>
      </c>
      <c r="G351" t="s">
        <v>274</v>
      </c>
      <c r="H351">
        <v>148.27</v>
      </c>
      <c r="I351" t="s">
        <v>274</v>
      </c>
      <c r="K351" t="s">
        <v>1012</v>
      </c>
      <c r="O351" t="s">
        <v>275</v>
      </c>
      <c r="Q351" t="s">
        <v>501</v>
      </c>
      <c r="S351" t="s">
        <v>503</v>
      </c>
      <c r="T351" t="s">
        <v>507</v>
      </c>
      <c r="U351" t="s">
        <v>511</v>
      </c>
      <c r="V351">
        <v>11385</v>
      </c>
      <c r="W351" t="s">
        <v>521</v>
      </c>
      <c r="X351" t="s">
        <v>553</v>
      </c>
      <c r="Z351" t="s">
        <v>5875</v>
      </c>
      <c r="AA351" t="s">
        <v>6262</v>
      </c>
      <c r="AB351" t="s">
        <v>902</v>
      </c>
      <c r="AC351" t="s">
        <v>905</v>
      </c>
      <c r="AF351" t="s">
        <v>923</v>
      </c>
      <c r="AI351">
        <v>11.6</v>
      </c>
      <c r="AJ351" t="s">
        <v>558</v>
      </c>
      <c r="AK351" t="s">
        <v>3260</v>
      </c>
      <c r="AL351" t="s">
        <v>274</v>
      </c>
      <c r="AT351">
        <v>0</v>
      </c>
      <c r="AU351">
        <v>1</v>
      </c>
      <c r="AV351" t="s">
        <v>273</v>
      </c>
      <c r="AY351" t="s">
        <v>273</v>
      </c>
      <c r="BB351">
        <v>0</v>
      </c>
      <c r="BC351">
        <v>0</v>
      </c>
      <c r="BD351">
        <v>0</v>
      </c>
      <c r="BE351">
        <v>0</v>
      </c>
      <c r="BF351" t="s">
        <v>1063</v>
      </c>
      <c r="BG351" t="s">
        <v>6727</v>
      </c>
      <c r="BH351">
        <v>28</v>
      </c>
      <c r="BI351" t="s">
        <v>1289</v>
      </c>
      <c r="BK351">
        <v>1883308</v>
      </c>
    </row>
    <row r="352" spans="1:63">
      <c r="A352" s="1">
        <f>HYPERLINK("https://lsnyc.legalserver.org/matter/dynamic-profile/view/1882460","18-1882460")</f>
        <v>0</v>
      </c>
      <c r="B352" t="s">
        <v>5363</v>
      </c>
      <c r="C352" t="s">
        <v>5625</v>
      </c>
      <c r="D352" t="s">
        <v>252</v>
      </c>
      <c r="E352" t="s">
        <v>3694</v>
      </c>
      <c r="F352" t="s">
        <v>274</v>
      </c>
      <c r="G352" t="s">
        <v>274</v>
      </c>
      <c r="H352">
        <v>78.98</v>
      </c>
      <c r="I352" t="s">
        <v>274</v>
      </c>
      <c r="K352" t="s">
        <v>3703</v>
      </c>
      <c r="O352" t="s">
        <v>274</v>
      </c>
      <c r="P352" t="s">
        <v>494</v>
      </c>
      <c r="Q352" t="s">
        <v>501</v>
      </c>
      <c r="S352" t="s">
        <v>503</v>
      </c>
      <c r="T352" t="s">
        <v>508</v>
      </c>
      <c r="U352" t="s">
        <v>511</v>
      </c>
      <c r="V352">
        <v>11236</v>
      </c>
      <c r="W352" t="s">
        <v>517</v>
      </c>
      <c r="X352" t="s">
        <v>549</v>
      </c>
      <c r="Z352" t="s">
        <v>5876</v>
      </c>
      <c r="AA352" t="s">
        <v>6263</v>
      </c>
      <c r="AB352" t="s">
        <v>902</v>
      </c>
      <c r="AC352" t="s">
        <v>904</v>
      </c>
      <c r="AF352" t="s">
        <v>923</v>
      </c>
      <c r="AI352">
        <v>7.65</v>
      </c>
      <c r="AJ352" t="s">
        <v>558</v>
      </c>
      <c r="AK352" t="s">
        <v>6460</v>
      </c>
      <c r="AL352" t="s">
        <v>274</v>
      </c>
      <c r="AT352">
        <v>1</v>
      </c>
      <c r="AU352">
        <v>1</v>
      </c>
      <c r="AV352" t="s">
        <v>273</v>
      </c>
      <c r="AY352" t="s">
        <v>273</v>
      </c>
      <c r="BB352">
        <v>0</v>
      </c>
      <c r="BC352">
        <v>0</v>
      </c>
      <c r="BD352">
        <v>0</v>
      </c>
      <c r="BE352">
        <v>0</v>
      </c>
      <c r="BF352" t="s">
        <v>1063</v>
      </c>
      <c r="BG352" t="s">
        <v>6728</v>
      </c>
      <c r="BH352">
        <v>43</v>
      </c>
      <c r="BI352" t="s">
        <v>1264</v>
      </c>
      <c r="BK352">
        <v>1883085</v>
      </c>
    </row>
    <row r="353" spans="1:63">
      <c r="A353" s="1">
        <f>HYPERLINK("https://lsnyc.legalserver.org/matter/dynamic-profile/view/1882472","18-1882472")</f>
        <v>0</v>
      </c>
      <c r="B353" t="s">
        <v>5364</v>
      </c>
      <c r="C353" t="s">
        <v>5625</v>
      </c>
      <c r="D353" t="s">
        <v>5626</v>
      </c>
      <c r="E353" t="s">
        <v>3694</v>
      </c>
      <c r="F353" t="s">
        <v>274</v>
      </c>
      <c r="G353" t="s">
        <v>274</v>
      </c>
      <c r="H353">
        <v>66.93000000000001</v>
      </c>
      <c r="I353" t="s">
        <v>274</v>
      </c>
      <c r="K353" t="s">
        <v>3703</v>
      </c>
      <c r="Q353" t="s">
        <v>501</v>
      </c>
      <c r="S353" t="s">
        <v>503</v>
      </c>
      <c r="T353" t="s">
        <v>508</v>
      </c>
      <c r="U353" t="s">
        <v>511</v>
      </c>
      <c r="V353">
        <v>12401</v>
      </c>
      <c r="W353" t="s">
        <v>518</v>
      </c>
      <c r="X353" t="s">
        <v>548</v>
      </c>
      <c r="Y353" t="s">
        <v>275</v>
      </c>
      <c r="Z353" t="s">
        <v>5877</v>
      </c>
      <c r="AA353" t="s">
        <v>6264</v>
      </c>
      <c r="AB353" t="s">
        <v>902</v>
      </c>
      <c r="AC353" t="s">
        <v>905</v>
      </c>
      <c r="AF353" t="s">
        <v>926</v>
      </c>
      <c r="AI353">
        <v>0.9</v>
      </c>
      <c r="AJ353" t="s">
        <v>558</v>
      </c>
      <c r="AK353" t="s">
        <v>934</v>
      </c>
      <c r="AL353" t="s">
        <v>274</v>
      </c>
      <c r="AT353">
        <v>2</v>
      </c>
      <c r="AU353">
        <v>2</v>
      </c>
      <c r="AV353" t="s">
        <v>273</v>
      </c>
      <c r="AY353" t="s">
        <v>273</v>
      </c>
      <c r="BB353">
        <v>0</v>
      </c>
      <c r="BC353">
        <v>0</v>
      </c>
      <c r="BD353">
        <v>0</v>
      </c>
      <c r="BE353">
        <v>0</v>
      </c>
      <c r="BF353" t="s">
        <v>1063</v>
      </c>
      <c r="BG353" t="s">
        <v>6729</v>
      </c>
      <c r="BH353">
        <v>26</v>
      </c>
      <c r="BI353" t="s">
        <v>1313</v>
      </c>
      <c r="BK353">
        <v>1883097</v>
      </c>
    </row>
    <row r="354" spans="1:63">
      <c r="A354" s="1">
        <f>HYPERLINK("https://lsnyc.legalserver.org/matter/dynamic-profile/view/1882479","18-1882479")</f>
        <v>0</v>
      </c>
      <c r="B354" t="s">
        <v>5365</v>
      </c>
      <c r="C354" t="s">
        <v>5625</v>
      </c>
      <c r="D354" t="s">
        <v>5626</v>
      </c>
      <c r="E354" t="s">
        <v>3694</v>
      </c>
      <c r="F354" t="s">
        <v>274</v>
      </c>
      <c r="G354" t="s">
        <v>274</v>
      </c>
      <c r="H354">
        <v>66.93000000000001</v>
      </c>
      <c r="I354" t="s">
        <v>274</v>
      </c>
      <c r="K354" t="s">
        <v>3703</v>
      </c>
      <c r="Q354" t="s">
        <v>502</v>
      </c>
      <c r="S354" t="s">
        <v>503</v>
      </c>
      <c r="T354" t="s">
        <v>508</v>
      </c>
      <c r="U354" t="s">
        <v>511</v>
      </c>
      <c r="V354">
        <v>12401</v>
      </c>
      <c r="W354" t="s">
        <v>518</v>
      </c>
      <c r="Z354" t="s">
        <v>625</v>
      </c>
      <c r="AA354" t="s">
        <v>6265</v>
      </c>
      <c r="AB354" t="s">
        <v>902</v>
      </c>
      <c r="AC354" t="s">
        <v>908</v>
      </c>
      <c r="AF354" t="s">
        <v>926</v>
      </c>
      <c r="AI354">
        <v>2.4</v>
      </c>
      <c r="AJ354" t="s">
        <v>558</v>
      </c>
      <c r="AK354" t="s">
        <v>934</v>
      </c>
      <c r="AL354" t="s">
        <v>275</v>
      </c>
      <c r="AT354">
        <v>2</v>
      </c>
      <c r="AU354">
        <v>2</v>
      </c>
      <c r="AV354" t="s">
        <v>273</v>
      </c>
      <c r="AY354" t="s">
        <v>273</v>
      </c>
      <c r="BB354">
        <v>0</v>
      </c>
      <c r="BC354">
        <v>0</v>
      </c>
      <c r="BD354">
        <v>0</v>
      </c>
      <c r="BE354">
        <v>0</v>
      </c>
      <c r="BF354" t="s">
        <v>1063</v>
      </c>
      <c r="BG354" t="s">
        <v>6730</v>
      </c>
      <c r="BH354">
        <v>8</v>
      </c>
      <c r="BI354" t="s">
        <v>1313</v>
      </c>
      <c r="BK354">
        <v>1883104</v>
      </c>
    </row>
    <row r="355" spans="1:63">
      <c r="A355" s="1">
        <f>HYPERLINK("https://lsnyc.legalserver.org/matter/dynamic-profile/view/1882258","18-1882258")</f>
        <v>0</v>
      </c>
      <c r="B355" t="s">
        <v>5366</v>
      </c>
      <c r="C355" t="s">
        <v>5625</v>
      </c>
      <c r="D355" t="s">
        <v>257</v>
      </c>
      <c r="E355" t="s">
        <v>5630</v>
      </c>
      <c r="F355" t="s">
        <v>274</v>
      </c>
      <c r="G355" t="s">
        <v>274</v>
      </c>
      <c r="H355">
        <v>157.96</v>
      </c>
      <c r="I355" t="s">
        <v>274</v>
      </c>
      <c r="K355" t="s">
        <v>3704</v>
      </c>
      <c r="O355" t="s">
        <v>274</v>
      </c>
      <c r="P355" t="s">
        <v>492</v>
      </c>
      <c r="Q355" t="s">
        <v>501</v>
      </c>
      <c r="S355" t="s">
        <v>503</v>
      </c>
      <c r="T355" t="s">
        <v>507</v>
      </c>
      <c r="U355" t="s">
        <v>511</v>
      </c>
      <c r="V355">
        <v>10458</v>
      </c>
      <c r="W355" t="s">
        <v>532</v>
      </c>
      <c r="X355" t="s">
        <v>548</v>
      </c>
      <c r="Y355" t="s">
        <v>274</v>
      </c>
      <c r="Z355" t="s">
        <v>5878</v>
      </c>
      <c r="AA355" t="s">
        <v>2111</v>
      </c>
      <c r="AB355" t="s">
        <v>902</v>
      </c>
      <c r="AC355" t="s">
        <v>906</v>
      </c>
      <c r="AF355" t="s">
        <v>923</v>
      </c>
      <c r="AI355">
        <v>17.47</v>
      </c>
      <c r="AJ355" t="s">
        <v>558</v>
      </c>
      <c r="AK355" t="s">
        <v>950</v>
      </c>
      <c r="AL355" t="s">
        <v>274</v>
      </c>
      <c r="AT355">
        <v>0</v>
      </c>
      <c r="AU355">
        <v>2</v>
      </c>
      <c r="AV355" t="s">
        <v>273</v>
      </c>
      <c r="AY355" t="s">
        <v>273</v>
      </c>
      <c r="BB355">
        <v>0</v>
      </c>
      <c r="BC355">
        <v>0</v>
      </c>
      <c r="BD355">
        <v>0</v>
      </c>
      <c r="BE355">
        <v>0</v>
      </c>
      <c r="BF355" t="s">
        <v>1063</v>
      </c>
      <c r="BG355" t="s">
        <v>6731</v>
      </c>
      <c r="BH355">
        <v>54</v>
      </c>
      <c r="BI355" t="s">
        <v>1279</v>
      </c>
      <c r="BK355">
        <v>1882881</v>
      </c>
    </row>
    <row r="356" spans="1:63">
      <c r="A356" s="1">
        <f>HYPERLINK("https://lsnyc.legalserver.org/matter/dynamic-profile/view/1882114","18-1882114")</f>
        <v>0</v>
      </c>
      <c r="B356" t="s">
        <v>5231</v>
      </c>
      <c r="C356" t="s">
        <v>5625</v>
      </c>
      <c r="D356" t="s">
        <v>255</v>
      </c>
      <c r="E356" t="s">
        <v>5630</v>
      </c>
      <c r="F356" t="s">
        <v>274</v>
      </c>
      <c r="G356" t="s">
        <v>274</v>
      </c>
      <c r="H356">
        <v>63.18</v>
      </c>
      <c r="I356" t="s">
        <v>274</v>
      </c>
      <c r="K356" t="s">
        <v>2992</v>
      </c>
      <c r="O356" t="s">
        <v>274</v>
      </c>
      <c r="P356" t="s">
        <v>498</v>
      </c>
      <c r="Q356" t="s">
        <v>501</v>
      </c>
      <c r="S356" t="s">
        <v>503</v>
      </c>
      <c r="T356" t="s">
        <v>508</v>
      </c>
      <c r="U356" t="s">
        <v>511</v>
      </c>
      <c r="V356">
        <v>10001</v>
      </c>
      <c r="W356" t="s">
        <v>517</v>
      </c>
      <c r="X356" t="s">
        <v>549</v>
      </c>
      <c r="Z356" t="s">
        <v>5790</v>
      </c>
      <c r="AA356" t="s">
        <v>6169</v>
      </c>
      <c r="AB356" t="s">
        <v>902</v>
      </c>
      <c r="AC356" t="s">
        <v>904</v>
      </c>
      <c r="AF356" t="s">
        <v>923</v>
      </c>
      <c r="AI356">
        <v>3.85</v>
      </c>
      <c r="AJ356" t="s">
        <v>558</v>
      </c>
      <c r="AK356" t="s">
        <v>2384</v>
      </c>
      <c r="AL356" t="s">
        <v>274</v>
      </c>
      <c r="AT356">
        <v>1</v>
      </c>
      <c r="AU356">
        <v>1</v>
      </c>
      <c r="AV356" t="s">
        <v>273</v>
      </c>
      <c r="AY356" t="s">
        <v>273</v>
      </c>
      <c r="BB356">
        <v>0</v>
      </c>
      <c r="BC356">
        <v>0</v>
      </c>
      <c r="BD356">
        <v>0</v>
      </c>
      <c r="BE356">
        <v>0</v>
      </c>
      <c r="BF356" t="s">
        <v>1063</v>
      </c>
      <c r="BG356" t="s">
        <v>6606</v>
      </c>
      <c r="BH356">
        <v>33</v>
      </c>
      <c r="BI356" t="s">
        <v>1301</v>
      </c>
      <c r="BK356">
        <v>1882737</v>
      </c>
    </row>
    <row r="357" spans="1:63">
      <c r="A357" s="1">
        <f>HYPERLINK("https://lsnyc.legalserver.org/matter/dynamic-profile/view/1882040","18-1882040")</f>
        <v>0</v>
      </c>
      <c r="B357" t="s">
        <v>5367</v>
      </c>
      <c r="C357" t="s">
        <v>5625</v>
      </c>
      <c r="D357" t="s">
        <v>253</v>
      </c>
      <c r="E357" t="s">
        <v>3694</v>
      </c>
      <c r="F357" t="s">
        <v>274</v>
      </c>
      <c r="G357" t="s">
        <v>274</v>
      </c>
      <c r="H357">
        <v>0</v>
      </c>
      <c r="I357" t="s">
        <v>274</v>
      </c>
      <c r="K357" t="s">
        <v>364</v>
      </c>
      <c r="Q357" t="s">
        <v>501</v>
      </c>
      <c r="S357" t="s">
        <v>503</v>
      </c>
      <c r="T357" t="s">
        <v>508</v>
      </c>
      <c r="U357" t="s">
        <v>511</v>
      </c>
      <c r="V357">
        <v>11368</v>
      </c>
      <c r="W357" t="s">
        <v>532</v>
      </c>
      <c r="X357" t="s">
        <v>548</v>
      </c>
      <c r="Z357" t="s">
        <v>1942</v>
      </c>
      <c r="AA357" t="s">
        <v>6266</v>
      </c>
      <c r="AB357" t="s">
        <v>902</v>
      </c>
      <c r="AC357" t="s">
        <v>906</v>
      </c>
      <c r="AF357" t="s">
        <v>923</v>
      </c>
      <c r="AI357">
        <v>2.3</v>
      </c>
      <c r="AJ357" t="s">
        <v>558</v>
      </c>
      <c r="AK357" t="s">
        <v>941</v>
      </c>
      <c r="AL357" t="s">
        <v>274</v>
      </c>
      <c r="AT357">
        <v>3</v>
      </c>
      <c r="AU357">
        <v>1</v>
      </c>
      <c r="AV357" t="s">
        <v>273</v>
      </c>
      <c r="AY357" t="s">
        <v>273</v>
      </c>
      <c r="BB357">
        <v>0</v>
      </c>
      <c r="BC357">
        <v>0</v>
      </c>
      <c r="BD357">
        <v>0</v>
      </c>
      <c r="BE357">
        <v>0</v>
      </c>
      <c r="BF357" t="s">
        <v>1063</v>
      </c>
      <c r="BG357" t="s">
        <v>6732</v>
      </c>
      <c r="BH357">
        <v>31</v>
      </c>
      <c r="BI357" t="s">
        <v>1247</v>
      </c>
      <c r="BK357">
        <v>1882663</v>
      </c>
    </row>
    <row r="358" spans="1:63">
      <c r="A358" s="1">
        <f>HYPERLINK("https://lsnyc.legalserver.org/matter/dynamic-profile/view/1881709","18-1881709")</f>
        <v>0</v>
      </c>
      <c r="B358" t="s">
        <v>5356</v>
      </c>
      <c r="C358" t="s">
        <v>5625</v>
      </c>
      <c r="D358" t="s">
        <v>257</v>
      </c>
      <c r="E358" t="s">
        <v>3694</v>
      </c>
      <c r="F358" t="s">
        <v>274</v>
      </c>
      <c r="G358" t="s">
        <v>274</v>
      </c>
      <c r="H358">
        <v>43.31</v>
      </c>
      <c r="I358" t="s">
        <v>274</v>
      </c>
      <c r="K358" t="s">
        <v>365</v>
      </c>
      <c r="Q358" t="s">
        <v>501</v>
      </c>
      <c r="S358" t="s">
        <v>503</v>
      </c>
      <c r="T358" t="s">
        <v>508</v>
      </c>
      <c r="U358" t="s">
        <v>511</v>
      </c>
      <c r="V358">
        <v>10452</v>
      </c>
      <c r="W358" t="s">
        <v>532</v>
      </c>
      <c r="X358" t="s">
        <v>548</v>
      </c>
      <c r="Z358" t="s">
        <v>2009</v>
      </c>
      <c r="AA358" t="s">
        <v>6258</v>
      </c>
      <c r="AB358" t="s">
        <v>902</v>
      </c>
      <c r="AC358" t="s">
        <v>906</v>
      </c>
      <c r="AF358" t="s">
        <v>923</v>
      </c>
      <c r="AI358">
        <v>3.25</v>
      </c>
      <c r="AJ358" t="s">
        <v>558</v>
      </c>
      <c r="AK358" t="s">
        <v>949</v>
      </c>
      <c r="AL358" t="s">
        <v>274</v>
      </c>
      <c r="AT358">
        <v>2</v>
      </c>
      <c r="AU358">
        <v>1</v>
      </c>
      <c r="AV358" t="s">
        <v>273</v>
      </c>
      <c r="AY358" t="s">
        <v>273</v>
      </c>
      <c r="BB358">
        <v>0</v>
      </c>
      <c r="BC358">
        <v>0</v>
      </c>
      <c r="BD358">
        <v>0</v>
      </c>
      <c r="BE358">
        <v>0</v>
      </c>
      <c r="BF358" t="s">
        <v>1063</v>
      </c>
      <c r="BG358" t="s">
        <v>6721</v>
      </c>
      <c r="BH358">
        <v>39</v>
      </c>
      <c r="BI358" t="s">
        <v>2724</v>
      </c>
      <c r="BK358">
        <v>1882332</v>
      </c>
    </row>
    <row r="359" spans="1:63">
      <c r="A359" s="1">
        <f>HYPERLINK("https://lsnyc.legalserver.org/matter/dynamic-profile/view/1881742","18-1881742")</f>
        <v>0</v>
      </c>
      <c r="B359" t="s">
        <v>5241</v>
      </c>
      <c r="C359" t="s">
        <v>5625</v>
      </c>
      <c r="D359" t="s">
        <v>253</v>
      </c>
      <c r="E359" t="s">
        <v>3694</v>
      </c>
      <c r="F359" t="s">
        <v>274</v>
      </c>
      <c r="G359" t="s">
        <v>274</v>
      </c>
      <c r="H359">
        <v>70.7</v>
      </c>
      <c r="I359" t="s">
        <v>274</v>
      </c>
      <c r="K359" t="s">
        <v>365</v>
      </c>
      <c r="Q359" t="s">
        <v>501</v>
      </c>
      <c r="S359" t="s">
        <v>503</v>
      </c>
      <c r="T359" t="s">
        <v>508</v>
      </c>
      <c r="U359" t="s">
        <v>511</v>
      </c>
      <c r="V359">
        <v>11372</v>
      </c>
      <c r="W359" t="s">
        <v>532</v>
      </c>
      <c r="X359" t="s">
        <v>548</v>
      </c>
      <c r="Z359" t="s">
        <v>5798</v>
      </c>
      <c r="AA359" t="s">
        <v>6176</v>
      </c>
      <c r="AB359" t="s">
        <v>902</v>
      </c>
      <c r="AC359" t="s">
        <v>905</v>
      </c>
      <c r="AF359" t="s">
        <v>923</v>
      </c>
      <c r="AI359">
        <v>4.05</v>
      </c>
      <c r="AJ359" t="s">
        <v>558</v>
      </c>
      <c r="AK359" t="s">
        <v>933</v>
      </c>
      <c r="AL359" t="s">
        <v>274</v>
      </c>
      <c r="AT359">
        <v>4</v>
      </c>
      <c r="AU359">
        <v>1</v>
      </c>
      <c r="AV359" t="s">
        <v>273</v>
      </c>
      <c r="AY359" t="s">
        <v>273</v>
      </c>
      <c r="BB359">
        <v>0</v>
      </c>
      <c r="BC359">
        <v>0</v>
      </c>
      <c r="BD359">
        <v>0</v>
      </c>
      <c r="BE359">
        <v>0</v>
      </c>
      <c r="BF359" t="s">
        <v>1063</v>
      </c>
      <c r="BG359" t="s">
        <v>6615</v>
      </c>
      <c r="BH359">
        <v>28</v>
      </c>
      <c r="BI359" t="s">
        <v>1261</v>
      </c>
      <c r="BK359">
        <v>1870995</v>
      </c>
    </row>
    <row r="360" spans="1:63">
      <c r="A360" s="1">
        <f>HYPERLINK("https://lsnyc.legalserver.org/matter/dynamic-profile/view/1881792","18-1881792")</f>
        <v>0</v>
      </c>
      <c r="B360" t="s">
        <v>5230</v>
      </c>
      <c r="C360" t="s">
        <v>5625</v>
      </c>
      <c r="D360" t="s">
        <v>254</v>
      </c>
      <c r="E360" t="s">
        <v>5630</v>
      </c>
      <c r="F360" t="s">
        <v>274</v>
      </c>
      <c r="G360" t="s">
        <v>274</v>
      </c>
      <c r="H360">
        <v>121.92</v>
      </c>
      <c r="I360" t="s">
        <v>274</v>
      </c>
      <c r="K360" t="s">
        <v>365</v>
      </c>
      <c r="O360" t="s">
        <v>275</v>
      </c>
      <c r="Q360" t="s">
        <v>501</v>
      </c>
      <c r="S360" t="s">
        <v>503</v>
      </c>
      <c r="T360" t="s">
        <v>508</v>
      </c>
      <c r="U360" t="s">
        <v>511</v>
      </c>
      <c r="V360">
        <v>10303</v>
      </c>
      <c r="W360" t="s">
        <v>1831</v>
      </c>
      <c r="X360" t="s">
        <v>549</v>
      </c>
      <c r="Y360" t="s">
        <v>275</v>
      </c>
      <c r="Z360" t="s">
        <v>5789</v>
      </c>
      <c r="AA360" t="s">
        <v>3105</v>
      </c>
      <c r="AB360" t="s">
        <v>902</v>
      </c>
      <c r="AC360" t="s">
        <v>904</v>
      </c>
      <c r="AF360" t="s">
        <v>923</v>
      </c>
      <c r="AI360">
        <v>4.2</v>
      </c>
      <c r="AJ360" t="s">
        <v>558</v>
      </c>
      <c r="AK360" t="s">
        <v>2384</v>
      </c>
      <c r="AL360" t="s">
        <v>274</v>
      </c>
      <c r="AM360" t="s">
        <v>973</v>
      </c>
      <c r="AN360" t="s">
        <v>483</v>
      </c>
      <c r="AT360">
        <v>4</v>
      </c>
      <c r="AU360">
        <v>2</v>
      </c>
      <c r="AV360" t="s">
        <v>273</v>
      </c>
      <c r="AY360" t="s">
        <v>273</v>
      </c>
      <c r="BB360">
        <v>0</v>
      </c>
      <c r="BC360">
        <v>0</v>
      </c>
      <c r="BD360">
        <v>0</v>
      </c>
      <c r="BE360">
        <v>0</v>
      </c>
      <c r="BF360" t="s">
        <v>1063</v>
      </c>
      <c r="BG360" t="s">
        <v>6605</v>
      </c>
      <c r="BH360">
        <v>12</v>
      </c>
      <c r="BI360" t="s">
        <v>7027</v>
      </c>
      <c r="BK360">
        <v>1882415</v>
      </c>
    </row>
    <row r="361" spans="1:63">
      <c r="A361" s="1">
        <f>HYPERLINK("https://lsnyc.legalserver.org/matter/dynamic-profile/view/1881525","18-1881525")</f>
        <v>0</v>
      </c>
      <c r="B361" t="s">
        <v>5368</v>
      </c>
      <c r="C361" t="s">
        <v>5625</v>
      </c>
      <c r="D361" t="s">
        <v>252</v>
      </c>
      <c r="E361" t="s">
        <v>264</v>
      </c>
      <c r="F361" t="s">
        <v>274</v>
      </c>
      <c r="G361" t="s">
        <v>274</v>
      </c>
      <c r="H361">
        <v>110.73</v>
      </c>
      <c r="I361" t="s">
        <v>274</v>
      </c>
      <c r="K361" t="s">
        <v>3705</v>
      </c>
      <c r="O361" t="s">
        <v>274</v>
      </c>
      <c r="Q361" t="s">
        <v>501</v>
      </c>
      <c r="S361" t="s">
        <v>503</v>
      </c>
      <c r="T361" t="s">
        <v>507</v>
      </c>
      <c r="U361" t="s">
        <v>511</v>
      </c>
      <c r="V361">
        <v>11212</v>
      </c>
      <c r="W361" t="s">
        <v>517</v>
      </c>
      <c r="X361" t="s">
        <v>549</v>
      </c>
      <c r="Y361" t="s">
        <v>274</v>
      </c>
      <c r="Z361" t="s">
        <v>5879</v>
      </c>
      <c r="AA361" t="s">
        <v>6267</v>
      </c>
      <c r="AB361" t="s">
        <v>902</v>
      </c>
      <c r="AC361" t="s">
        <v>904</v>
      </c>
      <c r="AD361" t="s">
        <v>275</v>
      </c>
      <c r="AF361" t="s">
        <v>928</v>
      </c>
      <c r="AI361">
        <v>16.55</v>
      </c>
      <c r="AJ361" t="s">
        <v>558</v>
      </c>
      <c r="AK361" t="s">
        <v>937</v>
      </c>
      <c r="AL361" t="s">
        <v>274</v>
      </c>
      <c r="AQ361" t="s">
        <v>1033</v>
      </c>
      <c r="AR361" t="s">
        <v>1052</v>
      </c>
      <c r="AT361">
        <v>2</v>
      </c>
      <c r="AU361">
        <v>2</v>
      </c>
      <c r="AV361" t="s">
        <v>273</v>
      </c>
      <c r="AY361" t="s">
        <v>273</v>
      </c>
      <c r="BB361">
        <v>0</v>
      </c>
      <c r="BC361">
        <v>0</v>
      </c>
      <c r="BD361">
        <v>0</v>
      </c>
      <c r="BE361">
        <v>0</v>
      </c>
      <c r="BF361" t="s">
        <v>1063</v>
      </c>
      <c r="BG361" t="s">
        <v>6733</v>
      </c>
      <c r="BH361">
        <v>34</v>
      </c>
      <c r="BI361" t="s">
        <v>7065</v>
      </c>
      <c r="BK361">
        <v>1869642</v>
      </c>
    </row>
    <row r="362" spans="1:63">
      <c r="A362" s="1">
        <f>HYPERLINK("https://lsnyc.legalserver.org/matter/dynamic-profile/view/1881331","18-1881331")</f>
        <v>0</v>
      </c>
      <c r="B362" t="s">
        <v>5172</v>
      </c>
      <c r="C362" t="s">
        <v>5625</v>
      </c>
      <c r="D362" t="s">
        <v>253</v>
      </c>
      <c r="E362" t="s">
        <v>3694</v>
      </c>
      <c r="F362" t="s">
        <v>274</v>
      </c>
      <c r="G362" t="s">
        <v>274</v>
      </c>
      <c r="H362">
        <v>124.3</v>
      </c>
      <c r="I362" t="s">
        <v>274</v>
      </c>
      <c r="K362" t="s">
        <v>4073</v>
      </c>
      <c r="O362" t="s">
        <v>275</v>
      </c>
      <c r="P362" t="s">
        <v>498</v>
      </c>
      <c r="Q362" t="s">
        <v>502</v>
      </c>
      <c r="S362" t="s">
        <v>503</v>
      </c>
      <c r="T362" t="s">
        <v>508</v>
      </c>
      <c r="U362" t="s">
        <v>511</v>
      </c>
      <c r="V362">
        <v>11433</v>
      </c>
      <c r="W362" t="s">
        <v>521</v>
      </c>
      <c r="X362" t="s">
        <v>548</v>
      </c>
      <c r="Z362" t="s">
        <v>5752</v>
      </c>
      <c r="AA362" t="s">
        <v>6132</v>
      </c>
      <c r="AB362" t="s">
        <v>902</v>
      </c>
      <c r="AC362" t="s">
        <v>905</v>
      </c>
      <c r="AF362" t="s">
        <v>926</v>
      </c>
      <c r="AI362">
        <v>21.05</v>
      </c>
      <c r="AJ362" t="s">
        <v>558</v>
      </c>
      <c r="AK362" t="s">
        <v>934</v>
      </c>
      <c r="AL362" t="s">
        <v>274</v>
      </c>
      <c r="AT362">
        <v>2</v>
      </c>
      <c r="AU362">
        <v>2</v>
      </c>
      <c r="AV362" t="s">
        <v>273</v>
      </c>
      <c r="AY362" t="s">
        <v>273</v>
      </c>
      <c r="BB362">
        <v>0</v>
      </c>
      <c r="BC362">
        <v>0</v>
      </c>
      <c r="BD362">
        <v>0</v>
      </c>
      <c r="BE362">
        <v>0</v>
      </c>
      <c r="BF362" t="s">
        <v>1063</v>
      </c>
      <c r="BG362" t="s">
        <v>6554</v>
      </c>
      <c r="BH362">
        <v>15</v>
      </c>
      <c r="BI362" t="s">
        <v>1254</v>
      </c>
      <c r="BK362">
        <v>1881953</v>
      </c>
    </row>
    <row r="363" spans="1:63">
      <c r="A363" s="1">
        <f>HYPERLINK("https://lsnyc.legalserver.org/matter/dynamic-profile/view/1881381","18-1881381")</f>
        <v>0</v>
      </c>
      <c r="B363" t="s">
        <v>5369</v>
      </c>
      <c r="C363" t="s">
        <v>5625</v>
      </c>
      <c r="D363" t="s">
        <v>253</v>
      </c>
      <c r="E363" t="s">
        <v>3694</v>
      </c>
      <c r="F363" t="s">
        <v>274</v>
      </c>
      <c r="G363" t="s">
        <v>274</v>
      </c>
      <c r="H363">
        <v>131.74</v>
      </c>
      <c r="I363" t="s">
        <v>274</v>
      </c>
      <c r="K363" t="s">
        <v>4073</v>
      </c>
      <c r="P363" t="s">
        <v>492</v>
      </c>
      <c r="Q363" t="s">
        <v>501</v>
      </c>
      <c r="S363" t="s">
        <v>503</v>
      </c>
      <c r="T363" t="s">
        <v>508</v>
      </c>
      <c r="U363" t="s">
        <v>511</v>
      </c>
      <c r="V363">
        <v>11433</v>
      </c>
      <c r="W363" t="s">
        <v>536</v>
      </c>
      <c r="X363" t="s">
        <v>548</v>
      </c>
      <c r="Z363" t="s">
        <v>651</v>
      </c>
      <c r="AA363" t="s">
        <v>6268</v>
      </c>
      <c r="AB363" t="s">
        <v>902</v>
      </c>
      <c r="AC363" t="s">
        <v>905</v>
      </c>
      <c r="AF363" t="s">
        <v>923</v>
      </c>
      <c r="AI363">
        <v>9.699999999999999</v>
      </c>
      <c r="AJ363" t="s">
        <v>558</v>
      </c>
      <c r="AK363" t="s">
        <v>949</v>
      </c>
      <c r="AL363" t="s">
        <v>274</v>
      </c>
      <c r="AS363" t="s">
        <v>1061</v>
      </c>
      <c r="AT363">
        <v>2</v>
      </c>
      <c r="AU363">
        <v>1</v>
      </c>
      <c r="AV363" t="s">
        <v>273</v>
      </c>
      <c r="AY363" t="s">
        <v>273</v>
      </c>
      <c r="BB363">
        <v>0</v>
      </c>
      <c r="BC363">
        <v>0</v>
      </c>
      <c r="BD363">
        <v>0</v>
      </c>
      <c r="BE363">
        <v>0</v>
      </c>
      <c r="BF363" t="s">
        <v>1063</v>
      </c>
      <c r="BG363" t="s">
        <v>6734</v>
      </c>
      <c r="BH363">
        <v>32</v>
      </c>
      <c r="BI363" t="s">
        <v>7066</v>
      </c>
      <c r="BK363">
        <v>1882003</v>
      </c>
    </row>
    <row r="364" spans="1:63">
      <c r="A364" s="1">
        <f>HYPERLINK("https://lsnyc.legalserver.org/matter/dynamic-profile/view/1880912","18-1880912")</f>
        <v>0</v>
      </c>
      <c r="B364" t="s">
        <v>5370</v>
      </c>
      <c r="C364" t="s">
        <v>5625</v>
      </c>
      <c r="D364" t="s">
        <v>257</v>
      </c>
      <c r="E364" t="s">
        <v>5630</v>
      </c>
      <c r="F364" t="s">
        <v>274</v>
      </c>
      <c r="G364" t="s">
        <v>274</v>
      </c>
      <c r="H364">
        <v>119.52</v>
      </c>
      <c r="I364" t="s">
        <v>274</v>
      </c>
      <c r="K364" t="s">
        <v>1727</v>
      </c>
      <c r="Q364" t="s">
        <v>501</v>
      </c>
      <c r="S364" t="s">
        <v>503</v>
      </c>
      <c r="T364" t="s">
        <v>508</v>
      </c>
      <c r="U364" t="s">
        <v>511</v>
      </c>
      <c r="V364">
        <v>10455</v>
      </c>
      <c r="W364" t="s">
        <v>532</v>
      </c>
      <c r="X364" t="s">
        <v>548</v>
      </c>
      <c r="Z364" t="s">
        <v>1847</v>
      </c>
      <c r="AA364" t="s">
        <v>6269</v>
      </c>
      <c r="AB364" t="s">
        <v>902</v>
      </c>
      <c r="AC364" t="s">
        <v>906</v>
      </c>
      <c r="AF364" t="s">
        <v>923</v>
      </c>
      <c r="AI364">
        <v>6.4</v>
      </c>
      <c r="AJ364" t="s">
        <v>558</v>
      </c>
      <c r="AK364" t="s">
        <v>933</v>
      </c>
      <c r="AL364" t="s">
        <v>274</v>
      </c>
      <c r="AT364">
        <v>2</v>
      </c>
      <c r="AU364">
        <v>2</v>
      </c>
      <c r="AV364" t="s">
        <v>273</v>
      </c>
      <c r="AY364" t="s">
        <v>273</v>
      </c>
      <c r="BB364">
        <v>0</v>
      </c>
      <c r="BC364">
        <v>0</v>
      </c>
      <c r="BD364">
        <v>0</v>
      </c>
      <c r="BE364">
        <v>0</v>
      </c>
      <c r="BF364" t="s">
        <v>1063</v>
      </c>
      <c r="BG364" t="s">
        <v>6735</v>
      </c>
      <c r="BH364">
        <v>27</v>
      </c>
      <c r="BI364" t="s">
        <v>1272</v>
      </c>
      <c r="BK364">
        <v>1881531</v>
      </c>
    </row>
    <row r="365" spans="1:63">
      <c r="A365" s="1">
        <f>HYPERLINK("https://lsnyc.legalserver.org/matter/dynamic-profile/view/1881188","18-1881188")</f>
        <v>0</v>
      </c>
      <c r="B365" t="s">
        <v>5204</v>
      </c>
      <c r="C365" t="s">
        <v>5625</v>
      </c>
      <c r="D365" t="s">
        <v>252</v>
      </c>
      <c r="E365" t="s">
        <v>3694</v>
      </c>
      <c r="F365" t="s">
        <v>274</v>
      </c>
      <c r="G365" t="s">
        <v>274</v>
      </c>
      <c r="H365">
        <v>34.42</v>
      </c>
      <c r="I365" t="s">
        <v>274</v>
      </c>
      <c r="K365" t="s">
        <v>1727</v>
      </c>
      <c r="Q365" t="s">
        <v>501</v>
      </c>
      <c r="S365" t="s">
        <v>503</v>
      </c>
      <c r="T365" t="s">
        <v>508</v>
      </c>
      <c r="U365" t="s">
        <v>511</v>
      </c>
      <c r="V365">
        <v>11208</v>
      </c>
      <c r="W365" t="s">
        <v>532</v>
      </c>
      <c r="X365" t="s">
        <v>548</v>
      </c>
      <c r="Z365" t="s">
        <v>584</v>
      </c>
      <c r="AA365" t="s">
        <v>6150</v>
      </c>
      <c r="AB365" t="s">
        <v>902</v>
      </c>
      <c r="AC365" t="s">
        <v>906</v>
      </c>
      <c r="AF365" t="s">
        <v>923</v>
      </c>
      <c r="AI365">
        <v>3.1</v>
      </c>
      <c r="AJ365" t="s">
        <v>558</v>
      </c>
      <c r="AK365" t="s">
        <v>949</v>
      </c>
      <c r="AL365" t="s">
        <v>274</v>
      </c>
      <c r="AT365">
        <v>3</v>
      </c>
      <c r="AU365">
        <v>1</v>
      </c>
      <c r="AV365" t="s">
        <v>273</v>
      </c>
      <c r="AY365" t="s">
        <v>273</v>
      </c>
      <c r="BB365">
        <v>0</v>
      </c>
      <c r="BC365">
        <v>0</v>
      </c>
      <c r="BD365">
        <v>0</v>
      </c>
      <c r="BE365">
        <v>0</v>
      </c>
      <c r="BF365" t="s">
        <v>1063</v>
      </c>
      <c r="BG365" t="s">
        <v>6584</v>
      </c>
      <c r="BH365">
        <v>49</v>
      </c>
      <c r="BI365" t="s">
        <v>7017</v>
      </c>
      <c r="BK365">
        <v>1881809</v>
      </c>
    </row>
    <row r="366" spans="1:63">
      <c r="A366" s="1">
        <f>HYPERLINK("https://lsnyc.legalserver.org/matter/dynamic-profile/view/1881045","18-1881045")</f>
        <v>0</v>
      </c>
      <c r="B366" t="s">
        <v>5371</v>
      </c>
      <c r="C366" t="s">
        <v>5625</v>
      </c>
      <c r="D366" t="s">
        <v>252</v>
      </c>
      <c r="E366" t="s">
        <v>3694</v>
      </c>
      <c r="F366" t="s">
        <v>274</v>
      </c>
      <c r="G366" t="s">
        <v>274</v>
      </c>
      <c r="H366">
        <v>105.45</v>
      </c>
      <c r="I366" t="s">
        <v>274</v>
      </c>
      <c r="K366" t="s">
        <v>366</v>
      </c>
      <c r="O366" t="s">
        <v>274</v>
      </c>
      <c r="P366" t="s">
        <v>498</v>
      </c>
      <c r="Q366" t="s">
        <v>501</v>
      </c>
      <c r="S366" t="s">
        <v>503</v>
      </c>
      <c r="T366" t="s">
        <v>508</v>
      </c>
      <c r="U366" t="s">
        <v>511</v>
      </c>
      <c r="V366">
        <v>11218</v>
      </c>
      <c r="W366" t="s">
        <v>532</v>
      </c>
      <c r="X366" t="s">
        <v>548</v>
      </c>
      <c r="Z366" t="s">
        <v>1920</v>
      </c>
      <c r="AA366" t="s">
        <v>6270</v>
      </c>
      <c r="AB366" t="s">
        <v>902</v>
      </c>
      <c r="AC366" t="s">
        <v>905</v>
      </c>
      <c r="AF366" t="s">
        <v>923</v>
      </c>
      <c r="AI366">
        <v>8.65</v>
      </c>
      <c r="AJ366" t="s">
        <v>558</v>
      </c>
      <c r="AK366" t="s">
        <v>941</v>
      </c>
      <c r="AL366" t="s">
        <v>274</v>
      </c>
      <c r="AT366">
        <v>3</v>
      </c>
      <c r="AU366">
        <v>1</v>
      </c>
      <c r="AV366" t="s">
        <v>273</v>
      </c>
      <c r="AY366" t="s">
        <v>273</v>
      </c>
      <c r="BB366">
        <v>0</v>
      </c>
      <c r="BC366">
        <v>0</v>
      </c>
      <c r="BD366">
        <v>0</v>
      </c>
      <c r="BE366">
        <v>0</v>
      </c>
      <c r="BF366" t="s">
        <v>1063</v>
      </c>
      <c r="BG366" t="s">
        <v>6736</v>
      </c>
      <c r="BH366">
        <v>29</v>
      </c>
      <c r="BI366" t="s">
        <v>7067</v>
      </c>
      <c r="BK366">
        <v>1881666</v>
      </c>
    </row>
    <row r="367" spans="1:63">
      <c r="A367" s="1">
        <f>HYPERLINK("https://lsnyc.legalserver.org/matter/dynamic-profile/view/1880969","18-1880969")</f>
        <v>0</v>
      </c>
      <c r="B367" t="s">
        <v>5372</v>
      </c>
      <c r="C367" t="s">
        <v>5625</v>
      </c>
      <c r="D367" t="s">
        <v>257</v>
      </c>
      <c r="E367" t="s">
        <v>3694</v>
      </c>
      <c r="F367" t="s">
        <v>274</v>
      </c>
      <c r="G367" t="s">
        <v>274</v>
      </c>
      <c r="H367">
        <v>145.81</v>
      </c>
      <c r="I367" t="s">
        <v>274</v>
      </c>
      <c r="K367" t="s">
        <v>3706</v>
      </c>
      <c r="O367" t="s">
        <v>275</v>
      </c>
      <c r="P367" t="s">
        <v>498</v>
      </c>
      <c r="Q367" t="s">
        <v>501</v>
      </c>
      <c r="S367" t="s">
        <v>503</v>
      </c>
      <c r="T367" t="s">
        <v>507</v>
      </c>
      <c r="U367" t="s">
        <v>511</v>
      </c>
      <c r="V367">
        <v>10469</v>
      </c>
      <c r="W367" t="s">
        <v>521</v>
      </c>
      <c r="X367" t="s">
        <v>549</v>
      </c>
      <c r="Z367" t="s">
        <v>5880</v>
      </c>
      <c r="AA367" t="s">
        <v>4655</v>
      </c>
      <c r="AB367" t="s">
        <v>902</v>
      </c>
      <c r="AC367" t="s">
        <v>905</v>
      </c>
      <c r="AF367" t="s">
        <v>923</v>
      </c>
      <c r="AI367">
        <v>5.55</v>
      </c>
      <c r="AJ367" t="s">
        <v>558</v>
      </c>
      <c r="AK367" t="s">
        <v>939</v>
      </c>
      <c r="AL367" t="s">
        <v>274</v>
      </c>
      <c r="AT367">
        <v>0</v>
      </c>
      <c r="AU367">
        <v>2</v>
      </c>
      <c r="AV367" t="s">
        <v>273</v>
      </c>
      <c r="AY367" t="s">
        <v>273</v>
      </c>
      <c r="BB367">
        <v>0</v>
      </c>
      <c r="BC367">
        <v>0</v>
      </c>
      <c r="BD367">
        <v>0</v>
      </c>
      <c r="BE367">
        <v>0</v>
      </c>
      <c r="BF367" t="s">
        <v>1063</v>
      </c>
      <c r="BG367" t="s">
        <v>6737</v>
      </c>
      <c r="BH367">
        <v>30</v>
      </c>
      <c r="BI367" t="s">
        <v>1259</v>
      </c>
      <c r="BK367">
        <v>1881589</v>
      </c>
    </row>
    <row r="368" spans="1:63">
      <c r="A368" s="1">
        <f>HYPERLINK("https://lsnyc.legalserver.org/matter/dynamic-profile/view/1880987","18-1880987")</f>
        <v>0</v>
      </c>
      <c r="B368" t="s">
        <v>5373</v>
      </c>
      <c r="C368" t="s">
        <v>5625</v>
      </c>
      <c r="D368" t="s">
        <v>253</v>
      </c>
      <c r="E368" t="s">
        <v>5630</v>
      </c>
      <c r="F368" t="s">
        <v>274</v>
      </c>
      <c r="G368" t="s">
        <v>274</v>
      </c>
      <c r="H368">
        <v>149.92</v>
      </c>
      <c r="I368" t="s">
        <v>274</v>
      </c>
      <c r="K368" t="s">
        <v>3706</v>
      </c>
      <c r="O368" t="s">
        <v>274</v>
      </c>
      <c r="P368" t="s">
        <v>498</v>
      </c>
      <c r="Q368" t="s">
        <v>501</v>
      </c>
      <c r="S368" t="s">
        <v>503</v>
      </c>
      <c r="T368" t="s">
        <v>508</v>
      </c>
      <c r="U368" t="s">
        <v>511</v>
      </c>
      <c r="V368">
        <v>11372</v>
      </c>
      <c r="W368" t="s">
        <v>517</v>
      </c>
      <c r="X368" t="s">
        <v>548</v>
      </c>
      <c r="Z368" t="s">
        <v>5881</v>
      </c>
      <c r="AA368" t="s">
        <v>6271</v>
      </c>
      <c r="AB368" t="s">
        <v>902</v>
      </c>
      <c r="AC368" t="s">
        <v>904</v>
      </c>
      <c r="AF368" t="s">
        <v>923</v>
      </c>
      <c r="AI368">
        <v>2.65</v>
      </c>
      <c r="AJ368" t="s">
        <v>558</v>
      </c>
      <c r="AK368" t="s">
        <v>947</v>
      </c>
      <c r="AL368" t="s">
        <v>274</v>
      </c>
      <c r="AT368">
        <v>0</v>
      </c>
      <c r="AU368">
        <v>1</v>
      </c>
      <c r="AV368" t="s">
        <v>273</v>
      </c>
      <c r="AY368" t="s">
        <v>273</v>
      </c>
      <c r="BB368">
        <v>0</v>
      </c>
      <c r="BC368">
        <v>0</v>
      </c>
      <c r="BD368">
        <v>0</v>
      </c>
      <c r="BE368">
        <v>0</v>
      </c>
      <c r="BF368" t="s">
        <v>1063</v>
      </c>
      <c r="BG368" t="s">
        <v>6738</v>
      </c>
      <c r="BH368">
        <v>62</v>
      </c>
      <c r="BI368" t="s">
        <v>1260</v>
      </c>
      <c r="BK368">
        <v>1881607</v>
      </c>
    </row>
    <row r="369" spans="1:63">
      <c r="A369" s="1">
        <f>HYPERLINK("https://lsnyc.legalserver.org/matter/dynamic-profile/view/1881018","18-1881018")</f>
        <v>0</v>
      </c>
      <c r="B369" t="s">
        <v>5374</v>
      </c>
      <c r="C369" t="s">
        <v>5625</v>
      </c>
      <c r="D369" t="s">
        <v>255</v>
      </c>
      <c r="E369" t="s">
        <v>3694</v>
      </c>
      <c r="F369" t="s">
        <v>274</v>
      </c>
      <c r="G369" t="s">
        <v>274</v>
      </c>
      <c r="H369">
        <v>0</v>
      </c>
      <c r="I369" t="s">
        <v>274</v>
      </c>
      <c r="K369" t="s">
        <v>3706</v>
      </c>
      <c r="O369" t="s">
        <v>274</v>
      </c>
      <c r="Q369" t="s">
        <v>501</v>
      </c>
      <c r="S369" t="s">
        <v>503</v>
      </c>
      <c r="T369" t="s">
        <v>508</v>
      </c>
      <c r="U369" t="s">
        <v>511</v>
      </c>
      <c r="V369">
        <v>10038</v>
      </c>
      <c r="W369" t="s">
        <v>521</v>
      </c>
      <c r="X369" t="s">
        <v>549</v>
      </c>
      <c r="Z369" t="s">
        <v>5882</v>
      </c>
      <c r="AA369" t="s">
        <v>6272</v>
      </c>
      <c r="AB369" t="s">
        <v>902</v>
      </c>
      <c r="AC369" t="s">
        <v>905</v>
      </c>
      <c r="AF369" t="s">
        <v>923</v>
      </c>
      <c r="AI369">
        <v>5.7</v>
      </c>
      <c r="AJ369" t="s">
        <v>558</v>
      </c>
      <c r="AK369" t="s">
        <v>965</v>
      </c>
      <c r="AL369" t="s">
        <v>274</v>
      </c>
      <c r="AT369">
        <v>0</v>
      </c>
      <c r="AU369">
        <v>1</v>
      </c>
      <c r="AV369" t="s">
        <v>273</v>
      </c>
      <c r="AY369" t="s">
        <v>273</v>
      </c>
      <c r="BB369">
        <v>0</v>
      </c>
      <c r="BC369">
        <v>0</v>
      </c>
      <c r="BD369">
        <v>0</v>
      </c>
      <c r="BE369">
        <v>0</v>
      </c>
      <c r="BF369" t="s">
        <v>1063</v>
      </c>
      <c r="BG369" t="s">
        <v>6739</v>
      </c>
      <c r="BH369">
        <v>28</v>
      </c>
      <c r="BI369" t="s">
        <v>1247</v>
      </c>
      <c r="BK369">
        <v>1881639</v>
      </c>
    </row>
    <row r="370" spans="1:63">
      <c r="A370" s="1">
        <f>HYPERLINK("https://lsnyc.legalserver.org/matter/dynamic-profile/view/1880869","18-1880869")</f>
        <v>0</v>
      </c>
      <c r="B370" t="s">
        <v>5335</v>
      </c>
      <c r="C370" t="s">
        <v>5625</v>
      </c>
      <c r="D370" t="s">
        <v>253</v>
      </c>
      <c r="E370" t="s">
        <v>3694</v>
      </c>
      <c r="F370" t="s">
        <v>274</v>
      </c>
      <c r="G370" t="s">
        <v>274</v>
      </c>
      <c r="H370">
        <v>43.31</v>
      </c>
      <c r="I370" t="s">
        <v>274</v>
      </c>
      <c r="K370" t="s">
        <v>5636</v>
      </c>
      <c r="Q370" t="s">
        <v>501</v>
      </c>
      <c r="S370" t="s">
        <v>503</v>
      </c>
      <c r="T370" t="s">
        <v>508</v>
      </c>
      <c r="U370" t="s">
        <v>511</v>
      </c>
      <c r="V370">
        <v>11368</v>
      </c>
      <c r="W370" t="s">
        <v>532</v>
      </c>
      <c r="X370" t="s">
        <v>548</v>
      </c>
      <c r="Z370" t="s">
        <v>5859</v>
      </c>
      <c r="AA370" t="s">
        <v>828</v>
      </c>
      <c r="AB370" t="s">
        <v>902</v>
      </c>
      <c r="AC370" t="s">
        <v>906</v>
      </c>
      <c r="AF370" t="s">
        <v>923</v>
      </c>
      <c r="AI370">
        <v>3.3</v>
      </c>
      <c r="AJ370" t="s">
        <v>558</v>
      </c>
      <c r="AK370" t="s">
        <v>933</v>
      </c>
      <c r="AL370" t="s">
        <v>274</v>
      </c>
      <c r="AT370">
        <v>2</v>
      </c>
      <c r="AU370">
        <v>1</v>
      </c>
      <c r="AV370" t="s">
        <v>273</v>
      </c>
      <c r="AY370" t="s">
        <v>273</v>
      </c>
      <c r="BB370">
        <v>0</v>
      </c>
      <c r="BC370">
        <v>0</v>
      </c>
      <c r="BD370">
        <v>0</v>
      </c>
      <c r="BE370">
        <v>0</v>
      </c>
      <c r="BF370" t="s">
        <v>1063</v>
      </c>
      <c r="BG370" t="s">
        <v>6702</v>
      </c>
      <c r="BH370">
        <v>35</v>
      </c>
      <c r="BI370" t="s">
        <v>2724</v>
      </c>
      <c r="BK370">
        <v>1881488</v>
      </c>
    </row>
    <row r="371" spans="1:63">
      <c r="A371" s="1">
        <f>HYPERLINK("https://lsnyc.legalserver.org/matter/dynamic-profile/view/1880791","18-1880791")</f>
        <v>0</v>
      </c>
      <c r="B371" t="s">
        <v>5375</v>
      </c>
      <c r="C371" t="s">
        <v>5625</v>
      </c>
      <c r="D371" t="s">
        <v>252</v>
      </c>
      <c r="E371" t="s">
        <v>3694</v>
      </c>
      <c r="F371" t="s">
        <v>274</v>
      </c>
      <c r="G371" t="s">
        <v>274</v>
      </c>
      <c r="H371">
        <v>143.43</v>
      </c>
      <c r="I371" t="s">
        <v>274</v>
      </c>
      <c r="K371" t="s">
        <v>367</v>
      </c>
      <c r="L371" t="s">
        <v>457</v>
      </c>
      <c r="O371" t="s">
        <v>275</v>
      </c>
      <c r="P371" t="s">
        <v>494</v>
      </c>
      <c r="Q371" t="s">
        <v>501</v>
      </c>
      <c r="S371" t="s">
        <v>503</v>
      </c>
      <c r="T371" t="s">
        <v>508</v>
      </c>
      <c r="U371" t="s">
        <v>511</v>
      </c>
      <c r="V371">
        <v>11203</v>
      </c>
      <c r="W371" t="s">
        <v>521</v>
      </c>
      <c r="X371" t="s">
        <v>549</v>
      </c>
      <c r="Y371" t="s">
        <v>275</v>
      </c>
      <c r="Z371" t="s">
        <v>5883</v>
      </c>
      <c r="AA371" t="s">
        <v>6273</v>
      </c>
      <c r="AB371" t="s">
        <v>902</v>
      </c>
      <c r="AC371" t="s">
        <v>905</v>
      </c>
      <c r="AD371" t="s">
        <v>274</v>
      </c>
      <c r="AE371" t="s">
        <v>920</v>
      </c>
      <c r="AF371" t="s">
        <v>928</v>
      </c>
      <c r="AI371">
        <v>6.95</v>
      </c>
      <c r="AJ371" t="s">
        <v>558</v>
      </c>
      <c r="AK371" t="s">
        <v>2371</v>
      </c>
      <c r="AL371" t="s">
        <v>274</v>
      </c>
      <c r="AQ371" t="s">
        <v>1033</v>
      </c>
      <c r="AR371" t="s">
        <v>1053</v>
      </c>
      <c r="AT371">
        <v>0</v>
      </c>
      <c r="AU371">
        <v>4</v>
      </c>
      <c r="AV371" t="s">
        <v>273</v>
      </c>
      <c r="AY371" t="s">
        <v>273</v>
      </c>
      <c r="BB371">
        <v>0</v>
      </c>
      <c r="BC371">
        <v>0</v>
      </c>
      <c r="BD371">
        <v>0</v>
      </c>
      <c r="BE371">
        <v>0</v>
      </c>
      <c r="BF371" t="s">
        <v>493</v>
      </c>
      <c r="BG371" t="s">
        <v>6740</v>
      </c>
      <c r="BH371">
        <v>41</v>
      </c>
      <c r="BI371" t="s">
        <v>2748</v>
      </c>
      <c r="BK371">
        <v>1881410</v>
      </c>
    </row>
    <row r="372" spans="1:63">
      <c r="A372" s="1">
        <f>HYPERLINK("https://lsnyc.legalserver.org/matter/dynamic-profile/view/1880794","18-1880794")</f>
        <v>0</v>
      </c>
      <c r="B372" t="s">
        <v>5376</v>
      </c>
      <c r="C372" t="s">
        <v>5625</v>
      </c>
      <c r="D372" t="s">
        <v>252</v>
      </c>
      <c r="E372" t="s">
        <v>3694</v>
      </c>
      <c r="F372" t="s">
        <v>274</v>
      </c>
      <c r="G372" t="s">
        <v>274</v>
      </c>
      <c r="H372">
        <v>61.86</v>
      </c>
      <c r="I372" t="s">
        <v>275</v>
      </c>
      <c r="K372" t="s">
        <v>367</v>
      </c>
      <c r="O372" t="s">
        <v>275</v>
      </c>
      <c r="Q372" t="s">
        <v>502</v>
      </c>
      <c r="S372" t="s">
        <v>503</v>
      </c>
      <c r="T372" t="s">
        <v>507</v>
      </c>
      <c r="U372" t="s">
        <v>511</v>
      </c>
      <c r="V372">
        <v>11220</v>
      </c>
      <c r="W372" t="s">
        <v>518</v>
      </c>
      <c r="X372" t="s">
        <v>548</v>
      </c>
      <c r="Z372" t="s">
        <v>5884</v>
      </c>
      <c r="AA372" t="s">
        <v>884</v>
      </c>
      <c r="AB372" t="s">
        <v>902</v>
      </c>
      <c r="AC372" t="s">
        <v>905</v>
      </c>
      <c r="AF372" t="s">
        <v>926</v>
      </c>
      <c r="AI372">
        <v>25.7</v>
      </c>
      <c r="AJ372" t="s">
        <v>558</v>
      </c>
      <c r="AK372" t="s">
        <v>941</v>
      </c>
      <c r="AL372" t="s">
        <v>275</v>
      </c>
      <c r="AT372">
        <v>3</v>
      </c>
      <c r="AU372">
        <v>2</v>
      </c>
      <c r="AV372" t="s">
        <v>273</v>
      </c>
      <c r="AY372" t="s">
        <v>273</v>
      </c>
      <c r="BB372">
        <v>0</v>
      </c>
      <c r="BC372">
        <v>0</v>
      </c>
      <c r="BD372">
        <v>0</v>
      </c>
      <c r="BE372">
        <v>0</v>
      </c>
      <c r="BF372" t="s">
        <v>1063</v>
      </c>
      <c r="BG372" t="s">
        <v>6565</v>
      </c>
      <c r="BH372">
        <v>15</v>
      </c>
      <c r="BI372" t="s">
        <v>1260</v>
      </c>
      <c r="BK372">
        <v>1881413</v>
      </c>
    </row>
    <row r="373" spans="1:63">
      <c r="A373" s="1">
        <f>HYPERLINK("https://lsnyc.legalserver.org/matter/dynamic-profile/view/1880630","18-1880630")</f>
        <v>0</v>
      </c>
      <c r="B373" t="s">
        <v>5182</v>
      </c>
      <c r="C373" t="s">
        <v>5625</v>
      </c>
      <c r="D373" t="s">
        <v>253</v>
      </c>
      <c r="E373" t="s">
        <v>3694</v>
      </c>
      <c r="F373" t="s">
        <v>274</v>
      </c>
      <c r="G373" t="s">
        <v>274</v>
      </c>
      <c r="H373">
        <v>87.65000000000001</v>
      </c>
      <c r="I373" t="s">
        <v>274</v>
      </c>
      <c r="K373" t="s">
        <v>3707</v>
      </c>
      <c r="O373" t="s">
        <v>275</v>
      </c>
      <c r="Q373" t="s">
        <v>502</v>
      </c>
      <c r="S373" t="s">
        <v>503</v>
      </c>
      <c r="T373" t="s">
        <v>507</v>
      </c>
      <c r="U373" t="s">
        <v>511</v>
      </c>
      <c r="V373">
        <v>11691</v>
      </c>
      <c r="W373" t="s">
        <v>518</v>
      </c>
      <c r="X373" t="s">
        <v>548</v>
      </c>
      <c r="Z373" t="s">
        <v>5757</v>
      </c>
      <c r="AA373" t="s">
        <v>6138</v>
      </c>
      <c r="AB373" t="s">
        <v>902</v>
      </c>
      <c r="AC373" t="s">
        <v>905</v>
      </c>
      <c r="AF373" t="s">
        <v>926</v>
      </c>
      <c r="AI373">
        <v>21.05</v>
      </c>
      <c r="AJ373" t="s">
        <v>558</v>
      </c>
      <c r="AK373" t="s">
        <v>934</v>
      </c>
      <c r="AL373" t="s">
        <v>274</v>
      </c>
      <c r="AT373">
        <v>1</v>
      </c>
      <c r="AU373">
        <v>3</v>
      </c>
      <c r="AV373" t="s">
        <v>273</v>
      </c>
      <c r="AY373" t="s">
        <v>273</v>
      </c>
      <c r="BB373">
        <v>0</v>
      </c>
      <c r="BC373">
        <v>0</v>
      </c>
      <c r="BD373">
        <v>0</v>
      </c>
      <c r="BE373">
        <v>0</v>
      </c>
      <c r="BF373" t="s">
        <v>1063</v>
      </c>
      <c r="BG373" t="s">
        <v>6564</v>
      </c>
      <c r="BH373">
        <v>17</v>
      </c>
      <c r="BI373" t="s">
        <v>2738</v>
      </c>
      <c r="BK373">
        <v>1881248</v>
      </c>
    </row>
    <row r="374" spans="1:63">
      <c r="A374" s="1">
        <f>HYPERLINK("https://lsnyc.legalserver.org/matter/dynamic-profile/view/1880494","18-1880494")</f>
        <v>0</v>
      </c>
      <c r="B374" t="s">
        <v>5269</v>
      </c>
      <c r="C374" t="s">
        <v>5625</v>
      </c>
      <c r="D374" t="s">
        <v>257</v>
      </c>
      <c r="E374" t="s">
        <v>3694</v>
      </c>
      <c r="F374" t="s">
        <v>274</v>
      </c>
      <c r="G374" t="s">
        <v>274</v>
      </c>
      <c r="H374">
        <v>0</v>
      </c>
      <c r="I374" t="s">
        <v>274</v>
      </c>
      <c r="K374" t="s">
        <v>368</v>
      </c>
      <c r="Q374" t="s">
        <v>501</v>
      </c>
      <c r="S374" t="s">
        <v>503</v>
      </c>
      <c r="T374" t="s">
        <v>508</v>
      </c>
      <c r="U374" t="s">
        <v>511</v>
      </c>
      <c r="V374">
        <v>10460</v>
      </c>
      <c r="W374" t="s">
        <v>532</v>
      </c>
      <c r="X374" t="s">
        <v>548</v>
      </c>
      <c r="Z374" t="s">
        <v>1920</v>
      </c>
      <c r="AA374" t="s">
        <v>6198</v>
      </c>
      <c r="AB374" t="s">
        <v>902</v>
      </c>
      <c r="AC374" t="s">
        <v>906</v>
      </c>
      <c r="AF374" t="s">
        <v>923</v>
      </c>
      <c r="AI374">
        <v>3.35</v>
      </c>
      <c r="AJ374" t="s">
        <v>558</v>
      </c>
      <c r="AK374" t="s">
        <v>950</v>
      </c>
      <c r="AL374" t="s">
        <v>274</v>
      </c>
      <c r="AT374">
        <v>1</v>
      </c>
      <c r="AU374">
        <v>3</v>
      </c>
      <c r="AV374" t="s">
        <v>273</v>
      </c>
      <c r="AY374" t="s">
        <v>273</v>
      </c>
      <c r="BB374">
        <v>0</v>
      </c>
      <c r="BC374">
        <v>0</v>
      </c>
      <c r="BD374">
        <v>0</v>
      </c>
      <c r="BE374">
        <v>0</v>
      </c>
      <c r="BF374" t="s">
        <v>1063</v>
      </c>
      <c r="BG374" t="s">
        <v>6642</v>
      </c>
      <c r="BH374">
        <v>47</v>
      </c>
      <c r="BI374" t="s">
        <v>1247</v>
      </c>
      <c r="BK374">
        <v>1881111</v>
      </c>
    </row>
    <row r="375" spans="1:63">
      <c r="A375" s="1">
        <f>HYPERLINK("https://lsnyc.legalserver.org/matter/dynamic-profile/view/1880279","18-1880279")</f>
        <v>0</v>
      </c>
      <c r="B375" t="s">
        <v>5377</v>
      </c>
      <c r="C375" t="s">
        <v>5625</v>
      </c>
      <c r="D375" t="s">
        <v>257</v>
      </c>
      <c r="E375" t="s">
        <v>3694</v>
      </c>
      <c r="F375" t="s">
        <v>274</v>
      </c>
      <c r="G375" t="s">
        <v>274</v>
      </c>
      <c r="H375">
        <v>80.87</v>
      </c>
      <c r="I375" t="s">
        <v>274</v>
      </c>
      <c r="K375" t="s">
        <v>369</v>
      </c>
      <c r="L375" t="s">
        <v>283</v>
      </c>
      <c r="P375" t="s">
        <v>493</v>
      </c>
      <c r="Q375" t="s">
        <v>501</v>
      </c>
      <c r="S375" t="s">
        <v>503</v>
      </c>
      <c r="T375" t="s">
        <v>508</v>
      </c>
      <c r="U375" t="s">
        <v>511</v>
      </c>
      <c r="V375">
        <v>10468</v>
      </c>
      <c r="W375" t="s">
        <v>524</v>
      </c>
      <c r="X375" t="s">
        <v>548</v>
      </c>
      <c r="Y375" t="s">
        <v>275</v>
      </c>
      <c r="Z375" t="s">
        <v>5885</v>
      </c>
      <c r="AA375" t="s">
        <v>6274</v>
      </c>
      <c r="AB375" t="s">
        <v>902</v>
      </c>
      <c r="AC375" t="s">
        <v>906</v>
      </c>
      <c r="AD375" t="s">
        <v>274</v>
      </c>
      <c r="AE375" t="s">
        <v>919</v>
      </c>
      <c r="AF375" t="s">
        <v>923</v>
      </c>
      <c r="AI375">
        <v>3.5</v>
      </c>
      <c r="AJ375" t="s">
        <v>558</v>
      </c>
      <c r="AK375" t="s">
        <v>933</v>
      </c>
      <c r="AL375" t="s">
        <v>274</v>
      </c>
      <c r="AQ375" t="s">
        <v>1035</v>
      </c>
      <c r="AR375" t="s">
        <v>1051</v>
      </c>
      <c r="AT375">
        <v>1</v>
      </c>
      <c r="AU375">
        <v>1</v>
      </c>
      <c r="AV375" t="s">
        <v>273</v>
      </c>
      <c r="AY375" t="s">
        <v>273</v>
      </c>
      <c r="BB375">
        <v>0</v>
      </c>
      <c r="BC375">
        <v>0</v>
      </c>
      <c r="BD375">
        <v>0</v>
      </c>
      <c r="BE375">
        <v>0</v>
      </c>
      <c r="BF375" t="s">
        <v>493</v>
      </c>
      <c r="BG375" t="s">
        <v>6741</v>
      </c>
      <c r="BH375">
        <v>44</v>
      </c>
      <c r="BI375" t="s">
        <v>5070</v>
      </c>
      <c r="BK375">
        <v>1880894</v>
      </c>
    </row>
    <row r="376" spans="1:63">
      <c r="A376" s="1">
        <f>HYPERLINK("https://lsnyc.legalserver.org/matter/dynamic-profile/view/1880287","18-1880287")</f>
        <v>0</v>
      </c>
      <c r="B376" t="s">
        <v>5205</v>
      </c>
      <c r="C376" t="s">
        <v>5625</v>
      </c>
      <c r="D376" t="s">
        <v>257</v>
      </c>
      <c r="E376" t="s">
        <v>5630</v>
      </c>
      <c r="F376" t="s">
        <v>274</v>
      </c>
      <c r="G376" t="s">
        <v>274</v>
      </c>
      <c r="H376">
        <v>112.35</v>
      </c>
      <c r="I376" t="s">
        <v>274</v>
      </c>
      <c r="K376" t="s">
        <v>369</v>
      </c>
      <c r="O376" t="s">
        <v>274</v>
      </c>
      <c r="P376" t="s">
        <v>498</v>
      </c>
      <c r="Q376" t="s">
        <v>501</v>
      </c>
      <c r="S376" t="s">
        <v>503</v>
      </c>
      <c r="T376" t="s">
        <v>508</v>
      </c>
      <c r="U376" t="s">
        <v>511</v>
      </c>
      <c r="V376">
        <v>10460</v>
      </c>
      <c r="W376" t="s">
        <v>517</v>
      </c>
      <c r="X376" t="s">
        <v>548</v>
      </c>
      <c r="Z376" t="s">
        <v>5772</v>
      </c>
      <c r="AA376" t="s">
        <v>4805</v>
      </c>
      <c r="AB376" t="s">
        <v>902</v>
      </c>
      <c r="AC376" t="s">
        <v>904</v>
      </c>
      <c r="AF376" t="s">
        <v>923</v>
      </c>
      <c r="AI376">
        <v>8.449999999999999</v>
      </c>
      <c r="AJ376" t="s">
        <v>558</v>
      </c>
      <c r="AK376" t="s">
        <v>950</v>
      </c>
      <c r="AL376" t="s">
        <v>274</v>
      </c>
      <c r="AM376" t="s">
        <v>973</v>
      </c>
      <c r="AN376" t="s">
        <v>1667</v>
      </c>
      <c r="AT376">
        <v>0</v>
      </c>
      <c r="AU376">
        <v>2</v>
      </c>
      <c r="AV376" t="s">
        <v>273</v>
      </c>
      <c r="AY376" t="s">
        <v>273</v>
      </c>
      <c r="BB376">
        <v>0</v>
      </c>
      <c r="BC376">
        <v>0</v>
      </c>
      <c r="BD376">
        <v>0</v>
      </c>
      <c r="BE376">
        <v>0</v>
      </c>
      <c r="BF376" t="s">
        <v>1063</v>
      </c>
      <c r="BG376" t="s">
        <v>6585</v>
      </c>
      <c r="BH376">
        <v>57</v>
      </c>
      <c r="BI376" t="s">
        <v>7018</v>
      </c>
      <c r="BK376">
        <v>1880902</v>
      </c>
    </row>
    <row r="377" spans="1:63">
      <c r="A377" s="1">
        <f>HYPERLINK("https://lsnyc.legalserver.org/matter/dynamic-profile/view/1880357","18-1880357")</f>
        <v>0</v>
      </c>
      <c r="B377" t="s">
        <v>5378</v>
      </c>
      <c r="C377" t="s">
        <v>5625</v>
      </c>
      <c r="D377" t="s">
        <v>252</v>
      </c>
      <c r="E377" t="s">
        <v>3694</v>
      </c>
      <c r="F377" t="s">
        <v>274</v>
      </c>
      <c r="G377" t="s">
        <v>274</v>
      </c>
      <c r="H377">
        <v>71.38</v>
      </c>
      <c r="I377" t="s">
        <v>274</v>
      </c>
      <c r="K377" t="s">
        <v>369</v>
      </c>
      <c r="Q377" t="s">
        <v>501</v>
      </c>
      <c r="S377" t="s">
        <v>503</v>
      </c>
      <c r="T377" t="s">
        <v>508</v>
      </c>
      <c r="U377" t="s">
        <v>511</v>
      </c>
      <c r="V377">
        <v>11215</v>
      </c>
      <c r="W377" t="s">
        <v>524</v>
      </c>
      <c r="X377" t="s">
        <v>548</v>
      </c>
      <c r="Z377" t="s">
        <v>5846</v>
      </c>
      <c r="AA377" t="s">
        <v>6275</v>
      </c>
      <c r="AB377" t="s">
        <v>902</v>
      </c>
      <c r="AC377" t="s">
        <v>906</v>
      </c>
      <c r="AF377" t="s">
        <v>923</v>
      </c>
      <c r="AI377">
        <v>1.1</v>
      </c>
      <c r="AJ377" t="s">
        <v>558</v>
      </c>
      <c r="AK377" t="s">
        <v>949</v>
      </c>
      <c r="AL377" t="s">
        <v>274</v>
      </c>
      <c r="AT377">
        <v>4</v>
      </c>
      <c r="AU377">
        <v>1</v>
      </c>
      <c r="AV377" t="s">
        <v>273</v>
      </c>
      <c r="AY377" t="s">
        <v>273</v>
      </c>
      <c r="BB377">
        <v>0</v>
      </c>
      <c r="BC377">
        <v>0</v>
      </c>
      <c r="BD377">
        <v>0</v>
      </c>
      <c r="BE377">
        <v>0</v>
      </c>
      <c r="BF377" t="s">
        <v>1063</v>
      </c>
      <c r="BG377" t="s">
        <v>6742</v>
      </c>
      <c r="BH377">
        <v>35</v>
      </c>
      <c r="BI377" t="s">
        <v>2760</v>
      </c>
      <c r="BK377">
        <v>1880973</v>
      </c>
    </row>
    <row r="378" spans="1:63">
      <c r="A378" s="1">
        <f>HYPERLINK("https://lsnyc.legalserver.org/matter/dynamic-profile/view/1880374","18-1880374")</f>
        <v>0</v>
      </c>
      <c r="B378" t="s">
        <v>5379</v>
      </c>
      <c r="C378" t="s">
        <v>5625</v>
      </c>
      <c r="D378" t="s">
        <v>257</v>
      </c>
      <c r="E378" t="s">
        <v>3694</v>
      </c>
      <c r="F378" t="s">
        <v>274</v>
      </c>
      <c r="G378" t="s">
        <v>274</v>
      </c>
      <c r="H378">
        <v>144.62</v>
      </c>
      <c r="I378" t="s">
        <v>274</v>
      </c>
      <c r="K378" t="s">
        <v>369</v>
      </c>
      <c r="Q378" t="s">
        <v>501</v>
      </c>
      <c r="S378" t="s">
        <v>503</v>
      </c>
      <c r="T378" t="s">
        <v>508</v>
      </c>
      <c r="U378" t="s">
        <v>511</v>
      </c>
      <c r="V378">
        <v>10473</v>
      </c>
      <c r="W378" t="s">
        <v>524</v>
      </c>
      <c r="X378" t="s">
        <v>548</v>
      </c>
      <c r="Z378" t="s">
        <v>649</v>
      </c>
      <c r="AA378" t="s">
        <v>6276</v>
      </c>
      <c r="AB378" t="s">
        <v>902</v>
      </c>
      <c r="AC378" t="s">
        <v>906</v>
      </c>
      <c r="AF378" t="s">
        <v>923</v>
      </c>
      <c r="AI378">
        <v>1.4</v>
      </c>
      <c r="AJ378" t="s">
        <v>558</v>
      </c>
      <c r="AK378" t="s">
        <v>949</v>
      </c>
      <c r="AL378" t="s">
        <v>274</v>
      </c>
      <c r="AT378">
        <v>3</v>
      </c>
      <c r="AU378">
        <v>1</v>
      </c>
      <c r="AV378" t="s">
        <v>273</v>
      </c>
      <c r="AY378" t="s">
        <v>273</v>
      </c>
      <c r="BB378">
        <v>0</v>
      </c>
      <c r="BC378">
        <v>0</v>
      </c>
      <c r="BD378">
        <v>0</v>
      </c>
      <c r="BE378">
        <v>0</v>
      </c>
      <c r="BF378" t="s">
        <v>1063</v>
      </c>
      <c r="BG378" t="s">
        <v>6743</v>
      </c>
      <c r="BH378">
        <v>36</v>
      </c>
      <c r="BI378" t="s">
        <v>7068</v>
      </c>
      <c r="BK378">
        <v>1880990</v>
      </c>
    </row>
    <row r="379" spans="1:63">
      <c r="A379" s="1">
        <f>HYPERLINK("https://lsnyc.legalserver.org/matter/dynamic-profile/view/1880091","18-1880091")</f>
        <v>0</v>
      </c>
      <c r="B379" t="s">
        <v>5380</v>
      </c>
      <c r="C379" t="s">
        <v>5625</v>
      </c>
      <c r="D379" t="s">
        <v>257</v>
      </c>
      <c r="E379" t="s">
        <v>264</v>
      </c>
      <c r="F379" t="s">
        <v>274</v>
      </c>
      <c r="G379" t="s">
        <v>274</v>
      </c>
      <c r="H379">
        <v>0</v>
      </c>
      <c r="I379" t="s">
        <v>274</v>
      </c>
      <c r="K379" t="s">
        <v>1728</v>
      </c>
      <c r="O379" t="s">
        <v>274</v>
      </c>
      <c r="Q379" t="s">
        <v>501</v>
      </c>
      <c r="S379" t="s">
        <v>503</v>
      </c>
      <c r="T379" t="s">
        <v>507</v>
      </c>
      <c r="U379" t="s">
        <v>511</v>
      </c>
      <c r="V379">
        <v>10452</v>
      </c>
      <c r="W379" t="s">
        <v>532</v>
      </c>
      <c r="X379" t="s">
        <v>549</v>
      </c>
      <c r="Z379" t="s">
        <v>5886</v>
      </c>
      <c r="AA379" t="s">
        <v>6277</v>
      </c>
      <c r="AB379" t="s">
        <v>902</v>
      </c>
      <c r="AC379" t="s">
        <v>905</v>
      </c>
      <c r="AF379" t="s">
        <v>923</v>
      </c>
      <c r="AI379">
        <v>17.35</v>
      </c>
      <c r="AJ379" t="s">
        <v>558</v>
      </c>
      <c r="AK379" t="s">
        <v>6459</v>
      </c>
      <c r="AL379" t="s">
        <v>274</v>
      </c>
      <c r="AT379">
        <v>0</v>
      </c>
      <c r="AU379">
        <v>1</v>
      </c>
      <c r="AV379" t="s">
        <v>273</v>
      </c>
      <c r="AY379" t="s">
        <v>273</v>
      </c>
      <c r="BB379">
        <v>0</v>
      </c>
      <c r="BC379">
        <v>0</v>
      </c>
      <c r="BD379">
        <v>0</v>
      </c>
      <c r="BE379">
        <v>0</v>
      </c>
      <c r="BF379" t="s">
        <v>1063</v>
      </c>
      <c r="BG379" t="s">
        <v>6744</v>
      </c>
      <c r="BH379">
        <v>33</v>
      </c>
      <c r="BI379" t="s">
        <v>1247</v>
      </c>
      <c r="BK379">
        <v>1880706</v>
      </c>
    </row>
    <row r="380" spans="1:63">
      <c r="A380" s="1">
        <f>HYPERLINK("https://lsnyc.legalserver.org/matter/dynamic-profile/view/1880070","18-1880070")</f>
        <v>0</v>
      </c>
      <c r="B380" t="s">
        <v>5290</v>
      </c>
      <c r="C380" t="s">
        <v>5625</v>
      </c>
      <c r="D380" t="s">
        <v>253</v>
      </c>
      <c r="E380" t="s">
        <v>5630</v>
      </c>
      <c r="F380" t="s">
        <v>274</v>
      </c>
      <c r="G380" t="s">
        <v>274</v>
      </c>
      <c r="H380">
        <v>57.66</v>
      </c>
      <c r="I380" t="s">
        <v>274</v>
      </c>
      <c r="K380" t="s">
        <v>1729</v>
      </c>
      <c r="M380" t="s">
        <v>474</v>
      </c>
      <c r="N380" t="s">
        <v>452</v>
      </c>
      <c r="O380" t="s">
        <v>274</v>
      </c>
      <c r="P380" t="s">
        <v>498</v>
      </c>
      <c r="Q380" t="s">
        <v>501</v>
      </c>
      <c r="S380" t="s">
        <v>503</v>
      </c>
      <c r="T380" t="s">
        <v>508</v>
      </c>
      <c r="U380" t="s">
        <v>511</v>
      </c>
      <c r="V380">
        <v>11370</v>
      </c>
      <c r="W380" t="s">
        <v>517</v>
      </c>
      <c r="X380" t="s">
        <v>548</v>
      </c>
      <c r="Z380" t="s">
        <v>5829</v>
      </c>
      <c r="AA380" t="s">
        <v>2320</v>
      </c>
      <c r="AB380" t="s">
        <v>902</v>
      </c>
      <c r="AC380" t="s">
        <v>904</v>
      </c>
      <c r="AF380" t="s">
        <v>923</v>
      </c>
      <c r="AI380">
        <v>2.52</v>
      </c>
      <c r="AJ380" t="s">
        <v>558</v>
      </c>
      <c r="AK380" t="s">
        <v>949</v>
      </c>
      <c r="AL380" t="s">
        <v>274</v>
      </c>
      <c r="AM380" t="s">
        <v>973</v>
      </c>
      <c r="AN380" t="s">
        <v>1021</v>
      </c>
      <c r="AT380">
        <v>0</v>
      </c>
      <c r="AU380">
        <v>1</v>
      </c>
      <c r="AV380" t="s">
        <v>273</v>
      </c>
      <c r="AY380" t="s">
        <v>273</v>
      </c>
      <c r="BB380">
        <v>0</v>
      </c>
      <c r="BC380">
        <v>0</v>
      </c>
      <c r="BD380">
        <v>0</v>
      </c>
      <c r="BE380">
        <v>0</v>
      </c>
      <c r="BF380" t="s">
        <v>1063</v>
      </c>
      <c r="BG380" t="s">
        <v>6661</v>
      </c>
      <c r="BH380">
        <v>56</v>
      </c>
      <c r="BI380" t="s">
        <v>7038</v>
      </c>
      <c r="BK380">
        <v>1880685</v>
      </c>
    </row>
    <row r="381" spans="1:63">
      <c r="A381" s="1">
        <f>HYPERLINK("https://lsnyc.legalserver.org/matter/dynamic-profile/view/1879840","18-1879840")</f>
        <v>0</v>
      </c>
      <c r="B381" t="s">
        <v>5381</v>
      </c>
      <c r="C381" t="s">
        <v>5625</v>
      </c>
      <c r="D381" t="s">
        <v>253</v>
      </c>
      <c r="E381" t="s">
        <v>3694</v>
      </c>
      <c r="F381" t="s">
        <v>274</v>
      </c>
      <c r="G381" t="s">
        <v>274</v>
      </c>
      <c r="H381">
        <v>131.8</v>
      </c>
      <c r="I381" t="s">
        <v>274</v>
      </c>
      <c r="K381" t="s">
        <v>1730</v>
      </c>
      <c r="Q381" t="s">
        <v>501</v>
      </c>
      <c r="S381" t="s">
        <v>503</v>
      </c>
      <c r="T381" t="s">
        <v>508</v>
      </c>
      <c r="U381" t="s">
        <v>511</v>
      </c>
      <c r="V381">
        <v>11103</v>
      </c>
      <c r="W381" t="s">
        <v>524</v>
      </c>
      <c r="X381" t="s">
        <v>1838</v>
      </c>
      <c r="Z381" t="s">
        <v>5887</v>
      </c>
      <c r="AA381" t="s">
        <v>6278</v>
      </c>
      <c r="AB381" t="s">
        <v>902</v>
      </c>
      <c r="AC381" t="s">
        <v>906</v>
      </c>
      <c r="AF381" t="s">
        <v>923</v>
      </c>
      <c r="AI381">
        <v>2.1</v>
      </c>
      <c r="AJ381" t="s">
        <v>558</v>
      </c>
      <c r="AK381" t="s">
        <v>2366</v>
      </c>
      <c r="AL381" t="s">
        <v>274</v>
      </c>
      <c r="AT381">
        <v>0</v>
      </c>
      <c r="AU381">
        <v>1</v>
      </c>
      <c r="AV381" t="s">
        <v>273</v>
      </c>
      <c r="AY381" t="s">
        <v>273</v>
      </c>
      <c r="BB381">
        <v>0</v>
      </c>
      <c r="BC381">
        <v>0</v>
      </c>
      <c r="BD381">
        <v>0</v>
      </c>
      <c r="BE381">
        <v>0</v>
      </c>
      <c r="BF381" t="s">
        <v>1063</v>
      </c>
      <c r="BG381" t="s">
        <v>6745</v>
      </c>
      <c r="BH381">
        <v>48</v>
      </c>
      <c r="BI381" t="s">
        <v>2737</v>
      </c>
      <c r="BK381">
        <v>1880455</v>
      </c>
    </row>
    <row r="382" spans="1:63">
      <c r="A382" s="1">
        <f>HYPERLINK("https://lsnyc.legalserver.org/matter/dynamic-profile/view/1879854","18-1879854")</f>
        <v>0</v>
      </c>
      <c r="B382" t="s">
        <v>5382</v>
      </c>
      <c r="C382" t="s">
        <v>5625</v>
      </c>
      <c r="D382" t="s">
        <v>257</v>
      </c>
      <c r="E382" t="s">
        <v>3694</v>
      </c>
      <c r="F382" t="s">
        <v>274</v>
      </c>
      <c r="G382" t="s">
        <v>274</v>
      </c>
      <c r="H382">
        <v>110.68</v>
      </c>
      <c r="I382" t="s">
        <v>274</v>
      </c>
      <c r="K382" t="s">
        <v>1730</v>
      </c>
      <c r="Q382" t="s">
        <v>501</v>
      </c>
      <c r="S382" t="s">
        <v>503</v>
      </c>
      <c r="T382" t="s">
        <v>508</v>
      </c>
      <c r="U382" t="s">
        <v>511</v>
      </c>
      <c r="V382">
        <v>10468</v>
      </c>
      <c r="W382" t="s">
        <v>524</v>
      </c>
      <c r="Z382" t="s">
        <v>5888</v>
      </c>
      <c r="AA382" t="s">
        <v>6279</v>
      </c>
      <c r="AB382" t="s">
        <v>902</v>
      </c>
      <c r="AC382" t="s">
        <v>906</v>
      </c>
      <c r="AF382" t="s">
        <v>923</v>
      </c>
      <c r="AI382">
        <v>2.4</v>
      </c>
      <c r="AJ382" t="s">
        <v>558</v>
      </c>
      <c r="AK382" t="s">
        <v>933</v>
      </c>
      <c r="AL382" t="s">
        <v>274</v>
      </c>
      <c r="AT382">
        <v>2</v>
      </c>
      <c r="AU382">
        <v>1</v>
      </c>
      <c r="AV382" t="s">
        <v>273</v>
      </c>
      <c r="AY382" t="s">
        <v>273</v>
      </c>
      <c r="BB382">
        <v>0</v>
      </c>
      <c r="BC382">
        <v>0</v>
      </c>
      <c r="BD382">
        <v>0</v>
      </c>
      <c r="BE382">
        <v>0</v>
      </c>
      <c r="BF382" t="s">
        <v>1063</v>
      </c>
      <c r="BG382" t="s">
        <v>6746</v>
      </c>
      <c r="BH382">
        <v>34</v>
      </c>
      <c r="BI382" t="s">
        <v>1310</v>
      </c>
      <c r="BK382">
        <v>1880469</v>
      </c>
    </row>
    <row r="383" spans="1:63">
      <c r="A383" s="1">
        <f>HYPERLINK("https://lsnyc.legalserver.org/matter/dynamic-profile/view/1879873","18-1879873")</f>
        <v>0</v>
      </c>
      <c r="B383" t="s">
        <v>5314</v>
      </c>
      <c r="C383" t="s">
        <v>5625</v>
      </c>
      <c r="D383" t="s">
        <v>257</v>
      </c>
      <c r="E383" t="s">
        <v>3694</v>
      </c>
      <c r="F383" t="s">
        <v>274</v>
      </c>
      <c r="G383" t="s">
        <v>274</v>
      </c>
      <c r="H383">
        <v>39.85</v>
      </c>
      <c r="I383" t="s">
        <v>274</v>
      </c>
      <c r="K383" t="s">
        <v>1730</v>
      </c>
      <c r="Q383" t="s">
        <v>501</v>
      </c>
      <c r="S383" t="s">
        <v>503</v>
      </c>
      <c r="T383" t="s">
        <v>508</v>
      </c>
      <c r="U383" t="s">
        <v>511</v>
      </c>
      <c r="V383">
        <v>10467</v>
      </c>
      <c r="W383" t="s">
        <v>524</v>
      </c>
      <c r="X383" t="s">
        <v>548</v>
      </c>
      <c r="Z383" t="s">
        <v>5845</v>
      </c>
      <c r="AA383" t="s">
        <v>6233</v>
      </c>
      <c r="AB383" t="s">
        <v>902</v>
      </c>
      <c r="AC383" t="s">
        <v>906</v>
      </c>
      <c r="AF383" t="s">
        <v>923</v>
      </c>
      <c r="AI383">
        <v>3</v>
      </c>
      <c r="AJ383" t="s">
        <v>558</v>
      </c>
      <c r="AK383" t="s">
        <v>933</v>
      </c>
      <c r="AL383" t="s">
        <v>274</v>
      </c>
      <c r="AT383">
        <v>2</v>
      </c>
      <c r="AU383">
        <v>1</v>
      </c>
      <c r="AV383" t="s">
        <v>273</v>
      </c>
      <c r="AY383" t="s">
        <v>273</v>
      </c>
      <c r="BB383">
        <v>0</v>
      </c>
      <c r="BC383">
        <v>0</v>
      </c>
      <c r="BD383">
        <v>0</v>
      </c>
      <c r="BE383">
        <v>0</v>
      </c>
      <c r="BF383" t="s">
        <v>1063</v>
      </c>
      <c r="BG383" t="s">
        <v>4874</v>
      </c>
      <c r="BH383">
        <v>29</v>
      </c>
      <c r="BI383" t="s">
        <v>7050</v>
      </c>
      <c r="BK383">
        <v>1880488</v>
      </c>
    </row>
    <row r="384" spans="1:63">
      <c r="A384" s="1">
        <f>HYPERLINK("https://lsnyc.legalserver.org/matter/dynamic-profile/view/1879885","18-1879885")</f>
        <v>0</v>
      </c>
      <c r="B384" t="s">
        <v>5383</v>
      </c>
      <c r="C384" t="s">
        <v>5625</v>
      </c>
      <c r="D384" t="s">
        <v>253</v>
      </c>
      <c r="E384" t="s">
        <v>3694</v>
      </c>
      <c r="F384" t="s">
        <v>274</v>
      </c>
      <c r="G384" t="s">
        <v>274</v>
      </c>
      <c r="H384">
        <v>57.75</v>
      </c>
      <c r="I384" t="s">
        <v>274</v>
      </c>
      <c r="K384" t="s">
        <v>1730</v>
      </c>
      <c r="Q384" t="s">
        <v>501</v>
      </c>
      <c r="S384" t="s">
        <v>503</v>
      </c>
      <c r="T384" t="s">
        <v>508</v>
      </c>
      <c r="U384" t="s">
        <v>511</v>
      </c>
      <c r="V384">
        <v>11368</v>
      </c>
      <c r="W384" t="s">
        <v>524</v>
      </c>
      <c r="X384" t="s">
        <v>548</v>
      </c>
      <c r="Z384" t="s">
        <v>1850</v>
      </c>
      <c r="AA384" t="s">
        <v>6280</v>
      </c>
      <c r="AB384" t="s">
        <v>902</v>
      </c>
      <c r="AC384" t="s">
        <v>906</v>
      </c>
      <c r="AF384" t="s">
        <v>923</v>
      </c>
      <c r="AI384">
        <v>8.1</v>
      </c>
      <c r="AJ384" t="s">
        <v>558</v>
      </c>
      <c r="AK384" t="s">
        <v>938</v>
      </c>
      <c r="AL384" t="s">
        <v>274</v>
      </c>
      <c r="AT384">
        <v>1</v>
      </c>
      <c r="AU384">
        <v>2</v>
      </c>
      <c r="AV384" t="s">
        <v>273</v>
      </c>
      <c r="AY384" t="s">
        <v>273</v>
      </c>
      <c r="BB384">
        <v>0</v>
      </c>
      <c r="BC384">
        <v>0</v>
      </c>
      <c r="BD384">
        <v>0</v>
      </c>
      <c r="BE384">
        <v>0</v>
      </c>
      <c r="BF384" t="s">
        <v>1063</v>
      </c>
      <c r="BG384" t="s">
        <v>6747</v>
      </c>
      <c r="BH384">
        <v>39</v>
      </c>
      <c r="BI384" t="s">
        <v>1267</v>
      </c>
      <c r="BK384">
        <v>1880500</v>
      </c>
    </row>
    <row r="385" spans="1:63">
      <c r="A385" s="1">
        <f>HYPERLINK("https://lsnyc.legalserver.org/matter/dynamic-profile/view/1879766","18-1879766")</f>
        <v>0</v>
      </c>
      <c r="B385" t="s">
        <v>5243</v>
      </c>
      <c r="C385" t="s">
        <v>5625</v>
      </c>
      <c r="D385" t="s">
        <v>253</v>
      </c>
      <c r="E385" t="s">
        <v>3694</v>
      </c>
      <c r="F385" t="s">
        <v>274</v>
      </c>
      <c r="G385" t="s">
        <v>274</v>
      </c>
      <c r="H385">
        <v>75.06999999999999</v>
      </c>
      <c r="I385" t="s">
        <v>274</v>
      </c>
      <c r="K385" t="s">
        <v>1731</v>
      </c>
      <c r="Q385" t="s">
        <v>501</v>
      </c>
      <c r="S385" t="s">
        <v>503</v>
      </c>
      <c r="T385" t="s">
        <v>508</v>
      </c>
      <c r="U385" t="s">
        <v>511</v>
      </c>
      <c r="V385">
        <v>11385</v>
      </c>
      <c r="W385" t="s">
        <v>524</v>
      </c>
      <c r="X385" t="s">
        <v>548</v>
      </c>
      <c r="Z385" t="s">
        <v>5800</v>
      </c>
      <c r="AA385" t="s">
        <v>6178</v>
      </c>
      <c r="AB385" t="s">
        <v>902</v>
      </c>
      <c r="AC385" t="s">
        <v>905</v>
      </c>
      <c r="AF385" t="s">
        <v>923</v>
      </c>
      <c r="AI385">
        <v>3.8</v>
      </c>
      <c r="AJ385" t="s">
        <v>558</v>
      </c>
      <c r="AK385" t="s">
        <v>945</v>
      </c>
      <c r="AL385" t="s">
        <v>274</v>
      </c>
      <c r="AT385">
        <v>2</v>
      </c>
      <c r="AU385">
        <v>1</v>
      </c>
      <c r="AV385" t="s">
        <v>273</v>
      </c>
      <c r="AY385" t="s">
        <v>273</v>
      </c>
      <c r="BB385">
        <v>0</v>
      </c>
      <c r="BC385">
        <v>0</v>
      </c>
      <c r="BD385">
        <v>0</v>
      </c>
      <c r="BE385">
        <v>0</v>
      </c>
      <c r="BF385" t="s">
        <v>1063</v>
      </c>
      <c r="BG385" t="s">
        <v>6617</v>
      </c>
      <c r="BH385">
        <v>51</v>
      </c>
      <c r="BI385" t="s">
        <v>1270</v>
      </c>
      <c r="BK385">
        <v>84978</v>
      </c>
    </row>
    <row r="386" spans="1:63">
      <c r="A386" s="1">
        <f>HYPERLINK("https://lsnyc.legalserver.org/matter/dynamic-profile/view/1879785","18-1879785")</f>
        <v>0</v>
      </c>
      <c r="B386" t="s">
        <v>5384</v>
      </c>
      <c r="C386" t="s">
        <v>5625</v>
      </c>
      <c r="D386" t="s">
        <v>255</v>
      </c>
      <c r="E386" t="s">
        <v>3694</v>
      </c>
      <c r="F386" t="s">
        <v>274</v>
      </c>
      <c r="G386" t="s">
        <v>274</v>
      </c>
      <c r="H386">
        <v>239.47</v>
      </c>
      <c r="I386" t="s">
        <v>274</v>
      </c>
      <c r="K386" t="s">
        <v>1731</v>
      </c>
      <c r="Q386" t="s">
        <v>501</v>
      </c>
      <c r="S386" t="s">
        <v>503</v>
      </c>
      <c r="T386" t="s">
        <v>508</v>
      </c>
      <c r="U386" t="s">
        <v>511</v>
      </c>
      <c r="V386">
        <v>10033</v>
      </c>
      <c r="W386" t="s">
        <v>524</v>
      </c>
      <c r="X386" t="s">
        <v>548</v>
      </c>
      <c r="Z386" t="s">
        <v>593</v>
      </c>
      <c r="AA386" t="s">
        <v>6281</v>
      </c>
      <c r="AB386" t="s">
        <v>902</v>
      </c>
      <c r="AC386" t="s">
        <v>906</v>
      </c>
      <c r="AF386" t="s">
        <v>923</v>
      </c>
      <c r="AI386">
        <v>1.7</v>
      </c>
      <c r="AJ386" t="s">
        <v>558</v>
      </c>
      <c r="AL386" t="s">
        <v>274</v>
      </c>
      <c r="AT386">
        <v>1</v>
      </c>
      <c r="AU386">
        <v>1</v>
      </c>
      <c r="AV386" t="s">
        <v>273</v>
      </c>
      <c r="AY386" t="s">
        <v>273</v>
      </c>
      <c r="BB386">
        <v>0</v>
      </c>
      <c r="BC386">
        <v>0</v>
      </c>
      <c r="BD386">
        <v>0</v>
      </c>
      <c r="BE386">
        <v>0</v>
      </c>
      <c r="BF386" t="s">
        <v>1063</v>
      </c>
      <c r="BG386" t="s">
        <v>6748</v>
      </c>
      <c r="BH386">
        <v>48</v>
      </c>
      <c r="BI386" t="s">
        <v>7069</v>
      </c>
      <c r="BK386">
        <v>1880400</v>
      </c>
    </row>
    <row r="387" spans="1:63">
      <c r="A387" s="1">
        <f>HYPERLINK("https://lsnyc.legalserver.org/matter/dynamic-profile/view/1879618","18-1879618")</f>
        <v>0</v>
      </c>
      <c r="B387" t="s">
        <v>5178</v>
      </c>
      <c r="C387" t="s">
        <v>5625</v>
      </c>
      <c r="D387" t="s">
        <v>257</v>
      </c>
      <c r="E387" t="s">
        <v>3694</v>
      </c>
      <c r="F387" t="s">
        <v>274</v>
      </c>
      <c r="G387" t="s">
        <v>274</v>
      </c>
      <c r="H387">
        <v>176.1</v>
      </c>
      <c r="I387" t="s">
        <v>274</v>
      </c>
      <c r="K387" t="s">
        <v>370</v>
      </c>
      <c r="O387" t="s">
        <v>275</v>
      </c>
      <c r="P387" t="s">
        <v>497</v>
      </c>
      <c r="Q387" t="s">
        <v>502</v>
      </c>
      <c r="S387" t="s">
        <v>503</v>
      </c>
      <c r="T387" t="s">
        <v>508</v>
      </c>
      <c r="U387" t="s">
        <v>511</v>
      </c>
      <c r="V387">
        <v>10454</v>
      </c>
      <c r="W387" t="s">
        <v>518</v>
      </c>
      <c r="X387" t="s">
        <v>548</v>
      </c>
      <c r="Z387" t="s">
        <v>5755</v>
      </c>
      <c r="AA387" t="s">
        <v>6136</v>
      </c>
      <c r="AB387" t="s">
        <v>902</v>
      </c>
      <c r="AC387" t="s">
        <v>905</v>
      </c>
      <c r="AF387" t="s">
        <v>926</v>
      </c>
      <c r="AI387">
        <v>19.31</v>
      </c>
      <c r="AJ387" t="s">
        <v>558</v>
      </c>
      <c r="AK387" t="s">
        <v>934</v>
      </c>
      <c r="AL387" t="s">
        <v>274</v>
      </c>
      <c r="AT387">
        <v>2</v>
      </c>
      <c r="AU387">
        <v>2</v>
      </c>
      <c r="AV387" t="s">
        <v>273</v>
      </c>
      <c r="AY387" t="s">
        <v>273</v>
      </c>
      <c r="BB387">
        <v>0</v>
      </c>
      <c r="BC387">
        <v>0</v>
      </c>
      <c r="BD387">
        <v>0</v>
      </c>
      <c r="BE387">
        <v>0</v>
      </c>
      <c r="BF387" t="s">
        <v>1063</v>
      </c>
      <c r="BG387" t="s">
        <v>6560</v>
      </c>
      <c r="BH387">
        <v>15</v>
      </c>
      <c r="BI387" t="s">
        <v>7070</v>
      </c>
      <c r="BK387">
        <v>1880233</v>
      </c>
    </row>
    <row r="388" spans="1:63">
      <c r="A388" s="1">
        <f>HYPERLINK("https://lsnyc.legalserver.org/matter/dynamic-profile/view/1879624","18-1879624")</f>
        <v>0</v>
      </c>
      <c r="B388" t="s">
        <v>5385</v>
      </c>
      <c r="C388" t="s">
        <v>5625</v>
      </c>
      <c r="D388" t="s">
        <v>253</v>
      </c>
      <c r="E388" t="s">
        <v>3694</v>
      </c>
      <c r="F388" t="s">
        <v>274</v>
      </c>
      <c r="G388" t="s">
        <v>274</v>
      </c>
      <c r="H388">
        <v>14.58</v>
      </c>
      <c r="I388" t="s">
        <v>274</v>
      </c>
      <c r="K388" t="s">
        <v>370</v>
      </c>
      <c r="Q388" t="s">
        <v>501</v>
      </c>
      <c r="S388" t="s">
        <v>503</v>
      </c>
      <c r="T388" t="s">
        <v>508</v>
      </c>
      <c r="U388" t="s">
        <v>511</v>
      </c>
      <c r="V388">
        <v>11412</v>
      </c>
      <c r="W388" t="s">
        <v>524</v>
      </c>
      <c r="Z388" t="s">
        <v>5889</v>
      </c>
      <c r="AA388" t="s">
        <v>6282</v>
      </c>
      <c r="AB388" t="s">
        <v>902</v>
      </c>
      <c r="AC388" t="s">
        <v>905</v>
      </c>
      <c r="AF388" t="s">
        <v>923</v>
      </c>
      <c r="AI388">
        <v>2</v>
      </c>
      <c r="AJ388" t="s">
        <v>558</v>
      </c>
      <c r="AK388" t="s">
        <v>3262</v>
      </c>
      <c r="AL388" t="s">
        <v>274</v>
      </c>
      <c r="AT388">
        <v>1</v>
      </c>
      <c r="AU388">
        <v>1</v>
      </c>
      <c r="AV388" t="s">
        <v>273</v>
      </c>
      <c r="AY388" t="s">
        <v>273</v>
      </c>
      <c r="BB388">
        <v>0</v>
      </c>
      <c r="BC388">
        <v>0</v>
      </c>
      <c r="BD388">
        <v>0</v>
      </c>
      <c r="BE388">
        <v>0</v>
      </c>
      <c r="BF388" t="s">
        <v>1063</v>
      </c>
      <c r="BG388" t="s">
        <v>6749</v>
      </c>
      <c r="BH388">
        <v>30</v>
      </c>
      <c r="BI388" t="s">
        <v>1291</v>
      </c>
      <c r="BK388">
        <v>1869105</v>
      </c>
    </row>
    <row r="389" spans="1:63">
      <c r="A389" s="1">
        <f>HYPERLINK("https://lsnyc.legalserver.org/matter/dynamic-profile/view/1879626","18-1879626")</f>
        <v>0</v>
      </c>
      <c r="B389" t="s">
        <v>5386</v>
      </c>
      <c r="C389" t="s">
        <v>5625</v>
      </c>
      <c r="D389" t="s">
        <v>252</v>
      </c>
      <c r="E389" t="s">
        <v>3694</v>
      </c>
      <c r="F389" t="s">
        <v>274</v>
      </c>
      <c r="G389" t="s">
        <v>274</v>
      </c>
      <c r="H389">
        <v>38.25</v>
      </c>
      <c r="I389" t="s">
        <v>274</v>
      </c>
      <c r="K389" t="s">
        <v>370</v>
      </c>
      <c r="P389" t="s">
        <v>492</v>
      </c>
      <c r="Q389" t="s">
        <v>501</v>
      </c>
      <c r="S389" t="s">
        <v>503</v>
      </c>
      <c r="T389" t="s">
        <v>508</v>
      </c>
      <c r="U389" t="s">
        <v>511</v>
      </c>
      <c r="V389">
        <v>11214</v>
      </c>
      <c r="W389" t="s">
        <v>532</v>
      </c>
      <c r="X389" t="s">
        <v>548</v>
      </c>
      <c r="Z389" t="s">
        <v>1936</v>
      </c>
      <c r="AA389" t="s">
        <v>6283</v>
      </c>
      <c r="AB389" t="s">
        <v>902</v>
      </c>
      <c r="AC389" t="s">
        <v>906</v>
      </c>
      <c r="AF389" t="s">
        <v>923</v>
      </c>
      <c r="AI389">
        <v>4.65</v>
      </c>
      <c r="AJ389" t="s">
        <v>558</v>
      </c>
      <c r="AK389" t="s">
        <v>949</v>
      </c>
      <c r="AL389" t="s">
        <v>274</v>
      </c>
      <c r="AT389">
        <v>3</v>
      </c>
      <c r="AU389">
        <v>1</v>
      </c>
      <c r="AV389" t="s">
        <v>273</v>
      </c>
      <c r="AY389" t="s">
        <v>273</v>
      </c>
      <c r="BB389">
        <v>0</v>
      </c>
      <c r="BC389">
        <v>0</v>
      </c>
      <c r="BD389">
        <v>0</v>
      </c>
      <c r="BE389">
        <v>0</v>
      </c>
      <c r="BF389" t="s">
        <v>1063</v>
      </c>
      <c r="BG389" t="s">
        <v>6750</v>
      </c>
      <c r="BH389">
        <v>39</v>
      </c>
      <c r="BI389" t="s">
        <v>1280</v>
      </c>
      <c r="BK389">
        <v>1880241</v>
      </c>
    </row>
    <row r="390" spans="1:63">
      <c r="A390" s="1">
        <f>HYPERLINK("https://lsnyc.legalserver.org/matter/dynamic-profile/view/1879483","18-1879483")</f>
        <v>0</v>
      </c>
      <c r="B390" t="s">
        <v>5387</v>
      </c>
      <c r="C390" t="s">
        <v>5625</v>
      </c>
      <c r="D390" t="s">
        <v>257</v>
      </c>
      <c r="E390" t="s">
        <v>5630</v>
      </c>
      <c r="F390" t="s">
        <v>274</v>
      </c>
      <c r="G390" t="s">
        <v>274</v>
      </c>
      <c r="H390">
        <v>110.75</v>
      </c>
      <c r="I390" t="s">
        <v>274</v>
      </c>
      <c r="K390" t="s">
        <v>371</v>
      </c>
      <c r="O390" t="s">
        <v>274</v>
      </c>
      <c r="Q390" t="s">
        <v>501</v>
      </c>
      <c r="S390" t="s">
        <v>503</v>
      </c>
      <c r="T390" t="s">
        <v>508</v>
      </c>
      <c r="U390" t="s">
        <v>511</v>
      </c>
      <c r="V390">
        <v>10455</v>
      </c>
      <c r="W390" t="s">
        <v>517</v>
      </c>
      <c r="X390" t="s">
        <v>548</v>
      </c>
      <c r="Y390" t="s">
        <v>275</v>
      </c>
      <c r="Z390" t="s">
        <v>5890</v>
      </c>
      <c r="AA390" t="s">
        <v>6284</v>
      </c>
      <c r="AB390" t="s">
        <v>902</v>
      </c>
      <c r="AC390" t="s">
        <v>904</v>
      </c>
      <c r="AF390" t="s">
        <v>923</v>
      </c>
      <c r="AI390">
        <v>1.4</v>
      </c>
      <c r="AJ390" t="s">
        <v>558</v>
      </c>
      <c r="AK390" t="s">
        <v>934</v>
      </c>
      <c r="AL390" t="s">
        <v>274</v>
      </c>
      <c r="AM390" t="s">
        <v>973</v>
      </c>
      <c r="AN390" t="s">
        <v>339</v>
      </c>
      <c r="AT390">
        <v>0</v>
      </c>
      <c r="AU390">
        <v>3</v>
      </c>
      <c r="AV390" t="s">
        <v>273</v>
      </c>
      <c r="AY390" t="s">
        <v>273</v>
      </c>
      <c r="BB390">
        <v>0</v>
      </c>
      <c r="BC390">
        <v>0</v>
      </c>
      <c r="BD390">
        <v>0</v>
      </c>
      <c r="BE390">
        <v>0</v>
      </c>
      <c r="BF390" t="s">
        <v>1063</v>
      </c>
      <c r="BG390" t="s">
        <v>6751</v>
      </c>
      <c r="BH390">
        <v>81</v>
      </c>
      <c r="BI390" t="s">
        <v>7071</v>
      </c>
      <c r="BK390">
        <v>1880098</v>
      </c>
    </row>
    <row r="391" spans="1:63">
      <c r="A391" s="1">
        <f>HYPERLINK("https://lsnyc.legalserver.org/matter/dynamic-profile/view/1879493","18-1879493")</f>
        <v>0</v>
      </c>
      <c r="B391" t="s">
        <v>5294</v>
      </c>
      <c r="C391" t="s">
        <v>5625</v>
      </c>
      <c r="D391" t="s">
        <v>257</v>
      </c>
      <c r="E391" t="s">
        <v>5630</v>
      </c>
      <c r="F391" t="s">
        <v>274</v>
      </c>
      <c r="G391" t="s">
        <v>274</v>
      </c>
      <c r="H391">
        <v>161.67</v>
      </c>
      <c r="I391" t="s">
        <v>274</v>
      </c>
      <c r="K391" t="s">
        <v>371</v>
      </c>
      <c r="O391" t="s">
        <v>274</v>
      </c>
      <c r="P391" t="s">
        <v>498</v>
      </c>
      <c r="Q391" t="s">
        <v>501</v>
      </c>
      <c r="S391" t="s">
        <v>503</v>
      </c>
      <c r="T391" t="s">
        <v>508</v>
      </c>
      <c r="U391" t="s">
        <v>511</v>
      </c>
      <c r="V391">
        <v>10456</v>
      </c>
      <c r="W391" t="s">
        <v>517</v>
      </c>
      <c r="X391" t="s">
        <v>549</v>
      </c>
      <c r="Y391" t="s">
        <v>274</v>
      </c>
      <c r="Z391" t="s">
        <v>5832</v>
      </c>
      <c r="AA391" t="s">
        <v>6219</v>
      </c>
      <c r="AB391" t="s">
        <v>902</v>
      </c>
      <c r="AC391" t="s">
        <v>904</v>
      </c>
      <c r="AF391" t="s">
        <v>923</v>
      </c>
      <c r="AI391">
        <v>3.7</v>
      </c>
      <c r="AJ391" t="s">
        <v>558</v>
      </c>
      <c r="AK391" t="s">
        <v>6459</v>
      </c>
      <c r="AL391" t="s">
        <v>274</v>
      </c>
      <c r="AT391">
        <v>2</v>
      </c>
      <c r="AU391">
        <v>4</v>
      </c>
      <c r="AV391" t="s">
        <v>273</v>
      </c>
      <c r="AY391" t="s">
        <v>273</v>
      </c>
      <c r="BB391">
        <v>0</v>
      </c>
      <c r="BC391">
        <v>0</v>
      </c>
      <c r="BD391">
        <v>0</v>
      </c>
      <c r="BE391">
        <v>0</v>
      </c>
      <c r="BF391" t="s">
        <v>1063</v>
      </c>
      <c r="BG391" t="s">
        <v>4972</v>
      </c>
      <c r="BH391">
        <v>40</v>
      </c>
      <c r="BI391" t="s">
        <v>7042</v>
      </c>
      <c r="BK391">
        <v>98288</v>
      </c>
    </row>
    <row r="392" spans="1:63">
      <c r="A392" s="1">
        <f>HYPERLINK("https://lsnyc.legalserver.org/matter/dynamic-profile/view/1879559","18-1879559")</f>
        <v>0</v>
      </c>
      <c r="B392" t="s">
        <v>5388</v>
      </c>
      <c r="C392" t="s">
        <v>5625</v>
      </c>
      <c r="D392" t="s">
        <v>257</v>
      </c>
      <c r="E392" t="s">
        <v>3694</v>
      </c>
      <c r="F392" t="s">
        <v>274</v>
      </c>
      <c r="G392" t="s">
        <v>274</v>
      </c>
      <c r="H392">
        <v>172.11</v>
      </c>
      <c r="I392" t="s">
        <v>274</v>
      </c>
      <c r="K392" t="s">
        <v>371</v>
      </c>
      <c r="O392" t="s">
        <v>274</v>
      </c>
      <c r="Q392" t="s">
        <v>501</v>
      </c>
      <c r="S392" t="s">
        <v>503</v>
      </c>
      <c r="T392" t="s">
        <v>508</v>
      </c>
      <c r="U392" t="s">
        <v>511</v>
      </c>
      <c r="V392">
        <v>10474</v>
      </c>
      <c r="W392" t="s">
        <v>517</v>
      </c>
      <c r="X392" t="s">
        <v>548</v>
      </c>
      <c r="Y392" t="s">
        <v>275</v>
      </c>
      <c r="Z392" t="s">
        <v>593</v>
      </c>
      <c r="AA392" t="s">
        <v>6285</v>
      </c>
      <c r="AB392" t="s">
        <v>902</v>
      </c>
      <c r="AC392" t="s">
        <v>904</v>
      </c>
      <c r="AF392" t="s">
        <v>923</v>
      </c>
      <c r="AI392">
        <v>5</v>
      </c>
      <c r="AJ392" t="s">
        <v>558</v>
      </c>
      <c r="AK392" t="s">
        <v>941</v>
      </c>
      <c r="AL392" t="s">
        <v>274</v>
      </c>
      <c r="AT392">
        <v>2</v>
      </c>
      <c r="AU392">
        <v>2</v>
      </c>
      <c r="AV392" t="s">
        <v>273</v>
      </c>
      <c r="AY392" t="s">
        <v>273</v>
      </c>
      <c r="BB392">
        <v>0</v>
      </c>
      <c r="BC392">
        <v>0</v>
      </c>
      <c r="BD392">
        <v>0</v>
      </c>
      <c r="BE392">
        <v>0</v>
      </c>
      <c r="BF392" t="s">
        <v>1063</v>
      </c>
      <c r="BG392" t="s">
        <v>4128</v>
      </c>
      <c r="BH392">
        <v>31</v>
      </c>
      <c r="BI392" t="s">
        <v>2806</v>
      </c>
      <c r="BK392">
        <v>1880174</v>
      </c>
    </row>
    <row r="393" spans="1:63">
      <c r="A393" s="1">
        <f>HYPERLINK("https://lsnyc.legalserver.org/matter/dynamic-profile/view/1879378","18-1879378")</f>
        <v>0</v>
      </c>
      <c r="B393" t="s">
        <v>5389</v>
      </c>
      <c r="C393" t="s">
        <v>5625</v>
      </c>
      <c r="D393" t="s">
        <v>257</v>
      </c>
      <c r="E393" t="s">
        <v>3694</v>
      </c>
      <c r="F393" t="s">
        <v>274</v>
      </c>
      <c r="G393" t="s">
        <v>274</v>
      </c>
      <c r="H393">
        <v>0</v>
      </c>
      <c r="I393" t="s">
        <v>274</v>
      </c>
      <c r="K393" t="s">
        <v>372</v>
      </c>
      <c r="L393" t="s">
        <v>452</v>
      </c>
      <c r="P393" t="s">
        <v>493</v>
      </c>
      <c r="Q393" t="s">
        <v>501</v>
      </c>
      <c r="S393" t="s">
        <v>503</v>
      </c>
      <c r="T393" t="s">
        <v>508</v>
      </c>
      <c r="U393" t="s">
        <v>511</v>
      </c>
      <c r="V393">
        <v>10468</v>
      </c>
      <c r="W393" t="s">
        <v>524</v>
      </c>
      <c r="X393" t="s">
        <v>548</v>
      </c>
      <c r="Y393" t="s">
        <v>275</v>
      </c>
      <c r="Z393" t="s">
        <v>5891</v>
      </c>
      <c r="AA393" t="s">
        <v>6286</v>
      </c>
      <c r="AB393" t="s">
        <v>902</v>
      </c>
      <c r="AC393" t="s">
        <v>906</v>
      </c>
      <c r="AD393" t="s">
        <v>274</v>
      </c>
      <c r="AE393" t="s">
        <v>919</v>
      </c>
      <c r="AF393" t="s">
        <v>923</v>
      </c>
      <c r="AI393">
        <v>3.1</v>
      </c>
      <c r="AJ393" t="s">
        <v>558</v>
      </c>
      <c r="AK393" t="s">
        <v>933</v>
      </c>
      <c r="AL393" t="s">
        <v>274</v>
      </c>
      <c r="AM393" t="s">
        <v>973</v>
      </c>
      <c r="AN393" t="s">
        <v>3702</v>
      </c>
      <c r="AQ393" t="s">
        <v>1043</v>
      </c>
      <c r="AR393" t="s">
        <v>1051</v>
      </c>
      <c r="AT393">
        <v>7</v>
      </c>
      <c r="AU393">
        <v>1</v>
      </c>
      <c r="AV393" t="s">
        <v>273</v>
      </c>
      <c r="AY393" t="s">
        <v>273</v>
      </c>
      <c r="BB393">
        <v>0</v>
      </c>
      <c r="BC393">
        <v>0</v>
      </c>
      <c r="BD393">
        <v>0</v>
      </c>
      <c r="BE393">
        <v>0</v>
      </c>
      <c r="BF393" t="s">
        <v>493</v>
      </c>
      <c r="BG393" t="s">
        <v>6752</v>
      </c>
      <c r="BH393">
        <v>32</v>
      </c>
      <c r="BI393" t="s">
        <v>1247</v>
      </c>
      <c r="BK393">
        <v>730454</v>
      </c>
    </row>
    <row r="394" spans="1:63">
      <c r="A394" s="1">
        <f>HYPERLINK("https://lsnyc.legalserver.org/matter/dynamic-profile/view/1879319","18-1879319")</f>
        <v>0</v>
      </c>
      <c r="B394" t="s">
        <v>5390</v>
      </c>
      <c r="C394" t="s">
        <v>5625</v>
      </c>
      <c r="D394" t="s">
        <v>252</v>
      </c>
      <c r="E394" t="s">
        <v>5630</v>
      </c>
      <c r="F394" t="s">
        <v>274</v>
      </c>
      <c r="G394" t="s">
        <v>274</v>
      </c>
      <c r="H394">
        <v>54.68</v>
      </c>
      <c r="I394" t="s">
        <v>274</v>
      </c>
      <c r="K394" t="s">
        <v>372</v>
      </c>
      <c r="M394" t="s">
        <v>474</v>
      </c>
      <c r="N394" t="s">
        <v>491</v>
      </c>
      <c r="O394" t="s">
        <v>274</v>
      </c>
      <c r="P394" t="s">
        <v>498</v>
      </c>
      <c r="Q394" t="s">
        <v>501</v>
      </c>
      <c r="S394" t="s">
        <v>503</v>
      </c>
      <c r="T394" t="s">
        <v>508</v>
      </c>
      <c r="U394" t="s">
        <v>511</v>
      </c>
      <c r="V394">
        <v>11208</v>
      </c>
      <c r="W394" t="s">
        <v>517</v>
      </c>
      <c r="X394" t="s">
        <v>548</v>
      </c>
      <c r="Y394" t="s">
        <v>275</v>
      </c>
      <c r="Z394" t="s">
        <v>1957</v>
      </c>
      <c r="AA394" t="s">
        <v>6287</v>
      </c>
      <c r="AB394" t="s">
        <v>902</v>
      </c>
      <c r="AC394" t="s">
        <v>904</v>
      </c>
      <c r="AF394" t="s">
        <v>923</v>
      </c>
      <c r="AI394">
        <v>5.15</v>
      </c>
      <c r="AJ394" t="s">
        <v>558</v>
      </c>
      <c r="AK394" t="s">
        <v>950</v>
      </c>
      <c r="AL394" t="s">
        <v>274</v>
      </c>
      <c r="AM394" t="s">
        <v>973</v>
      </c>
      <c r="AN394" t="s">
        <v>990</v>
      </c>
      <c r="AT394">
        <v>0</v>
      </c>
      <c r="AU394">
        <v>2</v>
      </c>
      <c r="AV394" t="s">
        <v>273</v>
      </c>
      <c r="AY394" t="s">
        <v>273</v>
      </c>
      <c r="BB394">
        <v>0</v>
      </c>
      <c r="BC394">
        <v>0</v>
      </c>
      <c r="BD394">
        <v>0</v>
      </c>
      <c r="BE394">
        <v>0</v>
      </c>
      <c r="BF394" t="s">
        <v>1063</v>
      </c>
      <c r="BG394" t="s">
        <v>6753</v>
      </c>
      <c r="BH394">
        <v>57</v>
      </c>
      <c r="BI394" t="s">
        <v>2724</v>
      </c>
      <c r="BK394">
        <v>1871460</v>
      </c>
    </row>
    <row r="395" spans="1:63">
      <c r="A395" s="1">
        <f>HYPERLINK("https://lsnyc.legalserver.org/matter/dynamic-profile/view/1879370","18-1879370")</f>
        <v>0</v>
      </c>
      <c r="B395" t="s">
        <v>5391</v>
      </c>
      <c r="C395" t="s">
        <v>5625</v>
      </c>
      <c r="D395" t="s">
        <v>257</v>
      </c>
      <c r="E395" t="s">
        <v>3694</v>
      </c>
      <c r="F395" t="s">
        <v>274</v>
      </c>
      <c r="G395" t="s">
        <v>274</v>
      </c>
      <c r="H395">
        <v>33.69</v>
      </c>
      <c r="I395" t="s">
        <v>274</v>
      </c>
      <c r="K395" t="s">
        <v>372</v>
      </c>
      <c r="Q395" t="s">
        <v>501</v>
      </c>
      <c r="S395" t="s">
        <v>503</v>
      </c>
      <c r="T395" t="s">
        <v>508</v>
      </c>
      <c r="U395" t="s">
        <v>511</v>
      </c>
      <c r="V395">
        <v>10452</v>
      </c>
      <c r="W395" t="s">
        <v>524</v>
      </c>
      <c r="X395" t="s">
        <v>548</v>
      </c>
      <c r="Z395" t="s">
        <v>5890</v>
      </c>
      <c r="AA395" t="s">
        <v>2168</v>
      </c>
      <c r="AB395" t="s">
        <v>902</v>
      </c>
      <c r="AC395" t="s">
        <v>906</v>
      </c>
      <c r="AF395" t="s">
        <v>923</v>
      </c>
      <c r="AI395">
        <v>3</v>
      </c>
      <c r="AJ395" t="s">
        <v>558</v>
      </c>
      <c r="AK395" t="s">
        <v>936</v>
      </c>
      <c r="AL395" t="s">
        <v>274</v>
      </c>
      <c r="AT395">
        <v>2</v>
      </c>
      <c r="AU395">
        <v>1</v>
      </c>
      <c r="AV395" t="s">
        <v>273</v>
      </c>
      <c r="AY395" t="s">
        <v>273</v>
      </c>
      <c r="BB395">
        <v>0</v>
      </c>
      <c r="BC395">
        <v>0</v>
      </c>
      <c r="BD395">
        <v>0</v>
      </c>
      <c r="BE395">
        <v>0</v>
      </c>
      <c r="BF395" t="s">
        <v>1063</v>
      </c>
      <c r="BG395" t="s">
        <v>6754</v>
      </c>
      <c r="BH395">
        <v>43</v>
      </c>
      <c r="BI395" t="s">
        <v>7038</v>
      </c>
      <c r="BK395">
        <v>97287</v>
      </c>
    </row>
    <row r="396" spans="1:63">
      <c r="A396" s="1">
        <f>HYPERLINK("https://lsnyc.legalserver.org/matter/dynamic-profile/view/1879401","18-1879401")</f>
        <v>0</v>
      </c>
      <c r="B396" t="s">
        <v>5392</v>
      </c>
      <c r="C396" t="s">
        <v>5625</v>
      </c>
      <c r="D396" t="s">
        <v>257</v>
      </c>
      <c r="E396" t="s">
        <v>3694</v>
      </c>
      <c r="F396" t="s">
        <v>274</v>
      </c>
      <c r="G396" t="s">
        <v>274</v>
      </c>
      <c r="H396">
        <v>19.25</v>
      </c>
      <c r="I396" t="s">
        <v>274</v>
      </c>
      <c r="K396" t="s">
        <v>372</v>
      </c>
      <c r="O396" t="s">
        <v>274</v>
      </c>
      <c r="P396" t="s">
        <v>498</v>
      </c>
      <c r="Q396" t="s">
        <v>501</v>
      </c>
      <c r="S396" t="s">
        <v>503</v>
      </c>
      <c r="T396" t="s">
        <v>507</v>
      </c>
      <c r="U396" t="s">
        <v>511</v>
      </c>
      <c r="V396">
        <v>10454</v>
      </c>
      <c r="W396" t="s">
        <v>517</v>
      </c>
      <c r="X396" t="s">
        <v>548</v>
      </c>
      <c r="Y396" t="s">
        <v>275</v>
      </c>
      <c r="Z396" t="s">
        <v>2079</v>
      </c>
      <c r="AA396" t="s">
        <v>2305</v>
      </c>
      <c r="AB396" t="s">
        <v>902</v>
      </c>
      <c r="AC396" t="s">
        <v>904</v>
      </c>
      <c r="AF396" t="s">
        <v>923</v>
      </c>
      <c r="AI396">
        <v>1.9</v>
      </c>
      <c r="AJ396" t="s">
        <v>558</v>
      </c>
      <c r="AK396" t="s">
        <v>949</v>
      </c>
      <c r="AL396" t="s">
        <v>274</v>
      </c>
      <c r="AT396">
        <v>0</v>
      </c>
      <c r="AU396">
        <v>3</v>
      </c>
      <c r="AV396" t="s">
        <v>273</v>
      </c>
      <c r="AY396" t="s">
        <v>273</v>
      </c>
      <c r="BB396">
        <v>0</v>
      </c>
      <c r="BC396">
        <v>0</v>
      </c>
      <c r="BD396">
        <v>0</v>
      </c>
      <c r="BE396">
        <v>0</v>
      </c>
      <c r="BF396" t="s">
        <v>1063</v>
      </c>
      <c r="BG396" t="s">
        <v>6755</v>
      </c>
      <c r="BH396">
        <v>18</v>
      </c>
      <c r="BI396" t="s">
        <v>1269</v>
      </c>
      <c r="BK396">
        <v>1880016</v>
      </c>
    </row>
    <row r="397" spans="1:63">
      <c r="A397" s="1">
        <f>HYPERLINK("https://lsnyc.legalserver.org/matter/dynamic-profile/view/1879429","18-1879429")</f>
        <v>0</v>
      </c>
      <c r="B397" t="s">
        <v>5393</v>
      </c>
      <c r="C397" t="s">
        <v>5625</v>
      </c>
      <c r="D397" t="s">
        <v>257</v>
      </c>
      <c r="E397" t="s">
        <v>5630</v>
      </c>
      <c r="F397" t="s">
        <v>274</v>
      </c>
      <c r="G397" t="s">
        <v>274</v>
      </c>
      <c r="H397">
        <v>0</v>
      </c>
      <c r="I397" t="s">
        <v>274</v>
      </c>
      <c r="K397" t="s">
        <v>372</v>
      </c>
      <c r="O397" t="s">
        <v>274</v>
      </c>
      <c r="P397" t="s">
        <v>498</v>
      </c>
      <c r="Q397" t="s">
        <v>501</v>
      </c>
      <c r="S397" t="s">
        <v>503</v>
      </c>
      <c r="T397" t="s">
        <v>508</v>
      </c>
      <c r="U397" t="s">
        <v>511</v>
      </c>
      <c r="V397">
        <v>10469</v>
      </c>
      <c r="W397" t="s">
        <v>536</v>
      </c>
      <c r="X397" t="s">
        <v>549</v>
      </c>
      <c r="Z397" t="s">
        <v>5892</v>
      </c>
      <c r="AA397" t="s">
        <v>6288</v>
      </c>
      <c r="AB397" t="s">
        <v>902</v>
      </c>
      <c r="AC397" t="s">
        <v>905</v>
      </c>
      <c r="AF397" t="s">
        <v>923</v>
      </c>
      <c r="AI397">
        <v>14</v>
      </c>
      <c r="AJ397" t="s">
        <v>558</v>
      </c>
      <c r="AK397" t="s">
        <v>939</v>
      </c>
      <c r="AL397" t="s">
        <v>274</v>
      </c>
      <c r="AT397">
        <v>5</v>
      </c>
      <c r="AU397">
        <v>1</v>
      </c>
      <c r="AV397" t="s">
        <v>273</v>
      </c>
      <c r="AY397" t="s">
        <v>273</v>
      </c>
      <c r="BB397">
        <v>0</v>
      </c>
      <c r="BC397">
        <v>0</v>
      </c>
      <c r="BD397">
        <v>0</v>
      </c>
      <c r="BE397">
        <v>0</v>
      </c>
      <c r="BF397" t="s">
        <v>1063</v>
      </c>
      <c r="BG397" t="s">
        <v>6756</v>
      </c>
      <c r="BH397">
        <v>29</v>
      </c>
      <c r="BI397" t="s">
        <v>1247</v>
      </c>
      <c r="BK397">
        <v>1880044</v>
      </c>
    </row>
    <row r="398" spans="1:63">
      <c r="A398" s="1">
        <f>HYPERLINK("https://lsnyc.legalserver.org/matter/dynamic-profile/view/1879249","18-1879249")</f>
        <v>0</v>
      </c>
      <c r="B398" t="s">
        <v>5394</v>
      </c>
      <c r="C398" t="s">
        <v>5625</v>
      </c>
      <c r="D398" t="s">
        <v>257</v>
      </c>
      <c r="E398" t="s">
        <v>5630</v>
      </c>
      <c r="F398" t="s">
        <v>274</v>
      </c>
      <c r="G398" t="s">
        <v>274</v>
      </c>
      <c r="H398">
        <v>74.59</v>
      </c>
      <c r="I398" t="s">
        <v>274</v>
      </c>
      <c r="K398" t="s">
        <v>5637</v>
      </c>
      <c r="O398" t="s">
        <v>274</v>
      </c>
      <c r="P398" t="s">
        <v>498</v>
      </c>
      <c r="Q398" t="s">
        <v>501</v>
      </c>
      <c r="S398" t="s">
        <v>503</v>
      </c>
      <c r="T398" t="s">
        <v>507</v>
      </c>
      <c r="U398" t="s">
        <v>511</v>
      </c>
      <c r="V398">
        <v>10465</v>
      </c>
      <c r="W398" t="s">
        <v>517</v>
      </c>
      <c r="X398" t="s">
        <v>548</v>
      </c>
      <c r="Y398" t="s">
        <v>275</v>
      </c>
      <c r="Z398" t="s">
        <v>1967</v>
      </c>
      <c r="AA398" t="s">
        <v>6289</v>
      </c>
      <c r="AB398" t="s">
        <v>902</v>
      </c>
      <c r="AC398" t="s">
        <v>904</v>
      </c>
      <c r="AF398" t="s">
        <v>923</v>
      </c>
      <c r="AI398">
        <v>3.2</v>
      </c>
      <c r="AJ398" t="s">
        <v>558</v>
      </c>
      <c r="AK398" t="s">
        <v>949</v>
      </c>
      <c r="AL398" t="s">
        <v>274</v>
      </c>
      <c r="AT398">
        <v>1</v>
      </c>
      <c r="AU398">
        <v>2</v>
      </c>
      <c r="AV398" t="s">
        <v>273</v>
      </c>
      <c r="AY398" t="s">
        <v>273</v>
      </c>
      <c r="BB398">
        <v>0</v>
      </c>
      <c r="BC398">
        <v>0</v>
      </c>
      <c r="BD398">
        <v>0</v>
      </c>
      <c r="BE398">
        <v>0</v>
      </c>
      <c r="BF398" t="s">
        <v>1063</v>
      </c>
      <c r="BG398" t="s">
        <v>6757</v>
      </c>
      <c r="BH398">
        <v>18</v>
      </c>
      <c r="BI398" t="s">
        <v>7045</v>
      </c>
      <c r="BK398">
        <v>1879864</v>
      </c>
    </row>
    <row r="399" spans="1:63">
      <c r="A399" s="1">
        <f>HYPERLINK("https://lsnyc.legalserver.org/matter/dynamic-profile/view/1878906","18-1878906")</f>
        <v>0</v>
      </c>
      <c r="B399" t="s">
        <v>5395</v>
      </c>
      <c r="C399" t="s">
        <v>5625</v>
      </c>
      <c r="D399" t="s">
        <v>252</v>
      </c>
      <c r="E399" t="s">
        <v>3694</v>
      </c>
      <c r="F399" t="s">
        <v>274</v>
      </c>
      <c r="G399" t="s">
        <v>274</v>
      </c>
      <c r="H399">
        <v>145.81</v>
      </c>
      <c r="I399" t="s">
        <v>274</v>
      </c>
      <c r="K399" t="s">
        <v>1732</v>
      </c>
      <c r="O399" t="s">
        <v>275</v>
      </c>
      <c r="Q399" t="s">
        <v>501</v>
      </c>
      <c r="S399" t="s">
        <v>503</v>
      </c>
      <c r="T399" t="s">
        <v>507</v>
      </c>
      <c r="U399" t="s">
        <v>511</v>
      </c>
      <c r="V399">
        <v>11235</v>
      </c>
      <c r="W399" t="s">
        <v>521</v>
      </c>
      <c r="X399" t="s">
        <v>553</v>
      </c>
      <c r="Z399" t="s">
        <v>616</v>
      </c>
      <c r="AA399" t="s">
        <v>6290</v>
      </c>
      <c r="AB399" t="s">
        <v>902</v>
      </c>
      <c r="AC399" t="s">
        <v>905</v>
      </c>
      <c r="AF399" t="s">
        <v>923</v>
      </c>
      <c r="AI399">
        <v>9.800000000000001</v>
      </c>
      <c r="AJ399" t="s">
        <v>558</v>
      </c>
      <c r="AK399" t="s">
        <v>948</v>
      </c>
      <c r="AL399" t="s">
        <v>274</v>
      </c>
      <c r="AT399">
        <v>0</v>
      </c>
      <c r="AU399">
        <v>2</v>
      </c>
      <c r="AV399" t="s">
        <v>273</v>
      </c>
      <c r="AY399" t="s">
        <v>273</v>
      </c>
      <c r="BB399">
        <v>0</v>
      </c>
      <c r="BC399">
        <v>0</v>
      </c>
      <c r="BD399">
        <v>0</v>
      </c>
      <c r="BE399">
        <v>0</v>
      </c>
      <c r="BF399" t="s">
        <v>1063</v>
      </c>
      <c r="BG399" t="s">
        <v>6758</v>
      </c>
      <c r="BH399">
        <v>26</v>
      </c>
      <c r="BI399" t="s">
        <v>1259</v>
      </c>
      <c r="BK399">
        <v>1878426</v>
      </c>
    </row>
    <row r="400" spans="1:63">
      <c r="A400" s="1">
        <f>HYPERLINK("https://lsnyc.legalserver.org/matter/dynamic-profile/view/1878773","18-1878773")</f>
        <v>0</v>
      </c>
      <c r="B400" t="s">
        <v>5396</v>
      </c>
      <c r="C400" t="s">
        <v>5625</v>
      </c>
      <c r="D400" t="s">
        <v>253</v>
      </c>
      <c r="E400" t="s">
        <v>3694</v>
      </c>
      <c r="F400" t="s">
        <v>274</v>
      </c>
      <c r="G400" t="s">
        <v>274</v>
      </c>
      <c r="H400">
        <v>199.2</v>
      </c>
      <c r="I400" t="s">
        <v>274</v>
      </c>
      <c r="K400" t="s">
        <v>374</v>
      </c>
      <c r="L400" t="s">
        <v>457</v>
      </c>
      <c r="O400" t="s">
        <v>275</v>
      </c>
      <c r="Q400" t="s">
        <v>501</v>
      </c>
      <c r="S400" t="s">
        <v>503</v>
      </c>
      <c r="T400" t="s">
        <v>508</v>
      </c>
      <c r="U400" t="s">
        <v>511</v>
      </c>
      <c r="V400">
        <v>11417</v>
      </c>
      <c r="W400" t="s">
        <v>521</v>
      </c>
      <c r="X400" t="s">
        <v>548</v>
      </c>
      <c r="Y400" t="s">
        <v>275</v>
      </c>
      <c r="Z400" t="s">
        <v>5893</v>
      </c>
      <c r="AA400" t="s">
        <v>6291</v>
      </c>
      <c r="AB400" t="s">
        <v>902</v>
      </c>
      <c r="AC400" t="s">
        <v>905</v>
      </c>
      <c r="AD400" t="s">
        <v>275</v>
      </c>
      <c r="AE400" t="s">
        <v>919</v>
      </c>
      <c r="AF400" t="s">
        <v>923</v>
      </c>
      <c r="AI400">
        <v>4.6</v>
      </c>
      <c r="AJ400" t="s">
        <v>558</v>
      </c>
      <c r="AK400" t="s">
        <v>947</v>
      </c>
      <c r="AL400" t="s">
        <v>274</v>
      </c>
      <c r="AQ400" t="s">
        <v>1039</v>
      </c>
      <c r="AR400" t="s">
        <v>1051</v>
      </c>
      <c r="AT400">
        <v>2</v>
      </c>
      <c r="AU400">
        <v>2</v>
      </c>
      <c r="AV400" t="s">
        <v>273</v>
      </c>
      <c r="AY400" t="s">
        <v>273</v>
      </c>
      <c r="BB400">
        <v>0</v>
      </c>
      <c r="BC400">
        <v>0</v>
      </c>
      <c r="BD400">
        <v>0</v>
      </c>
      <c r="BE400">
        <v>0</v>
      </c>
      <c r="BF400" t="s">
        <v>493</v>
      </c>
      <c r="BG400" t="s">
        <v>6759</v>
      </c>
      <c r="BH400">
        <v>25</v>
      </c>
      <c r="BI400" t="s">
        <v>2770</v>
      </c>
      <c r="BK400">
        <v>1879388</v>
      </c>
    </row>
    <row r="401" spans="1:63">
      <c r="A401" s="1">
        <f>HYPERLINK("https://lsnyc.legalserver.org/matter/dynamic-profile/view/1878711","18-1878711")</f>
        <v>0</v>
      </c>
      <c r="B401" t="s">
        <v>5397</v>
      </c>
      <c r="C401" t="s">
        <v>5625</v>
      </c>
      <c r="D401" t="s">
        <v>252</v>
      </c>
      <c r="E401" t="s">
        <v>5630</v>
      </c>
      <c r="F401" t="s">
        <v>274</v>
      </c>
      <c r="G401" t="s">
        <v>274</v>
      </c>
      <c r="H401">
        <v>54.68</v>
      </c>
      <c r="I401" t="s">
        <v>274</v>
      </c>
      <c r="K401" t="s">
        <v>3708</v>
      </c>
      <c r="O401" t="s">
        <v>274</v>
      </c>
      <c r="Q401" t="s">
        <v>501</v>
      </c>
      <c r="S401" t="s">
        <v>503</v>
      </c>
      <c r="T401" t="s">
        <v>508</v>
      </c>
      <c r="U401" t="s">
        <v>511</v>
      </c>
      <c r="V401">
        <v>11225</v>
      </c>
      <c r="W401" t="s">
        <v>517</v>
      </c>
      <c r="X401" t="s">
        <v>549</v>
      </c>
      <c r="Z401" t="s">
        <v>5894</v>
      </c>
      <c r="AA401" t="s">
        <v>6292</v>
      </c>
      <c r="AB401" t="s">
        <v>902</v>
      </c>
      <c r="AC401" t="s">
        <v>904</v>
      </c>
      <c r="AF401" t="s">
        <v>923</v>
      </c>
      <c r="AI401">
        <v>2.8</v>
      </c>
      <c r="AJ401" t="s">
        <v>558</v>
      </c>
      <c r="AK401" t="s">
        <v>950</v>
      </c>
      <c r="AL401" t="s">
        <v>274</v>
      </c>
      <c r="AM401" t="s">
        <v>973</v>
      </c>
      <c r="AN401" t="s">
        <v>1021</v>
      </c>
      <c r="AT401">
        <v>0</v>
      </c>
      <c r="AU401">
        <v>2</v>
      </c>
      <c r="AV401" t="s">
        <v>273</v>
      </c>
      <c r="AY401" t="s">
        <v>273</v>
      </c>
      <c r="BB401">
        <v>0</v>
      </c>
      <c r="BC401">
        <v>0</v>
      </c>
      <c r="BD401">
        <v>0</v>
      </c>
      <c r="BE401">
        <v>0</v>
      </c>
      <c r="BF401" t="s">
        <v>1063</v>
      </c>
      <c r="BG401" t="s">
        <v>6760</v>
      </c>
      <c r="BH401">
        <v>18</v>
      </c>
      <c r="BI401" t="s">
        <v>2724</v>
      </c>
      <c r="BK401">
        <v>1879326</v>
      </c>
    </row>
    <row r="402" spans="1:63">
      <c r="A402" s="1">
        <f>HYPERLINK("https://lsnyc.legalserver.org/matter/dynamic-profile/view/1878547","18-1878547")</f>
        <v>0</v>
      </c>
      <c r="B402" t="s">
        <v>5398</v>
      </c>
      <c r="C402" t="s">
        <v>5625</v>
      </c>
      <c r="D402" t="s">
        <v>257</v>
      </c>
      <c r="E402" t="s">
        <v>3694</v>
      </c>
      <c r="F402" t="s">
        <v>274</v>
      </c>
      <c r="G402" t="s">
        <v>274</v>
      </c>
      <c r="H402">
        <v>0</v>
      </c>
      <c r="I402" t="s">
        <v>274</v>
      </c>
      <c r="K402" t="s">
        <v>1733</v>
      </c>
      <c r="O402" t="s">
        <v>275</v>
      </c>
      <c r="P402" t="s">
        <v>498</v>
      </c>
      <c r="Q402" t="s">
        <v>501</v>
      </c>
      <c r="S402" t="s">
        <v>503</v>
      </c>
      <c r="T402" t="s">
        <v>508</v>
      </c>
      <c r="U402" t="s">
        <v>511</v>
      </c>
      <c r="V402">
        <v>10455</v>
      </c>
      <c r="W402" t="s">
        <v>521</v>
      </c>
      <c r="X402" t="s">
        <v>557</v>
      </c>
      <c r="Z402" t="s">
        <v>5895</v>
      </c>
      <c r="AA402" t="s">
        <v>6293</v>
      </c>
      <c r="AB402" t="s">
        <v>902</v>
      </c>
      <c r="AC402" t="s">
        <v>905</v>
      </c>
      <c r="AF402" t="s">
        <v>923</v>
      </c>
      <c r="AI402">
        <v>2.55</v>
      </c>
      <c r="AJ402" t="s">
        <v>558</v>
      </c>
      <c r="AK402" t="s">
        <v>6461</v>
      </c>
      <c r="AL402" t="s">
        <v>274</v>
      </c>
      <c r="AT402">
        <v>0</v>
      </c>
      <c r="AU402">
        <v>1</v>
      </c>
      <c r="AV402" t="s">
        <v>273</v>
      </c>
      <c r="AY402" t="s">
        <v>273</v>
      </c>
      <c r="BB402">
        <v>0</v>
      </c>
      <c r="BC402">
        <v>0</v>
      </c>
      <c r="BD402">
        <v>0</v>
      </c>
      <c r="BE402">
        <v>0</v>
      </c>
      <c r="BF402" t="s">
        <v>1063</v>
      </c>
      <c r="BG402" t="s">
        <v>6761</v>
      </c>
      <c r="BH402">
        <v>39</v>
      </c>
      <c r="BI402" t="s">
        <v>1247</v>
      </c>
      <c r="BK402">
        <v>1879162</v>
      </c>
    </row>
    <row r="403" spans="1:63">
      <c r="A403" s="1">
        <f>HYPERLINK("https://lsnyc.legalserver.org/matter/dynamic-profile/view/1878093","18-1878093")</f>
        <v>0</v>
      </c>
      <c r="B403" t="s">
        <v>5399</v>
      </c>
      <c r="C403" t="s">
        <v>5625</v>
      </c>
      <c r="D403" t="s">
        <v>255</v>
      </c>
      <c r="E403" t="s">
        <v>3694</v>
      </c>
      <c r="F403" t="s">
        <v>274</v>
      </c>
      <c r="G403" t="s">
        <v>274</v>
      </c>
      <c r="H403">
        <v>104.09</v>
      </c>
      <c r="I403" t="s">
        <v>274</v>
      </c>
      <c r="K403" t="s">
        <v>375</v>
      </c>
      <c r="O403" t="s">
        <v>274</v>
      </c>
      <c r="Q403" t="s">
        <v>501</v>
      </c>
      <c r="S403" t="s">
        <v>503</v>
      </c>
      <c r="T403" t="s">
        <v>507</v>
      </c>
      <c r="U403" t="s">
        <v>511</v>
      </c>
      <c r="V403">
        <v>10035</v>
      </c>
      <c r="W403" t="s">
        <v>517</v>
      </c>
      <c r="X403" t="s">
        <v>548</v>
      </c>
      <c r="Y403" t="s">
        <v>274</v>
      </c>
      <c r="Z403" t="s">
        <v>5896</v>
      </c>
      <c r="AA403" t="s">
        <v>6294</v>
      </c>
      <c r="AB403" t="s">
        <v>902</v>
      </c>
      <c r="AC403" t="s">
        <v>904</v>
      </c>
      <c r="AF403" t="s">
        <v>923</v>
      </c>
      <c r="AI403">
        <v>2.5</v>
      </c>
      <c r="AJ403" t="s">
        <v>558</v>
      </c>
      <c r="AK403" t="s">
        <v>934</v>
      </c>
      <c r="AL403" t="s">
        <v>274</v>
      </c>
      <c r="AT403">
        <v>0</v>
      </c>
      <c r="AU403">
        <v>1</v>
      </c>
      <c r="AV403" t="s">
        <v>273</v>
      </c>
      <c r="AY403" t="s">
        <v>273</v>
      </c>
      <c r="BB403">
        <v>0</v>
      </c>
      <c r="BC403">
        <v>0</v>
      </c>
      <c r="BD403">
        <v>0</v>
      </c>
      <c r="BE403">
        <v>0</v>
      </c>
      <c r="BF403" t="s">
        <v>1063</v>
      </c>
      <c r="BG403" t="s">
        <v>6762</v>
      </c>
      <c r="BH403">
        <v>69</v>
      </c>
      <c r="BI403" t="s">
        <v>7072</v>
      </c>
      <c r="BK403">
        <v>1878707</v>
      </c>
    </row>
    <row r="404" spans="1:63">
      <c r="A404" s="1">
        <f>HYPERLINK("https://lsnyc.legalserver.org/matter/dynamic-profile/view/1878110","18-1878110")</f>
        <v>0</v>
      </c>
      <c r="B404" t="s">
        <v>5336</v>
      </c>
      <c r="C404" t="s">
        <v>5625</v>
      </c>
      <c r="D404" t="s">
        <v>252</v>
      </c>
      <c r="E404" t="s">
        <v>3694</v>
      </c>
      <c r="F404" t="s">
        <v>274</v>
      </c>
      <c r="G404" t="s">
        <v>274</v>
      </c>
      <c r="H404">
        <v>37.54</v>
      </c>
      <c r="I404" t="s">
        <v>274</v>
      </c>
      <c r="K404" t="s">
        <v>375</v>
      </c>
      <c r="O404" t="s">
        <v>274</v>
      </c>
      <c r="P404" t="s">
        <v>494</v>
      </c>
      <c r="Q404" t="s">
        <v>501</v>
      </c>
      <c r="S404" t="s">
        <v>503</v>
      </c>
      <c r="T404" t="s">
        <v>508</v>
      </c>
      <c r="U404" t="s">
        <v>511</v>
      </c>
      <c r="V404">
        <v>11233</v>
      </c>
      <c r="W404" t="s">
        <v>517</v>
      </c>
      <c r="X404" t="s">
        <v>549</v>
      </c>
      <c r="Y404" t="s">
        <v>275</v>
      </c>
      <c r="Z404" t="s">
        <v>5860</v>
      </c>
      <c r="AA404" t="s">
        <v>6069</v>
      </c>
      <c r="AB404" t="s">
        <v>902</v>
      </c>
      <c r="AC404" t="s">
        <v>904</v>
      </c>
      <c r="AF404" t="s">
        <v>923</v>
      </c>
      <c r="AI404">
        <v>2.4</v>
      </c>
      <c r="AJ404" t="s">
        <v>558</v>
      </c>
      <c r="AK404" t="s">
        <v>939</v>
      </c>
      <c r="AL404" t="s">
        <v>274</v>
      </c>
      <c r="AT404">
        <v>1</v>
      </c>
      <c r="AU404">
        <v>2</v>
      </c>
      <c r="AV404" t="s">
        <v>273</v>
      </c>
      <c r="AY404" t="s">
        <v>273</v>
      </c>
      <c r="BB404">
        <v>0</v>
      </c>
      <c r="BC404">
        <v>0</v>
      </c>
      <c r="BD404">
        <v>0</v>
      </c>
      <c r="BE404">
        <v>0</v>
      </c>
      <c r="BF404" t="s">
        <v>1063</v>
      </c>
      <c r="BG404" t="s">
        <v>6703</v>
      </c>
      <c r="BH404">
        <v>27</v>
      </c>
      <c r="BI404" t="s">
        <v>2771</v>
      </c>
      <c r="BK404">
        <v>828600</v>
      </c>
    </row>
    <row r="405" spans="1:63">
      <c r="A405" s="1">
        <f>HYPERLINK("https://lsnyc.legalserver.org/matter/dynamic-profile/view/1877933","18-1877933")</f>
        <v>0</v>
      </c>
      <c r="B405" t="s">
        <v>5400</v>
      </c>
      <c r="C405" t="s">
        <v>5625</v>
      </c>
      <c r="D405" t="s">
        <v>254</v>
      </c>
      <c r="E405" t="s">
        <v>3694</v>
      </c>
      <c r="F405" t="s">
        <v>274</v>
      </c>
      <c r="G405" t="s">
        <v>274</v>
      </c>
      <c r="H405">
        <v>61.86</v>
      </c>
      <c r="I405" t="s">
        <v>274</v>
      </c>
      <c r="K405" t="s">
        <v>3278</v>
      </c>
      <c r="Q405" t="s">
        <v>501</v>
      </c>
      <c r="S405" t="s">
        <v>503</v>
      </c>
      <c r="T405" t="s">
        <v>507</v>
      </c>
      <c r="U405" t="s">
        <v>511</v>
      </c>
      <c r="V405">
        <v>10303</v>
      </c>
      <c r="W405" t="s">
        <v>525</v>
      </c>
      <c r="Z405" t="s">
        <v>5897</v>
      </c>
      <c r="AA405" t="s">
        <v>815</v>
      </c>
      <c r="AB405" t="s">
        <v>902</v>
      </c>
      <c r="AC405" t="s">
        <v>904</v>
      </c>
      <c r="AF405" t="s">
        <v>923</v>
      </c>
      <c r="AI405">
        <v>4.3</v>
      </c>
      <c r="AJ405" t="s">
        <v>558</v>
      </c>
      <c r="AK405" t="s">
        <v>933</v>
      </c>
      <c r="AT405">
        <v>3</v>
      </c>
      <c r="AU405">
        <v>2</v>
      </c>
      <c r="AV405" t="s">
        <v>273</v>
      </c>
      <c r="AY405" t="s">
        <v>273</v>
      </c>
      <c r="BB405">
        <v>0</v>
      </c>
      <c r="BC405">
        <v>0</v>
      </c>
      <c r="BD405">
        <v>0</v>
      </c>
      <c r="BE405">
        <v>0</v>
      </c>
      <c r="BF405" t="s">
        <v>1063</v>
      </c>
      <c r="BG405" t="s">
        <v>2709</v>
      </c>
      <c r="BH405">
        <v>45</v>
      </c>
      <c r="BI405" t="s">
        <v>1260</v>
      </c>
      <c r="BK405">
        <v>1853269</v>
      </c>
    </row>
    <row r="406" spans="1:63">
      <c r="A406" s="1">
        <f>HYPERLINK("https://lsnyc.legalserver.org/matter/dynamic-profile/view/1878041","18-1878041")</f>
        <v>0</v>
      </c>
      <c r="B406" t="s">
        <v>5401</v>
      </c>
      <c r="C406" t="s">
        <v>5625</v>
      </c>
      <c r="D406" t="s">
        <v>252</v>
      </c>
      <c r="E406" t="s">
        <v>3694</v>
      </c>
      <c r="F406" t="s">
        <v>274</v>
      </c>
      <c r="G406" t="s">
        <v>274</v>
      </c>
      <c r="H406">
        <v>0</v>
      </c>
      <c r="I406" t="s">
        <v>274</v>
      </c>
      <c r="K406" t="s">
        <v>3278</v>
      </c>
      <c r="O406" t="s">
        <v>275</v>
      </c>
      <c r="Q406" t="s">
        <v>501</v>
      </c>
      <c r="S406" t="s">
        <v>503</v>
      </c>
      <c r="T406" t="s">
        <v>507</v>
      </c>
      <c r="U406" t="s">
        <v>511</v>
      </c>
      <c r="V406">
        <v>11216</v>
      </c>
      <c r="W406" t="s">
        <v>521</v>
      </c>
      <c r="X406" t="s">
        <v>549</v>
      </c>
      <c r="Z406" t="s">
        <v>5720</v>
      </c>
      <c r="AA406" t="s">
        <v>6295</v>
      </c>
      <c r="AB406" t="s">
        <v>902</v>
      </c>
      <c r="AC406" t="s">
        <v>905</v>
      </c>
      <c r="AF406" t="s">
        <v>923</v>
      </c>
      <c r="AI406">
        <v>6.5</v>
      </c>
      <c r="AJ406" t="s">
        <v>558</v>
      </c>
      <c r="AK406" t="s">
        <v>939</v>
      </c>
      <c r="AL406" t="s">
        <v>274</v>
      </c>
      <c r="AT406">
        <v>0</v>
      </c>
      <c r="AU406">
        <v>1</v>
      </c>
      <c r="AV406" t="s">
        <v>273</v>
      </c>
      <c r="AY406" t="s">
        <v>273</v>
      </c>
      <c r="BB406">
        <v>0</v>
      </c>
      <c r="BC406">
        <v>0</v>
      </c>
      <c r="BD406">
        <v>0</v>
      </c>
      <c r="BE406">
        <v>0</v>
      </c>
      <c r="BF406" t="s">
        <v>1063</v>
      </c>
      <c r="BG406" t="s">
        <v>6763</v>
      </c>
      <c r="BH406">
        <v>29</v>
      </c>
      <c r="BI406" t="s">
        <v>1247</v>
      </c>
      <c r="BK406">
        <v>1878655</v>
      </c>
    </row>
    <row r="407" spans="1:63">
      <c r="A407" s="1">
        <f>HYPERLINK("https://lsnyc.legalserver.org/matter/dynamic-profile/view/1877875","18-1877875")</f>
        <v>0</v>
      </c>
      <c r="B407" t="s">
        <v>5402</v>
      </c>
      <c r="C407" t="s">
        <v>5625</v>
      </c>
      <c r="D407" t="s">
        <v>254</v>
      </c>
      <c r="E407" t="s">
        <v>5630</v>
      </c>
      <c r="F407" t="s">
        <v>274</v>
      </c>
      <c r="G407" t="s">
        <v>274</v>
      </c>
      <c r="H407">
        <v>0</v>
      </c>
      <c r="I407" t="s">
        <v>274</v>
      </c>
      <c r="K407" t="s">
        <v>1735</v>
      </c>
      <c r="O407" t="s">
        <v>274</v>
      </c>
      <c r="Q407" t="s">
        <v>501</v>
      </c>
      <c r="S407" t="s">
        <v>503</v>
      </c>
      <c r="T407" t="s">
        <v>507</v>
      </c>
      <c r="U407" t="s">
        <v>511</v>
      </c>
      <c r="V407">
        <v>10304</v>
      </c>
      <c r="W407" t="s">
        <v>517</v>
      </c>
      <c r="X407" t="s">
        <v>548</v>
      </c>
      <c r="Y407" t="s">
        <v>275</v>
      </c>
      <c r="Z407" t="s">
        <v>5898</v>
      </c>
      <c r="AA407" t="s">
        <v>6296</v>
      </c>
      <c r="AB407" t="s">
        <v>902</v>
      </c>
      <c r="AC407" t="s">
        <v>904</v>
      </c>
      <c r="AF407" t="s">
        <v>923</v>
      </c>
      <c r="AI407">
        <v>4.87</v>
      </c>
      <c r="AJ407" t="s">
        <v>558</v>
      </c>
      <c r="AK407" t="s">
        <v>966</v>
      </c>
      <c r="AL407" t="s">
        <v>274</v>
      </c>
      <c r="AM407" t="s">
        <v>973</v>
      </c>
      <c r="AN407" t="s">
        <v>460</v>
      </c>
      <c r="AT407">
        <v>0</v>
      </c>
      <c r="AU407">
        <v>1</v>
      </c>
      <c r="AV407" t="s">
        <v>273</v>
      </c>
      <c r="AY407" t="s">
        <v>273</v>
      </c>
      <c r="BB407">
        <v>0</v>
      </c>
      <c r="BC407">
        <v>0</v>
      </c>
      <c r="BD407">
        <v>0</v>
      </c>
      <c r="BE407">
        <v>0</v>
      </c>
      <c r="BF407" t="s">
        <v>1063</v>
      </c>
      <c r="BG407" t="s">
        <v>6764</v>
      </c>
      <c r="BH407">
        <v>45</v>
      </c>
      <c r="BI407" t="s">
        <v>1247</v>
      </c>
      <c r="BK407">
        <v>1878482</v>
      </c>
    </row>
    <row r="408" spans="1:63">
      <c r="A408" s="1">
        <f>HYPERLINK("https://lsnyc.legalserver.org/matter/dynamic-profile/view/1877886","18-1877886")</f>
        <v>0</v>
      </c>
      <c r="B408" t="s">
        <v>5403</v>
      </c>
      <c r="C408" t="s">
        <v>5625</v>
      </c>
      <c r="D408" t="s">
        <v>257</v>
      </c>
      <c r="E408" t="s">
        <v>5630</v>
      </c>
      <c r="F408" t="s">
        <v>274</v>
      </c>
      <c r="G408" t="s">
        <v>274</v>
      </c>
      <c r="H408">
        <v>0</v>
      </c>
      <c r="I408" t="s">
        <v>274</v>
      </c>
      <c r="K408" t="s">
        <v>1735</v>
      </c>
      <c r="M408" t="s">
        <v>474</v>
      </c>
      <c r="N408" t="s">
        <v>454</v>
      </c>
      <c r="O408" t="s">
        <v>275</v>
      </c>
      <c r="P408" t="s">
        <v>498</v>
      </c>
      <c r="Q408" t="s">
        <v>501</v>
      </c>
      <c r="S408" t="s">
        <v>503</v>
      </c>
      <c r="T408" t="s">
        <v>508</v>
      </c>
      <c r="U408" t="s">
        <v>511</v>
      </c>
      <c r="V408">
        <v>10458</v>
      </c>
      <c r="W408" t="s">
        <v>521</v>
      </c>
      <c r="X408" t="s">
        <v>549</v>
      </c>
      <c r="Z408" t="s">
        <v>5899</v>
      </c>
      <c r="AA408" t="s">
        <v>6297</v>
      </c>
      <c r="AB408" t="s">
        <v>902</v>
      </c>
      <c r="AC408" t="s">
        <v>905</v>
      </c>
      <c r="AF408" t="s">
        <v>923</v>
      </c>
      <c r="AI408">
        <v>11.95</v>
      </c>
      <c r="AJ408" t="s">
        <v>558</v>
      </c>
      <c r="AK408" t="s">
        <v>962</v>
      </c>
      <c r="AL408" t="s">
        <v>274</v>
      </c>
      <c r="AM408" t="s">
        <v>973</v>
      </c>
      <c r="AN408" t="s">
        <v>2987</v>
      </c>
      <c r="AT408">
        <v>0</v>
      </c>
      <c r="AU408">
        <v>1</v>
      </c>
      <c r="AV408" t="s">
        <v>273</v>
      </c>
      <c r="AY408" t="s">
        <v>273</v>
      </c>
      <c r="BB408">
        <v>0</v>
      </c>
      <c r="BC408">
        <v>0</v>
      </c>
      <c r="BD408">
        <v>0</v>
      </c>
      <c r="BE408">
        <v>0</v>
      </c>
      <c r="BF408" t="s">
        <v>1063</v>
      </c>
      <c r="BG408" t="s">
        <v>6765</v>
      </c>
      <c r="BH408">
        <v>51</v>
      </c>
      <c r="BI408" t="s">
        <v>1247</v>
      </c>
      <c r="BK408">
        <v>1878500</v>
      </c>
    </row>
    <row r="409" spans="1:63">
      <c r="A409" s="1">
        <f>HYPERLINK("https://lsnyc.legalserver.org/matter/dynamic-profile/view/1877764","18-1877764")</f>
        <v>0</v>
      </c>
      <c r="B409" t="s">
        <v>5404</v>
      </c>
      <c r="C409" t="s">
        <v>5625</v>
      </c>
      <c r="D409" t="s">
        <v>254</v>
      </c>
      <c r="E409" t="s">
        <v>3694</v>
      </c>
      <c r="F409" t="s">
        <v>274</v>
      </c>
      <c r="G409" t="s">
        <v>274</v>
      </c>
      <c r="H409">
        <v>83.73</v>
      </c>
      <c r="I409" t="s">
        <v>274</v>
      </c>
      <c r="K409" t="s">
        <v>376</v>
      </c>
      <c r="O409" t="s">
        <v>274</v>
      </c>
      <c r="Q409" t="s">
        <v>501</v>
      </c>
      <c r="S409" t="s">
        <v>503</v>
      </c>
      <c r="T409" t="s">
        <v>508</v>
      </c>
      <c r="U409" t="s">
        <v>511</v>
      </c>
      <c r="V409">
        <v>10301</v>
      </c>
      <c r="W409" t="s">
        <v>517</v>
      </c>
      <c r="X409" t="s">
        <v>548</v>
      </c>
      <c r="Y409" t="s">
        <v>275</v>
      </c>
      <c r="Z409" t="s">
        <v>5900</v>
      </c>
      <c r="AA409" t="s">
        <v>6298</v>
      </c>
      <c r="AB409" t="s">
        <v>902</v>
      </c>
      <c r="AC409" t="s">
        <v>904</v>
      </c>
      <c r="AF409" t="s">
        <v>923</v>
      </c>
      <c r="AI409">
        <v>1</v>
      </c>
      <c r="AJ409" t="s">
        <v>558</v>
      </c>
      <c r="AK409" t="s">
        <v>950</v>
      </c>
      <c r="AL409" t="s">
        <v>274</v>
      </c>
      <c r="AT409">
        <v>1</v>
      </c>
      <c r="AU409">
        <v>2</v>
      </c>
      <c r="AV409" t="s">
        <v>273</v>
      </c>
      <c r="AY409" t="s">
        <v>273</v>
      </c>
      <c r="BB409">
        <v>0</v>
      </c>
      <c r="BC409">
        <v>0</v>
      </c>
      <c r="BD409">
        <v>0</v>
      </c>
      <c r="BE409">
        <v>0</v>
      </c>
      <c r="BF409" t="s">
        <v>1063</v>
      </c>
      <c r="BG409" t="s">
        <v>6766</v>
      </c>
      <c r="BH409">
        <v>22</v>
      </c>
      <c r="BI409" t="s">
        <v>7029</v>
      </c>
      <c r="BK409">
        <v>1878377</v>
      </c>
    </row>
    <row r="410" spans="1:63">
      <c r="A410" s="1">
        <f>HYPERLINK("https://lsnyc.legalserver.org/matter/dynamic-profile/view/1877782","18-1877782")</f>
        <v>0</v>
      </c>
      <c r="B410" t="s">
        <v>5234</v>
      </c>
      <c r="C410" t="s">
        <v>5625</v>
      </c>
      <c r="D410" t="s">
        <v>254</v>
      </c>
      <c r="E410" t="s">
        <v>3694</v>
      </c>
      <c r="F410" t="s">
        <v>274</v>
      </c>
      <c r="G410" t="s">
        <v>274</v>
      </c>
      <c r="H410">
        <v>83.73</v>
      </c>
      <c r="I410" t="s">
        <v>274</v>
      </c>
      <c r="K410" t="s">
        <v>376</v>
      </c>
      <c r="O410" t="s">
        <v>274</v>
      </c>
      <c r="Q410" t="s">
        <v>501</v>
      </c>
      <c r="S410" t="s">
        <v>503</v>
      </c>
      <c r="T410" t="s">
        <v>507</v>
      </c>
      <c r="U410" t="s">
        <v>511</v>
      </c>
      <c r="V410">
        <v>10301</v>
      </c>
      <c r="W410" t="s">
        <v>517</v>
      </c>
      <c r="X410" t="s">
        <v>548</v>
      </c>
      <c r="Y410" t="s">
        <v>274</v>
      </c>
      <c r="Z410" t="s">
        <v>657</v>
      </c>
      <c r="AA410" t="s">
        <v>2183</v>
      </c>
      <c r="AB410" t="s">
        <v>902</v>
      </c>
      <c r="AC410" t="s">
        <v>904</v>
      </c>
      <c r="AF410" t="s">
        <v>923</v>
      </c>
      <c r="AI410">
        <v>3.55</v>
      </c>
      <c r="AJ410" t="s">
        <v>558</v>
      </c>
      <c r="AK410" t="s">
        <v>950</v>
      </c>
      <c r="AL410" t="s">
        <v>274</v>
      </c>
      <c r="AT410">
        <v>1</v>
      </c>
      <c r="AU410">
        <v>2</v>
      </c>
      <c r="AV410" t="s">
        <v>273</v>
      </c>
      <c r="AY410" t="s">
        <v>273</v>
      </c>
      <c r="BB410">
        <v>0</v>
      </c>
      <c r="BC410">
        <v>0</v>
      </c>
      <c r="BD410">
        <v>0</v>
      </c>
      <c r="BE410">
        <v>0</v>
      </c>
      <c r="BF410" t="s">
        <v>1063</v>
      </c>
      <c r="BG410" t="s">
        <v>6522</v>
      </c>
      <c r="BH410">
        <v>36</v>
      </c>
      <c r="BI410" t="s">
        <v>7029</v>
      </c>
      <c r="BK410">
        <v>1878377</v>
      </c>
    </row>
    <row r="411" spans="1:63">
      <c r="A411" s="1">
        <f>HYPERLINK("https://lsnyc.legalserver.org/matter/dynamic-profile/view/1877812","18-1877812")</f>
        <v>0</v>
      </c>
      <c r="B411" t="s">
        <v>5248</v>
      </c>
      <c r="C411" t="s">
        <v>5625</v>
      </c>
      <c r="D411" t="s">
        <v>255</v>
      </c>
      <c r="E411" t="s">
        <v>3694</v>
      </c>
      <c r="F411" t="s">
        <v>274</v>
      </c>
      <c r="G411" t="s">
        <v>274</v>
      </c>
      <c r="H411">
        <v>145.81</v>
      </c>
      <c r="I411" t="s">
        <v>274</v>
      </c>
      <c r="K411" t="s">
        <v>376</v>
      </c>
      <c r="O411" t="s">
        <v>275</v>
      </c>
      <c r="Q411" t="s">
        <v>501</v>
      </c>
      <c r="S411" t="s">
        <v>503</v>
      </c>
      <c r="T411" t="s">
        <v>507</v>
      </c>
      <c r="U411" t="s">
        <v>511</v>
      </c>
      <c r="V411">
        <v>10035</v>
      </c>
      <c r="W411" t="s">
        <v>521</v>
      </c>
      <c r="X411" t="s">
        <v>553</v>
      </c>
      <c r="Z411" t="s">
        <v>4575</v>
      </c>
      <c r="AA411" t="s">
        <v>6182</v>
      </c>
      <c r="AB411" t="s">
        <v>902</v>
      </c>
      <c r="AC411" t="s">
        <v>905</v>
      </c>
      <c r="AF411" t="s">
        <v>923</v>
      </c>
      <c r="AI411">
        <v>8.199999999999999</v>
      </c>
      <c r="AJ411" t="s">
        <v>558</v>
      </c>
      <c r="AK411" t="s">
        <v>948</v>
      </c>
      <c r="AL411" t="s">
        <v>274</v>
      </c>
      <c r="AT411">
        <v>0</v>
      </c>
      <c r="AU411">
        <v>2</v>
      </c>
      <c r="AV411" t="s">
        <v>273</v>
      </c>
      <c r="AY411" t="s">
        <v>273</v>
      </c>
      <c r="BB411">
        <v>0</v>
      </c>
      <c r="BC411">
        <v>0</v>
      </c>
      <c r="BD411">
        <v>0</v>
      </c>
      <c r="BE411">
        <v>0</v>
      </c>
      <c r="BF411" t="s">
        <v>1063</v>
      </c>
      <c r="BG411" t="s">
        <v>6622</v>
      </c>
      <c r="BH411">
        <v>39</v>
      </c>
      <c r="BI411" t="s">
        <v>1259</v>
      </c>
      <c r="BK411">
        <v>1878426</v>
      </c>
    </row>
    <row r="412" spans="1:63">
      <c r="A412" s="1">
        <f>HYPERLINK("https://lsnyc.legalserver.org/matter/dynamic-profile/view/1877825","18-1877825")</f>
        <v>0</v>
      </c>
      <c r="B412" t="s">
        <v>5405</v>
      </c>
      <c r="C412" t="s">
        <v>5625</v>
      </c>
      <c r="D412" t="s">
        <v>255</v>
      </c>
      <c r="E412" t="s">
        <v>3694</v>
      </c>
      <c r="F412" t="s">
        <v>274</v>
      </c>
      <c r="G412" t="s">
        <v>274</v>
      </c>
      <c r="H412">
        <v>0</v>
      </c>
      <c r="I412" t="s">
        <v>274</v>
      </c>
      <c r="K412" t="s">
        <v>376</v>
      </c>
      <c r="O412" t="s">
        <v>275</v>
      </c>
      <c r="P412" t="s">
        <v>498</v>
      </c>
      <c r="Q412" t="s">
        <v>501</v>
      </c>
      <c r="S412" t="s">
        <v>503</v>
      </c>
      <c r="T412" t="s">
        <v>508</v>
      </c>
      <c r="U412" t="s">
        <v>511</v>
      </c>
      <c r="V412">
        <v>10027</v>
      </c>
      <c r="W412" t="s">
        <v>521</v>
      </c>
      <c r="X412" t="s">
        <v>556</v>
      </c>
      <c r="Z412" t="s">
        <v>5901</v>
      </c>
      <c r="AA412" t="s">
        <v>6299</v>
      </c>
      <c r="AB412" t="s">
        <v>902</v>
      </c>
      <c r="AC412" t="s">
        <v>905</v>
      </c>
      <c r="AF412" t="s">
        <v>923</v>
      </c>
      <c r="AI412">
        <v>3.1</v>
      </c>
      <c r="AJ412" t="s">
        <v>558</v>
      </c>
      <c r="AK412" t="s">
        <v>943</v>
      </c>
      <c r="AL412" t="s">
        <v>274</v>
      </c>
      <c r="AT412">
        <v>0</v>
      </c>
      <c r="AU412">
        <v>1</v>
      </c>
      <c r="AV412" t="s">
        <v>273</v>
      </c>
      <c r="AY412" t="s">
        <v>273</v>
      </c>
      <c r="BB412">
        <v>0</v>
      </c>
      <c r="BC412">
        <v>0</v>
      </c>
      <c r="BD412">
        <v>0</v>
      </c>
      <c r="BE412">
        <v>0</v>
      </c>
      <c r="BF412" t="s">
        <v>1063</v>
      </c>
      <c r="BG412" t="s">
        <v>2507</v>
      </c>
      <c r="BH412">
        <v>22</v>
      </c>
      <c r="BI412" t="s">
        <v>1247</v>
      </c>
      <c r="BK412">
        <v>1878439</v>
      </c>
    </row>
    <row r="413" spans="1:63">
      <c r="A413" s="1">
        <f>HYPERLINK("https://lsnyc.legalserver.org/matter/dynamic-profile/view/1877652","18-1877652")</f>
        <v>0</v>
      </c>
      <c r="B413" t="s">
        <v>5406</v>
      </c>
      <c r="C413" t="s">
        <v>5625</v>
      </c>
      <c r="D413" t="s">
        <v>254</v>
      </c>
      <c r="E413" t="s">
        <v>3694</v>
      </c>
      <c r="F413" t="s">
        <v>274</v>
      </c>
      <c r="G413" t="s">
        <v>274</v>
      </c>
      <c r="H413">
        <v>64.58</v>
      </c>
      <c r="I413" t="s">
        <v>274</v>
      </c>
      <c r="K413" t="s">
        <v>377</v>
      </c>
      <c r="Q413" t="s">
        <v>501</v>
      </c>
      <c r="S413" t="s">
        <v>503</v>
      </c>
      <c r="T413" t="s">
        <v>507</v>
      </c>
      <c r="U413" t="s">
        <v>511</v>
      </c>
      <c r="V413">
        <v>10312</v>
      </c>
      <c r="W413" t="s">
        <v>517</v>
      </c>
      <c r="X413" t="s">
        <v>549</v>
      </c>
      <c r="Y413" t="s">
        <v>274</v>
      </c>
      <c r="Z413" t="s">
        <v>627</v>
      </c>
      <c r="AA413" t="s">
        <v>4804</v>
      </c>
      <c r="AB413" t="s">
        <v>902</v>
      </c>
      <c r="AC413" t="s">
        <v>904</v>
      </c>
      <c r="AF413" t="s">
        <v>923</v>
      </c>
      <c r="AI413">
        <v>7</v>
      </c>
      <c r="AJ413" t="s">
        <v>558</v>
      </c>
      <c r="AK413" t="s">
        <v>954</v>
      </c>
      <c r="AL413" t="s">
        <v>274</v>
      </c>
      <c r="AT413">
        <v>3</v>
      </c>
      <c r="AU413">
        <v>2</v>
      </c>
      <c r="AV413" t="s">
        <v>273</v>
      </c>
      <c r="AY413" t="s">
        <v>273</v>
      </c>
      <c r="BB413">
        <v>0</v>
      </c>
      <c r="BC413">
        <v>0</v>
      </c>
      <c r="BD413">
        <v>0</v>
      </c>
      <c r="BE413">
        <v>0</v>
      </c>
      <c r="BF413" t="s">
        <v>1063</v>
      </c>
      <c r="BG413" t="s">
        <v>5046</v>
      </c>
      <c r="BH413">
        <v>38</v>
      </c>
      <c r="BI413" t="s">
        <v>6995</v>
      </c>
      <c r="BK413">
        <v>756676</v>
      </c>
    </row>
    <row r="414" spans="1:63">
      <c r="A414" s="1">
        <f>HYPERLINK("https://lsnyc.legalserver.org/matter/dynamic-profile/view/1877710","18-1877710")</f>
        <v>0</v>
      </c>
      <c r="B414" t="s">
        <v>5407</v>
      </c>
      <c r="C414" t="s">
        <v>5625</v>
      </c>
      <c r="D414" t="s">
        <v>252</v>
      </c>
      <c r="E414" t="s">
        <v>3694</v>
      </c>
      <c r="F414" t="s">
        <v>274</v>
      </c>
      <c r="G414" t="s">
        <v>274</v>
      </c>
      <c r="H414">
        <v>71.12</v>
      </c>
      <c r="I414" t="s">
        <v>274</v>
      </c>
      <c r="K414" t="s">
        <v>377</v>
      </c>
      <c r="Q414" t="s">
        <v>501</v>
      </c>
      <c r="S414" t="s">
        <v>503</v>
      </c>
      <c r="T414" t="s">
        <v>508</v>
      </c>
      <c r="U414" t="s">
        <v>511</v>
      </c>
      <c r="V414">
        <v>11212</v>
      </c>
      <c r="W414" t="s">
        <v>532</v>
      </c>
      <c r="X414" t="s">
        <v>548</v>
      </c>
      <c r="Z414" t="s">
        <v>2009</v>
      </c>
      <c r="AA414" t="s">
        <v>6300</v>
      </c>
      <c r="AB414" t="s">
        <v>902</v>
      </c>
      <c r="AC414" t="s">
        <v>905</v>
      </c>
      <c r="AF414" t="s">
        <v>923</v>
      </c>
      <c r="AI414">
        <v>19.7</v>
      </c>
      <c r="AJ414" t="s">
        <v>558</v>
      </c>
      <c r="AK414" t="s">
        <v>933</v>
      </c>
      <c r="AL414" t="s">
        <v>274</v>
      </c>
      <c r="AT414">
        <v>5</v>
      </c>
      <c r="AU414">
        <v>1</v>
      </c>
      <c r="AV414" t="s">
        <v>273</v>
      </c>
      <c r="AY414" t="s">
        <v>273</v>
      </c>
      <c r="BB414">
        <v>0</v>
      </c>
      <c r="BC414">
        <v>0</v>
      </c>
      <c r="BD414">
        <v>0</v>
      </c>
      <c r="BE414">
        <v>0</v>
      </c>
      <c r="BF414" t="s">
        <v>1063</v>
      </c>
      <c r="BG414" t="s">
        <v>6767</v>
      </c>
      <c r="BH414">
        <v>41</v>
      </c>
      <c r="BI414" t="s">
        <v>7073</v>
      </c>
      <c r="BK414">
        <v>1878323</v>
      </c>
    </row>
    <row r="415" spans="1:63">
      <c r="A415" s="1">
        <f>HYPERLINK("https://lsnyc.legalserver.org/matter/dynamic-profile/view/1877220","18-1877220")</f>
        <v>0</v>
      </c>
      <c r="B415" t="s">
        <v>5408</v>
      </c>
      <c r="C415" t="s">
        <v>5625</v>
      </c>
      <c r="D415" t="s">
        <v>257</v>
      </c>
      <c r="E415" t="s">
        <v>5630</v>
      </c>
      <c r="F415" t="s">
        <v>274</v>
      </c>
      <c r="G415" t="s">
        <v>274</v>
      </c>
      <c r="H415">
        <v>87.48</v>
      </c>
      <c r="I415" t="s">
        <v>274</v>
      </c>
      <c r="K415" t="s">
        <v>1018</v>
      </c>
      <c r="O415" t="s">
        <v>274</v>
      </c>
      <c r="P415" t="s">
        <v>494</v>
      </c>
      <c r="Q415" t="s">
        <v>501</v>
      </c>
      <c r="S415" t="s">
        <v>503</v>
      </c>
      <c r="T415" t="s">
        <v>508</v>
      </c>
      <c r="U415" t="s">
        <v>511</v>
      </c>
      <c r="V415">
        <v>10452</v>
      </c>
      <c r="W415" t="s">
        <v>517</v>
      </c>
      <c r="X415" t="s">
        <v>549</v>
      </c>
      <c r="Z415" t="s">
        <v>2022</v>
      </c>
      <c r="AA415" t="s">
        <v>6301</v>
      </c>
      <c r="AB415" t="s">
        <v>902</v>
      </c>
      <c r="AC415" t="s">
        <v>904</v>
      </c>
      <c r="AF415" t="s">
        <v>923</v>
      </c>
      <c r="AI415">
        <v>5.9</v>
      </c>
      <c r="AJ415" t="s">
        <v>558</v>
      </c>
      <c r="AK415" t="s">
        <v>950</v>
      </c>
      <c r="AL415" t="s">
        <v>274</v>
      </c>
      <c r="AM415" t="s">
        <v>973</v>
      </c>
      <c r="AN415" t="s">
        <v>1697</v>
      </c>
      <c r="AT415">
        <v>0</v>
      </c>
      <c r="AU415">
        <v>2</v>
      </c>
      <c r="AV415" t="s">
        <v>273</v>
      </c>
      <c r="AY415" t="s">
        <v>273</v>
      </c>
      <c r="BB415">
        <v>0</v>
      </c>
      <c r="BC415">
        <v>0</v>
      </c>
      <c r="BD415">
        <v>0</v>
      </c>
      <c r="BE415">
        <v>0</v>
      </c>
      <c r="BF415" t="s">
        <v>1063</v>
      </c>
      <c r="BG415" t="s">
        <v>6768</v>
      </c>
      <c r="BH415">
        <v>23</v>
      </c>
      <c r="BI415" t="s">
        <v>1253</v>
      </c>
      <c r="BK415">
        <v>1877832</v>
      </c>
    </row>
    <row r="416" spans="1:63">
      <c r="A416" s="1">
        <f>HYPERLINK("https://lsnyc.legalserver.org/matter/dynamic-profile/view/1877098","18-1877098")</f>
        <v>0</v>
      </c>
      <c r="B416" t="s">
        <v>5409</v>
      </c>
      <c r="C416" t="s">
        <v>5625</v>
      </c>
      <c r="D416" t="s">
        <v>254</v>
      </c>
      <c r="E416" t="s">
        <v>5630</v>
      </c>
      <c r="F416" t="s">
        <v>274</v>
      </c>
      <c r="G416" t="s">
        <v>274</v>
      </c>
      <c r="H416">
        <v>72.45</v>
      </c>
      <c r="I416" t="s">
        <v>274</v>
      </c>
      <c r="K416" t="s">
        <v>2993</v>
      </c>
      <c r="L416" t="s">
        <v>457</v>
      </c>
      <c r="O416" t="s">
        <v>274</v>
      </c>
      <c r="P416" t="s">
        <v>498</v>
      </c>
      <c r="Q416" t="s">
        <v>501</v>
      </c>
      <c r="S416" t="s">
        <v>503</v>
      </c>
      <c r="T416" t="s">
        <v>508</v>
      </c>
      <c r="U416" t="s">
        <v>511</v>
      </c>
      <c r="V416">
        <v>10303</v>
      </c>
      <c r="W416" t="s">
        <v>517</v>
      </c>
      <c r="X416" t="s">
        <v>548</v>
      </c>
      <c r="Y416" t="s">
        <v>274</v>
      </c>
      <c r="Z416" t="s">
        <v>5902</v>
      </c>
      <c r="AA416" t="s">
        <v>6302</v>
      </c>
      <c r="AB416" t="s">
        <v>902</v>
      </c>
      <c r="AC416" t="s">
        <v>904</v>
      </c>
      <c r="AD416" t="s">
        <v>275</v>
      </c>
      <c r="AE416" t="s">
        <v>922</v>
      </c>
      <c r="AF416" t="s">
        <v>923</v>
      </c>
      <c r="AI416">
        <v>3.75</v>
      </c>
      <c r="AJ416" t="s">
        <v>558</v>
      </c>
      <c r="AK416" t="s">
        <v>950</v>
      </c>
      <c r="AL416" t="s">
        <v>274</v>
      </c>
      <c r="AM416" t="s">
        <v>973</v>
      </c>
      <c r="AN416" t="s">
        <v>1708</v>
      </c>
      <c r="AQ416" t="s">
        <v>1048</v>
      </c>
      <c r="AR416" t="s">
        <v>1052</v>
      </c>
      <c r="AT416">
        <v>0</v>
      </c>
      <c r="AU416">
        <v>1</v>
      </c>
      <c r="AV416" t="s">
        <v>273</v>
      </c>
      <c r="AY416" t="s">
        <v>273</v>
      </c>
      <c r="BB416">
        <v>0</v>
      </c>
      <c r="BC416">
        <v>0</v>
      </c>
      <c r="BD416">
        <v>0</v>
      </c>
      <c r="BE416">
        <v>0</v>
      </c>
      <c r="BF416" t="s">
        <v>493</v>
      </c>
      <c r="BG416" t="s">
        <v>6769</v>
      </c>
      <c r="BH416">
        <v>60</v>
      </c>
      <c r="BI416" t="s">
        <v>7074</v>
      </c>
      <c r="BK416">
        <v>1877709</v>
      </c>
    </row>
    <row r="417" spans="1:63">
      <c r="A417" s="1">
        <f>HYPERLINK("https://lsnyc.legalserver.org/matter/dynamic-profile/view/1876476","18-1876476")</f>
        <v>0</v>
      </c>
      <c r="B417" t="s">
        <v>5410</v>
      </c>
      <c r="C417" t="s">
        <v>5625</v>
      </c>
      <c r="D417" t="s">
        <v>5626</v>
      </c>
      <c r="E417" t="s">
        <v>3694</v>
      </c>
      <c r="F417" t="s">
        <v>274</v>
      </c>
      <c r="G417" t="s">
        <v>274</v>
      </c>
      <c r="H417">
        <v>57.1</v>
      </c>
      <c r="I417" t="s">
        <v>274</v>
      </c>
      <c r="K417" t="s">
        <v>5638</v>
      </c>
      <c r="O417" t="s">
        <v>275</v>
      </c>
      <c r="Q417" t="s">
        <v>501</v>
      </c>
      <c r="S417" t="s">
        <v>503</v>
      </c>
      <c r="T417" t="s">
        <v>507</v>
      </c>
      <c r="U417" t="s">
        <v>511</v>
      </c>
      <c r="V417">
        <v>12401</v>
      </c>
      <c r="W417" t="s">
        <v>519</v>
      </c>
      <c r="X417" t="s">
        <v>548</v>
      </c>
      <c r="Z417" t="s">
        <v>5903</v>
      </c>
      <c r="AA417" t="s">
        <v>6303</v>
      </c>
      <c r="AB417" t="s">
        <v>902</v>
      </c>
      <c r="AC417" t="s">
        <v>905</v>
      </c>
      <c r="AF417" t="s">
        <v>923</v>
      </c>
      <c r="AI417">
        <v>10.3</v>
      </c>
      <c r="AK417" t="s">
        <v>934</v>
      </c>
      <c r="AL417" t="s">
        <v>274</v>
      </c>
      <c r="AT417">
        <v>3</v>
      </c>
      <c r="AU417">
        <v>2</v>
      </c>
      <c r="AV417" t="s">
        <v>273</v>
      </c>
      <c r="AY417" t="s">
        <v>273</v>
      </c>
      <c r="BB417">
        <v>0</v>
      </c>
      <c r="BC417">
        <v>0</v>
      </c>
      <c r="BD417">
        <v>0</v>
      </c>
      <c r="BE417">
        <v>0</v>
      </c>
      <c r="BF417" t="s">
        <v>1063</v>
      </c>
      <c r="BG417" t="s">
        <v>6770</v>
      </c>
      <c r="BH417">
        <v>26</v>
      </c>
      <c r="BI417" t="s">
        <v>1313</v>
      </c>
      <c r="BK417">
        <v>1877086</v>
      </c>
    </row>
    <row r="418" spans="1:63">
      <c r="A418" s="1">
        <f>HYPERLINK("https://lsnyc.legalserver.org/matter/dynamic-profile/view/1876478","18-1876478")</f>
        <v>0</v>
      </c>
      <c r="B418" t="s">
        <v>5411</v>
      </c>
      <c r="C418" t="s">
        <v>5625</v>
      </c>
      <c r="D418" t="s">
        <v>5626</v>
      </c>
      <c r="E418" t="s">
        <v>3694</v>
      </c>
      <c r="F418" t="s">
        <v>274</v>
      </c>
      <c r="G418" t="s">
        <v>274</v>
      </c>
      <c r="H418">
        <v>0</v>
      </c>
      <c r="I418" t="s">
        <v>274</v>
      </c>
      <c r="K418" t="s">
        <v>5638</v>
      </c>
      <c r="O418" t="s">
        <v>275</v>
      </c>
      <c r="Q418" t="s">
        <v>502</v>
      </c>
      <c r="S418" t="s">
        <v>503</v>
      </c>
      <c r="T418" t="s">
        <v>507</v>
      </c>
      <c r="U418" t="s">
        <v>511</v>
      </c>
      <c r="V418">
        <v>12401</v>
      </c>
      <c r="W418" t="s">
        <v>519</v>
      </c>
      <c r="X418" t="s">
        <v>548</v>
      </c>
      <c r="Z418" t="s">
        <v>5904</v>
      </c>
      <c r="AA418" t="s">
        <v>6265</v>
      </c>
      <c r="AB418" t="s">
        <v>902</v>
      </c>
      <c r="AC418" t="s">
        <v>911</v>
      </c>
      <c r="AF418" t="s">
        <v>923</v>
      </c>
      <c r="AI418">
        <v>3.3</v>
      </c>
      <c r="AK418" t="s">
        <v>934</v>
      </c>
      <c r="AL418" t="s">
        <v>275</v>
      </c>
      <c r="AT418">
        <v>3</v>
      </c>
      <c r="AU418">
        <v>2</v>
      </c>
      <c r="AV418" t="s">
        <v>273</v>
      </c>
      <c r="AY418" t="s">
        <v>273</v>
      </c>
      <c r="BB418">
        <v>0</v>
      </c>
      <c r="BC418">
        <v>0</v>
      </c>
      <c r="BD418">
        <v>0</v>
      </c>
      <c r="BE418">
        <v>0</v>
      </c>
      <c r="BF418" t="s">
        <v>1063</v>
      </c>
      <c r="BG418" t="s">
        <v>6771</v>
      </c>
      <c r="BH418">
        <v>5</v>
      </c>
      <c r="BI418" t="s">
        <v>1247</v>
      </c>
      <c r="BK418">
        <v>1877088</v>
      </c>
    </row>
    <row r="419" spans="1:63">
      <c r="A419" s="1">
        <f>HYPERLINK("https://lsnyc.legalserver.org/matter/dynamic-profile/view/1876197","18-1876197")</f>
        <v>0</v>
      </c>
      <c r="B419" t="s">
        <v>5412</v>
      </c>
      <c r="C419" t="s">
        <v>5625</v>
      </c>
      <c r="D419" t="s">
        <v>255</v>
      </c>
      <c r="E419" t="s">
        <v>5630</v>
      </c>
      <c r="F419" t="s">
        <v>274</v>
      </c>
      <c r="G419" t="s">
        <v>274</v>
      </c>
      <c r="H419">
        <v>128.5</v>
      </c>
      <c r="I419" t="s">
        <v>274</v>
      </c>
      <c r="K419" t="s">
        <v>379</v>
      </c>
      <c r="L419" t="s">
        <v>295</v>
      </c>
      <c r="O419" t="s">
        <v>275</v>
      </c>
      <c r="P419" t="s">
        <v>493</v>
      </c>
      <c r="Q419" t="s">
        <v>501</v>
      </c>
      <c r="S419" t="s">
        <v>503</v>
      </c>
      <c r="T419" t="s">
        <v>507</v>
      </c>
      <c r="U419" t="s">
        <v>511</v>
      </c>
      <c r="V419">
        <v>10026</v>
      </c>
      <c r="W419" t="s">
        <v>521</v>
      </c>
      <c r="X419" t="s">
        <v>549</v>
      </c>
      <c r="Y419" t="s">
        <v>275</v>
      </c>
      <c r="Z419" t="s">
        <v>5905</v>
      </c>
      <c r="AA419" t="s">
        <v>6304</v>
      </c>
      <c r="AB419" t="s">
        <v>902</v>
      </c>
      <c r="AC419" t="s">
        <v>905</v>
      </c>
      <c r="AD419" t="s">
        <v>275</v>
      </c>
      <c r="AE419" t="s">
        <v>919</v>
      </c>
      <c r="AF419" t="s">
        <v>923</v>
      </c>
      <c r="AI419">
        <v>6.3</v>
      </c>
      <c r="AJ419" t="s">
        <v>558</v>
      </c>
      <c r="AK419" t="s">
        <v>3268</v>
      </c>
      <c r="AL419" t="s">
        <v>274</v>
      </c>
      <c r="AM419" t="s">
        <v>973</v>
      </c>
      <c r="AN419" t="s">
        <v>337</v>
      </c>
      <c r="AO419" t="s">
        <v>978</v>
      </c>
      <c r="AP419" t="s">
        <v>2985</v>
      </c>
      <c r="AQ419" t="s">
        <v>1043</v>
      </c>
      <c r="AR419" t="s">
        <v>1051</v>
      </c>
      <c r="AT419">
        <v>0</v>
      </c>
      <c r="AU419">
        <v>1</v>
      </c>
      <c r="AV419" t="s">
        <v>273</v>
      </c>
      <c r="AY419" t="s">
        <v>273</v>
      </c>
      <c r="BB419">
        <v>0</v>
      </c>
      <c r="BC419">
        <v>0</v>
      </c>
      <c r="BD419">
        <v>0</v>
      </c>
      <c r="BE419">
        <v>0</v>
      </c>
      <c r="BF419" t="s">
        <v>493</v>
      </c>
      <c r="BG419" t="s">
        <v>6772</v>
      </c>
      <c r="BH419">
        <v>30</v>
      </c>
      <c r="BI419" t="s">
        <v>1270</v>
      </c>
      <c r="BK419">
        <v>1876806</v>
      </c>
    </row>
    <row r="420" spans="1:63">
      <c r="A420" s="1">
        <f>HYPERLINK("https://lsnyc.legalserver.org/matter/dynamic-profile/view/1875589","18-1875589")</f>
        <v>0</v>
      </c>
      <c r="B420" t="s">
        <v>5413</v>
      </c>
      <c r="C420" t="s">
        <v>5625</v>
      </c>
      <c r="D420" t="s">
        <v>257</v>
      </c>
      <c r="E420" t="s">
        <v>5630</v>
      </c>
      <c r="F420" t="s">
        <v>274</v>
      </c>
      <c r="G420" t="s">
        <v>274</v>
      </c>
      <c r="H420">
        <v>34.26</v>
      </c>
      <c r="I420" t="s">
        <v>274</v>
      </c>
      <c r="K420" t="s">
        <v>3279</v>
      </c>
      <c r="O420" t="s">
        <v>274</v>
      </c>
      <c r="Q420" t="s">
        <v>501</v>
      </c>
      <c r="S420" t="s">
        <v>503</v>
      </c>
      <c r="T420" t="s">
        <v>508</v>
      </c>
      <c r="U420" t="s">
        <v>511</v>
      </c>
      <c r="V420">
        <v>10454</v>
      </c>
      <c r="W420" t="s">
        <v>532</v>
      </c>
      <c r="X420" t="s">
        <v>548</v>
      </c>
      <c r="Z420" t="s">
        <v>562</v>
      </c>
      <c r="AA420" t="s">
        <v>6305</v>
      </c>
      <c r="AB420" t="s">
        <v>902</v>
      </c>
      <c r="AC420" t="s">
        <v>905</v>
      </c>
      <c r="AF420" t="s">
        <v>923</v>
      </c>
      <c r="AI420">
        <v>6.55</v>
      </c>
      <c r="AJ420" t="s">
        <v>558</v>
      </c>
      <c r="AK420" t="s">
        <v>933</v>
      </c>
      <c r="AL420" t="s">
        <v>274</v>
      </c>
      <c r="AT420">
        <v>4</v>
      </c>
      <c r="AU420">
        <v>1</v>
      </c>
      <c r="AV420" t="s">
        <v>273</v>
      </c>
      <c r="AY420" t="s">
        <v>273</v>
      </c>
      <c r="BB420">
        <v>0</v>
      </c>
      <c r="BC420">
        <v>0</v>
      </c>
      <c r="BD420">
        <v>0</v>
      </c>
      <c r="BE420">
        <v>0</v>
      </c>
      <c r="BF420" t="s">
        <v>1063</v>
      </c>
      <c r="BG420" t="s">
        <v>6773</v>
      </c>
      <c r="BH420">
        <v>43</v>
      </c>
      <c r="BI420" t="s">
        <v>7075</v>
      </c>
      <c r="BK420">
        <v>1876198</v>
      </c>
    </row>
    <row r="421" spans="1:63">
      <c r="A421" s="1">
        <f>HYPERLINK("https://lsnyc.legalserver.org/matter/dynamic-profile/view/1875528","18-1875528")</f>
        <v>0</v>
      </c>
      <c r="B421" t="s">
        <v>5414</v>
      </c>
      <c r="C421" t="s">
        <v>5625</v>
      </c>
      <c r="D421" t="s">
        <v>252</v>
      </c>
      <c r="E421" t="s">
        <v>5630</v>
      </c>
      <c r="F421" t="s">
        <v>274</v>
      </c>
      <c r="G421" t="s">
        <v>274</v>
      </c>
      <c r="H421">
        <v>36.45</v>
      </c>
      <c r="I421" t="s">
        <v>274</v>
      </c>
      <c r="K421" t="s">
        <v>380</v>
      </c>
      <c r="O421" t="s">
        <v>274</v>
      </c>
      <c r="P421" t="s">
        <v>498</v>
      </c>
      <c r="Q421" t="s">
        <v>501</v>
      </c>
      <c r="S421" t="s">
        <v>503</v>
      </c>
      <c r="T421" t="s">
        <v>508</v>
      </c>
      <c r="U421" t="s">
        <v>511</v>
      </c>
      <c r="V421">
        <v>11237</v>
      </c>
      <c r="W421" t="s">
        <v>517</v>
      </c>
      <c r="X421" t="s">
        <v>549</v>
      </c>
      <c r="Y421" t="s">
        <v>275</v>
      </c>
      <c r="Z421" t="s">
        <v>5906</v>
      </c>
      <c r="AA421" t="s">
        <v>6306</v>
      </c>
      <c r="AB421" t="s">
        <v>902</v>
      </c>
      <c r="AC421" t="s">
        <v>904</v>
      </c>
      <c r="AF421" t="s">
        <v>923</v>
      </c>
      <c r="AI421">
        <v>4.4</v>
      </c>
      <c r="AJ421" t="s">
        <v>558</v>
      </c>
      <c r="AK421" t="s">
        <v>965</v>
      </c>
      <c r="AL421" t="s">
        <v>274</v>
      </c>
      <c r="AT421">
        <v>0</v>
      </c>
      <c r="AU421">
        <v>2</v>
      </c>
      <c r="AV421" t="s">
        <v>273</v>
      </c>
      <c r="AY421" t="s">
        <v>273</v>
      </c>
      <c r="BB421">
        <v>0</v>
      </c>
      <c r="BC421">
        <v>0</v>
      </c>
      <c r="BD421">
        <v>0</v>
      </c>
      <c r="BE421">
        <v>0</v>
      </c>
      <c r="BF421" t="s">
        <v>1063</v>
      </c>
      <c r="BG421" t="s">
        <v>6774</v>
      </c>
      <c r="BH421">
        <v>20</v>
      </c>
      <c r="BI421" t="s">
        <v>1266</v>
      </c>
      <c r="BK421">
        <v>1876137</v>
      </c>
    </row>
    <row r="422" spans="1:63">
      <c r="A422" s="1">
        <f>HYPERLINK("https://lsnyc.legalserver.org/matter/dynamic-profile/view/1875377","18-1875377")</f>
        <v>0</v>
      </c>
      <c r="B422" t="s">
        <v>5415</v>
      </c>
      <c r="C422" t="s">
        <v>5625</v>
      </c>
      <c r="D422" t="s">
        <v>255</v>
      </c>
      <c r="E422" t="s">
        <v>5630</v>
      </c>
      <c r="F422" t="s">
        <v>274</v>
      </c>
      <c r="G422" t="s">
        <v>274</v>
      </c>
      <c r="H422">
        <v>142.75</v>
      </c>
      <c r="I422" t="s">
        <v>274</v>
      </c>
      <c r="K422" t="s">
        <v>5639</v>
      </c>
      <c r="O422" t="s">
        <v>274</v>
      </c>
      <c r="Q422" t="s">
        <v>501</v>
      </c>
      <c r="S422" t="s">
        <v>503</v>
      </c>
      <c r="T422" t="s">
        <v>508</v>
      </c>
      <c r="U422" t="s">
        <v>511</v>
      </c>
      <c r="V422">
        <v>10027</v>
      </c>
      <c r="W422" t="s">
        <v>517</v>
      </c>
      <c r="X422" t="s">
        <v>549</v>
      </c>
      <c r="Y422" t="s">
        <v>275</v>
      </c>
      <c r="Z422" t="s">
        <v>1941</v>
      </c>
      <c r="AA422" t="s">
        <v>6307</v>
      </c>
      <c r="AB422" t="s">
        <v>902</v>
      </c>
      <c r="AC422" t="s">
        <v>904</v>
      </c>
      <c r="AF422" t="s">
        <v>923</v>
      </c>
      <c r="AI422">
        <v>3.6</v>
      </c>
      <c r="AJ422" t="s">
        <v>558</v>
      </c>
      <c r="AK422" t="s">
        <v>950</v>
      </c>
      <c r="AL422" t="s">
        <v>274</v>
      </c>
      <c r="AM422" t="s">
        <v>973</v>
      </c>
      <c r="AN422" t="s">
        <v>1670</v>
      </c>
      <c r="AT422">
        <v>2</v>
      </c>
      <c r="AU422">
        <v>1</v>
      </c>
      <c r="AV422" t="s">
        <v>273</v>
      </c>
      <c r="AY422" t="s">
        <v>273</v>
      </c>
      <c r="BB422">
        <v>0</v>
      </c>
      <c r="BC422">
        <v>0</v>
      </c>
      <c r="BD422">
        <v>0</v>
      </c>
      <c r="BE422">
        <v>0</v>
      </c>
      <c r="BF422" t="s">
        <v>1063</v>
      </c>
      <c r="BG422" t="s">
        <v>6775</v>
      </c>
      <c r="BH422">
        <v>50</v>
      </c>
      <c r="BI422" t="s">
        <v>7076</v>
      </c>
      <c r="BK422">
        <v>1875970</v>
      </c>
    </row>
    <row r="423" spans="1:63">
      <c r="A423" s="1">
        <f>HYPERLINK("https://lsnyc.legalserver.org/matter/dynamic-profile/view/1875403","18-1875403")</f>
        <v>0</v>
      </c>
      <c r="B423" t="s">
        <v>5416</v>
      </c>
      <c r="C423" t="s">
        <v>5625</v>
      </c>
      <c r="D423" t="s">
        <v>257</v>
      </c>
      <c r="E423" t="s">
        <v>3694</v>
      </c>
      <c r="F423" t="s">
        <v>274</v>
      </c>
      <c r="G423" t="s">
        <v>274</v>
      </c>
      <c r="H423">
        <v>109.36</v>
      </c>
      <c r="I423" t="s">
        <v>274</v>
      </c>
      <c r="K423" t="s">
        <v>5639</v>
      </c>
      <c r="O423" t="s">
        <v>274</v>
      </c>
      <c r="Q423" t="s">
        <v>501</v>
      </c>
      <c r="S423" t="s">
        <v>503</v>
      </c>
      <c r="T423" t="s">
        <v>507</v>
      </c>
      <c r="U423" t="s">
        <v>511</v>
      </c>
      <c r="V423">
        <v>10472</v>
      </c>
      <c r="W423" t="s">
        <v>517</v>
      </c>
      <c r="X423" t="s">
        <v>549</v>
      </c>
      <c r="Y423" t="s">
        <v>274</v>
      </c>
      <c r="Z423" t="s">
        <v>5907</v>
      </c>
      <c r="AA423" t="s">
        <v>573</v>
      </c>
      <c r="AB423" t="s">
        <v>902</v>
      </c>
      <c r="AC423" t="s">
        <v>904</v>
      </c>
      <c r="AF423" t="s">
        <v>923</v>
      </c>
      <c r="AI423">
        <v>2.9</v>
      </c>
      <c r="AJ423" t="s">
        <v>558</v>
      </c>
      <c r="AK423" t="s">
        <v>6455</v>
      </c>
      <c r="AL423" t="s">
        <v>274</v>
      </c>
      <c r="AT423">
        <v>0</v>
      </c>
      <c r="AU423">
        <v>2</v>
      </c>
      <c r="AV423" t="s">
        <v>273</v>
      </c>
      <c r="AY423" t="s">
        <v>273</v>
      </c>
      <c r="BB423">
        <v>0</v>
      </c>
      <c r="BC423">
        <v>0</v>
      </c>
      <c r="BD423">
        <v>0</v>
      </c>
      <c r="BE423">
        <v>0</v>
      </c>
      <c r="BF423" t="s">
        <v>1063</v>
      </c>
      <c r="BG423" t="s">
        <v>6776</v>
      </c>
      <c r="BH423">
        <v>40</v>
      </c>
      <c r="BI423" t="s">
        <v>1289</v>
      </c>
      <c r="BK423">
        <v>1876011</v>
      </c>
    </row>
    <row r="424" spans="1:63">
      <c r="A424" s="1">
        <f>HYPERLINK("https://lsnyc.legalserver.org/matter/dynamic-profile/view/1875259","18-1875259")</f>
        <v>0</v>
      </c>
      <c r="B424" t="s">
        <v>5417</v>
      </c>
      <c r="C424" t="s">
        <v>5625</v>
      </c>
      <c r="D424" t="s">
        <v>252</v>
      </c>
      <c r="E424" t="s">
        <v>3694</v>
      </c>
      <c r="F424" t="s">
        <v>274</v>
      </c>
      <c r="G424" t="s">
        <v>274</v>
      </c>
      <c r="H424">
        <v>128.5</v>
      </c>
      <c r="I424" t="s">
        <v>274</v>
      </c>
      <c r="K424" t="s">
        <v>5640</v>
      </c>
      <c r="O424" t="s">
        <v>275</v>
      </c>
      <c r="Q424" t="s">
        <v>501</v>
      </c>
      <c r="S424" t="s">
        <v>503</v>
      </c>
      <c r="T424" t="s">
        <v>507</v>
      </c>
      <c r="U424" t="s">
        <v>511</v>
      </c>
      <c r="V424">
        <v>11229</v>
      </c>
      <c r="W424" t="s">
        <v>521</v>
      </c>
      <c r="X424" t="s">
        <v>553</v>
      </c>
      <c r="Z424" t="s">
        <v>5908</v>
      </c>
      <c r="AA424" t="s">
        <v>6308</v>
      </c>
      <c r="AB424" t="s">
        <v>902</v>
      </c>
      <c r="AC424" t="s">
        <v>905</v>
      </c>
      <c r="AD424" t="s">
        <v>916</v>
      </c>
      <c r="AF424" t="s">
        <v>923</v>
      </c>
      <c r="AI424">
        <v>6.4</v>
      </c>
      <c r="AJ424" t="s">
        <v>558</v>
      </c>
      <c r="AK424" t="s">
        <v>948</v>
      </c>
      <c r="AL424" t="s">
        <v>274</v>
      </c>
      <c r="AQ424" t="s">
        <v>1033</v>
      </c>
      <c r="AR424" t="s">
        <v>1053</v>
      </c>
      <c r="AT424">
        <v>0</v>
      </c>
      <c r="AU424">
        <v>1</v>
      </c>
      <c r="AV424" t="s">
        <v>273</v>
      </c>
      <c r="AY424" t="s">
        <v>273</v>
      </c>
      <c r="BB424">
        <v>0</v>
      </c>
      <c r="BC424">
        <v>0</v>
      </c>
      <c r="BD424">
        <v>0</v>
      </c>
      <c r="BE424">
        <v>0</v>
      </c>
      <c r="BF424" t="s">
        <v>1063</v>
      </c>
      <c r="BG424" t="s">
        <v>6777</v>
      </c>
      <c r="BH424">
        <v>32</v>
      </c>
      <c r="BI424" t="s">
        <v>1270</v>
      </c>
      <c r="BK424">
        <v>1875866</v>
      </c>
    </row>
    <row r="425" spans="1:63">
      <c r="A425" s="1">
        <f>HYPERLINK("https://lsnyc.legalserver.org/matter/dynamic-profile/view/1875267","18-1875267")</f>
        <v>0</v>
      </c>
      <c r="B425" t="s">
        <v>5418</v>
      </c>
      <c r="C425" t="s">
        <v>5625</v>
      </c>
      <c r="D425" t="s">
        <v>257</v>
      </c>
      <c r="E425" t="s">
        <v>3694</v>
      </c>
      <c r="F425" t="s">
        <v>274</v>
      </c>
      <c r="G425" t="s">
        <v>274</v>
      </c>
      <c r="H425">
        <v>70.47</v>
      </c>
      <c r="I425" t="s">
        <v>274</v>
      </c>
      <c r="K425" t="s">
        <v>5640</v>
      </c>
      <c r="O425" t="s">
        <v>274</v>
      </c>
      <c r="P425" t="s">
        <v>498</v>
      </c>
      <c r="Q425" t="s">
        <v>501</v>
      </c>
      <c r="S425" t="s">
        <v>503</v>
      </c>
      <c r="T425" t="s">
        <v>508</v>
      </c>
      <c r="U425" t="s">
        <v>511</v>
      </c>
      <c r="V425">
        <v>10467</v>
      </c>
      <c r="W425" t="s">
        <v>517</v>
      </c>
      <c r="X425" t="s">
        <v>548</v>
      </c>
      <c r="Y425" t="s">
        <v>275</v>
      </c>
      <c r="Z425" t="s">
        <v>5909</v>
      </c>
      <c r="AA425" t="s">
        <v>884</v>
      </c>
      <c r="AB425" t="s">
        <v>902</v>
      </c>
      <c r="AC425" t="s">
        <v>904</v>
      </c>
      <c r="AF425" t="s">
        <v>923</v>
      </c>
      <c r="AI425">
        <v>1.56</v>
      </c>
      <c r="AJ425" t="s">
        <v>558</v>
      </c>
      <c r="AK425" t="s">
        <v>934</v>
      </c>
      <c r="AL425" t="s">
        <v>274</v>
      </c>
      <c r="AT425">
        <v>1</v>
      </c>
      <c r="AU425">
        <v>3</v>
      </c>
      <c r="AV425" t="s">
        <v>273</v>
      </c>
      <c r="AY425" t="s">
        <v>273</v>
      </c>
      <c r="BB425">
        <v>0</v>
      </c>
      <c r="BC425">
        <v>0</v>
      </c>
      <c r="BD425">
        <v>0</v>
      </c>
      <c r="BE425">
        <v>0</v>
      </c>
      <c r="BF425" t="s">
        <v>1063</v>
      </c>
      <c r="BG425" t="s">
        <v>6778</v>
      </c>
      <c r="BH425">
        <v>55</v>
      </c>
      <c r="BI425" t="s">
        <v>7077</v>
      </c>
      <c r="BK425">
        <v>1875874</v>
      </c>
    </row>
    <row r="426" spans="1:63">
      <c r="A426" s="1">
        <f>HYPERLINK("https://lsnyc.legalserver.org/matter/dynamic-profile/view/1875282","18-1875282")</f>
        <v>0</v>
      </c>
      <c r="B426" t="s">
        <v>5419</v>
      </c>
      <c r="C426" t="s">
        <v>5625</v>
      </c>
      <c r="D426" t="s">
        <v>257</v>
      </c>
      <c r="E426" t="s">
        <v>3694</v>
      </c>
      <c r="F426" t="s">
        <v>274</v>
      </c>
      <c r="G426" t="s">
        <v>274</v>
      </c>
      <c r="H426">
        <v>147.26</v>
      </c>
      <c r="I426" t="s">
        <v>274</v>
      </c>
      <c r="K426" t="s">
        <v>5640</v>
      </c>
      <c r="O426" t="s">
        <v>274</v>
      </c>
      <c r="Q426" t="s">
        <v>501</v>
      </c>
      <c r="S426" t="s">
        <v>503</v>
      </c>
      <c r="T426" t="s">
        <v>508</v>
      </c>
      <c r="U426" t="s">
        <v>511</v>
      </c>
      <c r="V426">
        <v>10459</v>
      </c>
      <c r="W426" t="s">
        <v>517</v>
      </c>
      <c r="X426" t="s">
        <v>548</v>
      </c>
      <c r="Y426" t="s">
        <v>274</v>
      </c>
      <c r="Z426" t="s">
        <v>5910</v>
      </c>
      <c r="AA426" t="s">
        <v>6303</v>
      </c>
      <c r="AB426" t="s">
        <v>902</v>
      </c>
      <c r="AC426" t="s">
        <v>904</v>
      </c>
      <c r="AF426" t="s">
        <v>923</v>
      </c>
      <c r="AI426">
        <v>3</v>
      </c>
      <c r="AJ426" t="s">
        <v>558</v>
      </c>
      <c r="AK426" t="s">
        <v>950</v>
      </c>
      <c r="AL426" t="s">
        <v>274</v>
      </c>
      <c r="AT426">
        <v>1</v>
      </c>
      <c r="AU426">
        <v>2</v>
      </c>
      <c r="AV426" t="s">
        <v>273</v>
      </c>
      <c r="AY426" t="s">
        <v>273</v>
      </c>
      <c r="BB426">
        <v>0</v>
      </c>
      <c r="BC426">
        <v>0</v>
      </c>
      <c r="BD426">
        <v>0</v>
      </c>
      <c r="BE426">
        <v>0</v>
      </c>
      <c r="BF426" t="s">
        <v>1063</v>
      </c>
      <c r="BG426" t="s">
        <v>6779</v>
      </c>
      <c r="BH426">
        <v>29</v>
      </c>
      <c r="BI426" t="s">
        <v>7078</v>
      </c>
      <c r="BK426">
        <v>1875889</v>
      </c>
    </row>
    <row r="427" spans="1:63">
      <c r="A427" s="1">
        <f>HYPERLINK("https://lsnyc.legalserver.org/matter/dynamic-profile/view/1875044","18-1875044")</f>
        <v>0</v>
      </c>
      <c r="B427" t="s">
        <v>5420</v>
      </c>
      <c r="C427" t="s">
        <v>5625</v>
      </c>
      <c r="D427" t="s">
        <v>255</v>
      </c>
      <c r="E427" t="s">
        <v>264</v>
      </c>
      <c r="F427" t="s">
        <v>274</v>
      </c>
      <c r="G427" t="s">
        <v>274</v>
      </c>
      <c r="H427">
        <v>0</v>
      </c>
      <c r="I427" t="s">
        <v>274</v>
      </c>
      <c r="K427" t="s">
        <v>382</v>
      </c>
      <c r="L427" t="s">
        <v>453</v>
      </c>
      <c r="O427" t="s">
        <v>274</v>
      </c>
      <c r="P427" t="s">
        <v>493</v>
      </c>
      <c r="Q427" t="s">
        <v>501</v>
      </c>
      <c r="S427" t="s">
        <v>503</v>
      </c>
      <c r="T427" t="s">
        <v>507</v>
      </c>
      <c r="U427" t="s">
        <v>511</v>
      </c>
      <c r="V427">
        <v>10039</v>
      </c>
      <c r="W427" t="s">
        <v>517</v>
      </c>
      <c r="X427" t="s">
        <v>549</v>
      </c>
      <c r="Y427" t="s">
        <v>274</v>
      </c>
      <c r="Z427" t="s">
        <v>5911</v>
      </c>
      <c r="AA427" t="s">
        <v>6309</v>
      </c>
      <c r="AB427" t="s">
        <v>902</v>
      </c>
      <c r="AC427" t="s">
        <v>904</v>
      </c>
      <c r="AD427" t="s">
        <v>275</v>
      </c>
      <c r="AE427" t="s">
        <v>920</v>
      </c>
      <c r="AF427" t="s">
        <v>928</v>
      </c>
      <c r="AI427">
        <v>2.5</v>
      </c>
      <c r="AJ427" t="s">
        <v>558</v>
      </c>
      <c r="AK427" t="s">
        <v>967</v>
      </c>
      <c r="AL427" t="s">
        <v>274</v>
      </c>
      <c r="AQ427" t="s">
        <v>1033</v>
      </c>
      <c r="AR427" t="s">
        <v>1052</v>
      </c>
      <c r="AT427">
        <v>0</v>
      </c>
      <c r="AU427">
        <v>1</v>
      </c>
      <c r="AV427" t="s">
        <v>273</v>
      </c>
      <c r="AY427" t="s">
        <v>273</v>
      </c>
      <c r="BB427">
        <v>0</v>
      </c>
      <c r="BC427">
        <v>0</v>
      </c>
      <c r="BD427">
        <v>0</v>
      </c>
      <c r="BE427">
        <v>0</v>
      </c>
      <c r="BF427" t="s">
        <v>493</v>
      </c>
      <c r="BG427" t="s">
        <v>6780</v>
      </c>
      <c r="BH427">
        <v>33</v>
      </c>
      <c r="BI427" t="s">
        <v>1247</v>
      </c>
      <c r="BK427">
        <v>1875644</v>
      </c>
    </row>
    <row r="428" spans="1:63">
      <c r="A428" s="1">
        <f>HYPERLINK("https://lsnyc.legalserver.org/matter/dynamic-profile/view/1874984","18-1874984")</f>
        <v>0</v>
      </c>
      <c r="B428" t="s">
        <v>5421</v>
      </c>
      <c r="C428" t="s">
        <v>5625</v>
      </c>
      <c r="D428" t="s">
        <v>253</v>
      </c>
      <c r="E428" t="s">
        <v>3694</v>
      </c>
      <c r="F428" t="s">
        <v>274</v>
      </c>
      <c r="G428" t="s">
        <v>274</v>
      </c>
      <c r="H428">
        <v>123.56</v>
      </c>
      <c r="I428" t="s">
        <v>274</v>
      </c>
      <c r="K428" t="s">
        <v>382</v>
      </c>
      <c r="L428" t="s">
        <v>1004</v>
      </c>
      <c r="O428" t="s">
        <v>275</v>
      </c>
      <c r="P428" t="s">
        <v>493</v>
      </c>
      <c r="Q428" t="s">
        <v>501</v>
      </c>
      <c r="S428" t="s">
        <v>503</v>
      </c>
      <c r="T428" t="s">
        <v>507</v>
      </c>
      <c r="U428" t="s">
        <v>511</v>
      </c>
      <c r="V428">
        <v>11415</v>
      </c>
      <c r="W428" t="s">
        <v>517</v>
      </c>
      <c r="X428" t="s">
        <v>549</v>
      </c>
      <c r="Y428" t="s">
        <v>274</v>
      </c>
      <c r="Z428" t="s">
        <v>656</v>
      </c>
      <c r="AA428" t="s">
        <v>6310</v>
      </c>
      <c r="AB428" t="s">
        <v>902</v>
      </c>
      <c r="AC428" t="s">
        <v>904</v>
      </c>
      <c r="AD428" t="s">
        <v>275</v>
      </c>
      <c r="AE428" t="s">
        <v>919</v>
      </c>
      <c r="AF428" t="s">
        <v>923</v>
      </c>
      <c r="AI428">
        <v>5.5</v>
      </c>
      <c r="AJ428" t="s">
        <v>558</v>
      </c>
      <c r="AK428" t="s">
        <v>965</v>
      </c>
      <c r="AL428" t="s">
        <v>274</v>
      </c>
      <c r="AQ428" t="s">
        <v>1042</v>
      </c>
      <c r="AR428" t="s">
        <v>1051</v>
      </c>
      <c r="AT428">
        <v>0</v>
      </c>
      <c r="AU428">
        <v>1</v>
      </c>
      <c r="AV428" t="s">
        <v>273</v>
      </c>
      <c r="AY428" t="s">
        <v>273</v>
      </c>
      <c r="BB428">
        <v>0</v>
      </c>
      <c r="BC428">
        <v>0</v>
      </c>
      <c r="BD428">
        <v>0</v>
      </c>
      <c r="BE428">
        <v>0</v>
      </c>
      <c r="BF428" t="s">
        <v>493</v>
      </c>
      <c r="BG428" t="s">
        <v>6781</v>
      </c>
      <c r="BH428">
        <v>56</v>
      </c>
      <c r="BI428" t="s">
        <v>2801</v>
      </c>
      <c r="BK428">
        <v>1834844</v>
      </c>
    </row>
    <row r="429" spans="1:63">
      <c r="A429" s="1">
        <f>HYPERLINK("https://lsnyc.legalserver.org/matter/dynamic-profile/view/1874896","18-1874896")</f>
        <v>0</v>
      </c>
      <c r="B429" t="s">
        <v>5422</v>
      </c>
      <c r="C429" t="s">
        <v>5625</v>
      </c>
      <c r="D429" t="s">
        <v>252</v>
      </c>
      <c r="E429" t="s">
        <v>5630</v>
      </c>
      <c r="F429" t="s">
        <v>274</v>
      </c>
      <c r="G429" t="s">
        <v>274</v>
      </c>
      <c r="H429">
        <v>164.74</v>
      </c>
      <c r="I429" t="s">
        <v>274</v>
      </c>
      <c r="K429" t="s">
        <v>383</v>
      </c>
      <c r="L429" t="s">
        <v>457</v>
      </c>
      <c r="M429" t="s">
        <v>471</v>
      </c>
      <c r="N429" t="s">
        <v>290</v>
      </c>
      <c r="O429" t="s">
        <v>274</v>
      </c>
      <c r="Q429" t="s">
        <v>501</v>
      </c>
      <c r="S429" t="s">
        <v>503</v>
      </c>
      <c r="T429" t="s">
        <v>507</v>
      </c>
      <c r="U429" t="s">
        <v>511</v>
      </c>
      <c r="V429">
        <v>11208</v>
      </c>
      <c r="W429" t="s">
        <v>517</v>
      </c>
      <c r="X429" t="s">
        <v>549</v>
      </c>
      <c r="Y429" t="s">
        <v>275</v>
      </c>
      <c r="Z429" t="s">
        <v>703</v>
      </c>
      <c r="AA429" t="s">
        <v>2288</v>
      </c>
      <c r="AB429" t="s">
        <v>902</v>
      </c>
      <c r="AC429" t="s">
        <v>904</v>
      </c>
      <c r="AD429" t="s">
        <v>275</v>
      </c>
      <c r="AE429" t="s">
        <v>919</v>
      </c>
      <c r="AF429" t="s">
        <v>923</v>
      </c>
      <c r="AI429">
        <v>2.6</v>
      </c>
      <c r="AJ429" t="s">
        <v>558</v>
      </c>
      <c r="AK429" t="s">
        <v>965</v>
      </c>
      <c r="AL429" t="s">
        <v>274</v>
      </c>
      <c r="AM429" t="s">
        <v>973</v>
      </c>
      <c r="AN429" t="s">
        <v>3699</v>
      </c>
      <c r="AQ429" t="s">
        <v>1042</v>
      </c>
      <c r="AR429" t="s">
        <v>1051</v>
      </c>
      <c r="AT429">
        <v>0</v>
      </c>
      <c r="AU429">
        <v>1</v>
      </c>
      <c r="AV429" t="s">
        <v>273</v>
      </c>
      <c r="AY429" t="s">
        <v>273</v>
      </c>
      <c r="BB429">
        <v>0</v>
      </c>
      <c r="BC429">
        <v>0</v>
      </c>
      <c r="BD429">
        <v>0</v>
      </c>
      <c r="BE429">
        <v>0</v>
      </c>
      <c r="BF429" t="s">
        <v>493</v>
      </c>
      <c r="BG429" t="s">
        <v>6782</v>
      </c>
      <c r="BH429">
        <v>22</v>
      </c>
      <c r="BI429" t="s">
        <v>1251</v>
      </c>
      <c r="BK429">
        <v>1875502</v>
      </c>
    </row>
    <row r="430" spans="1:63">
      <c r="A430" s="1">
        <f>HYPERLINK("https://lsnyc.legalserver.org/matter/dynamic-profile/view/1874928","18-1874928")</f>
        <v>0</v>
      </c>
      <c r="B430" t="s">
        <v>5423</v>
      </c>
      <c r="C430" t="s">
        <v>5625</v>
      </c>
      <c r="D430" t="s">
        <v>257</v>
      </c>
      <c r="E430" t="s">
        <v>3694</v>
      </c>
      <c r="F430" t="s">
        <v>274</v>
      </c>
      <c r="G430" t="s">
        <v>274</v>
      </c>
      <c r="H430">
        <v>110.57</v>
      </c>
      <c r="I430" t="s">
        <v>274</v>
      </c>
      <c r="K430" t="s">
        <v>383</v>
      </c>
      <c r="O430" t="s">
        <v>274</v>
      </c>
      <c r="P430" t="s">
        <v>498</v>
      </c>
      <c r="Q430" t="s">
        <v>501</v>
      </c>
      <c r="S430" t="s">
        <v>503</v>
      </c>
      <c r="T430" t="s">
        <v>508</v>
      </c>
      <c r="U430" t="s">
        <v>511</v>
      </c>
      <c r="V430">
        <v>10453</v>
      </c>
      <c r="W430" t="s">
        <v>536</v>
      </c>
      <c r="X430" t="s">
        <v>548</v>
      </c>
      <c r="Z430" t="s">
        <v>5912</v>
      </c>
      <c r="AA430" t="s">
        <v>6311</v>
      </c>
      <c r="AB430" t="s">
        <v>902</v>
      </c>
      <c r="AC430" t="s">
        <v>905</v>
      </c>
      <c r="AF430" t="s">
        <v>923</v>
      </c>
      <c r="AI430">
        <v>3.9</v>
      </c>
      <c r="AJ430" t="s">
        <v>558</v>
      </c>
      <c r="AK430" t="s">
        <v>933</v>
      </c>
      <c r="AL430" t="s">
        <v>274</v>
      </c>
      <c r="AT430">
        <v>1</v>
      </c>
      <c r="AU430">
        <v>1</v>
      </c>
      <c r="AV430" t="s">
        <v>273</v>
      </c>
      <c r="AY430" t="s">
        <v>273</v>
      </c>
      <c r="BB430">
        <v>0</v>
      </c>
      <c r="BC430">
        <v>0</v>
      </c>
      <c r="BD430">
        <v>0</v>
      </c>
      <c r="BE430">
        <v>0</v>
      </c>
      <c r="BF430" t="s">
        <v>1063</v>
      </c>
      <c r="BG430" t="s">
        <v>6783</v>
      </c>
      <c r="BH430">
        <v>38</v>
      </c>
      <c r="BI430" t="s">
        <v>1260</v>
      </c>
      <c r="BK430">
        <v>1875534</v>
      </c>
    </row>
    <row r="431" spans="1:63">
      <c r="A431" s="1">
        <f>HYPERLINK("https://lsnyc.legalserver.org/matter/dynamic-profile/view/1874786","18-1874786")</f>
        <v>0</v>
      </c>
      <c r="B431" t="s">
        <v>5424</v>
      </c>
      <c r="C431" t="s">
        <v>5625</v>
      </c>
      <c r="D431" t="s">
        <v>253</v>
      </c>
      <c r="E431" t="s">
        <v>3694</v>
      </c>
      <c r="F431" t="s">
        <v>274</v>
      </c>
      <c r="G431" t="s">
        <v>274</v>
      </c>
      <c r="H431">
        <v>150.39</v>
      </c>
      <c r="I431" t="s">
        <v>274</v>
      </c>
      <c r="K431" t="s">
        <v>2996</v>
      </c>
      <c r="O431" t="s">
        <v>274</v>
      </c>
      <c r="Q431" t="s">
        <v>501</v>
      </c>
      <c r="S431" t="s">
        <v>503</v>
      </c>
      <c r="T431" t="s">
        <v>508</v>
      </c>
      <c r="U431" t="s">
        <v>511</v>
      </c>
      <c r="V431">
        <v>11417</v>
      </c>
      <c r="W431" t="s">
        <v>517</v>
      </c>
      <c r="X431" t="s">
        <v>549</v>
      </c>
      <c r="Y431" t="s">
        <v>275</v>
      </c>
      <c r="Z431" t="s">
        <v>5913</v>
      </c>
      <c r="AA431" t="s">
        <v>6312</v>
      </c>
      <c r="AB431" t="s">
        <v>902</v>
      </c>
      <c r="AC431" t="s">
        <v>904</v>
      </c>
      <c r="AF431" t="s">
        <v>923</v>
      </c>
      <c r="AI431">
        <v>2.3</v>
      </c>
      <c r="AJ431" t="s">
        <v>558</v>
      </c>
      <c r="AK431" t="s">
        <v>965</v>
      </c>
      <c r="AL431" t="s">
        <v>274</v>
      </c>
      <c r="AT431">
        <v>2</v>
      </c>
      <c r="AU431">
        <v>1</v>
      </c>
      <c r="AV431" t="s">
        <v>273</v>
      </c>
      <c r="AY431" t="s">
        <v>273</v>
      </c>
      <c r="BB431">
        <v>0</v>
      </c>
      <c r="BC431">
        <v>0</v>
      </c>
      <c r="BD431">
        <v>0</v>
      </c>
      <c r="BE431">
        <v>0</v>
      </c>
      <c r="BF431" t="s">
        <v>1063</v>
      </c>
      <c r="BG431" t="s">
        <v>6784</v>
      </c>
      <c r="BH431">
        <v>52</v>
      </c>
      <c r="BI431" t="s">
        <v>7079</v>
      </c>
      <c r="BK431">
        <v>1875391</v>
      </c>
    </row>
    <row r="432" spans="1:63">
      <c r="A432" s="1">
        <f>HYPERLINK("https://lsnyc.legalserver.org/matter/dynamic-profile/view/1874804","18-1874804")</f>
        <v>0</v>
      </c>
      <c r="B432" t="s">
        <v>5425</v>
      </c>
      <c r="C432" t="s">
        <v>5625</v>
      </c>
      <c r="D432" t="s">
        <v>253</v>
      </c>
      <c r="E432" t="s">
        <v>3694</v>
      </c>
      <c r="F432" t="s">
        <v>274</v>
      </c>
      <c r="G432" t="s">
        <v>274</v>
      </c>
      <c r="H432">
        <v>113.94</v>
      </c>
      <c r="I432" t="s">
        <v>274</v>
      </c>
      <c r="K432" t="s">
        <v>2996</v>
      </c>
      <c r="O432" t="s">
        <v>274</v>
      </c>
      <c r="P432" t="s">
        <v>498</v>
      </c>
      <c r="Q432" t="s">
        <v>501</v>
      </c>
      <c r="S432" t="s">
        <v>503</v>
      </c>
      <c r="T432" t="s">
        <v>508</v>
      </c>
      <c r="U432" t="s">
        <v>511</v>
      </c>
      <c r="V432">
        <v>11421</v>
      </c>
      <c r="W432" t="s">
        <v>532</v>
      </c>
      <c r="X432" t="s">
        <v>549</v>
      </c>
      <c r="Z432" t="s">
        <v>5914</v>
      </c>
      <c r="AA432" t="s">
        <v>6313</v>
      </c>
      <c r="AB432" t="s">
        <v>902</v>
      </c>
      <c r="AC432" t="s">
        <v>905</v>
      </c>
      <c r="AF432" t="s">
        <v>923</v>
      </c>
      <c r="AI432">
        <v>2.65</v>
      </c>
      <c r="AJ432" t="s">
        <v>558</v>
      </c>
      <c r="AK432" t="s">
        <v>965</v>
      </c>
      <c r="AL432" t="s">
        <v>274</v>
      </c>
      <c r="AT432">
        <v>1</v>
      </c>
      <c r="AU432">
        <v>3</v>
      </c>
      <c r="AV432" t="s">
        <v>273</v>
      </c>
      <c r="AY432" t="s">
        <v>273</v>
      </c>
      <c r="BB432">
        <v>0</v>
      </c>
      <c r="BC432">
        <v>0</v>
      </c>
      <c r="BD432">
        <v>0</v>
      </c>
      <c r="BE432">
        <v>0</v>
      </c>
      <c r="BF432" t="s">
        <v>1063</v>
      </c>
      <c r="BG432" t="s">
        <v>6785</v>
      </c>
      <c r="BH432">
        <v>55</v>
      </c>
      <c r="BI432" t="s">
        <v>4265</v>
      </c>
      <c r="BK432">
        <v>1875409</v>
      </c>
    </row>
    <row r="433" spans="1:63">
      <c r="A433" s="1">
        <f>HYPERLINK("https://lsnyc.legalserver.org/matter/dynamic-profile/view/1874685","18-1874685")</f>
        <v>0</v>
      </c>
      <c r="B433" t="s">
        <v>5426</v>
      </c>
      <c r="C433" t="s">
        <v>5625</v>
      </c>
      <c r="D433" t="s">
        <v>253</v>
      </c>
      <c r="E433" t="s">
        <v>3694</v>
      </c>
      <c r="F433" t="s">
        <v>274</v>
      </c>
      <c r="G433" t="s">
        <v>274</v>
      </c>
      <c r="H433">
        <v>157.96</v>
      </c>
      <c r="I433" t="s">
        <v>274</v>
      </c>
      <c r="K433" t="s">
        <v>384</v>
      </c>
      <c r="P433" t="s">
        <v>495</v>
      </c>
      <c r="Q433" t="s">
        <v>501</v>
      </c>
      <c r="S433" t="s">
        <v>503</v>
      </c>
      <c r="T433" t="s">
        <v>508</v>
      </c>
      <c r="U433" t="s">
        <v>511</v>
      </c>
      <c r="V433">
        <v>11691</v>
      </c>
      <c r="W433" t="s">
        <v>516</v>
      </c>
      <c r="X433" t="s">
        <v>549</v>
      </c>
      <c r="Z433" t="s">
        <v>5915</v>
      </c>
      <c r="AA433" t="s">
        <v>6314</v>
      </c>
      <c r="AB433" t="s">
        <v>902</v>
      </c>
      <c r="AC433" t="s">
        <v>909</v>
      </c>
      <c r="AD433" t="s">
        <v>274</v>
      </c>
      <c r="AF433" t="s">
        <v>923</v>
      </c>
      <c r="AI433">
        <v>4.97</v>
      </c>
      <c r="AJ433" t="s">
        <v>558</v>
      </c>
      <c r="AK433" t="s">
        <v>939</v>
      </c>
      <c r="AL433" t="s">
        <v>274</v>
      </c>
      <c r="AS433" t="s">
        <v>1061</v>
      </c>
      <c r="AT433">
        <v>1</v>
      </c>
      <c r="AU433">
        <v>1</v>
      </c>
      <c r="AV433" t="s">
        <v>273</v>
      </c>
      <c r="AY433" t="s">
        <v>273</v>
      </c>
      <c r="BB433">
        <v>0</v>
      </c>
      <c r="BC433">
        <v>0</v>
      </c>
      <c r="BD433">
        <v>0</v>
      </c>
      <c r="BE433">
        <v>0</v>
      </c>
      <c r="BF433" t="s">
        <v>1063</v>
      </c>
      <c r="BG433" t="s">
        <v>6786</v>
      </c>
      <c r="BH433">
        <v>46</v>
      </c>
      <c r="BI433" t="s">
        <v>1279</v>
      </c>
      <c r="BK433">
        <v>1875290</v>
      </c>
    </row>
    <row r="434" spans="1:63">
      <c r="A434" s="1">
        <f>HYPERLINK("https://lsnyc.legalserver.org/matter/dynamic-profile/view/1874701","18-1874701")</f>
        <v>0</v>
      </c>
      <c r="B434" t="s">
        <v>5427</v>
      </c>
      <c r="C434" t="s">
        <v>5625</v>
      </c>
      <c r="D434" t="s">
        <v>257</v>
      </c>
      <c r="E434" t="s">
        <v>3694</v>
      </c>
      <c r="F434" t="s">
        <v>274</v>
      </c>
      <c r="G434" t="s">
        <v>274</v>
      </c>
      <c r="H434">
        <v>0</v>
      </c>
      <c r="I434" t="s">
        <v>274</v>
      </c>
      <c r="K434" t="s">
        <v>384</v>
      </c>
      <c r="O434" t="s">
        <v>275</v>
      </c>
      <c r="P434" t="s">
        <v>498</v>
      </c>
      <c r="Q434" t="s">
        <v>501</v>
      </c>
      <c r="S434" t="s">
        <v>503</v>
      </c>
      <c r="T434" t="s">
        <v>507</v>
      </c>
      <c r="U434" t="s">
        <v>511</v>
      </c>
      <c r="V434">
        <v>10452</v>
      </c>
      <c r="W434" t="s">
        <v>521</v>
      </c>
      <c r="X434" t="s">
        <v>557</v>
      </c>
      <c r="Z434" t="s">
        <v>5916</v>
      </c>
      <c r="AA434" t="s">
        <v>6315</v>
      </c>
      <c r="AB434" t="s">
        <v>902</v>
      </c>
      <c r="AC434" t="s">
        <v>905</v>
      </c>
      <c r="AF434" t="s">
        <v>923</v>
      </c>
      <c r="AI434">
        <v>9.300000000000001</v>
      </c>
      <c r="AJ434" t="s">
        <v>558</v>
      </c>
      <c r="AK434" t="s">
        <v>6457</v>
      </c>
      <c r="AL434" t="s">
        <v>274</v>
      </c>
      <c r="AT434">
        <v>0</v>
      </c>
      <c r="AU434">
        <v>1</v>
      </c>
      <c r="AV434" t="s">
        <v>273</v>
      </c>
      <c r="AY434" t="s">
        <v>273</v>
      </c>
      <c r="BB434">
        <v>0</v>
      </c>
      <c r="BC434">
        <v>0</v>
      </c>
      <c r="BD434">
        <v>0</v>
      </c>
      <c r="BE434">
        <v>0</v>
      </c>
      <c r="BF434" t="s">
        <v>1063</v>
      </c>
      <c r="BG434" t="s">
        <v>6787</v>
      </c>
      <c r="BH434">
        <v>30</v>
      </c>
      <c r="BI434" t="s">
        <v>1247</v>
      </c>
      <c r="BK434">
        <v>1875306</v>
      </c>
    </row>
    <row r="435" spans="1:63">
      <c r="A435" s="1">
        <f>HYPERLINK("https://lsnyc.legalserver.org/matter/dynamic-profile/view/1874533","18-1874533")</f>
        <v>0</v>
      </c>
      <c r="B435" t="s">
        <v>5428</v>
      </c>
      <c r="C435" t="s">
        <v>5625</v>
      </c>
      <c r="D435" t="s">
        <v>255</v>
      </c>
      <c r="E435" t="s">
        <v>3694</v>
      </c>
      <c r="F435" t="s">
        <v>274</v>
      </c>
      <c r="G435" t="s">
        <v>274</v>
      </c>
      <c r="H435">
        <v>158.57</v>
      </c>
      <c r="I435" t="s">
        <v>274</v>
      </c>
      <c r="K435" t="s">
        <v>385</v>
      </c>
      <c r="O435" t="s">
        <v>274</v>
      </c>
      <c r="P435" t="s">
        <v>498</v>
      </c>
      <c r="Q435" t="s">
        <v>501</v>
      </c>
      <c r="S435" t="s">
        <v>503</v>
      </c>
      <c r="T435" t="s">
        <v>508</v>
      </c>
      <c r="U435" t="s">
        <v>511</v>
      </c>
      <c r="V435">
        <v>10032</v>
      </c>
      <c r="W435" t="s">
        <v>517</v>
      </c>
      <c r="X435" t="s">
        <v>548</v>
      </c>
      <c r="Z435" t="s">
        <v>5917</v>
      </c>
      <c r="AA435" t="s">
        <v>2102</v>
      </c>
      <c r="AB435" t="s">
        <v>902</v>
      </c>
      <c r="AC435" t="s">
        <v>904</v>
      </c>
      <c r="AF435" t="s">
        <v>923</v>
      </c>
      <c r="AI435">
        <v>1.8</v>
      </c>
      <c r="AJ435" t="s">
        <v>558</v>
      </c>
      <c r="AK435" t="s">
        <v>950</v>
      </c>
      <c r="AL435" t="s">
        <v>274</v>
      </c>
      <c r="AT435">
        <v>1</v>
      </c>
      <c r="AU435">
        <v>1</v>
      </c>
      <c r="AV435" t="s">
        <v>273</v>
      </c>
      <c r="AY435" t="s">
        <v>273</v>
      </c>
      <c r="BB435">
        <v>0</v>
      </c>
      <c r="BC435">
        <v>0</v>
      </c>
      <c r="BD435">
        <v>0</v>
      </c>
      <c r="BE435">
        <v>0</v>
      </c>
      <c r="BF435" t="s">
        <v>1063</v>
      </c>
      <c r="BG435" t="s">
        <v>6788</v>
      </c>
      <c r="BH435">
        <v>34</v>
      </c>
      <c r="BI435" t="s">
        <v>7080</v>
      </c>
      <c r="BK435">
        <v>1875138</v>
      </c>
    </row>
    <row r="436" spans="1:63">
      <c r="A436" s="1">
        <f>HYPERLINK("https://lsnyc.legalserver.org/matter/dynamic-profile/view/1874404","18-1874404")</f>
        <v>0</v>
      </c>
      <c r="B436" t="s">
        <v>5429</v>
      </c>
      <c r="C436" t="s">
        <v>5625</v>
      </c>
      <c r="D436" t="s">
        <v>257</v>
      </c>
      <c r="E436" t="s">
        <v>3694</v>
      </c>
      <c r="F436" t="s">
        <v>274</v>
      </c>
      <c r="G436" t="s">
        <v>274</v>
      </c>
      <c r="H436">
        <v>113.73</v>
      </c>
      <c r="I436" t="s">
        <v>274</v>
      </c>
      <c r="K436" t="s">
        <v>2394</v>
      </c>
      <c r="O436" t="s">
        <v>274</v>
      </c>
      <c r="P436" t="s">
        <v>498</v>
      </c>
      <c r="Q436" t="s">
        <v>501</v>
      </c>
      <c r="S436" t="s">
        <v>503</v>
      </c>
      <c r="T436" t="s">
        <v>508</v>
      </c>
      <c r="U436" t="s">
        <v>511</v>
      </c>
      <c r="V436">
        <v>10459</v>
      </c>
      <c r="W436" t="s">
        <v>517</v>
      </c>
      <c r="X436" t="s">
        <v>549</v>
      </c>
      <c r="Y436" t="s">
        <v>275</v>
      </c>
      <c r="Z436" t="s">
        <v>5918</v>
      </c>
      <c r="AA436" t="s">
        <v>6316</v>
      </c>
      <c r="AB436" t="s">
        <v>902</v>
      </c>
      <c r="AC436" t="s">
        <v>904</v>
      </c>
      <c r="AF436" t="s">
        <v>923</v>
      </c>
      <c r="AI436">
        <v>2.8</v>
      </c>
      <c r="AJ436" t="s">
        <v>558</v>
      </c>
      <c r="AK436" t="s">
        <v>939</v>
      </c>
      <c r="AL436" t="s">
        <v>274</v>
      </c>
      <c r="AT436">
        <v>0</v>
      </c>
      <c r="AU436">
        <v>2</v>
      </c>
      <c r="AV436" t="s">
        <v>273</v>
      </c>
      <c r="AY436" t="s">
        <v>273</v>
      </c>
      <c r="BB436">
        <v>0</v>
      </c>
      <c r="BC436">
        <v>0</v>
      </c>
      <c r="BD436">
        <v>0</v>
      </c>
      <c r="BE436">
        <v>0</v>
      </c>
      <c r="BF436" t="s">
        <v>1063</v>
      </c>
      <c r="BG436" t="s">
        <v>6789</v>
      </c>
      <c r="BH436">
        <v>60</v>
      </c>
      <c r="BI436" t="s">
        <v>1318</v>
      </c>
      <c r="BK436">
        <v>1875008</v>
      </c>
    </row>
    <row r="437" spans="1:63">
      <c r="A437" s="1">
        <f>HYPERLINK("https://lsnyc.legalserver.org/matter/dynamic-profile/view/1874516","18-1874516")</f>
        <v>0</v>
      </c>
      <c r="B437" t="s">
        <v>5358</v>
      </c>
      <c r="C437" t="s">
        <v>5625</v>
      </c>
      <c r="D437" t="s">
        <v>253</v>
      </c>
      <c r="E437" t="s">
        <v>3694</v>
      </c>
      <c r="F437" t="s">
        <v>274</v>
      </c>
      <c r="G437" t="s">
        <v>274</v>
      </c>
      <c r="H437">
        <v>72.90000000000001</v>
      </c>
      <c r="I437" t="s">
        <v>274</v>
      </c>
      <c r="K437" t="s">
        <v>2394</v>
      </c>
      <c r="P437" t="s">
        <v>492</v>
      </c>
      <c r="Q437" t="s">
        <v>501</v>
      </c>
      <c r="S437" t="s">
        <v>503</v>
      </c>
      <c r="T437" t="s">
        <v>508</v>
      </c>
      <c r="U437" t="s">
        <v>511</v>
      </c>
      <c r="V437">
        <v>11372</v>
      </c>
      <c r="W437" t="s">
        <v>536</v>
      </c>
      <c r="X437" t="s">
        <v>548</v>
      </c>
      <c r="Z437" t="s">
        <v>5873</v>
      </c>
      <c r="AA437" t="s">
        <v>6260</v>
      </c>
      <c r="AB437" t="s">
        <v>902</v>
      </c>
      <c r="AC437" t="s">
        <v>905</v>
      </c>
      <c r="AF437" t="s">
        <v>923</v>
      </c>
      <c r="AI437">
        <v>8.6</v>
      </c>
      <c r="AJ437" t="s">
        <v>558</v>
      </c>
      <c r="AK437" t="s">
        <v>947</v>
      </c>
      <c r="AL437" t="s">
        <v>274</v>
      </c>
      <c r="AS437" t="s">
        <v>1061</v>
      </c>
      <c r="AT437">
        <v>1</v>
      </c>
      <c r="AU437">
        <v>1</v>
      </c>
      <c r="AV437" t="s">
        <v>273</v>
      </c>
      <c r="AY437" t="s">
        <v>273</v>
      </c>
      <c r="BB437">
        <v>0</v>
      </c>
      <c r="BC437">
        <v>0</v>
      </c>
      <c r="BD437">
        <v>0</v>
      </c>
      <c r="BE437">
        <v>0</v>
      </c>
      <c r="BF437" t="s">
        <v>1063</v>
      </c>
      <c r="BG437" t="s">
        <v>6723</v>
      </c>
      <c r="BH437">
        <v>35</v>
      </c>
      <c r="BI437" t="s">
        <v>1267</v>
      </c>
      <c r="BK437">
        <v>1875121</v>
      </c>
    </row>
    <row r="438" spans="1:63">
      <c r="A438" s="1">
        <f>HYPERLINK("https://lsnyc.legalserver.org/matter/dynamic-profile/view/1874331","18-1874331")</f>
        <v>0</v>
      </c>
      <c r="B438" t="s">
        <v>5430</v>
      </c>
      <c r="C438" t="s">
        <v>5625</v>
      </c>
      <c r="D438" t="s">
        <v>253</v>
      </c>
      <c r="E438" t="s">
        <v>3694</v>
      </c>
      <c r="F438" t="s">
        <v>274</v>
      </c>
      <c r="G438" t="s">
        <v>274</v>
      </c>
      <c r="H438">
        <v>0</v>
      </c>
      <c r="I438" t="s">
        <v>274</v>
      </c>
      <c r="K438" t="s">
        <v>1736</v>
      </c>
      <c r="O438" t="s">
        <v>275</v>
      </c>
      <c r="Q438" t="s">
        <v>501</v>
      </c>
      <c r="S438" t="s">
        <v>503</v>
      </c>
      <c r="T438" t="s">
        <v>507</v>
      </c>
      <c r="U438" t="s">
        <v>511</v>
      </c>
      <c r="V438">
        <v>11368</v>
      </c>
      <c r="W438" t="s">
        <v>521</v>
      </c>
      <c r="X438" t="s">
        <v>548</v>
      </c>
      <c r="Z438" t="s">
        <v>5919</v>
      </c>
      <c r="AA438" t="s">
        <v>6317</v>
      </c>
      <c r="AB438" t="s">
        <v>902</v>
      </c>
      <c r="AC438" t="s">
        <v>905</v>
      </c>
      <c r="AF438" t="s">
        <v>923</v>
      </c>
      <c r="AI438">
        <v>4.5</v>
      </c>
      <c r="AJ438" t="s">
        <v>558</v>
      </c>
      <c r="AK438" t="s">
        <v>947</v>
      </c>
      <c r="AL438" t="s">
        <v>274</v>
      </c>
      <c r="AT438">
        <v>0</v>
      </c>
      <c r="AU438">
        <v>1</v>
      </c>
      <c r="AV438" t="s">
        <v>273</v>
      </c>
      <c r="AY438" t="s">
        <v>273</v>
      </c>
      <c r="BB438">
        <v>0</v>
      </c>
      <c r="BC438">
        <v>0</v>
      </c>
      <c r="BD438">
        <v>0</v>
      </c>
      <c r="BE438">
        <v>0</v>
      </c>
      <c r="BF438" t="s">
        <v>1063</v>
      </c>
      <c r="BG438" t="s">
        <v>6790</v>
      </c>
      <c r="BH438">
        <v>51</v>
      </c>
      <c r="BI438" t="s">
        <v>1247</v>
      </c>
      <c r="BK438">
        <v>1874935</v>
      </c>
    </row>
    <row r="439" spans="1:63">
      <c r="A439" s="1">
        <f>HYPERLINK("https://lsnyc.legalserver.org/matter/dynamic-profile/view/1874364","18-1874364")</f>
        <v>0</v>
      </c>
      <c r="B439" t="s">
        <v>5431</v>
      </c>
      <c r="C439" t="s">
        <v>5625</v>
      </c>
      <c r="D439" t="s">
        <v>257</v>
      </c>
      <c r="E439" t="s">
        <v>3694</v>
      </c>
      <c r="F439" t="s">
        <v>274</v>
      </c>
      <c r="G439" t="s">
        <v>274</v>
      </c>
      <c r="H439">
        <v>113.73</v>
      </c>
      <c r="I439" t="s">
        <v>274</v>
      </c>
      <c r="K439" t="s">
        <v>1736</v>
      </c>
      <c r="O439" t="s">
        <v>274</v>
      </c>
      <c r="P439" t="s">
        <v>498</v>
      </c>
      <c r="Q439" t="s">
        <v>501</v>
      </c>
      <c r="S439" t="s">
        <v>503</v>
      </c>
      <c r="T439" t="s">
        <v>507</v>
      </c>
      <c r="U439" t="s">
        <v>511</v>
      </c>
      <c r="V439">
        <v>10459</v>
      </c>
      <c r="W439" t="s">
        <v>517</v>
      </c>
      <c r="X439" t="s">
        <v>549</v>
      </c>
      <c r="Y439" t="s">
        <v>275</v>
      </c>
      <c r="Z439" t="s">
        <v>5920</v>
      </c>
      <c r="AA439" t="s">
        <v>6316</v>
      </c>
      <c r="AB439" t="s">
        <v>902</v>
      </c>
      <c r="AC439" t="s">
        <v>904</v>
      </c>
      <c r="AF439" t="s">
        <v>923</v>
      </c>
      <c r="AI439">
        <v>2.2</v>
      </c>
      <c r="AJ439" t="s">
        <v>558</v>
      </c>
      <c r="AK439" t="s">
        <v>939</v>
      </c>
      <c r="AL439" t="s">
        <v>274</v>
      </c>
      <c r="AT439">
        <v>0</v>
      </c>
      <c r="AU439">
        <v>2</v>
      </c>
      <c r="AV439" t="s">
        <v>273</v>
      </c>
      <c r="AY439" t="s">
        <v>273</v>
      </c>
      <c r="BB439">
        <v>0</v>
      </c>
      <c r="BC439">
        <v>0</v>
      </c>
      <c r="BD439">
        <v>0</v>
      </c>
      <c r="BE439">
        <v>0</v>
      </c>
      <c r="BF439" t="s">
        <v>1063</v>
      </c>
      <c r="BG439" t="s">
        <v>6791</v>
      </c>
      <c r="BH439">
        <v>62</v>
      </c>
      <c r="BI439" t="s">
        <v>1318</v>
      </c>
      <c r="BK439">
        <v>1874968</v>
      </c>
    </row>
    <row r="440" spans="1:63">
      <c r="A440" s="1">
        <f>HYPERLINK("https://lsnyc.legalserver.org/matter/dynamic-profile/view/1874042","18-1874042")</f>
        <v>0</v>
      </c>
      <c r="B440" t="s">
        <v>5432</v>
      </c>
      <c r="C440" t="s">
        <v>5625</v>
      </c>
      <c r="D440" t="s">
        <v>255</v>
      </c>
      <c r="E440" t="s">
        <v>3694</v>
      </c>
      <c r="F440" t="s">
        <v>274</v>
      </c>
      <c r="G440" t="s">
        <v>274</v>
      </c>
      <c r="H440">
        <v>18.51</v>
      </c>
      <c r="I440" t="s">
        <v>274</v>
      </c>
      <c r="K440" t="s">
        <v>5641</v>
      </c>
      <c r="O440" t="s">
        <v>274</v>
      </c>
      <c r="Q440" t="s">
        <v>501</v>
      </c>
      <c r="S440" t="s">
        <v>503</v>
      </c>
      <c r="T440" t="s">
        <v>508</v>
      </c>
      <c r="U440" t="s">
        <v>511</v>
      </c>
      <c r="V440">
        <v>10035</v>
      </c>
      <c r="W440" t="s">
        <v>517</v>
      </c>
      <c r="X440" t="s">
        <v>548</v>
      </c>
      <c r="Z440" t="s">
        <v>5921</v>
      </c>
      <c r="AA440" t="s">
        <v>6318</v>
      </c>
      <c r="AB440" t="s">
        <v>902</v>
      </c>
      <c r="AC440" t="s">
        <v>904</v>
      </c>
      <c r="AF440" t="s">
        <v>923</v>
      </c>
      <c r="AI440">
        <v>2.7</v>
      </c>
      <c r="AJ440" t="s">
        <v>558</v>
      </c>
      <c r="AK440" t="s">
        <v>933</v>
      </c>
      <c r="AL440" t="s">
        <v>274</v>
      </c>
      <c r="AT440">
        <v>1</v>
      </c>
      <c r="AU440">
        <v>5</v>
      </c>
      <c r="AV440" t="s">
        <v>273</v>
      </c>
      <c r="AY440" t="s">
        <v>273</v>
      </c>
      <c r="BB440">
        <v>0</v>
      </c>
      <c r="BC440">
        <v>0</v>
      </c>
      <c r="BD440">
        <v>0</v>
      </c>
      <c r="BE440">
        <v>0</v>
      </c>
      <c r="BF440" t="s">
        <v>1063</v>
      </c>
      <c r="BG440" t="s">
        <v>6792</v>
      </c>
      <c r="BH440">
        <v>53</v>
      </c>
      <c r="BI440" t="s">
        <v>7081</v>
      </c>
      <c r="BK440">
        <v>1874645</v>
      </c>
    </row>
    <row r="441" spans="1:63">
      <c r="A441" s="1">
        <f>HYPERLINK("https://lsnyc.legalserver.org/matter/dynamic-profile/view/1873887","18-1873887")</f>
        <v>0</v>
      </c>
      <c r="B441" t="s">
        <v>5130</v>
      </c>
      <c r="C441" t="s">
        <v>5625</v>
      </c>
      <c r="D441" t="s">
        <v>255</v>
      </c>
      <c r="E441" t="s">
        <v>3694</v>
      </c>
      <c r="F441" t="s">
        <v>274</v>
      </c>
      <c r="G441" t="s">
        <v>274</v>
      </c>
      <c r="H441">
        <v>0</v>
      </c>
      <c r="I441" t="s">
        <v>274</v>
      </c>
      <c r="K441" t="s">
        <v>386</v>
      </c>
      <c r="L441" t="s">
        <v>457</v>
      </c>
      <c r="O441" t="s">
        <v>275</v>
      </c>
      <c r="P441" t="s">
        <v>498</v>
      </c>
      <c r="Q441" t="s">
        <v>501</v>
      </c>
      <c r="S441" t="s">
        <v>503</v>
      </c>
      <c r="T441" t="s">
        <v>507</v>
      </c>
      <c r="U441" t="s">
        <v>511</v>
      </c>
      <c r="V441">
        <v>10032</v>
      </c>
      <c r="W441" t="s">
        <v>521</v>
      </c>
      <c r="X441" t="s">
        <v>549</v>
      </c>
      <c r="Y441" t="s">
        <v>274</v>
      </c>
      <c r="Z441" t="s">
        <v>5723</v>
      </c>
      <c r="AA441" t="s">
        <v>6100</v>
      </c>
      <c r="AB441" t="s">
        <v>902</v>
      </c>
      <c r="AC441" t="s">
        <v>905</v>
      </c>
      <c r="AD441" t="s">
        <v>274</v>
      </c>
      <c r="AE441" t="s">
        <v>919</v>
      </c>
      <c r="AF441" t="s">
        <v>923</v>
      </c>
      <c r="AI441">
        <v>4.25</v>
      </c>
      <c r="AJ441" t="s">
        <v>558</v>
      </c>
      <c r="AK441" t="s">
        <v>939</v>
      </c>
      <c r="AL441" t="s">
        <v>274</v>
      </c>
      <c r="AQ441" t="s">
        <v>1048</v>
      </c>
      <c r="AR441" t="s">
        <v>1054</v>
      </c>
      <c r="AT441">
        <v>0</v>
      </c>
      <c r="AU441">
        <v>1</v>
      </c>
      <c r="AV441" t="s">
        <v>273</v>
      </c>
      <c r="AY441" t="s">
        <v>273</v>
      </c>
      <c r="BB441">
        <v>0</v>
      </c>
      <c r="BC441">
        <v>0</v>
      </c>
      <c r="BD441">
        <v>0</v>
      </c>
      <c r="BE441">
        <v>0</v>
      </c>
      <c r="BF441" t="s">
        <v>493</v>
      </c>
      <c r="BG441" t="s">
        <v>6516</v>
      </c>
      <c r="BH441">
        <v>33</v>
      </c>
      <c r="BI441" t="s">
        <v>1247</v>
      </c>
      <c r="BK441">
        <v>1874490</v>
      </c>
    </row>
    <row r="442" spans="1:63">
      <c r="A442" s="1">
        <f>HYPERLINK("https://lsnyc.legalserver.org/matter/dynamic-profile/view/1873904","18-1873904")</f>
        <v>0</v>
      </c>
      <c r="B442" t="s">
        <v>5433</v>
      </c>
      <c r="C442" t="s">
        <v>5625</v>
      </c>
      <c r="D442" t="s">
        <v>255</v>
      </c>
      <c r="E442" t="s">
        <v>3694</v>
      </c>
      <c r="F442" t="s">
        <v>274</v>
      </c>
      <c r="G442" t="s">
        <v>274</v>
      </c>
      <c r="H442">
        <v>95.17</v>
      </c>
      <c r="I442" t="s">
        <v>274</v>
      </c>
      <c r="K442" t="s">
        <v>386</v>
      </c>
      <c r="O442" t="s">
        <v>274</v>
      </c>
      <c r="P442" t="s">
        <v>498</v>
      </c>
      <c r="Q442" t="s">
        <v>501</v>
      </c>
      <c r="S442" t="s">
        <v>503</v>
      </c>
      <c r="T442" t="s">
        <v>507</v>
      </c>
      <c r="U442" t="s">
        <v>511</v>
      </c>
      <c r="V442">
        <v>10035</v>
      </c>
      <c r="W442" t="s">
        <v>517</v>
      </c>
      <c r="X442" t="s">
        <v>548</v>
      </c>
      <c r="Y442" t="s">
        <v>274</v>
      </c>
      <c r="Z442" t="s">
        <v>5922</v>
      </c>
      <c r="AA442" t="s">
        <v>6319</v>
      </c>
      <c r="AB442" t="s">
        <v>902</v>
      </c>
      <c r="AC442" t="s">
        <v>904</v>
      </c>
      <c r="AF442" t="s">
        <v>923</v>
      </c>
      <c r="AI442">
        <v>2.5</v>
      </c>
      <c r="AJ442" t="s">
        <v>558</v>
      </c>
      <c r="AK442" t="s">
        <v>950</v>
      </c>
      <c r="AL442" t="s">
        <v>274</v>
      </c>
      <c r="AT442">
        <v>3</v>
      </c>
      <c r="AU442">
        <v>2</v>
      </c>
      <c r="AV442" t="s">
        <v>273</v>
      </c>
      <c r="AY442" t="s">
        <v>273</v>
      </c>
      <c r="BB442">
        <v>0</v>
      </c>
      <c r="BC442">
        <v>0</v>
      </c>
      <c r="BD442">
        <v>0</v>
      </c>
      <c r="BE442">
        <v>0</v>
      </c>
      <c r="BF442" t="s">
        <v>1063</v>
      </c>
      <c r="BG442" t="s">
        <v>6793</v>
      </c>
      <c r="BH442">
        <v>20</v>
      </c>
      <c r="BI442" t="s">
        <v>6987</v>
      </c>
      <c r="BK442">
        <v>1874507</v>
      </c>
    </row>
    <row r="443" spans="1:63">
      <c r="A443" s="1">
        <f>HYPERLINK("https://lsnyc.legalserver.org/matter/dynamic-profile/view/1873936","18-1873936")</f>
        <v>0</v>
      </c>
      <c r="B443" t="s">
        <v>5434</v>
      </c>
      <c r="C443" t="s">
        <v>5625</v>
      </c>
      <c r="D443" t="s">
        <v>255</v>
      </c>
      <c r="E443" t="s">
        <v>3694</v>
      </c>
      <c r="F443" t="s">
        <v>274</v>
      </c>
      <c r="G443" t="s">
        <v>274</v>
      </c>
      <c r="H443">
        <v>18.51</v>
      </c>
      <c r="I443" t="s">
        <v>274</v>
      </c>
      <c r="K443" t="s">
        <v>386</v>
      </c>
      <c r="O443" t="s">
        <v>274</v>
      </c>
      <c r="Q443" t="s">
        <v>501</v>
      </c>
      <c r="S443" t="s">
        <v>503</v>
      </c>
      <c r="T443" t="s">
        <v>508</v>
      </c>
      <c r="U443" t="s">
        <v>511</v>
      </c>
      <c r="V443">
        <v>10035</v>
      </c>
      <c r="W443" t="s">
        <v>517</v>
      </c>
      <c r="X443" t="s">
        <v>549</v>
      </c>
      <c r="Y443" t="s">
        <v>274</v>
      </c>
      <c r="Z443" t="s">
        <v>5923</v>
      </c>
      <c r="AA443" t="s">
        <v>6249</v>
      </c>
      <c r="AB443" t="s">
        <v>902</v>
      </c>
      <c r="AC443" t="s">
        <v>904</v>
      </c>
      <c r="AF443" t="s">
        <v>923</v>
      </c>
      <c r="AI443">
        <v>3</v>
      </c>
      <c r="AJ443" t="s">
        <v>558</v>
      </c>
      <c r="AK443" t="s">
        <v>933</v>
      </c>
      <c r="AL443" t="s">
        <v>274</v>
      </c>
      <c r="AT443">
        <v>1</v>
      </c>
      <c r="AU443">
        <v>5</v>
      </c>
      <c r="AV443" t="s">
        <v>273</v>
      </c>
      <c r="AY443" t="s">
        <v>273</v>
      </c>
      <c r="BB443">
        <v>0</v>
      </c>
      <c r="BC443">
        <v>0</v>
      </c>
      <c r="BD443">
        <v>0</v>
      </c>
      <c r="BE443">
        <v>0</v>
      </c>
      <c r="BF443" t="s">
        <v>1063</v>
      </c>
      <c r="BG443" t="s">
        <v>6794</v>
      </c>
      <c r="BH443">
        <v>24</v>
      </c>
      <c r="BI443" t="s">
        <v>7081</v>
      </c>
      <c r="BK443">
        <v>1874539</v>
      </c>
    </row>
    <row r="444" spans="1:63">
      <c r="A444" s="1">
        <f>HYPERLINK("https://lsnyc.legalserver.org/matter/dynamic-profile/view/1873938","18-1873938")</f>
        <v>0</v>
      </c>
      <c r="B444" t="s">
        <v>5435</v>
      </c>
      <c r="C444" t="s">
        <v>5625</v>
      </c>
      <c r="D444" t="s">
        <v>252</v>
      </c>
      <c r="E444" t="s">
        <v>5630</v>
      </c>
      <c r="F444" t="s">
        <v>274</v>
      </c>
      <c r="G444" t="s">
        <v>274</v>
      </c>
      <c r="H444">
        <v>55.78</v>
      </c>
      <c r="I444" t="s">
        <v>274</v>
      </c>
      <c r="K444" t="s">
        <v>386</v>
      </c>
      <c r="O444" t="s">
        <v>274</v>
      </c>
      <c r="P444" t="s">
        <v>498</v>
      </c>
      <c r="Q444" t="s">
        <v>501</v>
      </c>
      <c r="S444" t="s">
        <v>503</v>
      </c>
      <c r="T444" t="s">
        <v>508</v>
      </c>
      <c r="U444" t="s">
        <v>511</v>
      </c>
      <c r="V444">
        <v>11213</v>
      </c>
      <c r="W444" t="s">
        <v>517</v>
      </c>
      <c r="X444" t="s">
        <v>548</v>
      </c>
      <c r="Y444" t="s">
        <v>275</v>
      </c>
      <c r="Z444" t="s">
        <v>5924</v>
      </c>
      <c r="AA444" t="s">
        <v>6320</v>
      </c>
      <c r="AB444" t="s">
        <v>902</v>
      </c>
      <c r="AC444" t="s">
        <v>904</v>
      </c>
      <c r="AF444" t="s">
        <v>923</v>
      </c>
      <c r="AI444">
        <v>4.5</v>
      </c>
      <c r="AJ444" t="s">
        <v>558</v>
      </c>
      <c r="AK444" t="s">
        <v>2376</v>
      </c>
      <c r="AL444" t="s">
        <v>274</v>
      </c>
      <c r="AM444" t="s">
        <v>973</v>
      </c>
      <c r="AN444" t="s">
        <v>3698</v>
      </c>
      <c r="AT444">
        <v>3</v>
      </c>
      <c r="AU444">
        <v>1</v>
      </c>
      <c r="AV444" t="s">
        <v>273</v>
      </c>
      <c r="AY444" t="s">
        <v>273</v>
      </c>
      <c r="BB444">
        <v>0</v>
      </c>
      <c r="BC444">
        <v>0</v>
      </c>
      <c r="BD444">
        <v>0</v>
      </c>
      <c r="BE444">
        <v>0</v>
      </c>
      <c r="BF444" t="s">
        <v>1063</v>
      </c>
      <c r="BG444" t="s">
        <v>6795</v>
      </c>
      <c r="BH444">
        <v>38</v>
      </c>
      <c r="BI444" t="s">
        <v>7032</v>
      </c>
      <c r="BK444">
        <v>1846036</v>
      </c>
    </row>
    <row r="445" spans="1:63">
      <c r="A445" s="1">
        <f>HYPERLINK("https://lsnyc.legalserver.org/matter/dynamic-profile/view/1873941","18-1873941")</f>
        <v>0</v>
      </c>
      <c r="B445" t="s">
        <v>5436</v>
      </c>
      <c r="C445" t="s">
        <v>5625</v>
      </c>
      <c r="D445" t="s">
        <v>257</v>
      </c>
      <c r="E445" t="s">
        <v>5630</v>
      </c>
      <c r="F445" t="s">
        <v>274</v>
      </c>
      <c r="G445" t="s">
        <v>274</v>
      </c>
      <c r="H445">
        <v>48.54</v>
      </c>
      <c r="I445" t="s">
        <v>274</v>
      </c>
      <c r="K445" t="s">
        <v>386</v>
      </c>
      <c r="O445" t="s">
        <v>274</v>
      </c>
      <c r="P445" t="s">
        <v>498</v>
      </c>
      <c r="Q445" t="s">
        <v>501</v>
      </c>
      <c r="S445" t="s">
        <v>503</v>
      </c>
      <c r="T445" t="s">
        <v>508</v>
      </c>
      <c r="U445" t="s">
        <v>511</v>
      </c>
      <c r="V445">
        <v>10459</v>
      </c>
      <c r="W445" t="s">
        <v>517</v>
      </c>
      <c r="X445" t="s">
        <v>548</v>
      </c>
      <c r="Y445" t="s">
        <v>275</v>
      </c>
      <c r="Z445" t="s">
        <v>569</v>
      </c>
      <c r="AA445" t="s">
        <v>611</v>
      </c>
      <c r="AB445" t="s">
        <v>902</v>
      </c>
      <c r="AC445" t="s">
        <v>904</v>
      </c>
      <c r="AF445" t="s">
        <v>923</v>
      </c>
      <c r="AI445">
        <v>3.2</v>
      </c>
      <c r="AJ445" t="s">
        <v>558</v>
      </c>
      <c r="AK445" t="s">
        <v>2376</v>
      </c>
      <c r="AL445" t="s">
        <v>274</v>
      </c>
      <c r="AT445">
        <v>2</v>
      </c>
      <c r="AU445">
        <v>3</v>
      </c>
      <c r="AV445" t="s">
        <v>273</v>
      </c>
      <c r="AY445" t="s">
        <v>273</v>
      </c>
      <c r="BB445">
        <v>0</v>
      </c>
      <c r="BC445">
        <v>0</v>
      </c>
      <c r="BD445">
        <v>0</v>
      </c>
      <c r="BE445">
        <v>0</v>
      </c>
      <c r="BF445" t="s">
        <v>1063</v>
      </c>
      <c r="BG445" t="s">
        <v>6796</v>
      </c>
      <c r="BH445">
        <v>51</v>
      </c>
      <c r="BI445" t="s">
        <v>7082</v>
      </c>
      <c r="BK445">
        <v>1874544</v>
      </c>
    </row>
    <row r="446" spans="1:63">
      <c r="A446" s="1">
        <f>HYPERLINK("https://lsnyc.legalserver.org/matter/dynamic-profile/view/1873970","18-1873970")</f>
        <v>0</v>
      </c>
      <c r="B446" t="s">
        <v>5437</v>
      </c>
      <c r="C446" t="s">
        <v>5625</v>
      </c>
      <c r="D446" t="s">
        <v>252</v>
      </c>
      <c r="E446" t="s">
        <v>3694</v>
      </c>
      <c r="F446" t="s">
        <v>274</v>
      </c>
      <c r="G446" t="s">
        <v>274</v>
      </c>
      <c r="H446">
        <v>149.92</v>
      </c>
      <c r="I446" t="s">
        <v>274</v>
      </c>
      <c r="K446" t="s">
        <v>386</v>
      </c>
      <c r="O446" t="s">
        <v>275</v>
      </c>
      <c r="Q446" t="s">
        <v>501</v>
      </c>
      <c r="S446" t="s">
        <v>503</v>
      </c>
      <c r="T446" t="s">
        <v>508</v>
      </c>
      <c r="U446" t="s">
        <v>511</v>
      </c>
      <c r="V446">
        <v>11229</v>
      </c>
      <c r="W446" t="s">
        <v>521</v>
      </c>
      <c r="X446" t="s">
        <v>553</v>
      </c>
      <c r="Z446" t="s">
        <v>5925</v>
      </c>
      <c r="AA446" t="s">
        <v>6321</v>
      </c>
      <c r="AB446" t="s">
        <v>902</v>
      </c>
      <c r="AC446" t="s">
        <v>905</v>
      </c>
      <c r="AF446" t="s">
        <v>923</v>
      </c>
      <c r="AI446">
        <v>7.4</v>
      </c>
      <c r="AJ446" t="s">
        <v>558</v>
      </c>
      <c r="AK446" t="s">
        <v>948</v>
      </c>
      <c r="AL446" t="s">
        <v>274</v>
      </c>
      <c r="AT446">
        <v>0</v>
      </c>
      <c r="AU446">
        <v>1</v>
      </c>
      <c r="AV446" t="s">
        <v>273</v>
      </c>
      <c r="AY446" t="s">
        <v>273</v>
      </c>
      <c r="BB446">
        <v>0</v>
      </c>
      <c r="BC446">
        <v>0</v>
      </c>
      <c r="BD446">
        <v>0</v>
      </c>
      <c r="BE446">
        <v>0</v>
      </c>
      <c r="BF446" t="s">
        <v>1063</v>
      </c>
      <c r="BG446" t="s">
        <v>6797</v>
      </c>
      <c r="BH446">
        <v>28</v>
      </c>
      <c r="BI446" t="s">
        <v>1260</v>
      </c>
      <c r="BK446">
        <v>1874573</v>
      </c>
    </row>
    <row r="447" spans="1:63">
      <c r="A447" s="1">
        <f>HYPERLINK("https://lsnyc.legalserver.org/matter/dynamic-profile/view/1873723","18-1873723")</f>
        <v>0</v>
      </c>
      <c r="B447" t="s">
        <v>5438</v>
      </c>
      <c r="C447" t="s">
        <v>5625</v>
      </c>
      <c r="D447" t="s">
        <v>252</v>
      </c>
      <c r="E447" t="s">
        <v>3694</v>
      </c>
      <c r="F447" t="s">
        <v>274</v>
      </c>
      <c r="G447" t="s">
        <v>274</v>
      </c>
      <c r="H447">
        <v>0</v>
      </c>
      <c r="I447" t="s">
        <v>274</v>
      </c>
      <c r="K447" t="s">
        <v>3710</v>
      </c>
      <c r="O447" t="s">
        <v>275</v>
      </c>
      <c r="P447" t="s">
        <v>498</v>
      </c>
      <c r="Q447" t="s">
        <v>501</v>
      </c>
      <c r="S447" t="s">
        <v>503</v>
      </c>
      <c r="T447" t="s">
        <v>507</v>
      </c>
      <c r="U447" t="s">
        <v>511</v>
      </c>
      <c r="V447">
        <v>11235</v>
      </c>
      <c r="W447" t="s">
        <v>521</v>
      </c>
      <c r="X447" t="s">
        <v>549</v>
      </c>
      <c r="Z447" t="s">
        <v>5926</v>
      </c>
      <c r="AA447" t="s">
        <v>6322</v>
      </c>
      <c r="AB447" t="s">
        <v>902</v>
      </c>
      <c r="AC447" t="s">
        <v>905</v>
      </c>
      <c r="AF447" t="s">
        <v>923</v>
      </c>
      <c r="AI447">
        <v>3.86</v>
      </c>
      <c r="AJ447" t="s">
        <v>558</v>
      </c>
      <c r="AK447" t="s">
        <v>939</v>
      </c>
      <c r="AL447" t="s">
        <v>274</v>
      </c>
      <c r="AT447">
        <v>0</v>
      </c>
      <c r="AU447">
        <v>1</v>
      </c>
      <c r="AV447" t="s">
        <v>273</v>
      </c>
      <c r="AY447" t="s">
        <v>273</v>
      </c>
      <c r="BB447">
        <v>0</v>
      </c>
      <c r="BC447">
        <v>0</v>
      </c>
      <c r="BD447">
        <v>0</v>
      </c>
      <c r="BE447">
        <v>0</v>
      </c>
      <c r="BF447" t="s">
        <v>1063</v>
      </c>
      <c r="BG447" t="s">
        <v>6798</v>
      </c>
      <c r="BH447">
        <v>23</v>
      </c>
      <c r="BI447" t="s">
        <v>1247</v>
      </c>
      <c r="BK447">
        <v>1874326</v>
      </c>
    </row>
    <row r="448" spans="1:63">
      <c r="A448" s="1">
        <f>HYPERLINK("https://lsnyc.legalserver.org/matter/dynamic-profile/view/1873734","18-1873734")</f>
        <v>0</v>
      </c>
      <c r="B448" t="s">
        <v>5439</v>
      </c>
      <c r="C448" t="s">
        <v>5625</v>
      </c>
      <c r="D448" t="s">
        <v>257</v>
      </c>
      <c r="E448" t="s">
        <v>3694</v>
      </c>
      <c r="F448" t="s">
        <v>274</v>
      </c>
      <c r="G448" t="s">
        <v>274</v>
      </c>
      <c r="H448">
        <v>97.20999999999999</v>
      </c>
      <c r="I448" t="s">
        <v>274</v>
      </c>
      <c r="K448" t="s">
        <v>3710</v>
      </c>
      <c r="O448" t="s">
        <v>274</v>
      </c>
      <c r="P448" t="s">
        <v>498</v>
      </c>
      <c r="Q448" t="s">
        <v>501</v>
      </c>
      <c r="S448" t="s">
        <v>503</v>
      </c>
      <c r="T448" t="s">
        <v>508</v>
      </c>
      <c r="U448" t="s">
        <v>511</v>
      </c>
      <c r="V448">
        <v>10467</v>
      </c>
      <c r="W448" t="s">
        <v>517</v>
      </c>
      <c r="X448" t="s">
        <v>548</v>
      </c>
      <c r="Z448" t="s">
        <v>584</v>
      </c>
      <c r="AA448" t="s">
        <v>6323</v>
      </c>
      <c r="AB448" t="s">
        <v>902</v>
      </c>
      <c r="AC448" t="s">
        <v>904</v>
      </c>
      <c r="AF448" t="s">
        <v>923</v>
      </c>
      <c r="AI448">
        <v>1.6</v>
      </c>
      <c r="AJ448" t="s">
        <v>558</v>
      </c>
      <c r="AK448" t="s">
        <v>950</v>
      </c>
      <c r="AL448" t="s">
        <v>274</v>
      </c>
      <c r="AT448">
        <v>0</v>
      </c>
      <c r="AU448">
        <v>2</v>
      </c>
      <c r="AV448" t="s">
        <v>273</v>
      </c>
      <c r="AY448" t="s">
        <v>273</v>
      </c>
      <c r="BB448">
        <v>0</v>
      </c>
      <c r="BC448">
        <v>0</v>
      </c>
      <c r="BD448">
        <v>0</v>
      </c>
      <c r="BE448">
        <v>0</v>
      </c>
      <c r="BF448" t="s">
        <v>1063</v>
      </c>
      <c r="BG448" t="s">
        <v>2484</v>
      </c>
      <c r="BH448">
        <v>42</v>
      </c>
      <c r="BI448" t="s">
        <v>2737</v>
      </c>
      <c r="BK448">
        <v>1874337</v>
      </c>
    </row>
    <row r="449" spans="1:63">
      <c r="A449" s="1">
        <f>HYPERLINK("https://lsnyc.legalserver.org/matter/dynamic-profile/view/1873593","18-1873593")</f>
        <v>0</v>
      </c>
      <c r="B449" t="s">
        <v>5440</v>
      </c>
      <c r="C449" t="s">
        <v>5625</v>
      </c>
      <c r="D449" t="s">
        <v>257</v>
      </c>
      <c r="E449" t="s">
        <v>5630</v>
      </c>
      <c r="F449" t="s">
        <v>274</v>
      </c>
      <c r="G449" t="s">
        <v>274</v>
      </c>
      <c r="H449">
        <v>22.45</v>
      </c>
      <c r="I449" t="s">
        <v>274</v>
      </c>
      <c r="K449" t="s">
        <v>387</v>
      </c>
      <c r="O449" t="s">
        <v>274</v>
      </c>
      <c r="P449" t="s">
        <v>498</v>
      </c>
      <c r="Q449" t="s">
        <v>501</v>
      </c>
      <c r="S449" t="s">
        <v>503</v>
      </c>
      <c r="T449" t="s">
        <v>508</v>
      </c>
      <c r="U449" t="s">
        <v>511</v>
      </c>
      <c r="V449">
        <v>10460</v>
      </c>
      <c r="W449" t="s">
        <v>517</v>
      </c>
      <c r="X449" t="s">
        <v>548</v>
      </c>
      <c r="Z449" t="s">
        <v>5927</v>
      </c>
      <c r="AA449" t="s">
        <v>874</v>
      </c>
      <c r="AB449" t="s">
        <v>902</v>
      </c>
      <c r="AC449" t="s">
        <v>904</v>
      </c>
      <c r="AF449" t="s">
        <v>923</v>
      </c>
      <c r="AI449">
        <v>5.65</v>
      </c>
      <c r="AJ449" t="s">
        <v>558</v>
      </c>
      <c r="AK449" t="s">
        <v>934</v>
      </c>
      <c r="AL449" t="s">
        <v>274</v>
      </c>
      <c r="AT449">
        <v>1</v>
      </c>
      <c r="AU449">
        <v>1</v>
      </c>
      <c r="AV449" t="s">
        <v>273</v>
      </c>
      <c r="AY449" t="s">
        <v>273</v>
      </c>
      <c r="BB449">
        <v>0</v>
      </c>
      <c r="BC449">
        <v>0</v>
      </c>
      <c r="BD449">
        <v>0</v>
      </c>
      <c r="BE449">
        <v>0</v>
      </c>
      <c r="BF449" t="s">
        <v>1063</v>
      </c>
      <c r="BG449" t="s">
        <v>6799</v>
      </c>
      <c r="BH449">
        <v>41</v>
      </c>
      <c r="BI449" t="s">
        <v>7083</v>
      </c>
      <c r="BK449">
        <v>1874196</v>
      </c>
    </row>
    <row r="450" spans="1:63">
      <c r="A450" s="1">
        <f>HYPERLINK("https://lsnyc.legalserver.org/matter/dynamic-profile/view/1873637","18-1873637")</f>
        <v>0</v>
      </c>
      <c r="B450" t="s">
        <v>5206</v>
      </c>
      <c r="C450" t="s">
        <v>5625</v>
      </c>
      <c r="D450" t="s">
        <v>255</v>
      </c>
      <c r="E450" t="s">
        <v>5630</v>
      </c>
      <c r="F450" t="s">
        <v>274</v>
      </c>
      <c r="G450" t="s">
        <v>274</v>
      </c>
      <c r="H450">
        <v>184.65</v>
      </c>
      <c r="I450" t="s">
        <v>274</v>
      </c>
      <c r="K450" t="s">
        <v>387</v>
      </c>
      <c r="O450" t="s">
        <v>274</v>
      </c>
      <c r="Q450" t="s">
        <v>501</v>
      </c>
      <c r="S450" t="s">
        <v>503</v>
      </c>
      <c r="T450" t="s">
        <v>508</v>
      </c>
      <c r="U450" t="s">
        <v>511</v>
      </c>
      <c r="V450">
        <v>10019</v>
      </c>
      <c r="W450" t="s">
        <v>517</v>
      </c>
      <c r="X450" t="s">
        <v>548</v>
      </c>
      <c r="Z450" t="s">
        <v>5773</v>
      </c>
      <c r="AA450" t="s">
        <v>6151</v>
      </c>
      <c r="AB450" t="s">
        <v>902</v>
      </c>
      <c r="AC450" t="s">
        <v>904</v>
      </c>
      <c r="AF450" t="s">
        <v>923</v>
      </c>
      <c r="AI450">
        <v>3.05</v>
      </c>
      <c r="AJ450" t="s">
        <v>558</v>
      </c>
      <c r="AK450" t="s">
        <v>949</v>
      </c>
      <c r="AL450" t="s">
        <v>274</v>
      </c>
      <c r="AM450" t="s">
        <v>973</v>
      </c>
      <c r="AN450" t="s">
        <v>288</v>
      </c>
      <c r="AT450">
        <v>0</v>
      </c>
      <c r="AU450">
        <v>2</v>
      </c>
      <c r="AV450" t="s">
        <v>273</v>
      </c>
      <c r="AY450" t="s">
        <v>273</v>
      </c>
      <c r="BB450">
        <v>0</v>
      </c>
      <c r="BC450">
        <v>0</v>
      </c>
      <c r="BD450">
        <v>0</v>
      </c>
      <c r="BE450">
        <v>0</v>
      </c>
      <c r="BF450" t="s">
        <v>1063</v>
      </c>
      <c r="BG450" t="s">
        <v>6586</v>
      </c>
      <c r="BH450">
        <v>55</v>
      </c>
      <c r="BI450" t="s">
        <v>7019</v>
      </c>
      <c r="BK450">
        <v>1874240</v>
      </c>
    </row>
    <row r="451" spans="1:63">
      <c r="A451" s="1">
        <f>HYPERLINK("https://lsnyc.legalserver.org/matter/dynamic-profile/view/1873387","18-1873387")</f>
        <v>0</v>
      </c>
      <c r="B451" t="s">
        <v>5441</v>
      </c>
      <c r="C451" t="s">
        <v>5625</v>
      </c>
      <c r="D451" t="s">
        <v>255</v>
      </c>
      <c r="E451" t="s">
        <v>5630</v>
      </c>
      <c r="F451" t="s">
        <v>274</v>
      </c>
      <c r="G451" t="s">
        <v>274</v>
      </c>
      <c r="H451">
        <v>81.58</v>
      </c>
      <c r="I451" t="s">
        <v>274</v>
      </c>
      <c r="K451" t="s">
        <v>2997</v>
      </c>
      <c r="O451" t="s">
        <v>274</v>
      </c>
      <c r="P451" t="s">
        <v>498</v>
      </c>
      <c r="Q451" t="s">
        <v>501</v>
      </c>
      <c r="S451" t="s">
        <v>503</v>
      </c>
      <c r="T451" t="s">
        <v>508</v>
      </c>
      <c r="U451" t="s">
        <v>511</v>
      </c>
      <c r="V451">
        <v>10033</v>
      </c>
      <c r="W451" t="s">
        <v>532</v>
      </c>
      <c r="X451" t="s">
        <v>548</v>
      </c>
      <c r="Z451" t="s">
        <v>5928</v>
      </c>
      <c r="AA451" t="s">
        <v>6324</v>
      </c>
      <c r="AB451" t="s">
        <v>902</v>
      </c>
      <c r="AC451" t="s">
        <v>905</v>
      </c>
      <c r="AF451" t="s">
        <v>923</v>
      </c>
      <c r="AI451">
        <v>8.300000000000001</v>
      </c>
      <c r="AJ451" t="s">
        <v>558</v>
      </c>
      <c r="AK451" t="s">
        <v>950</v>
      </c>
      <c r="AL451" t="s">
        <v>274</v>
      </c>
      <c r="AM451" t="s">
        <v>973</v>
      </c>
      <c r="AN451" t="s">
        <v>4837</v>
      </c>
      <c r="AT451">
        <v>2</v>
      </c>
      <c r="AU451">
        <v>3</v>
      </c>
      <c r="AV451" t="s">
        <v>273</v>
      </c>
      <c r="AY451" t="s">
        <v>273</v>
      </c>
      <c r="BB451">
        <v>0</v>
      </c>
      <c r="BC451">
        <v>0</v>
      </c>
      <c r="BD451">
        <v>0</v>
      </c>
      <c r="BE451">
        <v>0</v>
      </c>
      <c r="BF451" t="s">
        <v>1063</v>
      </c>
      <c r="BG451" t="s">
        <v>2517</v>
      </c>
      <c r="BH451">
        <v>31</v>
      </c>
      <c r="BI451" t="s">
        <v>1259</v>
      </c>
      <c r="BK451">
        <v>1873989</v>
      </c>
    </row>
    <row r="452" spans="1:63">
      <c r="A452" s="1">
        <f>HYPERLINK("https://lsnyc.legalserver.org/matter/dynamic-profile/view/1873176","18-1873176")</f>
        <v>0</v>
      </c>
      <c r="B452" t="s">
        <v>5442</v>
      </c>
      <c r="C452" t="s">
        <v>5625</v>
      </c>
      <c r="D452" t="s">
        <v>254</v>
      </c>
      <c r="E452" t="s">
        <v>3694</v>
      </c>
      <c r="F452" t="s">
        <v>274</v>
      </c>
      <c r="G452" t="s">
        <v>274</v>
      </c>
      <c r="H452">
        <v>64.58</v>
      </c>
      <c r="I452" t="s">
        <v>274</v>
      </c>
      <c r="K452" t="s">
        <v>1737</v>
      </c>
      <c r="O452" t="s">
        <v>274</v>
      </c>
      <c r="Q452" t="s">
        <v>501</v>
      </c>
      <c r="S452" t="s">
        <v>503</v>
      </c>
      <c r="T452" t="s">
        <v>508</v>
      </c>
      <c r="U452" t="s">
        <v>511</v>
      </c>
      <c r="V452">
        <v>10312</v>
      </c>
      <c r="W452" t="s">
        <v>517</v>
      </c>
      <c r="X452" t="s">
        <v>1839</v>
      </c>
      <c r="Y452" t="s">
        <v>275</v>
      </c>
      <c r="Z452" t="s">
        <v>5929</v>
      </c>
      <c r="AA452" t="s">
        <v>6325</v>
      </c>
      <c r="AB452" t="s">
        <v>902</v>
      </c>
      <c r="AC452" t="s">
        <v>904</v>
      </c>
      <c r="AF452" t="s">
        <v>923</v>
      </c>
      <c r="AI452">
        <v>1.8</v>
      </c>
      <c r="AJ452" t="s">
        <v>558</v>
      </c>
      <c r="AK452" t="s">
        <v>954</v>
      </c>
      <c r="AL452" t="s">
        <v>274</v>
      </c>
      <c r="AT452">
        <v>3</v>
      </c>
      <c r="AU452">
        <v>2</v>
      </c>
      <c r="AV452" t="s">
        <v>273</v>
      </c>
      <c r="AY452" t="s">
        <v>273</v>
      </c>
      <c r="BB452">
        <v>0</v>
      </c>
      <c r="BC452">
        <v>0</v>
      </c>
      <c r="BD452">
        <v>0</v>
      </c>
      <c r="BE452">
        <v>0</v>
      </c>
      <c r="BF452" t="s">
        <v>1063</v>
      </c>
      <c r="BG452" t="s">
        <v>2646</v>
      </c>
      <c r="BH452">
        <v>43</v>
      </c>
      <c r="BI452" t="s">
        <v>6995</v>
      </c>
      <c r="BK452">
        <v>1873778</v>
      </c>
    </row>
    <row r="453" spans="1:63">
      <c r="A453" s="1">
        <f>HYPERLINK("https://lsnyc.legalserver.org/matter/dynamic-profile/view/1872750","18-1872750")</f>
        <v>0</v>
      </c>
      <c r="B453" t="s">
        <v>5443</v>
      </c>
      <c r="C453" t="s">
        <v>5625</v>
      </c>
      <c r="D453" t="s">
        <v>252</v>
      </c>
      <c r="E453" t="s">
        <v>3694</v>
      </c>
      <c r="F453" t="s">
        <v>274</v>
      </c>
      <c r="G453" t="s">
        <v>274</v>
      </c>
      <c r="H453">
        <v>0</v>
      </c>
      <c r="I453" t="s">
        <v>274</v>
      </c>
      <c r="K453" t="s">
        <v>2998</v>
      </c>
      <c r="Q453" t="s">
        <v>501</v>
      </c>
      <c r="S453" t="s">
        <v>503</v>
      </c>
      <c r="T453" t="s">
        <v>508</v>
      </c>
      <c r="U453" t="s">
        <v>511</v>
      </c>
      <c r="V453">
        <v>11219</v>
      </c>
      <c r="W453" t="s">
        <v>544</v>
      </c>
      <c r="Z453" t="s">
        <v>5930</v>
      </c>
      <c r="AA453" t="s">
        <v>6164</v>
      </c>
      <c r="AB453" t="s">
        <v>902</v>
      </c>
      <c r="AC453" t="s">
        <v>904</v>
      </c>
      <c r="AF453" t="s">
        <v>923</v>
      </c>
      <c r="AI453">
        <v>2.25</v>
      </c>
      <c r="AJ453" t="s">
        <v>558</v>
      </c>
      <c r="AK453" t="s">
        <v>951</v>
      </c>
      <c r="AL453" t="s">
        <v>274</v>
      </c>
      <c r="AT453">
        <v>0</v>
      </c>
      <c r="AU453">
        <v>1</v>
      </c>
      <c r="AV453" t="s">
        <v>273</v>
      </c>
      <c r="AY453" t="s">
        <v>273</v>
      </c>
      <c r="BB453">
        <v>0</v>
      </c>
      <c r="BC453">
        <v>0</v>
      </c>
      <c r="BD453">
        <v>0</v>
      </c>
      <c r="BE453">
        <v>0</v>
      </c>
      <c r="BF453" t="s">
        <v>1063</v>
      </c>
      <c r="BG453" t="s">
        <v>6800</v>
      </c>
      <c r="BH453">
        <v>55</v>
      </c>
      <c r="BI453" t="s">
        <v>1247</v>
      </c>
      <c r="BK453">
        <v>1864164</v>
      </c>
    </row>
    <row r="454" spans="1:63">
      <c r="A454" s="1">
        <f>HYPERLINK("https://lsnyc.legalserver.org/matter/dynamic-profile/view/1872781","18-1872781")</f>
        <v>0</v>
      </c>
      <c r="B454" t="s">
        <v>5444</v>
      </c>
      <c r="C454" t="s">
        <v>5625</v>
      </c>
      <c r="D454" t="s">
        <v>253</v>
      </c>
      <c r="E454" t="s">
        <v>3694</v>
      </c>
      <c r="F454" t="s">
        <v>274</v>
      </c>
      <c r="G454" t="s">
        <v>274</v>
      </c>
      <c r="H454">
        <v>62.56</v>
      </c>
      <c r="I454" t="s">
        <v>274</v>
      </c>
      <c r="K454" t="s">
        <v>2998</v>
      </c>
      <c r="P454" t="s">
        <v>497</v>
      </c>
      <c r="Q454" t="s">
        <v>501</v>
      </c>
      <c r="S454" t="s">
        <v>503</v>
      </c>
      <c r="T454" t="s">
        <v>508</v>
      </c>
      <c r="U454" t="s">
        <v>511</v>
      </c>
      <c r="V454">
        <v>11370</v>
      </c>
      <c r="W454" t="s">
        <v>536</v>
      </c>
      <c r="X454" t="s">
        <v>549</v>
      </c>
      <c r="Z454" t="s">
        <v>5931</v>
      </c>
      <c r="AA454" t="s">
        <v>6326</v>
      </c>
      <c r="AB454" t="s">
        <v>902</v>
      </c>
      <c r="AC454" t="s">
        <v>905</v>
      </c>
      <c r="AF454" t="s">
        <v>923</v>
      </c>
      <c r="AI454">
        <v>4.25</v>
      </c>
      <c r="AJ454" t="s">
        <v>558</v>
      </c>
      <c r="AK454" t="s">
        <v>947</v>
      </c>
      <c r="AL454" t="s">
        <v>274</v>
      </c>
      <c r="AS454" t="s">
        <v>1061</v>
      </c>
      <c r="AT454">
        <v>2</v>
      </c>
      <c r="AU454">
        <v>1</v>
      </c>
      <c r="AV454" t="s">
        <v>273</v>
      </c>
      <c r="AY454" t="s">
        <v>273</v>
      </c>
      <c r="BB454">
        <v>0</v>
      </c>
      <c r="BC454">
        <v>0</v>
      </c>
      <c r="BD454">
        <v>0</v>
      </c>
      <c r="BE454">
        <v>0</v>
      </c>
      <c r="BF454" t="s">
        <v>1063</v>
      </c>
      <c r="BG454" t="s">
        <v>6801</v>
      </c>
      <c r="BH454">
        <v>33</v>
      </c>
      <c r="BI454" t="s">
        <v>1264</v>
      </c>
      <c r="BK454">
        <v>1861097</v>
      </c>
    </row>
    <row r="455" spans="1:63">
      <c r="A455" s="1">
        <f>HYPERLINK("https://lsnyc.legalserver.org/matter/dynamic-profile/view/1872477","18-1872477")</f>
        <v>0</v>
      </c>
      <c r="B455" t="s">
        <v>5445</v>
      </c>
      <c r="C455" t="s">
        <v>5625</v>
      </c>
      <c r="D455" t="s">
        <v>253</v>
      </c>
      <c r="E455" t="s">
        <v>3694</v>
      </c>
      <c r="F455" t="s">
        <v>274</v>
      </c>
      <c r="G455" t="s">
        <v>274</v>
      </c>
      <c r="H455">
        <v>66.93000000000001</v>
      </c>
      <c r="I455" t="s">
        <v>274</v>
      </c>
      <c r="K455" t="s">
        <v>392</v>
      </c>
      <c r="P455" t="s">
        <v>492</v>
      </c>
      <c r="Q455" t="s">
        <v>501</v>
      </c>
      <c r="S455" t="s">
        <v>503</v>
      </c>
      <c r="T455" t="s">
        <v>508</v>
      </c>
      <c r="U455" t="s">
        <v>511</v>
      </c>
      <c r="V455">
        <v>11373</v>
      </c>
      <c r="W455" t="s">
        <v>536</v>
      </c>
      <c r="X455" t="s">
        <v>548</v>
      </c>
      <c r="Z455" t="s">
        <v>674</v>
      </c>
      <c r="AA455" t="s">
        <v>6327</v>
      </c>
      <c r="AB455" t="s">
        <v>902</v>
      </c>
      <c r="AC455" t="s">
        <v>906</v>
      </c>
      <c r="AF455" t="s">
        <v>923</v>
      </c>
      <c r="AI455">
        <v>4.15</v>
      </c>
      <c r="AJ455" t="s">
        <v>558</v>
      </c>
      <c r="AK455" t="s">
        <v>949</v>
      </c>
      <c r="AL455" t="s">
        <v>274</v>
      </c>
      <c r="AS455" t="s">
        <v>1061</v>
      </c>
      <c r="AT455">
        <v>2</v>
      </c>
      <c r="AU455">
        <v>2</v>
      </c>
      <c r="AV455" t="s">
        <v>273</v>
      </c>
      <c r="AY455" t="s">
        <v>273</v>
      </c>
      <c r="BB455">
        <v>0</v>
      </c>
      <c r="BC455">
        <v>0</v>
      </c>
      <c r="BD455">
        <v>0</v>
      </c>
      <c r="BE455">
        <v>0</v>
      </c>
      <c r="BF455" t="s">
        <v>1063</v>
      </c>
      <c r="BG455" t="s">
        <v>6802</v>
      </c>
      <c r="BH455">
        <v>33</v>
      </c>
      <c r="BI455" t="s">
        <v>1313</v>
      </c>
      <c r="BK455">
        <v>1873079</v>
      </c>
    </row>
    <row r="456" spans="1:63">
      <c r="A456" s="1">
        <f>HYPERLINK("https://lsnyc.legalserver.org/matter/dynamic-profile/view/1872105","18-1872105")</f>
        <v>0</v>
      </c>
      <c r="B456" t="s">
        <v>5446</v>
      </c>
      <c r="C456" t="s">
        <v>5625</v>
      </c>
      <c r="D456" t="s">
        <v>257</v>
      </c>
      <c r="E456" t="s">
        <v>3694</v>
      </c>
      <c r="F456" t="s">
        <v>274</v>
      </c>
      <c r="G456" t="s">
        <v>274</v>
      </c>
      <c r="H456">
        <v>116.59</v>
      </c>
      <c r="I456" t="s">
        <v>274</v>
      </c>
      <c r="K456" t="s">
        <v>5642</v>
      </c>
      <c r="O456" t="s">
        <v>274</v>
      </c>
      <c r="Q456" t="s">
        <v>501</v>
      </c>
      <c r="S456" t="s">
        <v>503</v>
      </c>
      <c r="T456" t="s">
        <v>508</v>
      </c>
      <c r="U456" t="s">
        <v>511</v>
      </c>
      <c r="V456">
        <v>10462</v>
      </c>
      <c r="W456" t="s">
        <v>536</v>
      </c>
      <c r="X456" t="s">
        <v>548</v>
      </c>
      <c r="Z456" t="s">
        <v>4639</v>
      </c>
      <c r="AA456" t="s">
        <v>6328</v>
      </c>
      <c r="AB456" t="s">
        <v>902</v>
      </c>
      <c r="AC456" t="s">
        <v>905</v>
      </c>
      <c r="AF456" t="s">
        <v>923</v>
      </c>
      <c r="AI456">
        <v>5.1</v>
      </c>
      <c r="AJ456" t="s">
        <v>558</v>
      </c>
      <c r="AK456" t="s">
        <v>933</v>
      </c>
      <c r="AL456" t="s">
        <v>274</v>
      </c>
      <c r="AT456">
        <v>2</v>
      </c>
      <c r="AU456">
        <v>2</v>
      </c>
      <c r="AV456" t="s">
        <v>273</v>
      </c>
      <c r="AY456" t="s">
        <v>273</v>
      </c>
      <c r="BB456">
        <v>0</v>
      </c>
      <c r="BC456">
        <v>0</v>
      </c>
      <c r="BD456">
        <v>0</v>
      </c>
      <c r="BE456">
        <v>0</v>
      </c>
      <c r="BF456" t="s">
        <v>1063</v>
      </c>
      <c r="BG456" t="s">
        <v>6803</v>
      </c>
      <c r="BH456">
        <v>38</v>
      </c>
      <c r="BI456" t="s">
        <v>7084</v>
      </c>
      <c r="BK456">
        <v>1872706</v>
      </c>
    </row>
    <row r="457" spans="1:63">
      <c r="A457" s="1">
        <f>HYPERLINK("https://lsnyc.legalserver.org/matter/dynamic-profile/view/1871827","18-1871827")</f>
        <v>0</v>
      </c>
      <c r="B457" t="s">
        <v>5444</v>
      </c>
      <c r="C457" t="s">
        <v>5625</v>
      </c>
      <c r="D457" t="s">
        <v>253</v>
      </c>
      <c r="E457" t="s">
        <v>3694</v>
      </c>
      <c r="F457" t="s">
        <v>274</v>
      </c>
      <c r="G457" t="s">
        <v>274</v>
      </c>
      <c r="H457">
        <v>62.56</v>
      </c>
      <c r="I457" t="s">
        <v>274</v>
      </c>
      <c r="K457" t="s">
        <v>5643</v>
      </c>
      <c r="P457" t="s">
        <v>492</v>
      </c>
      <c r="Q457" t="s">
        <v>501</v>
      </c>
      <c r="R457" t="s">
        <v>501</v>
      </c>
      <c r="S457" t="s">
        <v>503</v>
      </c>
      <c r="T457" t="s">
        <v>508</v>
      </c>
      <c r="U457" t="s">
        <v>511</v>
      </c>
      <c r="V457">
        <v>11370</v>
      </c>
      <c r="W457" t="s">
        <v>528</v>
      </c>
      <c r="X457" t="s">
        <v>548</v>
      </c>
      <c r="Z457" t="s">
        <v>5931</v>
      </c>
      <c r="AA457" t="s">
        <v>6326</v>
      </c>
      <c r="AB457" t="s">
        <v>902</v>
      </c>
      <c r="AC457" t="s">
        <v>905</v>
      </c>
      <c r="AF457" t="s">
        <v>923</v>
      </c>
      <c r="AI457">
        <v>5.95</v>
      </c>
      <c r="AJ457" t="s">
        <v>558</v>
      </c>
      <c r="AK457" t="s">
        <v>947</v>
      </c>
      <c r="AL457" t="s">
        <v>274</v>
      </c>
      <c r="AS457" t="s">
        <v>1061</v>
      </c>
      <c r="AT457">
        <v>2</v>
      </c>
      <c r="AU457">
        <v>1</v>
      </c>
      <c r="AV457" t="s">
        <v>273</v>
      </c>
      <c r="AY457" t="s">
        <v>273</v>
      </c>
      <c r="BB457">
        <v>0</v>
      </c>
      <c r="BC457">
        <v>0</v>
      </c>
      <c r="BD457">
        <v>0</v>
      </c>
      <c r="BE457">
        <v>0</v>
      </c>
      <c r="BF457" t="s">
        <v>1063</v>
      </c>
      <c r="BG457" t="s">
        <v>6801</v>
      </c>
      <c r="BH457">
        <v>33</v>
      </c>
      <c r="BI457" t="s">
        <v>1264</v>
      </c>
      <c r="BK457">
        <v>1861097</v>
      </c>
    </row>
    <row r="458" spans="1:63">
      <c r="A458" s="1">
        <f>HYPERLINK("https://lsnyc.legalserver.org/matter/dynamic-profile/view/1869623","18-1869623")</f>
        <v>0</v>
      </c>
      <c r="B458" t="s">
        <v>5385</v>
      </c>
      <c r="C458" t="s">
        <v>5625</v>
      </c>
      <c r="D458" t="s">
        <v>253</v>
      </c>
      <c r="E458" t="s">
        <v>3694</v>
      </c>
      <c r="F458" t="s">
        <v>274</v>
      </c>
      <c r="G458" t="s">
        <v>274</v>
      </c>
      <c r="H458">
        <v>14.58</v>
      </c>
      <c r="I458" t="s">
        <v>274</v>
      </c>
      <c r="K458" t="s">
        <v>4859</v>
      </c>
      <c r="P458" t="s">
        <v>499</v>
      </c>
      <c r="Q458" t="s">
        <v>501</v>
      </c>
      <c r="S458" t="s">
        <v>503</v>
      </c>
      <c r="T458" t="s">
        <v>508</v>
      </c>
      <c r="U458" t="s">
        <v>511</v>
      </c>
      <c r="V458">
        <v>11412</v>
      </c>
      <c r="W458" t="s">
        <v>536</v>
      </c>
      <c r="X458" t="s">
        <v>557</v>
      </c>
      <c r="Z458" t="s">
        <v>5889</v>
      </c>
      <c r="AA458" t="s">
        <v>6282</v>
      </c>
      <c r="AB458" t="s">
        <v>902</v>
      </c>
      <c r="AC458" t="s">
        <v>905</v>
      </c>
      <c r="AF458" t="s">
        <v>923</v>
      </c>
      <c r="AI458">
        <v>3.2</v>
      </c>
      <c r="AJ458" t="s">
        <v>558</v>
      </c>
      <c r="AK458" t="s">
        <v>3262</v>
      </c>
      <c r="AL458" t="s">
        <v>274</v>
      </c>
      <c r="AT458">
        <v>1</v>
      </c>
      <c r="AU458">
        <v>1</v>
      </c>
      <c r="AV458" t="s">
        <v>273</v>
      </c>
      <c r="AY458" t="s">
        <v>273</v>
      </c>
      <c r="BB458">
        <v>0</v>
      </c>
      <c r="BC458">
        <v>0</v>
      </c>
      <c r="BD458">
        <v>0</v>
      </c>
      <c r="BE458">
        <v>0</v>
      </c>
      <c r="BF458" t="s">
        <v>1063</v>
      </c>
      <c r="BG458" t="s">
        <v>6749</v>
      </c>
      <c r="BH458">
        <v>29</v>
      </c>
      <c r="BI458" t="s">
        <v>1291</v>
      </c>
      <c r="BK458">
        <v>1869105</v>
      </c>
    </row>
    <row r="459" spans="1:63">
      <c r="A459" s="1">
        <f>HYPERLINK("https://lsnyc.legalserver.org/matter/dynamic-profile/view/1871746","18-1871746")</f>
        <v>0</v>
      </c>
      <c r="B459" t="s">
        <v>5184</v>
      </c>
      <c r="C459" t="s">
        <v>5625</v>
      </c>
      <c r="D459" t="s">
        <v>252</v>
      </c>
      <c r="E459" t="s">
        <v>3694</v>
      </c>
      <c r="F459" t="s">
        <v>274</v>
      </c>
      <c r="G459" t="s">
        <v>274</v>
      </c>
      <c r="H459">
        <v>116.65</v>
      </c>
      <c r="I459" t="s">
        <v>274</v>
      </c>
      <c r="K459" t="s">
        <v>4859</v>
      </c>
      <c r="O459" t="s">
        <v>274</v>
      </c>
      <c r="P459" t="s">
        <v>498</v>
      </c>
      <c r="Q459" t="s">
        <v>502</v>
      </c>
      <c r="S459" t="s">
        <v>503</v>
      </c>
      <c r="T459" t="s">
        <v>507</v>
      </c>
      <c r="U459" t="s">
        <v>511</v>
      </c>
      <c r="V459">
        <v>11218</v>
      </c>
      <c r="W459" t="s">
        <v>531</v>
      </c>
      <c r="X459" t="s">
        <v>556</v>
      </c>
      <c r="Z459" t="s">
        <v>5758</v>
      </c>
      <c r="AA459" t="s">
        <v>6139</v>
      </c>
      <c r="AB459" t="s">
        <v>902</v>
      </c>
      <c r="AC459" t="s">
        <v>906</v>
      </c>
      <c r="AF459" t="s">
        <v>923</v>
      </c>
      <c r="AI459">
        <v>15.9</v>
      </c>
      <c r="AJ459" t="s">
        <v>558</v>
      </c>
      <c r="AK459" t="s">
        <v>943</v>
      </c>
      <c r="AL459" t="s">
        <v>274</v>
      </c>
      <c r="AT459">
        <v>0</v>
      </c>
      <c r="AU459">
        <v>2</v>
      </c>
      <c r="AV459" t="s">
        <v>273</v>
      </c>
      <c r="AY459" t="s">
        <v>273</v>
      </c>
      <c r="BB459">
        <v>0</v>
      </c>
      <c r="BC459">
        <v>0</v>
      </c>
      <c r="BD459">
        <v>0</v>
      </c>
      <c r="BE459">
        <v>0</v>
      </c>
      <c r="BF459" t="s">
        <v>1063</v>
      </c>
      <c r="BG459" t="s">
        <v>6566</v>
      </c>
      <c r="BH459">
        <v>18</v>
      </c>
      <c r="BI459" t="s">
        <v>2720</v>
      </c>
      <c r="BK459">
        <v>1872347</v>
      </c>
    </row>
    <row r="460" spans="1:63">
      <c r="A460" s="1">
        <f>HYPERLINK("https://lsnyc.legalserver.org/matter/dynamic-profile/view/1869280","18-1869280")</f>
        <v>0</v>
      </c>
      <c r="B460" t="s">
        <v>5447</v>
      </c>
      <c r="C460" t="s">
        <v>5625</v>
      </c>
      <c r="D460" t="s">
        <v>253</v>
      </c>
      <c r="E460" t="s">
        <v>3694</v>
      </c>
      <c r="F460" t="s">
        <v>274</v>
      </c>
      <c r="G460" t="s">
        <v>274</v>
      </c>
      <c r="H460">
        <v>0</v>
      </c>
      <c r="I460" t="s">
        <v>274</v>
      </c>
      <c r="K460" t="s">
        <v>394</v>
      </c>
      <c r="O460" t="s">
        <v>275</v>
      </c>
      <c r="P460" t="s">
        <v>497</v>
      </c>
      <c r="Q460" t="s">
        <v>501</v>
      </c>
      <c r="S460" t="s">
        <v>503</v>
      </c>
      <c r="T460" t="s">
        <v>507</v>
      </c>
      <c r="U460" t="s">
        <v>511</v>
      </c>
      <c r="V460">
        <v>11434</v>
      </c>
      <c r="W460" t="s">
        <v>521</v>
      </c>
      <c r="X460" t="s">
        <v>549</v>
      </c>
      <c r="Z460" t="s">
        <v>5932</v>
      </c>
      <c r="AA460" t="s">
        <v>6329</v>
      </c>
      <c r="AB460" t="s">
        <v>902</v>
      </c>
      <c r="AC460" t="s">
        <v>905</v>
      </c>
      <c r="AF460" t="s">
        <v>923</v>
      </c>
      <c r="AI460">
        <v>7.1</v>
      </c>
      <c r="AJ460" t="s">
        <v>558</v>
      </c>
      <c r="AK460" t="s">
        <v>939</v>
      </c>
      <c r="AL460" t="s">
        <v>275</v>
      </c>
      <c r="AT460">
        <v>0</v>
      </c>
      <c r="AU460">
        <v>1</v>
      </c>
      <c r="AV460" t="s">
        <v>273</v>
      </c>
      <c r="AY460" t="s">
        <v>273</v>
      </c>
      <c r="BB460">
        <v>0</v>
      </c>
      <c r="BC460">
        <v>0</v>
      </c>
      <c r="BD460">
        <v>0</v>
      </c>
      <c r="BE460">
        <v>0</v>
      </c>
      <c r="BF460" t="s">
        <v>1063</v>
      </c>
      <c r="BG460" t="s">
        <v>6804</v>
      </c>
      <c r="BH460">
        <v>35</v>
      </c>
      <c r="BI460" t="s">
        <v>1247</v>
      </c>
      <c r="BK460">
        <v>1869879</v>
      </c>
    </row>
    <row r="461" spans="1:63">
      <c r="A461" s="1">
        <f>HYPERLINK("https://lsnyc.legalserver.org/matter/dynamic-profile/view/1871003","18-1871003")</f>
        <v>0</v>
      </c>
      <c r="B461" t="s">
        <v>5448</v>
      </c>
      <c r="C461" t="s">
        <v>5625</v>
      </c>
      <c r="D461" t="s">
        <v>252</v>
      </c>
      <c r="E461" t="s">
        <v>3694</v>
      </c>
      <c r="F461" t="s">
        <v>274</v>
      </c>
      <c r="G461" t="s">
        <v>274</v>
      </c>
      <c r="H461">
        <v>93.45</v>
      </c>
      <c r="I461" t="s">
        <v>275</v>
      </c>
      <c r="K461" t="s">
        <v>2999</v>
      </c>
      <c r="O461" t="s">
        <v>274</v>
      </c>
      <c r="P461" t="s">
        <v>493</v>
      </c>
      <c r="Q461" t="s">
        <v>501</v>
      </c>
      <c r="S461" t="s">
        <v>503</v>
      </c>
      <c r="T461" t="s">
        <v>508</v>
      </c>
      <c r="U461" t="s">
        <v>511</v>
      </c>
      <c r="V461">
        <v>11206</v>
      </c>
      <c r="W461" t="s">
        <v>536</v>
      </c>
      <c r="X461" t="s">
        <v>549</v>
      </c>
      <c r="Z461" t="s">
        <v>4683</v>
      </c>
      <c r="AA461" t="s">
        <v>6330</v>
      </c>
      <c r="AB461" t="s">
        <v>902</v>
      </c>
      <c r="AC461" t="s">
        <v>904</v>
      </c>
      <c r="AF461" t="s">
        <v>923</v>
      </c>
      <c r="AI461">
        <v>6.2</v>
      </c>
      <c r="AJ461" t="s">
        <v>558</v>
      </c>
      <c r="AK461" t="s">
        <v>939</v>
      </c>
      <c r="AL461" t="s">
        <v>275</v>
      </c>
      <c r="AS461" t="s">
        <v>1061</v>
      </c>
      <c r="AT461">
        <v>4</v>
      </c>
      <c r="AU461">
        <v>1</v>
      </c>
      <c r="AV461" t="s">
        <v>273</v>
      </c>
      <c r="AY461" t="s">
        <v>273</v>
      </c>
      <c r="BB461">
        <v>0</v>
      </c>
      <c r="BC461">
        <v>0</v>
      </c>
      <c r="BD461">
        <v>0</v>
      </c>
      <c r="BE461">
        <v>0</v>
      </c>
      <c r="BF461" t="s">
        <v>1063</v>
      </c>
      <c r="BG461" t="s">
        <v>6805</v>
      </c>
      <c r="BH461">
        <v>36</v>
      </c>
      <c r="BI461" t="s">
        <v>7085</v>
      </c>
      <c r="BJ461" t="s">
        <v>392</v>
      </c>
      <c r="BK461">
        <v>1871604</v>
      </c>
    </row>
    <row r="462" spans="1:63">
      <c r="A462" s="1">
        <f>HYPERLINK("https://lsnyc.legalserver.org/matter/dynamic-profile/view/1870882","18-1870882")</f>
        <v>0</v>
      </c>
      <c r="B462" t="s">
        <v>5449</v>
      </c>
      <c r="C462" t="s">
        <v>5625</v>
      </c>
      <c r="D462" t="s">
        <v>252</v>
      </c>
      <c r="E462" t="s">
        <v>3694</v>
      </c>
      <c r="F462" t="s">
        <v>274</v>
      </c>
      <c r="G462" t="s">
        <v>274</v>
      </c>
      <c r="H462">
        <v>2.88</v>
      </c>
      <c r="I462" t="s">
        <v>274</v>
      </c>
      <c r="K462" t="s">
        <v>4511</v>
      </c>
      <c r="Q462" t="s">
        <v>501</v>
      </c>
      <c r="S462" t="s">
        <v>503</v>
      </c>
      <c r="T462" t="s">
        <v>507</v>
      </c>
      <c r="U462" t="s">
        <v>511</v>
      </c>
      <c r="V462">
        <v>11218</v>
      </c>
      <c r="W462" t="s">
        <v>517</v>
      </c>
      <c r="Y462" t="s">
        <v>275</v>
      </c>
      <c r="Z462" t="s">
        <v>5933</v>
      </c>
      <c r="AA462" t="s">
        <v>2209</v>
      </c>
      <c r="AB462" t="s">
        <v>902</v>
      </c>
      <c r="AC462" t="s">
        <v>904</v>
      </c>
      <c r="AF462" t="s">
        <v>923</v>
      </c>
      <c r="AI462">
        <v>0.85</v>
      </c>
      <c r="AJ462" t="s">
        <v>558</v>
      </c>
      <c r="AK462" t="s">
        <v>938</v>
      </c>
      <c r="AT462">
        <v>0</v>
      </c>
      <c r="AU462">
        <v>1</v>
      </c>
      <c r="AV462" t="s">
        <v>273</v>
      </c>
      <c r="AY462" t="s">
        <v>273</v>
      </c>
      <c r="BB462">
        <v>0</v>
      </c>
      <c r="BC462">
        <v>0</v>
      </c>
      <c r="BD462">
        <v>0</v>
      </c>
      <c r="BE462">
        <v>0</v>
      </c>
      <c r="BF462" t="s">
        <v>1063</v>
      </c>
      <c r="BG462" t="s">
        <v>6806</v>
      </c>
      <c r="BH462">
        <v>88</v>
      </c>
      <c r="BI462" t="s">
        <v>7086</v>
      </c>
      <c r="BK462">
        <v>1838385</v>
      </c>
    </row>
    <row r="463" spans="1:63">
      <c r="A463" s="1">
        <f>HYPERLINK("https://lsnyc.legalserver.org/matter/dynamic-profile/view/1870959","18-1870959")</f>
        <v>0</v>
      </c>
      <c r="B463" t="s">
        <v>5315</v>
      </c>
      <c r="C463" t="s">
        <v>5625</v>
      </c>
      <c r="D463" t="s">
        <v>257</v>
      </c>
      <c r="E463" t="s">
        <v>3694</v>
      </c>
      <c r="F463" t="s">
        <v>274</v>
      </c>
      <c r="G463" t="s">
        <v>274</v>
      </c>
      <c r="H463">
        <v>51.79</v>
      </c>
      <c r="I463" t="s">
        <v>274</v>
      </c>
      <c r="K463" t="s">
        <v>4511</v>
      </c>
      <c r="O463" t="s">
        <v>275</v>
      </c>
      <c r="P463" t="s">
        <v>494</v>
      </c>
      <c r="Q463" t="s">
        <v>501</v>
      </c>
      <c r="S463" t="s">
        <v>503</v>
      </c>
      <c r="T463" t="s">
        <v>508</v>
      </c>
      <c r="U463" t="s">
        <v>511</v>
      </c>
      <c r="V463">
        <v>10467</v>
      </c>
      <c r="W463" t="s">
        <v>536</v>
      </c>
      <c r="X463" t="s">
        <v>549</v>
      </c>
      <c r="Z463" t="s">
        <v>638</v>
      </c>
      <c r="AA463" t="s">
        <v>6234</v>
      </c>
      <c r="AB463" t="s">
        <v>902</v>
      </c>
      <c r="AC463" t="s">
        <v>905</v>
      </c>
      <c r="AF463" t="s">
        <v>923</v>
      </c>
      <c r="AI463">
        <v>4.2</v>
      </c>
      <c r="AJ463" t="s">
        <v>558</v>
      </c>
      <c r="AK463" t="s">
        <v>939</v>
      </c>
      <c r="AL463" t="s">
        <v>274</v>
      </c>
      <c r="AT463">
        <v>2</v>
      </c>
      <c r="AU463">
        <v>2</v>
      </c>
      <c r="AV463" t="s">
        <v>273</v>
      </c>
      <c r="AY463" t="s">
        <v>273</v>
      </c>
      <c r="BB463">
        <v>0</v>
      </c>
      <c r="BC463">
        <v>0</v>
      </c>
      <c r="BD463">
        <v>0</v>
      </c>
      <c r="BE463">
        <v>0</v>
      </c>
      <c r="BF463" t="s">
        <v>1063</v>
      </c>
      <c r="BG463" t="s">
        <v>6684</v>
      </c>
      <c r="BH463">
        <v>39</v>
      </c>
      <c r="BI463" t="s">
        <v>1264</v>
      </c>
      <c r="BJ463" t="s">
        <v>1737</v>
      </c>
      <c r="BK463">
        <v>1871560</v>
      </c>
    </row>
    <row r="464" spans="1:63">
      <c r="A464" s="1">
        <f>HYPERLINK("https://lsnyc.legalserver.org/matter/dynamic-profile/view/1870554","18-1870554")</f>
        <v>0</v>
      </c>
      <c r="B464" t="s">
        <v>5450</v>
      </c>
      <c r="C464" t="s">
        <v>5625</v>
      </c>
      <c r="D464" t="s">
        <v>253</v>
      </c>
      <c r="E464" t="s">
        <v>3694</v>
      </c>
      <c r="F464" t="s">
        <v>273</v>
      </c>
      <c r="G464" t="s">
        <v>275</v>
      </c>
      <c r="H464">
        <v>63.52</v>
      </c>
      <c r="I464" t="s">
        <v>274</v>
      </c>
      <c r="K464" t="s">
        <v>4512</v>
      </c>
      <c r="Q464" t="s">
        <v>501</v>
      </c>
      <c r="S464" t="s">
        <v>503</v>
      </c>
      <c r="T464" t="s">
        <v>508</v>
      </c>
      <c r="U464" t="s">
        <v>511</v>
      </c>
      <c r="V464">
        <v>11368</v>
      </c>
      <c r="W464" t="s">
        <v>1822</v>
      </c>
      <c r="Z464" t="s">
        <v>5934</v>
      </c>
      <c r="AA464" t="s">
        <v>6331</v>
      </c>
      <c r="AB464" t="s">
        <v>902</v>
      </c>
      <c r="AC464" t="s">
        <v>908</v>
      </c>
      <c r="AF464" t="s">
        <v>923</v>
      </c>
      <c r="AI464">
        <v>0.3</v>
      </c>
      <c r="AJ464" t="s">
        <v>558</v>
      </c>
      <c r="AK464" t="s">
        <v>933</v>
      </c>
      <c r="AT464">
        <v>2</v>
      </c>
      <c r="AU464">
        <v>1</v>
      </c>
      <c r="AV464" t="s">
        <v>273</v>
      </c>
      <c r="AY464" t="s">
        <v>273</v>
      </c>
      <c r="BB464">
        <v>0</v>
      </c>
      <c r="BC464">
        <v>0</v>
      </c>
      <c r="BD464">
        <v>0</v>
      </c>
      <c r="BE464">
        <v>0</v>
      </c>
      <c r="BF464" t="s">
        <v>1063</v>
      </c>
      <c r="BG464" t="s">
        <v>4120</v>
      </c>
      <c r="BH464">
        <v>17</v>
      </c>
      <c r="BI464" t="s">
        <v>1298</v>
      </c>
      <c r="BK464">
        <v>1861902</v>
      </c>
    </row>
    <row r="465" spans="1:63">
      <c r="A465" s="1">
        <f>HYPERLINK("https://lsnyc.legalserver.org/matter/dynamic-profile/view/1870555","18-1870555")</f>
        <v>0</v>
      </c>
      <c r="B465" t="s">
        <v>5450</v>
      </c>
      <c r="C465" t="s">
        <v>5625</v>
      </c>
      <c r="D465" t="s">
        <v>253</v>
      </c>
      <c r="E465" t="s">
        <v>3694</v>
      </c>
      <c r="F465" t="s">
        <v>273</v>
      </c>
      <c r="G465" t="s">
        <v>275</v>
      </c>
      <c r="H465">
        <v>63.52</v>
      </c>
      <c r="I465" t="s">
        <v>274</v>
      </c>
      <c r="K465" t="s">
        <v>4512</v>
      </c>
      <c r="Q465" t="s">
        <v>501</v>
      </c>
      <c r="S465" t="s">
        <v>503</v>
      </c>
      <c r="T465" t="s">
        <v>508</v>
      </c>
      <c r="U465" t="s">
        <v>511</v>
      </c>
      <c r="V465">
        <v>11368</v>
      </c>
      <c r="W465" t="s">
        <v>3017</v>
      </c>
      <c r="Z465" t="s">
        <v>5934</v>
      </c>
      <c r="AA465" t="s">
        <v>6331</v>
      </c>
      <c r="AB465" t="s">
        <v>902</v>
      </c>
      <c r="AC465" t="s">
        <v>908</v>
      </c>
      <c r="AF465" t="s">
        <v>923</v>
      </c>
      <c r="AI465">
        <v>0</v>
      </c>
      <c r="AJ465" t="s">
        <v>558</v>
      </c>
      <c r="AK465" t="s">
        <v>933</v>
      </c>
      <c r="AT465">
        <v>2</v>
      </c>
      <c r="AU465">
        <v>1</v>
      </c>
      <c r="AV465" t="s">
        <v>273</v>
      </c>
      <c r="AY465" t="s">
        <v>273</v>
      </c>
      <c r="BB465">
        <v>0</v>
      </c>
      <c r="BC465">
        <v>0</v>
      </c>
      <c r="BD465">
        <v>0</v>
      </c>
      <c r="BE465">
        <v>0</v>
      </c>
      <c r="BF465" t="s">
        <v>1063</v>
      </c>
      <c r="BG465" t="s">
        <v>4120</v>
      </c>
      <c r="BH465">
        <v>17</v>
      </c>
      <c r="BI465" t="s">
        <v>1298</v>
      </c>
      <c r="BK465">
        <v>1861902</v>
      </c>
    </row>
    <row r="466" spans="1:63">
      <c r="A466" s="1">
        <f>HYPERLINK("https://lsnyc.legalserver.org/matter/dynamic-profile/view/1870557","18-1870557")</f>
        <v>0</v>
      </c>
      <c r="B466" t="s">
        <v>5451</v>
      </c>
      <c r="C466" t="s">
        <v>5625</v>
      </c>
      <c r="D466" t="s">
        <v>253</v>
      </c>
      <c r="E466" t="s">
        <v>3694</v>
      </c>
      <c r="F466" t="s">
        <v>273</v>
      </c>
      <c r="G466" t="s">
        <v>275</v>
      </c>
      <c r="H466">
        <v>63.52</v>
      </c>
      <c r="I466" t="s">
        <v>274</v>
      </c>
      <c r="K466" t="s">
        <v>4512</v>
      </c>
      <c r="Q466" t="s">
        <v>501</v>
      </c>
      <c r="S466" t="s">
        <v>503</v>
      </c>
      <c r="T466" t="s">
        <v>508</v>
      </c>
      <c r="U466" t="s">
        <v>511</v>
      </c>
      <c r="V466">
        <v>11368</v>
      </c>
      <c r="W466" t="s">
        <v>1822</v>
      </c>
      <c r="Z466" t="s">
        <v>5935</v>
      </c>
      <c r="AA466" t="s">
        <v>6332</v>
      </c>
      <c r="AB466" t="s">
        <v>902</v>
      </c>
      <c r="AC466" t="s">
        <v>908</v>
      </c>
      <c r="AF466" t="s">
        <v>923</v>
      </c>
      <c r="AI466">
        <v>0.1</v>
      </c>
      <c r="AJ466" t="s">
        <v>558</v>
      </c>
      <c r="AK466" t="s">
        <v>933</v>
      </c>
      <c r="AT466">
        <v>2</v>
      </c>
      <c r="AU466">
        <v>1</v>
      </c>
      <c r="AV466" t="s">
        <v>273</v>
      </c>
      <c r="AY466" t="s">
        <v>273</v>
      </c>
      <c r="BB466">
        <v>0</v>
      </c>
      <c r="BC466">
        <v>0</v>
      </c>
      <c r="BD466">
        <v>0</v>
      </c>
      <c r="BE466">
        <v>0</v>
      </c>
      <c r="BF466" t="s">
        <v>1063</v>
      </c>
      <c r="BG466" t="s">
        <v>6807</v>
      </c>
      <c r="BH466">
        <v>11</v>
      </c>
      <c r="BI466" t="s">
        <v>1298</v>
      </c>
      <c r="BK466">
        <v>1861902</v>
      </c>
    </row>
    <row r="467" spans="1:63">
      <c r="A467" s="1">
        <f>HYPERLINK("https://lsnyc.legalserver.org/matter/dynamic-profile/view/1870560","18-1870560")</f>
        <v>0</v>
      </c>
      <c r="B467" t="s">
        <v>5451</v>
      </c>
      <c r="C467" t="s">
        <v>5625</v>
      </c>
      <c r="D467" t="s">
        <v>253</v>
      </c>
      <c r="E467" t="s">
        <v>3694</v>
      </c>
      <c r="F467" t="s">
        <v>273</v>
      </c>
      <c r="G467" t="s">
        <v>275</v>
      </c>
      <c r="H467">
        <v>63.52</v>
      </c>
      <c r="I467" t="s">
        <v>274</v>
      </c>
      <c r="K467" t="s">
        <v>4512</v>
      </c>
      <c r="Q467" t="s">
        <v>501</v>
      </c>
      <c r="S467" t="s">
        <v>503</v>
      </c>
      <c r="T467" t="s">
        <v>508</v>
      </c>
      <c r="U467" t="s">
        <v>511</v>
      </c>
      <c r="V467">
        <v>11368</v>
      </c>
      <c r="W467" t="s">
        <v>3017</v>
      </c>
      <c r="Z467" t="s">
        <v>5935</v>
      </c>
      <c r="AA467" t="s">
        <v>6332</v>
      </c>
      <c r="AB467" t="s">
        <v>902</v>
      </c>
      <c r="AC467" t="s">
        <v>908</v>
      </c>
      <c r="AF467" t="s">
        <v>923</v>
      </c>
      <c r="AI467">
        <v>0.1</v>
      </c>
      <c r="AJ467" t="s">
        <v>558</v>
      </c>
      <c r="AK467" t="s">
        <v>933</v>
      </c>
      <c r="AT467">
        <v>2</v>
      </c>
      <c r="AU467">
        <v>1</v>
      </c>
      <c r="AV467" t="s">
        <v>273</v>
      </c>
      <c r="AY467" t="s">
        <v>273</v>
      </c>
      <c r="BB467">
        <v>0</v>
      </c>
      <c r="BC467">
        <v>0</v>
      </c>
      <c r="BD467">
        <v>0</v>
      </c>
      <c r="BE467">
        <v>0</v>
      </c>
      <c r="BF467" t="s">
        <v>1063</v>
      </c>
      <c r="BG467" t="s">
        <v>6807</v>
      </c>
      <c r="BH467">
        <v>11</v>
      </c>
      <c r="BI467" t="s">
        <v>1298</v>
      </c>
      <c r="BK467">
        <v>1861902</v>
      </c>
    </row>
    <row r="468" spans="1:63">
      <c r="A468" s="1">
        <f>HYPERLINK("https://lsnyc.legalserver.org/matter/dynamic-profile/view/1870438","18-1870438")</f>
        <v>0</v>
      </c>
      <c r="B468" t="s">
        <v>5452</v>
      </c>
      <c r="C468" t="s">
        <v>5625</v>
      </c>
      <c r="D468" t="s">
        <v>252</v>
      </c>
      <c r="E468" t="s">
        <v>3694</v>
      </c>
      <c r="F468" t="s">
        <v>274</v>
      </c>
      <c r="G468" t="s">
        <v>274</v>
      </c>
      <c r="H468">
        <v>45.37</v>
      </c>
      <c r="I468" t="s">
        <v>274</v>
      </c>
      <c r="K468" t="s">
        <v>3000</v>
      </c>
      <c r="L468" t="s">
        <v>992</v>
      </c>
      <c r="P468" t="s">
        <v>493</v>
      </c>
      <c r="Q468" t="s">
        <v>501</v>
      </c>
      <c r="S468" t="s">
        <v>503</v>
      </c>
      <c r="T468" t="s">
        <v>508</v>
      </c>
      <c r="U468" t="s">
        <v>511</v>
      </c>
      <c r="V468">
        <v>11234</v>
      </c>
      <c r="W468" t="s">
        <v>544</v>
      </c>
      <c r="Y468" t="s">
        <v>275</v>
      </c>
      <c r="Z468" t="s">
        <v>2015</v>
      </c>
      <c r="AA468" t="s">
        <v>6333</v>
      </c>
      <c r="AB468" t="s">
        <v>902</v>
      </c>
      <c r="AC468" t="s">
        <v>904</v>
      </c>
      <c r="AD468" t="s">
        <v>275</v>
      </c>
      <c r="AE468" t="s">
        <v>922</v>
      </c>
      <c r="AF468" t="s">
        <v>923</v>
      </c>
      <c r="AI468">
        <v>0.65</v>
      </c>
      <c r="AJ468" t="s">
        <v>558</v>
      </c>
      <c r="AK468" t="s">
        <v>939</v>
      </c>
      <c r="AL468" t="s">
        <v>275</v>
      </c>
      <c r="AQ468" t="s">
        <v>1048</v>
      </c>
      <c r="AR468" t="s">
        <v>1052</v>
      </c>
      <c r="AT468">
        <v>0</v>
      </c>
      <c r="AU468">
        <v>1</v>
      </c>
      <c r="AV468" t="s">
        <v>273</v>
      </c>
      <c r="AY468" t="s">
        <v>273</v>
      </c>
      <c r="BB468">
        <v>0</v>
      </c>
      <c r="BC468">
        <v>0</v>
      </c>
      <c r="BD468">
        <v>0</v>
      </c>
      <c r="BE468">
        <v>0</v>
      </c>
      <c r="BF468" t="s">
        <v>493</v>
      </c>
      <c r="BG468" t="s">
        <v>6808</v>
      </c>
      <c r="BH468">
        <v>77</v>
      </c>
      <c r="BI468" t="s">
        <v>7087</v>
      </c>
      <c r="BK468">
        <v>1860453</v>
      </c>
    </row>
    <row r="469" spans="1:63">
      <c r="A469" s="1">
        <f>HYPERLINK("https://lsnyc.legalserver.org/matter/dynamic-profile/view/1870550","18-1870550")</f>
        <v>0</v>
      </c>
      <c r="B469" t="s">
        <v>5453</v>
      </c>
      <c r="C469" t="s">
        <v>5625</v>
      </c>
      <c r="D469" t="s">
        <v>253</v>
      </c>
      <c r="E469" t="s">
        <v>5630</v>
      </c>
      <c r="F469" t="s">
        <v>274</v>
      </c>
      <c r="G469" t="s">
        <v>274</v>
      </c>
      <c r="H469">
        <v>0</v>
      </c>
      <c r="I469" t="s">
        <v>275</v>
      </c>
      <c r="K469" t="s">
        <v>3000</v>
      </c>
      <c r="P469" t="s">
        <v>492</v>
      </c>
      <c r="Q469" t="s">
        <v>501</v>
      </c>
      <c r="S469" t="s">
        <v>503</v>
      </c>
      <c r="T469" t="s">
        <v>508</v>
      </c>
      <c r="U469" t="s">
        <v>511</v>
      </c>
      <c r="V469">
        <v>11385</v>
      </c>
      <c r="W469" t="s">
        <v>532</v>
      </c>
      <c r="X469" t="s">
        <v>549</v>
      </c>
      <c r="Z469" t="s">
        <v>5768</v>
      </c>
      <c r="AA469" t="s">
        <v>6334</v>
      </c>
      <c r="AB469" t="s">
        <v>902</v>
      </c>
      <c r="AC469" t="s">
        <v>905</v>
      </c>
      <c r="AF469" t="s">
        <v>923</v>
      </c>
      <c r="AI469">
        <v>4.85</v>
      </c>
      <c r="AJ469" t="s">
        <v>558</v>
      </c>
      <c r="AK469" t="s">
        <v>949</v>
      </c>
      <c r="AL469" t="s">
        <v>275</v>
      </c>
      <c r="AT469">
        <v>0</v>
      </c>
      <c r="AU469">
        <v>1</v>
      </c>
      <c r="AV469" t="s">
        <v>273</v>
      </c>
      <c r="AY469" t="s">
        <v>273</v>
      </c>
      <c r="BB469">
        <v>0</v>
      </c>
      <c r="BC469">
        <v>0</v>
      </c>
      <c r="BD469">
        <v>0</v>
      </c>
      <c r="BE469">
        <v>0</v>
      </c>
      <c r="BF469" t="s">
        <v>1063</v>
      </c>
      <c r="BG469" t="s">
        <v>6809</v>
      </c>
      <c r="BH469">
        <v>23</v>
      </c>
      <c r="BI469" t="s">
        <v>1247</v>
      </c>
      <c r="BK469">
        <v>1864047</v>
      </c>
    </row>
    <row r="470" spans="1:63">
      <c r="A470" s="1">
        <f>HYPERLINK("https://lsnyc.legalserver.org/matter/dynamic-profile/view/1870551","18-1870551")</f>
        <v>0</v>
      </c>
      <c r="B470" t="s">
        <v>5454</v>
      </c>
      <c r="C470" t="s">
        <v>5625</v>
      </c>
      <c r="D470" t="s">
        <v>253</v>
      </c>
      <c r="E470" t="s">
        <v>3694</v>
      </c>
      <c r="F470" t="s">
        <v>274</v>
      </c>
      <c r="G470" t="s">
        <v>274</v>
      </c>
      <c r="H470">
        <v>175.17</v>
      </c>
      <c r="I470" t="s">
        <v>274</v>
      </c>
      <c r="K470" t="s">
        <v>3000</v>
      </c>
      <c r="P470" t="s">
        <v>492</v>
      </c>
      <c r="Q470" t="s">
        <v>501</v>
      </c>
      <c r="S470" t="s">
        <v>503</v>
      </c>
      <c r="T470" t="s">
        <v>508</v>
      </c>
      <c r="U470" t="s">
        <v>511</v>
      </c>
      <c r="V470">
        <v>11377</v>
      </c>
      <c r="W470" t="s">
        <v>528</v>
      </c>
      <c r="X470" t="s">
        <v>548</v>
      </c>
      <c r="Z470" t="s">
        <v>1922</v>
      </c>
      <c r="AA470" t="s">
        <v>6335</v>
      </c>
      <c r="AB470" t="s">
        <v>902</v>
      </c>
      <c r="AC470" t="s">
        <v>906</v>
      </c>
      <c r="AF470" t="s">
        <v>923</v>
      </c>
      <c r="AI470">
        <v>3.4</v>
      </c>
      <c r="AK470" t="s">
        <v>936</v>
      </c>
      <c r="AT470">
        <v>1</v>
      </c>
      <c r="AU470">
        <v>2</v>
      </c>
      <c r="AV470" t="s">
        <v>273</v>
      </c>
      <c r="AY470" t="s">
        <v>273</v>
      </c>
      <c r="BB470">
        <v>0</v>
      </c>
      <c r="BC470">
        <v>0</v>
      </c>
      <c r="BD470">
        <v>0</v>
      </c>
      <c r="BE470">
        <v>0</v>
      </c>
      <c r="BF470" t="s">
        <v>1063</v>
      </c>
      <c r="BG470" t="s">
        <v>6810</v>
      </c>
      <c r="BH470">
        <v>27</v>
      </c>
      <c r="BI470" t="s">
        <v>1317</v>
      </c>
      <c r="BK470">
        <v>815275</v>
      </c>
    </row>
    <row r="471" spans="1:63">
      <c r="A471" s="1">
        <f>HYPERLINK("https://lsnyc.legalserver.org/matter/dynamic-profile/view/1870239","18-1870239")</f>
        <v>0</v>
      </c>
      <c r="B471" t="s">
        <v>5455</v>
      </c>
      <c r="C471" t="s">
        <v>5625</v>
      </c>
      <c r="D471" t="s">
        <v>252</v>
      </c>
      <c r="E471" t="s">
        <v>3694</v>
      </c>
      <c r="F471" t="s">
        <v>274</v>
      </c>
      <c r="G471" t="s">
        <v>274</v>
      </c>
      <c r="H471">
        <v>164.74</v>
      </c>
      <c r="I471" t="s">
        <v>274</v>
      </c>
      <c r="K471" t="s">
        <v>3001</v>
      </c>
      <c r="O471" t="s">
        <v>274</v>
      </c>
      <c r="Q471" t="s">
        <v>501</v>
      </c>
      <c r="S471" t="s">
        <v>503</v>
      </c>
      <c r="T471" t="s">
        <v>508</v>
      </c>
      <c r="U471" t="s">
        <v>511</v>
      </c>
      <c r="V471">
        <v>11219</v>
      </c>
      <c r="W471" t="s">
        <v>517</v>
      </c>
      <c r="X471" t="s">
        <v>549</v>
      </c>
      <c r="Y471" t="s">
        <v>275</v>
      </c>
      <c r="Z471" t="s">
        <v>5936</v>
      </c>
      <c r="AA471" t="s">
        <v>6336</v>
      </c>
      <c r="AB471" t="s">
        <v>902</v>
      </c>
      <c r="AC471" t="s">
        <v>904</v>
      </c>
      <c r="AF471" t="s">
        <v>923</v>
      </c>
      <c r="AI471">
        <v>1.3</v>
      </c>
      <c r="AJ471" t="s">
        <v>558</v>
      </c>
      <c r="AK471" t="s">
        <v>932</v>
      </c>
      <c r="AL471" t="s">
        <v>274</v>
      </c>
      <c r="AT471">
        <v>0</v>
      </c>
      <c r="AU471">
        <v>1</v>
      </c>
      <c r="AV471" t="s">
        <v>273</v>
      </c>
      <c r="AY471" t="s">
        <v>273</v>
      </c>
      <c r="BB471">
        <v>0</v>
      </c>
      <c r="BC471">
        <v>0</v>
      </c>
      <c r="BD471">
        <v>0</v>
      </c>
      <c r="BE471">
        <v>0</v>
      </c>
      <c r="BF471" t="s">
        <v>1063</v>
      </c>
      <c r="BG471" t="s">
        <v>6811</v>
      </c>
      <c r="BH471">
        <v>45</v>
      </c>
      <c r="BI471" t="s">
        <v>1251</v>
      </c>
      <c r="BJ471" t="s">
        <v>393</v>
      </c>
      <c r="BK471">
        <v>1870839</v>
      </c>
    </row>
    <row r="472" spans="1:63">
      <c r="A472" s="1">
        <f>HYPERLINK("https://lsnyc.legalserver.org/matter/dynamic-profile/view/1870108","18-1870108")</f>
        <v>0</v>
      </c>
      <c r="B472" t="s">
        <v>5239</v>
      </c>
      <c r="C472" t="s">
        <v>5625</v>
      </c>
      <c r="D472" t="s">
        <v>253</v>
      </c>
      <c r="E472" t="s">
        <v>3694</v>
      </c>
      <c r="F472" t="s">
        <v>274</v>
      </c>
      <c r="G472" t="s">
        <v>274</v>
      </c>
      <c r="H472">
        <v>0</v>
      </c>
      <c r="I472" t="s">
        <v>274</v>
      </c>
      <c r="K472" t="s">
        <v>395</v>
      </c>
      <c r="O472" t="s">
        <v>275</v>
      </c>
      <c r="P472" t="s">
        <v>499</v>
      </c>
      <c r="Q472" t="s">
        <v>501</v>
      </c>
      <c r="S472" t="s">
        <v>503</v>
      </c>
      <c r="T472" t="s">
        <v>507</v>
      </c>
      <c r="U472" t="s">
        <v>511</v>
      </c>
      <c r="V472">
        <v>11372</v>
      </c>
      <c r="W472" t="s">
        <v>521</v>
      </c>
      <c r="X472" t="s">
        <v>548</v>
      </c>
      <c r="Z472" t="s">
        <v>5796</v>
      </c>
      <c r="AA472" t="s">
        <v>6174</v>
      </c>
      <c r="AB472" t="s">
        <v>902</v>
      </c>
      <c r="AC472" t="s">
        <v>905</v>
      </c>
      <c r="AF472" t="s">
        <v>923</v>
      </c>
      <c r="AI472">
        <v>13.18</v>
      </c>
      <c r="AJ472" t="s">
        <v>558</v>
      </c>
      <c r="AK472" t="s">
        <v>945</v>
      </c>
      <c r="AL472" t="s">
        <v>275</v>
      </c>
      <c r="AT472">
        <v>0</v>
      </c>
      <c r="AU472">
        <v>1</v>
      </c>
      <c r="AV472" t="s">
        <v>273</v>
      </c>
      <c r="AY472" t="s">
        <v>273</v>
      </c>
      <c r="BB472">
        <v>0</v>
      </c>
      <c r="BC472">
        <v>0</v>
      </c>
      <c r="BD472">
        <v>0</v>
      </c>
      <c r="BE472">
        <v>0</v>
      </c>
      <c r="BF472" t="s">
        <v>1063</v>
      </c>
      <c r="BG472" t="s">
        <v>6613</v>
      </c>
      <c r="BH472">
        <v>23</v>
      </c>
      <c r="BI472" t="s">
        <v>1247</v>
      </c>
      <c r="BJ472" t="s">
        <v>394</v>
      </c>
      <c r="BK472">
        <v>1870708</v>
      </c>
    </row>
    <row r="473" spans="1:63">
      <c r="A473" s="1">
        <f>HYPERLINK("https://lsnyc.legalserver.org/matter/dynamic-profile/view/1870143","18-1870143")</f>
        <v>0</v>
      </c>
      <c r="B473" t="s">
        <v>5456</v>
      </c>
      <c r="C473" t="s">
        <v>5625</v>
      </c>
      <c r="D473" t="s">
        <v>253</v>
      </c>
      <c r="E473" t="s">
        <v>3694</v>
      </c>
      <c r="F473" t="s">
        <v>274</v>
      </c>
      <c r="G473" t="s">
        <v>274</v>
      </c>
      <c r="H473">
        <v>111.63</v>
      </c>
      <c r="I473" t="s">
        <v>274</v>
      </c>
      <c r="K473" t="s">
        <v>395</v>
      </c>
      <c r="O473" t="s">
        <v>274</v>
      </c>
      <c r="Q473" t="s">
        <v>501</v>
      </c>
      <c r="S473" t="s">
        <v>503</v>
      </c>
      <c r="T473" t="s">
        <v>507</v>
      </c>
      <c r="U473" t="s">
        <v>511</v>
      </c>
      <c r="V473">
        <v>11385</v>
      </c>
      <c r="W473" t="s">
        <v>517</v>
      </c>
      <c r="X473" t="s">
        <v>548</v>
      </c>
      <c r="Y473" t="s">
        <v>274</v>
      </c>
      <c r="Z473" t="s">
        <v>564</v>
      </c>
      <c r="AA473" t="s">
        <v>6337</v>
      </c>
      <c r="AB473" t="s">
        <v>902</v>
      </c>
      <c r="AC473" t="s">
        <v>904</v>
      </c>
      <c r="AF473" t="s">
        <v>923</v>
      </c>
      <c r="AI473">
        <v>2.2</v>
      </c>
      <c r="AJ473" t="s">
        <v>558</v>
      </c>
      <c r="AK473" t="s">
        <v>949</v>
      </c>
      <c r="AL473" t="s">
        <v>274</v>
      </c>
      <c r="AT473">
        <v>0</v>
      </c>
      <c r="AU473">
        <v>1</v>
      </c>
      <c r="AV473" t="s">
        <v>273</v>
      </c>
      <c r="AY473" t="s">
        <v>273</v>
      </c>
      <c r="BB473">
        <v>0</v>
      </c>
      <c r="BC473">
        <v>0</v>
      </c>
      <c r="BD473">
        <v>0</v>
      </c>
      <c r="BE473">
        <v>0</v>
      </c>
      <c r="BF473" t="s">
        <v>1063</v>
      </c>
      <c r="BG473" t="s">
        <v>6627</v>
      </c>
      <c r="BH473">
        <v>25</v>
      </c>
      <c r="BI473" t="s">
        <v>7088</v>
      </c>
      <c r="BJ473" t="s">
        <v>393</v>
      </c>
      <c r="BK473">
        <v>1870743</v>
      </c>
    </row>
    <row r="474" spans="1:63">
      <c r="A474" s="1">
        <f>HYPERLINK("https://lsnyc.legalserver.org/matter/dynamic-profile/view/1867281","18-1867281")</f>
        <v>0</v>
      </c>
      <c r="B474" t="s">
        <v>5457</v>
      </c>
      <c r="C474" t="s">
        <v>5625</v>
      </c>
      <c r="D474" t="s">
        <v>257</v>
      </c>
      <c r="E474" t="s">
        <v>3694</v>
      </c>
      <c r="F474" t="s">
        <v>274</v>
      </c>
      <c r="G474" t="s">
        <v>274</v>
      </c>
      <c r="H474">
        <v>151.64</v>
      </c>
      <c r="I474" t="s">
        <v>274</v>
      </c>
      <c r="K474" t="s">
        <v>4064</v>
      </c>
      <c r="O474" t="s">
        <v>274</v>
      </c>
      <c r="P474" t="s">
        <v>492</v>
      </c>
      <c r="Q474" t="s">
        <v>501</v>
      </c>
      <c r="S474" t="s">
        <v>503</v>
      </c>
      <c r="T474" t="s">
        <v>508</v>
      </c>
      <c r="U474" t="s">
        <v>511</v>
      </c>
      <c r="V474">
        <v>10467</v>
      </c>
      <c r="W474" t="s">
        <v>517</v>
      </c>
      <c r="X474" t="s">
        <v>549</v>
      </c>
      <c r="Y474" t="s">
        <v>274</v>
      </c>
      <c r="Z474" t="s">
        <v>5937</v>
      </c>
      <c r="AA474" t="s">
        <v>6232</v>
      </c>
      <c r="AB474" t="s">
        <v>902</v>
      </c>
      <c r="AC474" t="s">
        <v>904</v>
      </c>
      <c r="AF474" t="s">
        <v>923</v>
      </c>
      <c r="AI474">
        <v>2.9</v>
      </c>
      <c r="AJ474" t="s">
        <v>558</v>
      </c>
      <c r="AK474" t="s">
        <v>965</v>
      </c>
      <c r="AT474">
        <v>1</v>
      </c>
      <c r="AU474">
        <v>1</v>
      </c>
      <c r="AV474" t="s">
        <v>273</v>
      </c>
      <c r="AY474" t="s">
        <v>273</v>
      </c>
      <c r="BB474">
        <v>0</v>
      </c>
      <c r="BC474">
        <v>0</v>
      </c>
      <c r="BD474">
        <v>0</v>
      </c>
      <c r="BE474">
        <v>0</v>
      </c>
      <c r="BF474" t="s">
        <v>1063</v>
      </c>
      <c r="BG474" t="s">
        <v>6812</v>
      </c>
      <c r="BH474">
        <v>36</v>
      </c>
      <c r="BI474" t="s">
        <v>7089</v>
      </c>
      <c r="BK474">
        <v>1867873</v>
      </c>
    </row>
    <row r="475" spans="1:63">
      <c r="A475" s="1">
        <f>HYPERLINK("https://lsnyc.legalserver.org/matter/dynamic-profile/view/1869892","18-1869892")</f>
        <v>0</v>
      </c>
      <c r="B475" t="s">
        <v>5458</v>
      </c>
      <c r="C475" t="s">
        <v>5625</v>
      </c>
      <c r="D475" t="s">
        <v>252</v>
      </c>
      <c r="E475" t="s">
        <v>3694</v>
      </c>
      <c r="F475" t="s">
        <v>274</v>
      </c>
      <c r="G475" t="s">
        <v>274</v>
      </c>
      <c r="H475">
        <v>107.95</v>
      </c>
      <c r="I475" t="s">
        <v>274</v>
      </c>
      <c r="K475" t="s">
        <v>5644</v>
      </c>
      <c r="O475" t="s">
        <v>274</v>
      </c>
      <c r="P475" t="s">
        <v>498</v>
      </c>
      <c r="Q475" t="s">
        <v>501</v>
      </c>
      <c r="S475" t="s">
        <v>503</v>
      </c>
      <c r="T475" t="s">
        <v>508</v>
      </c>
      <c r="U475" t="s">
        <v>511</v>
      </c>
      <c r="V475">
        <v>11221</v>
      </c>
      <c r="W475" t="s">
        <v>517</v>
      </c>
      <c r="X475" t="s">
        <v>549</v>
      </c>
      <c r="Y475" t="s">
        <v>274</v>
      </c>
      <c r="Z475" t="s">
        <v>5938</v>
      </c>
      <c r="AA475" t="s">
        <v>815</v>
      </c>
      <c r="AB475" t="s">
        <v>902</v>
      </c>
      <c r="AC475" t="s">
        <v>904</v>
      </c>
      <c r="AF475" t="s">
        <v>923</v>
      </c>
      <c r="AI475">
        <v>3.1</v>
      </c>
      <c r="AJ475" t="s">
        <v>558</v>
      </c>
      <c r="AK475" t="s">
        <v>947</v>
      </c>
      <c r="AL475" t="s">
        <v>274</v>
      </c>
      <c r="AT475">
        <v>0</v>
      </c>
      <c r="AU475">
        <v>2</v>
      </c>
      <c r="AV475" t="s">
        <v>273</v>
      </c>
      <c r="AY475" t="s">
        <v>273</v>
      </c>
      <c r="BB475">
        <v>0</v>
      </c>
      <c r="BC475">
        <v>0</v>
      </c>
      <c r="BD475">
        <v>0</v>
      </c>
      <c r="BE475">
        <v>0</v>
      </c>
      <c r="BF475" t="s">
        <v>1063</v>
      </c>
      <c r="BG475" t="s">
        <v>6813</v>
      </c>
      <c r="BH475">
        <v>57</v>
      </c>
      <c r="BI475" t="s">
        <v>7090</v>
      </c>
      <c r="BJ475" t="s">
        <v>393</v>
      </c>
      <c r="BK475">
        <v>1870491</v>
      </c>
    </row>
    <row r="476" spans="1:63">
      <c r="A476" s="1">
        <f>HYPERLINK("https://lsnyc.legalserver.org/matter/dynamic-profile/view/1869757","18-1869757")</f>
        <v>0</v>
      </c>
      <c r="B476" t="s">
        <v>5459</v>
      </c>
      <c r="C476" t="s">
        <v>5625</v>
      </c>
      <c r="D476" t="s">
        <v>257</v>
      </c>
      <c r="E476" t="s">
        <v>264</v>
      </c>
      <c r="F476" t="s">
        <v>274</v>
      </c>
      <c r="G476" t="s">
        <v>274</v>
      </c>
      <c r="H476">
        <v>111.55</v>
      </c>
      <c r="I476" t="s">
        <v>274</v>
      </c>
      <c r="K476" t="s">
        <v>5645</v>
      </c>
      <c r="L476" t="s">
        <v>282</v>
      </c>
      <c r="O476" t="s">
        <v>274</v>
      </c>
      <c r="P476" t="s">
        <v>493</v>
      </c>
      <c r="Q476" t="s">
        <v>501</v>
      </c>
      <c r="S476" t="s">
        <v>503</v>
      </c>
      <c r="T476" t="s">
        <v>508</v>
      </c>
      <c r="U476" t="s">
        <v>511</v>
      </c>
      <c r="V476">
        <v>10453</v>
      </c>
      <c r="W476" t="s">
        <v>517</v>
      </c>
      <c r="X476" t="s">
        <v>548</v>
      </c>
      <c r="Y476" t="s">
        <v>275</v>
      </c>
      <c r="Z476" t="s">
        <v>5939</v>
      </c>
      <c r="AA476" t="s">
        <v>2110</v>
      </c>
      <c r="AB476" t="s">
        <v>902</v>
      </c>
      <c r="AC476" t="s">
        <v>904</v>
      </c>
      <c r="AD476" t="s">
        <v>275</v>
      </c>
      <c r="AE476" t="s">
        <v>920</v>
      </c>
      <c r="AF476" t="s">
        <v>927</v>
      </c>
      <c r="AI476">
        <v>8.699999999999999</v>
      </c>
      <c r="AJ476" t="s">
        <v>558</v>
      </c>
      <c r="AK476" t="s">
        <v>950</v>
      </c>
      <c r="AL476" t="s">
        <v>274</v>
      </c>
      <c r="AQ476" t="s">
        <v>1033</v>
      </c>
      <c r="AR476" t="s">
        <v>1053</v>
      </c>
      <c r="AT476">
        <v>1</v>
      </c>
      <c r="AU476">
        <v>3</v>
      </c>
      <c r="AV476" t="s">
        <v>273</v>
      </c>
      <c r="AY476" t="s">
        <v>273</v>
      </c>
      <c r="BB476">
        <v>0</v>
      </c>
      <c r="BC476">
        <v>0</v>
      </c>
      <c r="BD476">
        <v>0</v>
      </c>
      <c r="BE476">
        <v>0</v>
      </c>
      <c r="BF476" t="s">
        <v>493</v>
      </c>
      <c r="BG476" t="s">
        <v>6814</v>
      </c>
      <c r="BH476">
        <v>35</v>
      </c>
      <c r="BI476" t="s">
        <v>6987</v>
      </c>
      <c r="BJ476" t="s">
        <v>393</v>
      </c>
      <c r="BK476">
        <v>1870352</v>
      </c>
    </row>
    <row r="477" spans="1:63">
      <c r="A477" s="1">
        <f>HYPERLINK("https://lsnyc.legalserver.org/matter/dynamic-profile/view/1869651","18-1869651")</f>
        <v>0</v>
      </c>
      <c r="B477" t="s">
        <v>5460</v>
      </c>
      <c r="C477" t="s">
        <v>5625</v>
      </c>
      <c r="D477" t="s">
        <v>253</v>
      </c>
      <c r="E477" t="s">
        <v>3694</v>
      </c>
      <c r="F477" t="s">
        <v>274</v>
      </c>
      <c r="G477" t="s">
        <v>274</v>
      </c>
      <c r="H477">
        <v>69.19</v>
      </c>
      <c r="I477" t="s">
        <v>274</v>
      </c>
      <c r="K477" t="s">
        <v>3002</v>
      </c>
      <c r="L477" t="s">
        <v>462</v>
      </c>
      <c r="O477" t="s">
        <v>275</v>
      </c>
      <c r="P477" t="s">
        <v>493</v>
      </c>
      <c r="Q477" t="s">
        <v>501</v>
      </c>
      <c r="R477" t="s">
        <v>501</v>
      </c>
      <c r="S477" t="s">
        <v>503</v>
      </c>
      <c r="T477" t="s">
        <v>507</v>
      </c>
      <c r="U477" t="s">
        <v>511</v>
      </c>
      <c r="V477">
        <v>11434</v>
      </c>
      <c r="W477" t="s">
        <v>521</v>
      </c>
      <c r="X477" t="s">
        <v>5683</v>
      </c>
      <c r="Z477" t="s">
        <v>5940</v>
      </c>
      <c r="AA477" t="s">
        <v>6338</v>
      </c>
      <c r="AB477" t="s">
        <v>902</v>
      </c>
      <c r="AC477" t="s">
        <v>911</v>
      </c>
      <c r="AD477" t="s">
        <v>275</v>
      </c>
      <c r="AE477" t="s">
        <v>919</v>
      </c>
      <c r="AF477" t="s">
        <v>923</v>
      </c>
      <c r="AI477">
        <v>3.9</v>
      </c>
      <c r="AJ477" t="s">
        <v>558</v>
      </c>
      <c r="AK477" t="s">
        <v>2381</v>
      </c>
      <c r="AL477" t="s">
        <v>274</v>
      </c>
      <c r="AQ477" t="s">
        <v>1039</v>
      </c>
      <c r="AR477" t="s">
        <v>1051</v>
      </c>
      <c r="AT477">
        <v>0</v>
      </c>
      <c r="AU477">
        <v>1</v>
      </c>
      <c r="AV477" t="s">
        <v>273</v>
      </c>
      <c r="AY477" t="s">
        <v>273</v>
      </c>
      <c r="BB477">
        <v>0</v>
      </c>
      <c r="BC477">
        <v>0</v>
      </c>
      <c r="BD477">
        <v>0</v>
      </c>
      <c r="BE477">
        <v>0</v>
      </c>
      <c r="BF477" t="s">
        <v>493</v>
      </c>
      <c r="BG477" t="s">
        <v>1192</v>
      </c>
      <c r="BH477">
        <v>27</v>
      </c>
      <c r="BI477" t="s">
        <v>2800</v>
      </c>
      <c r="BJ477" t="s">
        <v>4062</v>
      </c>
      <c r="BK477">
        <v>1870250</v>
      </c>
    </row>
    <row r="478" spans="1:63">
      <c r="A478" s="1">
        <f>HYPERLINK("https://lsnyc.legalserver.org/matter/dynamic-profile/view/1869514","18-1869514")</f>
        <v>0</v>
      </c>
      <c r="B478" t="s">
        <v>5359</v>
      </c>
      <c r="C478" t="s">
        <v>5625</v>
      </c>
      <c r="D478" t="s">
        <v>255</v>
      </c>
      <c r="E478" t="s">
        <v>3694</v>
      </c>
      <c r="F478" t="s">
        <v>274</v>
      </c>
      <c r="G478" t="s">
        <v>274</v>
      </c>
      <c r="H478">
        <v>125.08</v>
      </c>
      <c r="I478" t="s">
        <v>274</v>
      </c>
      <c r="K478" t="s">
        <v>1740</v>
      </c>
      <c r="O478" t="s">
        <v>274</v>
      </c>
      <c r="Q478" t="s">
        <v>501</v>
      </c>
      <c r="S478" t="s">
        <v>503</v>
      </c>
      <c r="T478" t="s">
        <v>507</v>
      </c>
      <c r="U478" t="s">
        <v>511</v>
      </c>
      <c r="V478">
        <v>10026</v>
      </c>
      <c r="W478" t="s">
        <v>517</v>
      </c>
      <c r="X478" t="s">
        <v>549</v>
      </c>
      <c r="Y478" t="s">
        <v>275</v>
      </c>
      <c r="Z478" t="s">
        <v>1949</v>
      </c>
      <c r="AA478" t="s">
        <v>2302</v>
      </c>
      <c r="AB478" t="s">
        <v>902</v>
      </c>
      <c r="AC478" t="s">
        <v>904</v>
      </c>
      <c r="AF478" t="s">
        <v>923</v>
      </c>
      <c r="AI478">
        <v>2.4</v>
      </c>
      <c r="AJ478" t="s">
        <v>558</v>
      </c>
      <c r="AK478" t="s">
        <v>939</v>
      </c>
      <c r="AL478" t="s">
        <v>274</v>
      </c>
      <c r="AT478">
        <v>2</v>
      </c>
      <c r="AU478">
        <v>3</v>
      </c>
      <c r="AV478" t="s">
        <v>273</v>
      </c>
      <c r="AY478" t="s">
        <v>273</v>
      </c>
      <c r="BB478">
        <v>0</v>
      </c>
      <c r="BC478">
        <v>0</v>
      </c>
      <c r="BD478">
        <v>0</v>
      </c>
      <c r="BE478">
        <v>0</v>
      </c>
      <c r="BF478" t="s">
        <v>1063</v>
      </c>
      <c r="BG478" t="s">
        <v>6724</v>
      </c>
      <c r="BH478">
        <v>42</v>
      </c>
      <c r="BI478" t="s">
        <v>7062</v>
      </c>
      <c r="BJ478" t="s">
        <v>393</v>
      </c>
      <c r="BK478">
        <v>1870113</v>
      </c>
    </row>
    <row r="479" spans="1:63">
      <c r="A479" s="1">
        <f>HYPERLINK("https://lsnyc.legalserver.org/matter/dynamic-profile/view/1869396","18-1869396")</f>
        <v>0</v>
      </c>
      <c r="B479" t="s">
        <v>5461</v>
      </c>
      <c r="C479" t="s">
        <v>5625</v>
      </c>
      <c r="D479" t="s">
        <v>255</v>
      </c>
      <c r="E479" t="s">
        <v>3694</v>
      </c>
      <c r="F479" t="s">
        <v>274</v>
      </c>
      <c r="G479" t="s">
        <v>274</v>
      </c>
      <c r="H479">
        <v>158.81</v>
      </c>
      <c r="I479" t="s">
        <v>274</v>
      </c>
      <c r="K479" t="s">
        <v>396</v>
      </c>
      <c r="O479" t="s">
        <v>274</v>
      </c>
      <c r="Q479" t="s">
        <v>501</v>
      </c>
      <c r="S479" t="s">
        <v>503</v>
      </c>
      <c r="T479" t="s">
        <v>508</v>
      </c>
      <c r="U479" t="s">
        <v>511</v>
      </c>
      <c r="V479">
        <v>10026</v>
      </c>
      <c r="W479" t="s">
        <v>517</v>
      </c>
      <c r="X479" t="s">
        <v>549</v>
      </c>
      <c r="Y479" t="s">
        <v>275</v>
      </c>
      <c r="Z479" t="s">
        <v>5941</v>
      </c>
      <c r="AA479" t="s">
        <v>6339</v>
      </c>
      <c r="AB479" t="s">
        <v>902</v>
      </c>
      <c r="AC479" t="s">
        <v>904</v>
      </c>
      <c r="AF479" t="s">
        <v>923</v>
      </c>
      <c r="AI479">
        <v>4.8</v>
      </c>
      <c r="AJ479" t="s">
        <v>558</v>
      </c>
      <c r="AK479" t="s">
        <v>939</v>
      </c>
      <c r="AL479" t="s">
        <v>274</v>
      </c>
      <c r="AT479">
        <v>1</v>
      </c>
      <c r="AU479">
        <v>2</v>
      </c>
      <c r="AV479" t="s">
        <v>273</v>
      </c>
      <c r="AY479" t="s">
        <v>273</v>
      </c>
      <c r="BB479">
        <v>0</v>
      </c>
      <c r="BC479">
        <v>0</v>
      </c>
      <c r="BD479">
        <v>0</v>
      </c>
      <c r="BE479">
        <v>0</v>
      </c>
      <c r="BF479" t="s">
        <v>1063</v>
      </c>
      <c r="BG479" t="s">
        <v>6815</v>
      </c>
      <c r="BH479">
        <v>22</v>
      </c>
      <c r="BI479" t="s">
        <v>1277</v>
      </c>
      <c r="BJ479" t="s">
        <v>393</v>
      </c>
      <c r="BK479">
        <v>1869995</v>
      </c>
    </row>
    <row r="480" spans="1:63">
      <c r="A480" s="1">
        <f>HYPERLINK("https://lsnyc.legalserver.org/matter/dynamic-profile/view/1869218","18-1869218")</f>
        <v>0</v>
      </c>
      <c r="B480" t="s">
        <v>5462</v>
      </c>
      <c r="C480" t="s">
        <v>5625</v>
      </c>
      <c r="D480" t="s">
        <v>252</v>
      </c>
      <c r="E480" t="s">
        <v>3694</v>
      </c>
      <c r="F480" t="s">
        <v>274</v>
      </c>
      <c r="G480" t="s">
        <v>274</v>
      </c>
      <c r="H480">
        <v>0</v>
      </c>
      <c r="I480" t="s">
        <v>274</v>
      </c>
      <c r="K480" t="s">
        <v>2400</v>
      </c>
      <c r="O480" t="s">
        <v>275</v>
      </c>
      <c r="P480" t="s">
        <v>498</v>
      </c>
      <c r="Q480" t="s">
        <v>501</v>
      </c>
      <c r="S480" t="s">
        <v>503</v>
      </c>
      <c r="T480" t="s">
        <v>507</v>
      </c>
      <c r="U480" t="s">
        <v>511</v>
      </c>
      <c r="V480">
        <v>11216</v>
      </c>
      <c r="W480" t="s">
        <v>521</v>
      </c>
      <c r="X480" t="s">
        <v>549</v>
      </c>
      <c r="Z480" t="s">
        <v>5942</v>
      </c>
      <c r="AA480" t="s">
        <v>685</v>
      </c>
      <c r="AB480" t="s">
        <v>902</v>
      </c>
      <c r="AC480" t="s">
        <v>905</v>
      </c>
      <c r="AF480" t="s">
        <v>923</v>
      </c>
      <c r="AI480">
        <v>8.6</v>
      </c>
      <c r="AJ480" t="s">
        <v>558</v>
      </c>
      <c r="AK480" t="s">
        <v>939</v>
      </c>
      <c r="AL480" t="s">
        <v>275</v>
      </c>
      <c r="AT480">
        <v>0</v>
      </c>
      <c r="AU480">
        <v>1</v>
      </c>
      <c r="AV480" t="s">
        <v>273</v>
      </c>
      <c r="AY480" t="s">
        <v>273</v>
      </c>
      <c r="BB480">
        <v>0</v>
      </c>
      <c r="BC480">
        <v>0</v>
      </c>
      <c r="BD480">
        <v>0</v>
      </c>
      <c r="BE480">
        <v>0</v>
      </c>
      <c r="BF480" t="s">
        <v>1063</v>
      </c>
      <c r="BG480" t="s">
        <v>4933</v>
      </c>
      <c r="BH480">
        <v>25</v>
      </c>
      <c r="BI480" t="s">
        <v>1247</v>
      </c>
      <c r="BK480">
        <v>1869817</v>
      </c>
    </row>
    <row r="481" spans="1:63">
      <c r="A481" s="1">
        <f>HYPERLINK("https://lsnyc.legalserver.org/matter/dynamic-profile/view/1869233","18-1869233")</f>
        <v>0</v>
      </c>
      <c r="B481" t="s">
        <v>5463</v>
      </c>
      <c r="C481" t="s">
        <v>5625</v>
      </c>
      <c r="D481" t="s">
        <v>252</v>
      </c>
      <c r="E481" t="s">
        <v>5630</v>
      </c>
      <c r="F481" t="s">
        <v>274</v>
      </c>
      <c r="G481" t="s">
        <v>274</v>
      </c>
      <c r="H481">
        <v>42.34</v>
      </c>
      <c r="I481" t="s">
        <v>274</v>
      </c>
      <c r="K481" t="s">
        <v>2400</v>
      </c>
      <c r="O481" t="s">
        <v>274</v>
      </c>
      <c r="Q481" t="s">
        <v>501</v>
      </c>
      <c r="S481" t="s">
        <v>503</v>
      </c>
      <c r="T481" t="s">
        <v>507</v>
      </c>
      <c r="U481" t="s">
        <v>511</v>
      </c>
      <c r="V481">
        <v>11212</v>
      </c>
      <c r="W481" t="s">
        <v>517</v>
      </c>
      <c r="X481" t="s">
        <v>549</v>
      </c>
      <c r="Z481" t="s">
        <v>5943</v>
      </c>
      <c r="AA481" t="s">
        <v>6340</v>
      </c>
      <c r="AB481" t="s">
        <v>902</v>
      </c>
      <c r="AC481" t="s">
        <v>904</v>
      </c>
      <c r="AF481" t="s">
        <v>923</v>
      </c>
      <c r="AI481">
        <v>2.3</v>
      </c>
      <c r="AJ481" t="s">
        <v>558</v>
      </c>
      <c r="AK481" t="s">
        <v>939</v>
      </c>
      <c r="AL481" t="s">
        <v>274</v>
      </c>
      <c r="AT481">
        <v>3</v>
      </c>
      <c r="AU481">
        <v>2</v>
      </c>
      <c r="AV481" t="s">
        <v>273</v>
      </c>
      <c r="AY481" t="s">
        <v>273</v>
      </c>
      <c r="BB481">
        <v>0</v>
      </c>
      <c r="BC481">
        <v>0</v>
      </c>
      <c r="BD481">
        <v>0</v>
      </c>
      <c r="BE481">
        <v>0</v>
      </c>
      <c r="BF481" t="s">
        <v>1063</v>
      </c>
      <c r="BG481" t="s">
        <v>6816</v>
      </c>
      <c r="BH481">
        <v>15</v>
      </c>
      <c r="BI481" t="s">
        <v>7091</v>
      </c>
      <c r="BK481">
        <v>1869832</v>
      </c>
    </row>
    <row r="482" spans="1:63">
      <c r="A482" s="1">
        <f>HYPERLINK("https://lsnyc.legalserver.org/matter/dynamic-profile/view/1869234","18-1869234")</f>
        <v>0</v>
      </c>
      <c r="B482" t="s">
        <v>5464</v>
      </c>
      <c r="C482" t="s">
        <v>5625</v>
      </c>
      <c r="D482" t="s">
        <v>252</v>
      </c>
      <c r="E482" t="s">
        <v>3694</v>
      </c>
      <c r="F482" t="s">
        <v>274</v>
      </c>
      <c r="G482" t="s">
        <v>274</v>
      </c>
      <c r="H482">
        <v>17.13</v>
      </c>
      <c r="I482" t="s">
        <v>274</v>
      </c>
      <c r="K482" t="s">
        <v>2400</v>
      </c>
      <c r="O482" t="s">
        <v>274</v>
      </c>
      <c r="Q482" t="s">
        <v>501</v>
      </c>
      <c r="S482" t="s">
        <v>503</v>
      </c>
      <c r="T482" t="s">
        <v>507</v>
      </c>
      <c r="U482" t="s">
        <v>511</v>
      </c>
      <c r="V482">
        <v>11212</v>
      </c>
      <c r="W482" t="s">
        <v>517</v>
      </c>
      <c r="X482" t="s">
        <v>549</v>
      </c>
      <c r="Y482" t="s">
        <v>275</v>
      </c>
      <c r="Z482" t="s">
        <v>5944</v>
      </c>
      <c r="AA482" t="s">
        <v>6341</v>
      </c>
      <c r="AB482" t="s">
        <v>902</v>
      </c>
      <c r="AC482" t="s">
        <v>904</v>
      </c>
      <c r="AF482" t="s">
        <v>923</v>
      </c>
      <c r="AI482">
        <v>2.5</v>
      </c>
      <c r="AJ482" t="s">
        <v>558</v>
      </c>
      <c r="AK482" t="s">
        <v>939</v>
      </c>
      <c r="AL482" t="s">
        <v>274</v>
      </c>
      <c r="AT482">
        <v>4</v>
      </c>
      <c r="AU482">
        <v>1</v>
      </c>
      <c r="AV482" t="s">
        <v>273</v>
      </c>
      <c r="AY482" t="s">
        <v>273</v>
      </c>
      <c r="BB482">
        <v>0</v>
      </c>
      <c r="BC482">
        <v>0</v>
      </c>
      <c r="BD482">
        <v>0</v>
      </c>
      <c r="BE482">
        <v>0</v>
      </c>
      <c r="BF482" t="s">
        <v>1063</v>
      </c>
      <c r="BG482" t="s">
        <v>6817</v>
      </c>
      <c r="BH482">
        <v>17</v>
      </c>
      <c r="BI482" t="s">
        <v>7092</v>
      </c>
      <c r="BJ482" t="s">
        <v>393</v>
      </c>
      <c r="BK482">
        <v>1869833</v>
      </c>
    </row>
    <row r="483" spans="1:63">
      <c r="A483" s="1">
        <f>HYPERLINK("https://lsnyc.legalserver.org/matter/dynamic-profile/view/1869169","18-1869169")</f>
        <v>0</v>
      </c>
      <c r="B483" t="s">
        <v>5465</v>
      </c>
      <c r="C483" t="s">
        <v>5625</v>
      </c>
      <c r="D483" t="s">
        <v>252</v>
      </c>
      <c r="E483" t="s">
        <v>3694</v>
      </c>
      <c r="F483" t="s">
        <v>274</v>
      </c>
      <c r="G483" t="s">
        <v>274</v>
      </c>
      <c r="H483">
        <v>48.16</v>
      </c>
      <c r="I483" t="s">
        <v>274</v>
      </c>
      <c r="K483" t="s">
        <v>397</v>
      </c>
      <c r="O483" t="s">
        <v>274</v>
      </c>
      <c r="P483" t="s">
        <v>494</v>
      </c>
      <c r="Q483" t="s">
        <v>501</v>
      </c>
      <c r="S483" t="s">
        <v>503</v>
      </c>
      <c r="T483" t="s">
        <v>507</v>
      </c>
      <c r="U483" t="s">
        <v>511</v>
      </c>
      <c r="V483">
        <v>11214</v>
      </c>
      <c r="W483" t="s">
        <v>536</v>
      </c>
      <c r="X483" t="s">
        <v>549</v>
      </c>
      <c r="Z483" t="s">
        <v>5945</v>
      </c>
      <c r="AA483" t="s">
        <v>3121</v>
      </c>
      <c r="AB483" t="s">
        <v>902</v>
      </c>
      <c r="AC483" t="s">
        <v>905</v>
      </c>
      <c r="AF483" t="s">
        <v>923</v>
      </c>
      <c r="AI483">
        <v>7.9</v>
      </c>
      <c r="AJ483" t="s">
        <v>558</v>
      </c>
      <c r="AK483" t="s">
        <v>946</v>
      </c>
      <c r="AL483" t="s">
        <v>275</v>
      </c>
      <c r="AT483">
        <v>1</v>
      </c>
      <c r="AU483">
        <v>2</v>
      </c>
      <c r="AV483" t="s">
        <v>273</v>
      </c>
      <c r="AY483" t="s">
        <v>273</v>
      </c>
      <c r="BB483">
        <v>0</v>
      </c>
      <c r="BC483">
        <v>0</v>
      </c>
      <c r="BD483">
        <v>0</v>
      </c>
      <c r="BE483">
        <v>0</v>
      </c>
      <c r="BF483" t="s">
        <v>1063</v>
      </c>
      <c r="BG483" t="s">
        <v>6818</v>
      </c>
      <c r="BH483">
        <v>34</v>
      </c>
      <c r="BI483" t="s">
        <v>7063</v>
      </c>
      <c r="BJ483" t="s">
        <v>392</v>
      </c>
      <c r="BK483">
        <v>1869768</v>
      </c>
    </row>
    <row r="484" spans="1:63">
      <c r="A484" s="1">
        <f>HYPERLINK("https://lsnyc.legalserver.org/matter/dynamic-profile/view/1868931","18-1868931")</f>
        <v>0</v>
      </c>
      <c r="B484" t="s">
        <v>5466</v>
      </c>
      <c r="C484" t="s">
        <v>5625</v>
      </c>
      <c r="D484" t="s">
        <v>255</v>
      </c>
      <c r="E484" t="s">
        <v>3694</v>
      </c>
      <c r="F484" t="s">
        <v>274</v>
      </c>
      <c r="G484" t="s">
        <v>274</v>
      </c>
      <c r="H484">
        <v>61.07</v>
      </c>
      <c r="I484" t="s">
        <v>274</v>
      </c>
      <c r="K484" t="s">
        <v>2398</v>
      </c>
      <c r="Q484" t="s">
        <v>501</v>
      </c>
      <c r="S484" t="s">
        <v>503</v>
      </c>
      <c r="T484" t="s">
        <v>508</v>
      </c>
      <c r="U484" t="s">
        <v>511</v>
      </c>
      <c r="V484">
        <v>10040</v>
      </c>
      <c r="W484" t="s">
        <v>517</v>
      </c>
      <c r="Y484" t="s">
        <v>274</v>
      </c>
      <c r="Z484" t="s">
        <v>5946</v>
      </c>
      <c r="AA484" t="s">
        <v>6342</v>
      </c>
      <c r="AB484" t="s">
        <v>902</v>
      </c>
      <c r="AC484" t="s">
        <v>904</v>
      </c>
      <c r="AF484" t="s">
        <v>923</v>
      </c>
      <c r="AI484">
        <v>2.55</v>
      </c>
      <c r="AJ484" t="s">
        <v>558</v>
      </c>
      <c r="AK484" t="s">
        <v>950</v>
      </c>
      <c r="AT484">
        <v>0</v>
      </c>
      <c r="AU484">
        <v>1</v>
      </c>
      <c r="AV484" t="s">
        <v>273</v>
      </c>
      <c r="AY484" t="s">
        <v>273</v>
      </c>
      <c r="BB484">
        <v>0</v>
      </c>
      <c r="BC484">
        <v>0</v>
      </c>
      <c r="BD484">
        <v>0</v>
      </c>
      <c r="BE484">
        <v>0</v>
      </c>
      <c r="BF484" t="s">
        <v>1063</v>
      </c>
      <c r="BG484" t="s">
        <v>6819</v>
      </c>
      <c r="BH484">
        <v>53</v>
      </c>
      <c r="BI484" t="s">
        <v>7093</v>
      </c>
      <c r="BK484">
        <v>821665</v>
      </c>
    </row>
    <row r="485" spans="1:63">
      <c r="A485" s="1">
        <f>HYPERLINK("https://lsnyc.legalserver.org/matter/dynamic-profile/view/1868972","18-1868972")</f>
        <v>0</v>
      </c>
      <c r="B485" t="s">
        <v>5467</v>
      </c>
      <c r="C485" t="s">
        <v>5625</v>
      </c>
      <c r="D485" t="s">
        <v>253</v>
      </c>
      <c r="E485" t="s">
        <v>3694</v>
      </c>
      <c r="F485" t="s">
        <v>274</v>
      </c>
      <c r="G485" t="s">
        <v>274</v>
      </c>
      <c r="H485">
        <v>69.3</v>
      </c>
      <c r="I485" t="s">
        <v>274</v>
      </c>
      <c r="K485" t="s">
        <v>2398</v>
      </c>
      <c r="P485" t="s">
        <v>497</v>
      </c>
      <c r="Q485" t="s">
        <v>501</v>
      </c>
      <c r="S485" t="s">
        <v>503</v>
      </c>
      <c r="T485" t="s">
        <v>508</v>
      </c>
      <c r="U485" t="s">
        <v>511</v>
      </c>
      <c r="V485">
        <v>11368</v>
      </c>
      <c r="W485" t="s">
        <v>532</v>
      </c>
      <c r="X485" t="s">
        <v>548</v>
      </c>
      <c r="Z485" t="s">
        <v>577</v>
      </c>
      <c r="AA485" t="s">
        <v>6343</v>
      </c>
      <c r="AB485" t="s">
        <v>902</v>
      </c>
      <c r="AC485" t="s">
        <v>908</v>
      </c>
      <c r="AF485" t="s">
        <v>923</v>
      </c>
      <c r="AI485">
        <v>0.35</v>
      </c>
      <c r="AJ485" t="s">
        <v>558</v>
      </c>
      <c r="AK485" t="s">
        <v>949</v>
      </c>
      <c r="AT485">
        <v>2</v>
      </c>
      <c r="AU485">
        <v>1</v>
      </c>
      <c r="AV485" t="s">
        <v>273</v>
      </c>
      <c r="AY485" t="s">
        <v>273</v>
      </c>
      <c r="BB485">
        <v>0</v>
      </c>
      <c r="BC485">
        <v>0</v>
      </c>
      <c r="BD485">
        <v>0</v>
      </c>
      <c r="BE485">
        <v>0</v>
      </c>
      <c r="BF485" t="s">
        <v>1063</v>
      </c>
      <c r="BG485" t="s">
        <v>6820</v>
      </c>
      <c r="BH485">
        <v>37</v>
      </c>
      <c r="BI485" t="s">
        <v>1253</v>
      </c>
      <c r="BK485">
        <v>815868</v>
      </c>
    </row>
    <row r="486" spans="1:63">
      <c r="A486" s="1">
        <f>HYPERLINK("https://lsnyc.legalserver.org/matter/dynamic-profile/view/1868976","18-1868976")</f>
        <v>0</v>
      </c>
      <c r="B486" t="s">
        <v>5468</v>
      </c>
      <c r="C486" t="s">
        <v>5625</v>
      </c>
      <c r="D486" t="s">
        <v>257</v>
      </c>
      <c r="E486" t="s">
        <v>3694</v>
      </c>
      <c r="F486" t="s">
        <v>274</v>
      </c>
      <c r="G486" t="s">
        <v>274</v>
      </c>
      <c r="H486">
        <v>181.42</v>
      </c>
      <c r="I486" t="s">
        <v>274</v>
      </c>
      <c r="K486" t="s">
        <v>2398</v>
      </c>
      <c r="O486" t="s">
        <v>274</v>
      </c>
      <c r="P486" t="s">
        <v>498</v>
      </c>
      <c r="Q486" t="s">
        <v>501</v>
      </c>
      <c r="S486" t="s">
        <v>503</v>
      </c>
      <c r="T486" t="s">
        <v>507</v>
      </c>
      <c r="U486" t="s">
        <v>511</v>
      </c>
      <c r="V486">
        <v>10467</v>
      </c>
      <c r="W486" t="s">
        <v>517</v>
      </c>
      <c r="X486" t="s">
        <v>548</v>
      </c>
      <c r="Y486" t="s">
        <v>275</v>
      </c>
      <c r="Z486" t="s">
        <v>1865</v>
      </c>
      <c r="AA486" t="s">
        <v>6344</v>
      </c>
      <c r="AB486" t="s">
        <v>902</v>
      </c>
      <c r="AC486" t="s">
        <v>904</v>
      </c>
      <c r="AF486" t="s">
        <v>923</v>
      </c>
      <c r="AI486">
        <v>3.9</v>
      </c>
      <c r="AJ486" t="s">
        <v>558</v>
      </c>
      <c r="AK486" t="s">
        <v>950</v>
      </c>
      <c r="AL486" t="s">
        <v>274</v>
      </c>
      <c r="AT486">
        <v>1</v>
      </c>
      <c r="AU486">
        <v>2</v>
      </c>
      <c r="AV486" t="s">
        <v>273</v>
      </c>
      <c r="AY486" t="s">
        <v>273</v>
      </c>
      <c r="BB486">
        <v>0</v>
      </c>
      <c r="BC486">
        <v>0</v>
      </c>
      <c r="BD486">
        <v>0</v>
      </c>
      <c r="BE486">
        <v>0</v>
      </c>
      <c r="BF486" t="s">
        <v>1063</v>
      </c>
      <c r="BG486" t="s">
        <v>6821</v>
      </c>
      <c r="BH486">
        <v>36</v>
      </c>
      <c r="BI486" t="s">
        <v>7094</v>
      </c>
      <c r="BJ486" t="s">
        <v>393</v>
      </c>
      <c r="BK486">
        <v>1869574</v>
      </c>
    </row>
    <row r="487" spans="1:63">
      <c r="A487" s="1">
        <f>HYPERLINK("https://lsnyc.legalserver.org/matter/dynamic-profile/view/1869035","18-1869035")</f>
        <v>0</v>
      </c>
      <c r="B487" t="s">
        <v>5469</v>
      </c>
      <c r="C487" t="s">
        <v>5625</v>
      </c>
      <c r="D487" t="s">
        <v>254</v>
      </c>
      <c r="E487" t="s">
        <v>3694</v>
      </c>
      <c r="F487" t="s">
        <v>274</v>
      </c>
      <c r="G487" t="s">
        <v>274</v>
      </c>
      <c r="H487">
        <v>122.23</v>
      </c>
      <c r="I487" t="s">
        <v>274</v>
      </c>
      <c r="K487" t="s">
        <v>2398</v>
      </c>
      <c r="P487" t="s">
        <v>497</v>
      </c>
      <c r="Q487" t="s">
        <v>501</v>
      </c>
      <c r="S487" t="s">
        <v>503</v>
      </c>
      <c r="T487" t="s">
        <v>508</v>
      </c>
      <c r="U487" t="s">
        <v>511</v>
      </c>
      <c r="V487">
        <v>10306</v>
      </c>
      <c r="W487" t="s">
        <v>517</v>
      </c>
      <c r="X487" t="s">
        <v>548</v>
      </c>
      <c r="Y487" t="s">
        <v>275</v>
      </c>
      <c r="Z487" t="s">
        <v>2009</v>
      </c>
      <c r="AA487" t="s">
        <v>6270</v>
      </c>
      <c r="AB487" t="s">
        <v>902</v>
      </c>
      <c r="AC487" t="s">
        <v>904</v>
      </c>
      <c r="AF487" t="s">
        <v>923</v>
      </c>
      <c r="AI487">
        <v>0.75</v>
      </c>
      <c r="AJ487" t="s">
        <v>558</v>
      </c>
      <c r="AK487" t="s">
        <v>947</v>
      </c>
      <c r="AT487">
        <v>0</v>
      </c>
      <c r="AU487">
        <v>4</v>
      </c>
      <c r="AV487" t="s">
        <v>273</v>
      </c>
      <c r="AY487" t="s">
        <v>273</v>
      </c>
      <c r="BB487">
        <v>0</v>
      </c>
      <c r="BC487">
        <v>0</v>
      </c>
      <c r="BD487">
        <v>0</v>
      </c>
      <c r="BE487">
        <v>0</v>
      </c>
      <c r="BF487" t="s">
        <v>1063</v>
      </c>
      <c r="BG487" t="s">
        <v>6822</v>
      </c>
      <c r="BH487">
        <v>57</v>
      </c>
      <c r="BI487" t="s">
        <v>7095</v>
      </c>
      <c r="BK487">
        <v>1839339</v>
      </c>
    </row>
    <row r="488" spans="1:63">
      <c r="A488" s="1">
        <f>HYPERLINK("https://lsnyc.legalserver.org/matter/dynamic-profile/view/1869041","18-1869041")</f>
        <v>0</v>
      </c>
      <c r="B488" t="s">
        <v>5240</v>
      </c>
      <c r="C488" t="s">
        <v>5625</v>
      </c>
      <c r="D488" t="s">
        <v>257</v>
      </c>
      <c r="E488" t="s">
        <v>3694</v>
      </c>
      <c r="F488" t="s">
        <v>274</v>
      </c>
      <c r="G488" t="s">
        <v>274</v>
      </c>
      <c r="H488">
        <v>182.26</v>
      </c>
      <c r="I488" t="s">
        <v>274</v>
      </c>
      <c r="K488" t="s">
        <v>2398</v>
      </c>
      <c r="P488" t="s">
        <v>497</v>
      </c>
      <c r="Q488" t="s">
        <v>501</v>
      </c>
      <c r="S488" t="s">
        <v>503</v>
      </c>
      <c r="T488" t="s">
        <v>507</v>
      </c>
      <c r="U488" t="s">
        <v>511</v>
      </c>
      <c r="V488">
        <v>10474</v>
      </c>
      <c r="W488" t="s">
        <v>517</v>
      </c>
      <c r="X488" t="s">
        <v>548</v>
      </c>
      <c r="Y488" t="s">
        <v>275</v>
      </c>
      <c r="Z488" t="s">
        <v>5797</v>
      </c>
      <c r="AA488" t="s">
        <v>6175</v>
      </c>
      <c r="AB488" t="s">
        <v>902</v>
      </c>
      <c r="AC488" t="s">
        <v>904</v>
      </c>
      <c r="AF488" t="s">
        <v>923</v>
      </c>
      <c r="AI488">
        <v>0.25</v>
      </c>
      <c r="AJ488" t="s">
        <v>558</v>
      </c>
      <c r="AK488" t="s">
        <v>936</v>
      </c>
      <c r="AT488">
        <v>0</v>
      </c>
      <c r="AU488">
        <v>2</v>
      </c>
      <c r="AV488" t="s">
        <v>273</v>
      </c>
      <c r="AY488" t="s">
        <v>273</v>
      </c>
      <c r="BB488">
        <v>0</v>
      </c>
      <c r="BC488">
        <v>0</v>
      </c>
      <c r="BD488">
        <v>0</v>
      </c>
      <c r="BE488">
        <v>0</v>
      </c>
      <c r="BF488" t="s">
        <v>1063</v>
      </c>
      <c r="BG488" t="s">
        <v>6614</v>
      </c>
      <c r="BH488">
        <v>54</v>
      </c>
      <c r="BI488" t="s">
        <v>1272</v>
      </c>
      <c r="BK488">
        <v>1839441</v>
      </c>
    </row>
    <row r="489" spans="1:63">
      <c r="A489" s="1">
        <f>HYPERLINK("https://lsnyc.legalserver.org/matter/dynamic-profile/view/1869044","18-1869044")</f>
        <v>0</v>
      </c>
      <c r="B489" t="s">
        <v>5470</v>
      </c>
      <c r="C489" t="s">
        <v>5625</v>
      </c>
      <c r="D489" t="s">
        <v>257</v>
      </c>
      <c r="E489" t="s">
        <v>3694</v>
      </c>
      <c r="F489" t="s">
        <v>274</v>
      </c>
      <c r="G489" t="s">
        <v>274</v>
      </c>
      <c r="H489">
        <v>17.79</v>
      </c>
      <c r="I489" t="s">
        <v>274</v>
      </c>
      <c r="K489" t="s">
        <v>2398</v>
      </c>
      <c r="P489" t="s">
        <v>497</v>
      </c>
      <c r="Q489" t="s">
        <v>501</v>
      </c>
      <c r="S489" t="s">
        <v>503</v>
      </c>
      <c r="T489" t="s">
        <v>507</v>
      </c>
      <c r="U489" t="s">
        <v>511</v>
      </c>
      <c r="V489">
        <v>10452</v>
      </c>
      <c r="W489" t="s">
        <v>517</v>
      </c>
      <c r="X489" t="s">
        <v>548</v>
      </c>
      <c r="Y489" t="s">
        <v>275</v>
      </c>
      <c r="Z489" t="s">
        <v>613</v>
      </c>
      <c r="AA489" t="s">
        <v>6345</v>
      </c>
      <c r="AB489" t="s">
        <v>902</v>
      </c>
      <c r="AC489" t="s">
        <v>904</v>
      </c>
      <c r="AF489" t="s">
        <v>923</v>
      </c>
      <c r="AI489">
        <v>0.5</v>
      </c>
      <c r="AJ489" t="s">
        <v>558</v>
      </c>
      <c r="AK489" t="s">
        <v>949</v>
      </c>
      <c r="AT489">
        <v>0</v>
      </c>
      <c r="AU489">
        <v>1</v>
      </c>
      <c r="AV489" t="s">
        <v>273</v>
      </c>
      <c r="AY489" t="s">
        <v>273</v>
      </c>
      <c r="BB489">
        <v>0</v>
      </c>
      <c r="BC489">
        <v>0</v>
      </c>
      <c r="BD489">
        <v>0</v>
      </c>
      <c r="BE489">
        <v>0</v>
      </c>
      <c r="BF489" t="s">
        <v>1063</v>
      </c>
      <c r="BG489" t="s">
        <v>6823</v>
      </c>
      <c r="BH489">
        <v>87</v>
      </c>
      <c r="BI489" t="s">
        <v>4274</v>
      </c>
      <c r="BK489">
        <v>826183</v>
      </c>
    </row>
    <row r="490" spans="1:63">
      <c r="A490" s="1">
        <f>HYPERLINK("https://lsnyc.legalserver.org/matter/dynamic-profile/view/1869048","18-1869048")</f>
        <v>0</v>
      </c>
      <c r="B490" t="s">
        <v>5471</v>
      </c>
      <c r="C490" t="s">
        <v>5625</v>
      </c>
      <c r="D490" t="s">
        <v>255</v>
      </c>
      <c r="E490" t="s">
        <v>3694</v>
      </c>
      <c r="F490" t="s">
        <v>274</v>
      </c>
      <c r="G490" t="s">
        <v>274</v>
      </c>
      <c r="H490">
        <v>151.88</v>
      </c>
      <c r="I490" t="s">
        <v>274</v>
      </c>
      <c r="K490" t="s">
        <v>2398</v>
      </c>
      <c r="P490" t="s">
        <v>497</v>
      </c>
      <c r="Q490" t="s">
        <v>501</v>
      </c>
      <c r="S490" t="s">
        <v>503</v>
      </c>
      <c r="T490" t="s">
        <v>507</v>
      </c>
      <c r="U490" t="s">
        <v>511</v>
      </c>
      <c r="V490">
        <v>10027</v>
      </c>
      <c r="W490" t="s">
        <v>544</v>
      </c>
      <c r="X490" t="s">
        <v>548</v>
      </c>
      <c r="Y490" t="s">
        <v>275</v>
      </c>
      <c r="Z490" t="s">
        <v>5947</v>
      </c>
      <c r="AA490" t="s">
        <v>6346</v>
      </c>
      <c r="AB490" t="s">
        <v>902</v>
      </c>
      <c r="AC490" t="s">
        <v>904</v>
      </c>
      <c r="AF490" t="s">
        <v>923</v>
      </c>
      <c r="AI490">
        <v>0.9</v>
      </c>
      <c r="AJ490" t="s">
        <v>558</v>
      </c>
      <c r="AK490" t="s">
        <v>933</v>
      </c>
      <c r="AT490">
        <v>0</v>
      </c>
      <c r="AU490">
        <v>2</v>
      </c>
      <c r="AV490" t="s">
        <v>273</v>
      </c>
      <c r="AY490" t="s">
        <v>273</v>
      </c>
      <c r="BB490">
        <v>0</v>
      </c>
      <c r="BC490">
        <v>0</v>
      </c>
      <c r="BD490">
        <v>0</v>
      </c>
      <c r="BE490">
        <v>0</v>
      </c>
      <c r="BF490" t="s">
        <v>1063</v>
      </c>
      <c r="BG490" t="s">
        <v>6824</v>
      </c>
      <c r="BH490">
        <v>59</v>
      </c>
      <c r="BI490" t="s">
        <v>1274</v>
      </c>
      <c r="BK490">
        <v>1848667</v>
      </c>
    </row>
    <row r="491" spans="1:63">
      <c r="A491" s="1">
        <f>HYPERLINK("https://lsnyc.legalserver.org/matter/dynamic-profile/view/1869050","18-1869050")</f>
        <v>0</v>
      </c>
      <c r="B491" t="s">
        <v>5472</v>
      </c>
      <c r="C491" t="s">
        <v>5625</v>
      </c>
      <c r="D491" t="s">
        <v>257</v>
      </c>
      <c r="E491" t="s">
        <v>3694</v>
      </c>
      <c r="F491" t="s">
        <v>274</v>
      </c>
      <c r="G491" t="s">
        <v>274</v>
      </c>
      <c r="H491">
        <v>127.49</v>
      </c>
      <c r="I491" t="s">
        <v>274</v>
      </c>
      <c r="K491" t="s">
        <v>2398</v>
      </c>
      <c r="P491" t="s">
        <v>497</v>
      </c>
      <c r="Q491" t="s">
        <v>501</v>
      </c>
      <c r="S491" t="s">
        <v>503</v>
      </c>
      <c r="T491" t="s">
        <v>507</v>
      </c>
      <c r="U491" t="s">
        <v>511</v>
      </c>
      <c r="V491">
        <v>10456</v>
      </c>
      <c r="W491" t="s">
        <v>544</v>
      </c>
      <c r="X491" t="s">
        <v>548</v>
      </c>
      <c r="Y491" t="s">
        <v>274</v>
      </c>
      <c r="Z491" t="s">
        <v>5947</v>
      </c>
      <c r="AA491" t="s">
        <v>4047</v>
      </c>
      <c r="AB491" t="s">
        <v>902</v>
      </c>
      <c r="AC491" t="s">
        <v>904</v>
      </c>
      <c r="AF491" t="s">
        <v>923</v>
      </c>
      <c r="AI491">
        <v>0</v>
      </c>
      <c r="AJ491" t="s">
        <v>558</v>
      </c>
      <c r="AK491" t="s">
        <v>933</v>
      </c>
      <c r="AM491" t="s">
        <v>973</v>
      </c>
      <c r="AN491" t="s">
        <v>1010</v>
      </c>
      <c r="AT491">
        <v>0</v>
      </c>
      <c r="AU491">
        <v>4</v>
      </c>
      <c r="AV491" t="s">
        <v>273</v>
      </c>
      <c r="AY491" t="s">
        <v>273</v>
      </c>
      <c r="BB491">
        <v>0</v>
      </c>
      <c r="BC491">
        <v>0</v>
      </c>
      <c r="BD491">
        <v>0</v>
      </c>
      <c r="BE491">
        <v>0</v>
      </c>
      <c r="BF491" t="s">
        <v>1063</v>
      </c>
      <c r="BG491" t="s">
        <v>6825</v>
      </c>
      <c r="BH491">
        <v>59</v>
      </c>
      <c r="BI491" t="s">
        <v>3465</v>
      </c>
      <c r="BK491">
        <v>1855493</v>
      </c>
    </row>
    <row r="492" spans="1:63">
      <c r="A492" s="1">
        <f>HYPERLINK("https://lsnyc.legalserver.org/matter/dynamic-profile/view/1869058","18-1869058")</f>
        <v>0</v>
      </c>
      <c r="B492" t="s">
        <v>5473</v>
      </c>
      <c r="C492" t="s">
        <v>5625</v>
      </c>
      <c r="D492" t="s">
        <v>255</v>
      </c>
      <c r="E492" t="s">
        <v>3694</v>
      </c>
      <c r="F492" t="s">
        <v>274</v>
      </c>
      <c r="G492" t="s">
        <v>274</v>
      </c>
      <c r="H492">
        <v>80.63</v>
      </c>
      <c r="I492" t="s">
        <v>274</v>
      </c>
      <c r="K492" t="s">
        <v>2398</v>
      </c>
      <c r="P492" t="s">
        <v>497</v>
      </c>
      <c r="Q492" t="s">
        <v>501</v>
      </c>
      <c r="S492" t="s">
        <v>503</v>
      </c>
      <c r="T492" t="s">
        <v>507</v>
      </c>
      <c r="U492" t="s">
        <v>511</v>
      </c>
      <c r="V492">
        <v>10034</v>
      </c>
      <c r="W492" t="s">
        <v>517</v>
      </c>
      <c r="Y492" t="s">
        <v>274</v>
      </c>
      <c r="Z492" t="s">
        <v>5948</v>
      </c>
      <c r="AA492" t="s">
        <v>6347</v>
      </c>
      <c r="AB492" t="s">
        <v>902</v>
      </c>
      <c r="AC492" t="s">
        <v>904</v>
      </c>
      <c r="AF492" t="s">
        <v>923</v>
      </c>
      <c r="AI492">
        <v>1.5</v>
      </c>
      <c r="AJ492" t="s">
        <v>558</v>
      </c>
      <c r="AK492" t="s">
        <v>950</v>
      </c>
      <c r="AT492">
        <v>0</v>
      </c>
      <c r="AU492">
        <v>2</v>
      </c>
      <c r="AV492" t="s">
        <v>273</v>
      </c>
      <c r="AY492" t="s">
        <v>273</v>
      </c>
      <c r="BB492">
        <v>0</v>
      </c>
      <c r="BC492">
        <v>0</v>
      </c>
      <c r="BD492">
        <v>0</v>
      </c>
      <c r="BE492">
        <v>0</v>
      </c>
      <c r="BF492" t="s">
        <v>1063</v>
      </c>
      <c r="BG492" t="s">
        <v>6826</v>
      </c>
      <c r="BH492">
        <v>64</v>
      </c>
      <c r="BI492" t="s">
        <v>7096</v>
      </c>
      <c r="BK492">
        <v>366239</v>
      </c>
    </row>
    <row r="493" spans="1:63">
      <c r="A493" s="1">
        <f>HYPERLINK("https://lsnyc.legalserver.org/matter/dynamic-profile/view/1869061","18-1869061")</f>
        <v>0</v>
      </c>
      <c r="B493" t="s">
        <v>5474</v>
      </c>
      <c r="C493" t="s">
        <v>5625</v>
      </c>
      <c r="D493" t="s">
        <v>257</v>
      </c>
      <c r="E493" t="s">
        <v>3694</v>
      </c>
      <c r="F493" t="s">
        <v>274</v>
      </c>
      <c r="G493" t="s">
        <v>274</v>
      </c>
      <c r="H493">
        <v>41.4</v>
      </c>
      <c r="I493" t="s">
        <v>274</v>
      </c>
      <c r="K493" t="s">
        <v>2398</v>
      </c>
      <c r="P493" t="s">
        <v>499</v>
      </c>
      <c r="Q493" t="s">
        <v>501</v>
      </c>
      <c r="S493" t="s">
        <v>503</v>
      </c>
      <c r="T493" t="s">
        <v>508</v>
      </c>
      <c r="U493" t="s">
        <v>511</v>
      </c>
      <c r="V493">
        <v>10456</v>
      </c>
      <c r="W493" t="s">
        <v>517</v>
      </c>
      <c r="X493" t="s">
        <v>548</v>
      </c>
      <c r="Y493" t="s">
        <v>275</v>
      </c>
      <c r="Z493" t="s">
        <v>5949</v>
      </c>
      <c r="AA493" t="s">
        <v>2111</v>
      </c>
      <c r="AB493" t="s">
        <v>902</v>
      </c>
      <c r="AC493" t="s">
        <v>904</v>
      </c>
      <c r="AF493" t="s">
        <v>923</v>
      </c>
      <c r="AI493">
        <v>1.8</v>
      </c>
      <c r="AJ493" t="s">
        <v>558</v>
      </c>
      <c r="AK493" t="s">
        <v>950</v>
      </c>
      <c r="AT493">
        <v>3</v>
      </c>
      <c r="AU493">
        <v>1</v>
      </c>
      <c r="AV493" t="s">
        <v>273</v>
      </c>
      <c r="AY493" t="s">
        <v>273</v>
      </c>
      <c r="BB493">
        <v>0</v>
      </c>
      <c r="BC493">
        <v>0</v>
      </c>
      <c r="BD493">
        <v>0</v>
      </c>
      <c r="BE493">
        <v>0</v>
      </c>
      <c r="BF493" t="s">
        <v>1063</v>
      </c>
      <c r="BG493" t="s">
        <v>6812</v>
      </c>
      <c r="BH493">
        <v>37</v>
      </c>
      <c r="BI493" t="s">
        <v>7097</v>
      </c>
      <c r="BK493">
        <v>1839354</v>
      </c>
    </row>
    <row r="494" spans="1:63">
      <c r="A494" s="1">
        <f>HYPERLINK("https://lsnyc.legalserver.org/matter/dynamic-profile/view/1869065","18-1869065")</f>
        <v>0</v>
      </c>
      <c r="B494" t="s">
        <v>2910</v>
      </c>
      <c r="C494" t="s">
        <v>5625</v>
      </c>
      <c r="D494" t="s">
        <v>253</v>
      </c>
      <c r="E494" t="s">
        <v>3694</v>
      </c>
      <c r="F494" t="s">
        <v>274</v>
      </c>
      <c r="G494" t="s">
        <v>274</v>
      </c>
      <c r="H494">
        <v>115.5</v>
      </c>
      <c r="I494" t="s">
        <v>274</v>
      </c>
      <c r="K494" t="s">
        <v>2398</v>
      </c>
      <c r="P494" t="s">
        <v>499</v>
      </c>
      <c r="Q494" t="s">
        <v>501</v>
      </c>
      <c r="S494" t="s">
        <v>503</v>
      </c>
      <c r="T494" t="s">
        <v>508</v>
      </c>
      <c r="U494" t="s">
        <v>511</v>
      </c>
      <c r="V494">
        <v>11368</v>
      </c>
      <c r="W494" t="s">
        <v>528</v>
      </c>
      <c r="X494" t="s">
        <v>548</v>
      </c>
      <c r="Z494" t="s">
        <v>2015</v>
      </c>
      <c r="AA494" t="s">
        <v>2111</v>
      </c>
      <c r="AB494" t="s">
        <v>902</v>
      </c>
      <c r="AC494" t="s">
        <v>906</v>
      </c>
      <c r="AF494" t="s">
        <v>923</v>
      </c>
      <c r="AI494">
        <v>0.2</v>
      </c>
      <c r="AJ494" t="s">
        <v>558</v>
      </c>
      <c r="AK494" t="s">
        <v>933</v>
      </c>
      <c r="AT494">
        <v>2</v>
      </c>
      <c r="AU494">
        <v>1</v>
      </c>
      <c r="AV494" t="s">
        <v>273</v>
      </c>
      <c r="AY494" t="s">
        <v>273</v>
      </c>
      <c r="BB494">
        <v>0</v>
      </c>
      <c r="BC494">
        <v>0</v>
      </c>
      <c r="BD494">
        <v>0</v>
      </c>
      <c r="BE494">
        <v>0</v>
      </c>
      <c r="BF494" t="s">
        <v>1063</v>
      </c>
      <c r="BG494" t="s">
        <v>6750</v>
      </c>
      <c r="BH494">
        <v>39</v>
      </c>
      <c r="BI494" t="s">
        <v>1259</v>
      </c>
      <c r="BK494">
        <v>805722</v>
      </c>
    </row>
    <row r="495" spans="1:63">
      <c r="A495" s="1">
        <f>HYPERLINK("https://lsnyc.legalserver.org/matter/dynamic-profile/view/1868930","18-1868930")</f>
        <v>0</v>
      </c>
      <c r="B495" t="s">
        <v>4492</v>
      </c>
      <c r="C495" t="s">
        <v>5625</v>
      </c>
      <c r="D495" t="s">
        <v>253</v>
      </c>
      <c r="E495" t="s">
        <v>3694</v>
      </c>
      <c r="F495" t="s">
        <v>274</v>
      </c>
      <c r="G495" t="s">
        <v>274</v>
      </c>
      <c r="H495">
        <v>87.48</v>
      </c>
      <c r="I495" t="s">
        <v>274</v>
      </c>
      <c r="K495" t="s">
        <v>5646</v>
      </c>
      <c r="O495" t="s">
        <v>274</v>
      </c>
      <c r="P495" t="s">
        <v>497</v>
      </c>
      <c r="Q495" t="s">
        <v>501</v>
      </c>
      <c r="S495" t="s">
        <v>503</v>
      </c>
      <c r="T495" t="s">
        <v>508</v>
      </c>
      <c r="U495" t="s">
        <v>511</v>
      </c>
      <c r="V495">
        <v>11372</v>
      </c>
      <c r="W495" t="s">
        <v>532</v>
      </c>
      <c r="X495" t="s">
        <v>548</v>
      </c>
      <c r="Z495" t="s">
        <v>584</v>
      </c>
      <c r="AA495" t="s">
        <v>824</v>
      </c>
      <c r="AB495" t="s">
        <v>902</v>
      </c>
      <c r="AC495" t="s">
        <v>905</v>
      </c>
      <c r="AF495" t="s">
        <v>923</v>
      </c>
      <c r="AI495">
        <v>0.2</v>
      </c>
      <c r="AJ495" t="s">
        <v>558</v>
      </c>
      <c r="AK495" t="s">
        <v>933</v>
      </c>
      <c r="AM495" t="s">
        <v>973</v>
      </c>
      <c r="AN495" t="s">
        <v>1743</v>
      </c>
      <c r="AT495">
        <v>1</v>
      </c>
      <c r="AU495">
        <v>1</v>
      </c>
      <c r="AV495" t="s">
        <v>273</v>
      </c>
      <c r="AY495" t="s">
        <v>273</v>
      </c>
      <c r="BB495">
        <v>0</v>
      </c>
      <c r="BC495">
        <v>0</v>
      </c>
      <c r="BD495">
        <v>0</v>
      </c>
      <c r="BE495">
        <v>0</v>
      </c>
      <c r="BF495" t="s">
        <v>1063</v>
      </c>
      <c r="BG495" t="s">
        <v>6827</v>
      </c>
      <c r="BH495">
        <v>49</v>
      </c>
      <c r="BI495" t="s">
        <v>1253</v>
      </c>
      <c r="BK495">
        <v>1834198</v>
      </c>
    </row>
    <row r="496" spans="1:63">
      <c r="A496" s="1">
        <f>HYPERLINK("https://lsnyc.legalserver.org/matter/dynamic-profile/view/1868782","18-1868782")</f>
        <v>0</v>
      </c>
      <c r="B496" t="s">
        <v>5238</v>
      </c>
      <c r="C496" t="s">
        <v>5625</v>
      </c>
      <c r="D496" t="s">
        <v>257</v>
      </c>
      <c r="E496" t="s">
        <v>3694</v>
      </c>
      <c r="F496" t="s">
        <v>274</v>
      </c>
      <c r="G496" t="s">
        <v>274</v>
      </c>
      <c r="H496">
        <v>118.19</v>
      </c>
      <c r="I496" t="s">
        <v>274</v>
      </c>
      <c r="K496" t="s">
        <v>1741</v>
      </c>
      <c r="O496" t="s">
        <v>274</v>
      </c>
      <c r="P496" t="s">
        <v>498</v>
      </c>
      <c r="Q496" t="s">
        <v>501</v>
      </c>
      <c r="S496" t="s">
        <v>503</v>
      </c>
      <c r="T496" t="s">
        <v>508</v>
      </c>
      <c r="U496" t="s">
        <v>511</v>
      </c>
      <c r="V496">
        <v>10453</v>
      </c>
      <c r="W496" t="s">
        <v>517</v>
      </c>
      <c r="X496" t="s">
        <v>548</v>
      </c>
      <c r="Y496" t="s">
        <v>275</v>
      </c>
      <c r="Z496" t="s">
        <v>5795</v>
      </c>
      <c r="AA496" t="s">
        <v>6173</v>
      </c>
      <c r="AB496" t="s">
        <v>902</v>
      </c>
      <c r="AC496" t="s">
        <v>904</v>
      </c>
      <c r="AF496" t="s">
        <v>923</v>
      </c>
      <c r="AI496">
        <v>3.9</v>
      </c>
      <c r="AJ496" t="s">
        <v>558</v>
      </c>
      <c r="AK496" t="s">
        <v>950</v>
      </c>
      <c r="AL496" t="s">
        <v>274</v>
      </c>
      <c r="AT496">
        <v>2</v>
      </c>
      <c r="AU496">
        <v>2</v>
      </c>
      <c r="AV496" t="s">
        <v>273</v>
      </c>
      <c r="AY496" t="s">
        <v>273</v>
      </c>
      <c r="BB496">
        <v>0</v>
      </c>
      <c r="BC496">
        <v>0</v>
      </c>
      <c r="BD496">
        <v>0</v>
      </c>
      <c r="BE496">
        <v>0</v>
      </c>
      <c r="BF496" t="s">
        <v>1063</v>
      </c>
      <c r="BG496" t="s">
        <v>6612</v>
      </c>
      <c r="BH496">
        <v>37</v>
      </c>
      <c r="BI496" t="s">
        <v>7031</v>
      </c>
      <c r="BJ496" t="s">
        <v>393</v>
      </c>
      <c r="BK496">
        <v>1869380</v>
      </c>
    </row>
    <row r="497" spans="1:63">
      <c r="A497" s="1">
        <f>HYPERLINK("https://lsnyc.legalserver.org/matter/dynamic-profile/view/1868810","18-1868810")</f>
        <v>0</v>
      </c>
      <c r="B497" t="s">
        <v>5475</v>
      </c>
      <c r="C497" t="s">
        <v>5625</v>
      </c>
      <c r="D497" t="s">
        <v>257</v>
      </c>
      <c r="E497" t="s">
        <v>3694</v>
      </c>
      <c r="F497" t="s">
        <v>274</v>
      </c>
      <c r="G497" t="s">
        <v>274</v>
      </c>
      <c r="H497">
        <v>129.53</v>
      </c>
      <c r="I497" t="s">
        <v>274</v>
      </c>
      <c r="K497" t="s">
        <v>1741</v>
      </c>
      <c r="O497" t="s">
        <v>274</v>
      </c>
      <c r="P497" t="s">
        <v>498</v>
      </c>
      <c r="Q497" t="s">
        <v>501</v>
      </c>
      <c r="S497" t="s">
        <v>503</v>
      </c>
      <c r="T497" t="s">
        <v>507</v>
      </c>
      <c r="U497" t="s">
        <v>511</v>
      </c>
      <c r="V497">
        <v>10457</v>
      </c>
      <c r="W497" t="s">
        <v>517</v>
      </c>
      <c r="X497" t="s">
        <v>548</v>
      </c>
      <c r="Y497" t="s">
        <v>275</v>
      </c>
      <c r="Z497" t="s">
        <v>5950</v>
      </c>
      <c r="AA497" t="s">
        <v>6348</v>
      </c>
      <c r="AB497" t="s">
        <v>902</v>
      </c>
      <c r="AC497" t="s">
        <v>904</v>
      </c>
      <c r="AF497" t="s">
        <v>923</v>
      </c>
      <c r="AI497">
        <v>2.7</v>
      </c>
      <c r="AJ497" t="s">
        <v>558</v>
      </c>
      <c r="AK497" t="s">
        <v>950</v>
      </c>
      <c r="AL497" t="s">
        <v>274</v>
      </c>
      <c r="AT497">
        <v>0</v>
      </c>
      <c r="AU497">
        <v>2</v>
      </c>
      <c r="AV497" t="s">
        <v>273</v>
      </c>
      <c r="AY497" t="s">
        <v>273</v>
      </c>
      <c r="BB497">
        <v>0</v>
      </c>
      <c r="BC497">
        <v>0</v>
      </c>
      <c r="BD497">
        <v>0</v>
      </c>
      <c r="BE497">
        <v>0</v>
      </c>
      <c r="BF497" t="s">
        <v>1063</v>
      </c>
      <c r="BG497" t="s">
        <v>6828</v>
      </c>
      <c r="BH497">
        <v>66</v>
      </c>
      <c r="BI497" t="s">
        <v>5075</v>
      </c>
      <c r="BJ497" t="s">
        <v>393</v>
      </c>
      <c r="BK497">
        <v>1869408</v>
      </c>
    </row>
    <row r="498" spans="1:63">
      <c r="A498" s="1">
        <f>HYPERLINK("https://lsnyc.legalserver.org/matter/dynamic-profile/view/1868814","18-1868814")</f>
        <v>0</v>
      </c>
      <c r="B498" t="s">
        <v>5476</v>
      </c>
      <c r="C498" t="s">
        <v>5625</v>
      </c>
      <c r="D498" t="s">
        <v>257</v>
      </c>
      <c r="E498" t="s">
        <v>3694</v>
      </c>
      <c r="F498" t="s">
        <v>274</v>
      </c>
      <c r="G498" t="s">
        <v>274</v>
      </c>
      <c r="H498">
        <v>107.08</v>
      </c>
      <c r="I498" t="s">
        <v>274</v>
      </c>
      <c r="K498" t="s">
        <v>1741</v>
      </c>
      <c r="O498" t="s">
        <v>274</v>
      </c>
      <c r="Q498" t="s">
        <v>501</v>
      </c>
      <c r="R498" t="s">
        <v>501</v>
      </c>
      <c r="S498" t="s">
        <v>503</v>
      </c>
      <c r="T498" t="s">
        <v>508</v>
      </c>
      <c r="U498" t="s">
        <v>511</v>
      </c>
      <c r="V498">
        <v>10456</v>
      </c>
      <c r="W498" t="s">
        <v>517</v>
      </c>
      <c r="X498" t="s">
        <v>548</v>
      </c>
      <c r="Y498" t="s">
        <v>275</v>
      </c>
      <c r="Z498" t="s">
        <v>1941</v>
      </c>
      <c r="AA498" t="s">
        <v>3122</v>
      </c>
      <c r="AB498" t="s">
        <v>902</v>
      </c>
      <c r="AC498" t="s">
        <v>904</v>
      </c>
      <c r="AF498" t="s">
        <v>923</v>
      </c>
      <c r="AI498">
        <v>3.2</v>
      </c>
      <c r="AJ498" t="s">
        <v>558</v>
      </c>
      <c r="AK498" t="s">
        <v>950</v>
      </c>
      <c r="AL498" t="s">
        <v>274</v>
      </c>
      <c r="AT498">
        <v>0</v>
      </c>
      <c r="AU498">
        <v>1</v>
      </c>
      <c r="AV498" t="s">
        <v>273</v>
      </c>
      <c r="AY498" t="s">
        <v>273</v>
      </c>
      <c r="BB498">
        <v>0</v>
      </c>
      <c r="BC498">
        <v>0</v>
      </c>
      <c r="BD498">
        <v>0</v>
      </c>
      <c r="BE498">
        <v>0</v>
      </c>
      <c r="BF498" t="s">
        <v>1063</v>
      </c>
      <c r="BG498" t="s">
        <v>6574</v>
      </c>
      <c r="BH498">
        <v>55</v>
      </c>
      <c r="BI498" t="s">
        <v>1264</v>
      </c>
      <c r="BJ498" t="s">
        <v>393</v>
      </c>
      <c r="BK498">
        <v>1869412</v>
      </c>
    </row>
    <row r="499" spans="1:63">
      <c r="A499" s="1">
        <f>HYPERLINK("https://lsnyc.legalserver.org/matter/dynamic-profile/view/1868859","18-1868859")</f>
        <v>0</v>
      </c>
      <c r="B499" t="s">
        <v>5477</v>
      </c>
      <c r="C499" t="s">
        <v>5625</v>
      </c>
      <c r="D499" t="s">
        <v>257</v>
      </c>
      <c r="E499" t="s">
        <v>3694</v>
      </c>
      <c r="F499" t="s">
        <v>274</v>
      </c>
      <c r="G499" t="s">
        <v>274</v>
      </c>
      <c r="H499">
        <v>92.91</v>
      </c>
      <c r="I499" t="s">
        <v>274</v>
      </c>
      <c r="K499" t="s">
        <v>1741</v>
      </c>
      <c r="O499" t="s">
        <v>274</v>
      </c>
      <c r="Q499" t="s">
        <v>501</v>
      </c>
      <c r="S499" t="s">
        <v>503</v>
      </c>
      <c r="T499" t="s">
        <v>508</v>
      </c>
      <c r="U499" t="s">
        <v>511</v>
      </c>
      <c r="V499">
        <v>10455</v>
      </c>
      <c r="W499" t="s">
        <v>517</v>
      </c>
      <c r="X499" t="s">
        <v>548</v>
      </c>
      <c r="Y499" t="s">
        <v>275</v>
      </c>
      <c r="Z499" t="s">
        <v>2068</v>
      </c>
      <c r="AA499" t="s">
        <v>3149</v>
      </c>
      <c r="AB499" t="s">
        <v>902</v>
      </c>
      <c r="AC499" t="s">
        <v>904</v>
      </c>
      <c r="AF499" t="s">
        <v>923</v>
      </c>
      <c r="AI499">
        <v>3.4</v>
      </c>
      <c r="AJ499" t="s">
        <v>558</v>
      </c>
      <c r="AK499" t="s">
        <v>950</v>
      </c>
      <c r="AL499" t="s">
        <v>274</v>
      </c>
      <c r="AT499">
        <v>2</v>
      </c>
      <c r="AU499">
        <v>1</v>
      </c>
      <c r="AV499" t="s">
        <v>273</v>
      </c>
      <c r="AY499" t="s">
        <v>273</v>
      </c>
      <c r="BB499">
        <v>0</v>
      </c>
      <c r="BC499">
        <v>0</v>
      </c>
      <c r="BD499">
        <v>0</v>
      </c>
      <c r="BE499">
        <v>0</v>
      </c>
      <c r="BF499" t="s">
        <v>1063</v>
      </c>
      <c r="BG499" t="s">
        <v>6829</v>
      </c>
      <c r="BH499">
        <v>44</v>
      </c>
      <c r="BI499" t="s">
        <v>7098</v>
      </c>
      <c r="BJ499" t="s">
        <v>393</v>
      </c>
      <c r="BK499">
        <v>1869457</v>
      </c>
    </row>
    <row r="500" spans="1:63">
      <c r="A500" s="1">
        <f>HYPERLINK("https://lsnyc.legalserver.org/matter/dynamic-profile/view/1868862","18-1868862")</f>
        <v>0</v>
      </c>
      <c r="B500" t="s">
        <v>5478</v>
      </c>
      <c r="C500" t="s">
        <v>5625</v>
      </c>
      <c r="D500" t="s">
        <v>257</v>
      </c>
      <c r="E500" t="s">
        <v>5630</v>
      </c>
      <c r="F500" t="s">
        <v>274</v>
      </c>
      <c r="G500" t="s">
        <v>274</v>
      </c>
      <c r="H500">
        <v>55.94</v>
      </c>
      <c r="I500" t="s">
        <v>274</v>
      </c>
      <c r="K500" t="s">
        <v>1741</v>
      </c>
      <c r="O500" t="s">
        <v>274</v>
      </c>
      <c r="Q500" t="s">
        <v>501</v>
      </c>
      <c r="S500" t="s">
        <v>503</v>
      </c>
      <c r="T500" t="s">
        <v>508</v>
      </c>
      <c r="U500" t="s">
        <v>511</v>
      </c>
      <c r="V500">
        <v>10462</v>
      </c>
      <c r="W500" t="s">
        <v>517</v>
      </c>
      <c r="X500" t="s">
        <v>548</v>
      </c>
      <c r="Y500" t="s">
        <v>275</v>
      </c>
      <c r="Z500" t="s">
        <v>562</v>
      </c>
      <c r="AA500" t="s">
        <v>6349</v>
      </c>
      <c r="AB500" t="s">
        <v>902</v>
      </c>
      <c r="AC500" t="s">
        <v>904</v>
      </c>
      <c r="AF500" t="s">
        <v>923</v>
      </c>
      <c r="AI500">
        <v>8.550000000000001</v>
      </c>
      <c r="AJ500" t="s">
        <v>558</v>
      </c>
      <c r="AK500" t="s">
        <v>933</v>
      </c>
      <c r="AL500" t="s">
        <v>274</v>
      </c>
      <c r="AT500">
        <v>0</v>
      </c>
      <c r="AU500">
        <v>4</v>
      </c>
      <c r="AV500" t="s">
        <v>273</v>
      </c>
      <c r="AY500" t="s">
        <v>273</v>
      </c>
      <c r="BB500">
        <v>0</v>
      </c>
      <c r="BC500">
        <v>0</v>
      </c>
      <c r="BD500">
        <v>0</v>
      </c>
      <c r="BE500">
        <v>0</v>
      </c>
      <c r="BF500" t="s">
        <v>1063</v>
      </c>
      <c r="BG500" t="s">
        <v>6830</v>
      </c>
      <c r="BH500">
        <v>58</v>
      </c>
      <c r="BI500" t="s">
        <v>6972</v>
      </c>
      <c r="BK500">
        <v>1869460</v>
      </c>
    </row>
    <row r="501" spans="1:63">
      <c r="A501" s="1">
        <f>HYPERLINK("https://lsnyc.legalserver.org/matter/dynamic-profile/view/1868907","18-1868907")</f>
        <v>0</v>
      </c>
      <c r="B501" t="s">
        <v>5479</v>
      </c>
      <c r="C501" t="s">
        <v>5625</v>
      </c>
      <c r="D501" t="s">
        <v>252</v>
      </c>
      <c r="E501" t="s">
        <v>3694</v>
      </c>
      <c r="F501" t="s">
        <v>274</v>
      </c>
      <c r="G501" t="s">
        <v>274</v>
      </c>
      <c r="H501">
        <v>291.62</v>
      </c>
      <c r="I501" t="s">
        <v>274</v>
      </c>
      <c r="K501" t="s">
        <v>1741</v>
      </c>
      <c r="O501" t="s">
        <v>275</v>
      </c>
      <c r="Q501" t="s">
        <v>501</v>
      </c>
      <c r="S501" t="s">
        <v>503</v>
      </c>
      <c r="T501" t="s">
        <v>508</v>
      </c>
      <c r="U501" t="s">
        <v>511</v>
      </c>
      <c r="V501">
        <v>11204</v>
      </c>
      <c r="W501" t="s">
        <v>521</v>
      </c>
      <c r="X501" t="s">
        <v>553</v>
      </c>
      <c r="Z501" t="s">
        <v>5951</v>
      </c>
      <c r="AA501" t="s">
        <v>6350</v>
      </c>
      <c r="AB501" t="s">
        <v>902</v>
      </c>
      <c r="AC501" t="s">
        <v>905</v>
      </c>
      <c r="AF501" t="s">
        <v>923</v>
      </c>
      <c r="AI501">
        <v>7.8</v>
      </c>
      <c r="AJ501" t="s">
        <v>558</v>
      </c>
      <c r="AK501" t="s">
        <v>968</v>
      </c>
      <c r="AT501">
        <v>0</v>
      </c>
      <c r="AU501">
        <v>2</v>
      </c>
      <c r="AV501" t="s">
        <v>273</v>
      </c>
      <c r="AY501" t="s">
        <v>273</v>
      </c>
      <c r="BB501">
        <v>0</v>
      </c>
      <c r="BC501">
        <v>0</v>
      </c>
      <c r="BD501">
        <v>0</v>
      </c>
      <c r="BE501">
        <v>0</v>
      </c>
      <c r="BF501" t="s">
        <v>1063</v>
      </c>
      <c r="BG501" t="s">
        <v>6831</v>
      </c>
      <c r="BH501">
        <v>30</v>
      </c>
      <c r="BI501" t="s">
        <v>7008</v>
      </c>
      <c r="BK501">
        <v>1867919</v>
      </c>
    </row>
    <row r="502" spans="1:63">
      <c r="A502" s="1">
        <f>HYPERLINK("https://lsnyc.legalserver.org/matter/dynamic-profile/view/1868665","18-1868665")</f>
        <v>0</v>
      </c>
      <c r="B502" t="s">
        <v>5480</v>
      </c>
      <c r="C502" t="s">
        <v>5625</v>
      </c>
      <c r="D502" t="s">
        <v>253</v>
      </c>
      <c r="E502" t="s">
        <v>3694</v>
      </c>
      <c r="F502" t="s">
        <v>274</v>
      </c>
      <c r="G502" t="s">
        <v>274</v>
      </c>
      <c r="H502">
        <v>0</v>
      </c>
      <c r="I502" t="s">
        <v>274</v>
      </c>
      <c r="K502" t="s">
        <v>1742</v>
      </c>
      <c r="O502" t="s">
        <v>275</v>
      </c>
      <c r="P502" t="s">
        <v>494</v>
      </c>
      <c r="Q502" t="s">
        <v>501</v>
      </c>
      <c r="S502" t="s">
        <v>503</v>
      </c>
      <c r="T502" t="s">
        <v>507</v>
      </c>
      <c r="U502" t="s">
        <v>511</v>
      </c>
      <c r="V502">
        <v>11412</v>
      </c>
      <c r="W502" t="s">
        <v>536</v>
      </c>
      <c r="X502" t="s">
        <v>549</v>
      </c>
      <c r="Z502" t="s">
        <v>5952</v>
      </c>
      <c r="AA502" t="s">
        <v>6351</v>
      </c>
      <c r="AB502" t="s">
        <v>902</v>
      </c>
      <c r="AC502" t="s">
        <v>905</v>
      </c>
      <c r="AF502" t="s">
        <v>923</v>
      </c>
      <c r="AI502">
        <v>2.61</v>
      </c>
      <c r="AJ502" t="s">
        <v>558</v>
      </c>
      <c r="AK502" t="s">
        <v>939</v>
      </c>
      <c r="AL502" t="s">
        <v>274</v>
      </c>
      <c r="AT502">
        <v>0</v>
      </c>
      <c r="AU502">
        <v>4</v>
      </c>
      <c r="AV502" t="s">
        <v>273</v>
      </c>
      <c r="AY502" t="s">
        <v>273</v>
      </c>
      <c r="BB502">
        <v>0</v>
      </c>
      <c r="BC502">
        <v>0</v>
      </c>
      <c r="BD502">
        <v>0</v>
      </c>
      <c r="BE502">
        <v>0</v>
      </c>
      <c r="BF502" t="s">
        <v>1063</v>
      </c>
      <c r="BG502" t="s">
        <v>6832</v>
      </c>
      <c r="BH502">
        <v>86</v>
      </c>
      <c r="BI502" t="s">
        <v>1247</v>
      </c>
      <c r="BJ502" t="s">
        <v>392</v>
      </c>
      <c r="BK502">
        <v>1869263</v>
      </c>
    </row>
    <row r="503" spans="1:63">
      <c r="A503" s="1">
        <f>HYPERLINK("https://lsnyc.legalserver.org/matter/dynamic-profile/view/1868678","18-1868678")</f>
        <v>0</v>
      </c>
      <c r="B503" t="s">
        <v>5481</v>
      </c>
      <c r="C503" t="s">
        <v>5625</v>
      </c>
      <c r="D503" t="s">
        <v>253</v>
      </c>
      <c r="E503" t="s">
        <v>3694</v>
      </c>
      <c r="F503" t="s">
        <v>274</v>
      </c>
      <c r="G503" t="s">
        <v>274</v>
      </c>
      <c r="H503">
        <v>0</v>
      </c>
      <c r="I503" t="s">
        <v>274</v>
      </c>
      <c r="K503" t="s">
        <v>1742</v>
      </c>
      <c r="O503" t="s">
        <v>275</v>
      </c>
      <c r="Q503" t="s">
        <v>501</v>
      </c>
      <c r="S503" t="s">
        <v>503</v>
      </c>
      <c r="T503" t="s">
        <v>507</v>
      </c>
      <c r="U503" t="s">
        <v>511</v>
      </c>
      <c r="V503">
        <v>11434</v>
      </c>
      <c r="W503" t="s">
        <v>521</v>
      </c>
      <c r="X503" t="s">
        <v>549</v>
      </c>
      <c r="Z503" t="s">
        <v>3041</v>
      </c>
      <c r="AA503" t="s">
        <v>6352</v>
      </c>
      <c r="AB503" t="s">
        <v>902</v>
      </c>
      <c r="AC503" t="s">
        <v>905</v>
      </c>
      <c r="AF503" t="s">
        <v>923</v>
      </c>
      <c r="AI503">
        <v>2.7</v>
      </c>
      <c r="AJ503" t="s">
        <v>558</v>
      </c>
      <c r="AK503" t="s">
        <v>939</v>
      </c>
      <c r="AT503">
        <v>0</v>
      </c>
      <c r="AU503">
        <v>1</v>
      </c>
      <c r="AV503" t="s">
        <v>273</v>
      </c>
      <c r="AY503" t="s">
        <v>273</v>
      </c>
      <c r="BB503">
        <v>0</v>
      </c>
      <c r="BC503">
        <v>0</v>
      </c>
      <c r="BD503">
        <v>0</v>
      </c>
      <c r="BE503">
        <v>0</v>
      </c>
      <c r="BF503" t="s">
        <v>1063</v>
      </c>
      <c r="BG503" t="s">
        <v>6833</v>
      </c>
      <c r="BH503">
        <v>36</v>
      </c>
      <c r="BI503" t="s">
        <v>1247</v>
      </c>
      <c r="BK503">
        <v>1869276</v>
      </c>
    </row>
    <row r="504" spans="1:63">
      <c r="A504" s="1">
        <f>HYPERLINK("https://lsnyc.legalserver.org/matter/dynamic-profile/view/1868697","18-1868697")</f>
        <v>0</v>
      </c>
      <c r="B504" t="s">
        <v>5482</v>
      </c>
      <c r="C504" t="s">
        <v>5625</v>
      </c>
      <c r="D504" t="s">
        <v>253</v>
      </c>
      <c r="E504" t="s">
        <v>3694</v>
      </c>
      <c r="F504" t="s">
        <v>274</v>
      </c>
      <c r="G504" t="s">
        <v>274</v>
      </c>
      <c r="H504">
        <v>72.90000000000001</v>
      </c>
      <c r="I504" t="s">
        <v>274</v>
      </c>
      <c r="K504" t="s">
        <v>1742</v>
      </c>
      <c r="Q504" t="s">
        <v>501</v>
      </c>
      <c r="S504" t="s">
        <v>503</v>
      </c>
      <c r="T504" t="s">
        <v>508</v>
      </c>
      <c r="U504" t="s">
        <v>511</v>
      </c>
      <c r="V504">
        <v>11378</v>
      </c>
      <c r="W504" t="s">
        <v>532</v>
      </c>
      <c r="X504" t="s">
        <v>549</v>
      </c>
      <c r="Z504" t="s">
        <v>5953</v>
      </c>
      <c r="AA504" t="s">
        <v>6353</v>
      </c>
      <c r="AB504" t="s">
        <v>902</v>
      </c>
      <c r="AC504" t="s">
        <v>905</v>
      </c>
      <c r="AF504" t="s">
        <v>923</v>
      </c>
      <c r="AI504">
        <v>0.2</v>
      </c>
      <c r="AJ504" t="s">
        <v>558</v>
      </c>
      <c r="AK504" t="s">
        <v>932</v>
      </c>
      <c r="AT504">
        <v>1</v>
      </c>
      <c r="AU504">
        <v>1</v>
      </c>
      <c r="AV504" t="s">
        <v>273</v>
      </c>
      <c r="AY504" t="s">
        <v>273</v>
      </c>
      <c r="BB504">
        <v>0</v>
      </c>
      <c r="BC504">
        <v>0</v>
      </c>
      <c r="BD504">
        <v>0</v>
      </c>
      <c r="BE504">
        <v>0</v>
      </c>
      <c r="BF504" t="s">
        <v>1063</v>
      </c>
      <c r="BG504" t="s">
        <v>6834</v>
      </c>
      <c r="BH504">
        <v>34</v>
      </c>
      <c r="BI504" t="s">
        <v>1267</v>
      </c>
      <c r="BK504">
        <v>814872</v>
      </c>
    </row>
    <row r="505" spans="1:63">
      <c r="A505" s="1">
        <f>HYPERLINK("https://lsnyc.legalserver.org/matter/dynamic-profile/view/1868717","18-1868717")</f>
        <v>0</v>
      </c>
      <c r="B505" t="s">
        <v>5483</v>
      </c>
      <c r="C505" t="s">
        <v>5625</v>
      </c>
      <c r="D505" t="s">
        <v>252</v>
      </c>
      <c r="E505" t="s">
        <v>3694</v>
      </c>
      <c r="F505" t="s">
        <v>274</v>
      </c>
      <c r="G505" t="s">
        <v>274</v>
      </c>
      <c r="H505">
        <v>97.25</v>
      </c>
      <c r="I505" t="s">
        <v>274</v>
      </c>
      <c r="K505" t="s">
        <v>1742</v>
      </c>
      <c r="O505" t="s">
        <v>274</v>
      </c>
      <c r="P505" t="s">
        <v>498</v>
      </c>
      <c r="Q505" t="s">
        <v>501</v>
      </c>
      <c r="S505" t="s">
        <v>503</v>
      </c>
      <c r="T505" t="s">
        <v>508</v>
      </c>
      <c r="U505" t="s">
        <v>511</v>
      </c>
      <c r="V505">
        <v>11212</v>
      </c>
      <c r="W505" t="s">
        <v>517</v>
      </c>
      <c r="X505" t="s">
        <v>548</v>
      </c>
      <c r="Y505" t="s">
        <v>274</v>
      </c>
      <c r="Z505" t="s">
        <v>5954</v>
      </c>
      <c r="AA505" t="s">
        <v>6354</v>
      </c>
      <c r="AB505" t="s">
        <v>902</v>
      </c>
      <c r="AC505" t="s">
        <v>904</v>
      </c>
      <c r="AF505" t="s">
        <v>923</v>
      </c>
      <c r="AI505">
        <v>4.2</v>
      </c>
      <c r="AJ505" t="s">
        <v>558</v>
      </c>
      <c r="AK505" t="s">
        <v>950</v>
      </c>
      <c r="AL505" t="s">
        <v>274</v>
      </c>
      <c r="AT505">
        <v>0</v>
      </c>
      <c r="AU505">
        <v>3</v>
      </c>
      <c r="AV505" t="s">
        <v>273</v>
      </c>
      <c r="AY505" t="s">
        <v>273</v>
      </c>
      <c r="BB505">
        <v>0</v>
      </c>
      <c r="BC505">
        <v>0</v>
      </c>
      <c r="BD505">
        <v>0</v>
      </c>
      <c r="BE505">
        <v>0</v>
      </c>
      <c r="BF505" t="s">
        <v>1063</v>
      </c>
      <c r="BG505" t="s">
        <v>6835</v>
      </c>
      <c r="BH505">
        <v>47</v>
      </c>
      <c r="BI505" t="s">
        <v>7099</v>
      </c>
      <c r="BJ505" t="s">
        <v>393</v>
      </c>
      <c r="BK505">
        <v>1869315</v>
      </c>
    </row>
    <row r="506" spans="1:63">
      <c r="A506" s="1">
        <f>HYPERLINK("https://lsnyc.legalserver.org/matter/dynamic-profile/view/1868720","18-1868720")</f>
        <v>0</v>
      </c>
      <c r="B506" t="s">
        <v>5484</v>
      </c>
      <c r="C506" t="s">
        <v>5625</v>
      </c>
      <c r="D506" t="s">
        <v>257</v>
      </c>
      <c r="E506" t="s">
        <v>3694</v>
      </c>
      <c r="F506" t="s">
        <v>274</v>
      </c>
      <c r="G506" t="s">
        <v>274</v>
      </c>
      <c r="H506">
        <v>141.35</v>
      </c>
      <c r="I506" t="s">
        <v>274</v>
      </c>
      <c r="K506" t="s">
        <v>1742</v>
      </c>
      <c r="Q506" t="s">
        <v>501</v>
      </c>
      <c r="S506" t="s">
        <v>503</v>
      </c>
      <c r="T506" t="s">
        <v>508</v>
      </c>
      <c r="U506" t="s">
        <v>511</v>
      </c>
      <c r="V506">
        <v>10455</v>
      </c>
      <c r="W506" t="s">
        <v>544</v>
      </c>
      <c r="Y506" t="s">
        <v>274</v>
      </c>
      <c r="Z506" t="s">
        <v>3070</v>
      </c>
      <c r="AA506" t="s">
        <v>6355</v>
      </c>
      <c r="AB506" t="s">
        <v>902</v>
      </c>
      <c r="AC506" t="s">
        <v>904</v>
      </c>
      <c r="AF506" t="s">
        <v>923</v>
      </c>
      <c r="AI506">
        <v>0.2</v>
      </c>
      <c r="AJ506" t="s">
        <v>558</v>
      </c>
      <c r="AK506" t="s">
        <v>2368</v>
      </c>
      <c r="AM506" t="s">
        <v>973</v>
      </c>
      <c r="AN506" t="s">
        <v>406</v>
      </c>
      <c r="AT506">
        <v>0</v>
      </c>
      <c r="AU506">
        <v>1</v>
      </c>
      <c r="AV506" t="s">
        <v>273</v>
      </c>
      <c r="AY506" t="s">
        <v>273</v>
      </c>
      <c r="BB506">
        <v>0</v>
      </c>
      <c r="BC506">
        <v>0</v>
      </c>
      <c r="BD506">
        <v>0</v>
      </c>
      <c r="BE506">
        <v>0</v>
      </c>
      <c r="BF506" t="s">
        <v>1063</v>
      </c>
      <c r="BG506" t="s">
        <v>6836</v>
      </c>
      <c r="BH506">
        <v>39</v>
      </c>
      <c r="BI506" t="s">
        <v>7100</v>
      </c>
      <c r="BK506">
        <v>1850168</v>
      </c>
    </row>
    <row r="507" spans="1:63">
      <c r="A507" s="1">
        <f>HYPERLINK("https://lsnyc.legalserver.org/matter/dynamic-profile/view/1868736","18-1868736")</f>
        <v>0</v>
      </c>
      <c r="B507" t="s">
        <v>5485</v>
      </c>
      <c r="C507" t="s">
        <v>5625</v>
      </c>
      <c r="D507" t="s">
        <v>257</v>
      </c>
      <c r="E507" t="s">
        <v>3694</v>
      </c>
      <c r="F507" t="s">
        <v>274</v>
      </c>
      <c r="G507" t="s">
        <v>274</v>
      </c>
      <c r="H507">
        <v>99.51000000000001</v>
      </c>
      <c r="I507" t="s">
        <v>274</v>
      </c>
      <c r="K507" t="s">
        <v>1742</v>
      </c>
      <c r="Q507" t="s">
        <v>501</v>
      </c>
      <c r="S507" t="s">
        <v>503</v>
      </c>
      <c r="T507" t="s">
        <v>508</v>
      </c>
      <c r="U507" t="s">
        <v>511</v>
      </c>
      <c r="V507">
        <v>10451</v>
      </c>
      <c r="W507" t="s">
        <v>532</v>
      </c>
      <c r="Z507" t="s">
        <v>5955</v>
      </c>
      <c r="AA507" t="s">
        <v>1988</v>
      </c>
      <c r="AB507" t="s">
        <v>902</v>
      </c>
      <c r="AC507" t="s">
        <v>905</v>
      </c>
      <c r="AF507" t="s">
        <v>923</v>
      </c>
      <c r="AI507">
        <v>2.15</v>
      </c>
      <c r="AJ507" t="s">
        <v>558</v>
      </c>
      <c r="AK507" t="s">
        <v>939</v>
      </c>
      <c r="AT507">
        <v>1</v>
      </c>
      <c r="AU507">
        <v>1</v>
      </c>
      <c r="AV507" t="s">
        <v>273</v>
      </c>
      <c r="AY507" t="s">
        <v>273</v>
      </c>
      <c r="BB507">
        <v>0</v>
      </c>
      <c r="BC507">
        <v>0</v>
      </c>
      <c r="BD507">
        <v>0</v>
      </c>
      <c r="BE507">
        <v>0</v>
      </c>
      <c r="BF507" t="s">
        <v>1063</v>
      </c>
      <c r="BG507" t="s">
        <v>6837</v>
      </c>
      <c r="BH507">
        <v>37</v>
      </c>
      <c r="BI507" t="s">
        <v>7101</v>
      </c>
      <c r="BK507">
        <v>825409</v>
      </c>
    </row>
    <row r="508" spans="1:63">
      <c r="A508" s="1">
        <f>HYPERLINK("https://lsnyc.legalserver.org/matter/dynamic-profile/view/1868741","18-1868741")</f>
        <v>0</v>
      </c>
      <c r="B508" t="s">
        <v>5485</v>
      </c>
      <c r="C508" t="s">
        <v>5625</v>
      </c>
      <c r="D508" t="s">
        <v>257</v>
      </c>
      <c r="E508" t="s">
        <v>3694</v>
      </c>
      <c r="F508" t="s">
        <v>274</v>
      </c>
      <c r="G508" t="s">
        <v>274</v>
      </c>
      <c r="H508">
        <v>99.51000000000001</v>
      </c>
      <c r="I508" t="s">
        <v>274</v>
      </c>
      <c r="K508" t="s">
        <v>1742</v>
      </c>
      <c r="Q508" t="s">
        <v>501</v>
      </c>
      <c r="S508" t="s">
        <v>503</v>
      </c>
      <c r="T508" t="s">
        <v>508</v>
      </c>
      <c r="U508" t="s">
        <v>511</v>
      </c>
      <c r="V508">
        <v>10451</v>
      </c>
      <c r="W508" t="s">
        <v>544</v>
      </c>
      <c r="Z508" t="s">
        <v>5955</v>
      </c>
      <c r="AA508" t="s">
        <v>1988</v>
      </c>
      <c r="AB508" t="s">
        <v>902</v>
      </c>
      <c r="AC508" t="s">
        <v>905</v>
      </c>
      <c r="AF508" t="s">
        <v>923</v>
      </c>
      <c r="AI508">
        <v>0.2</v>
      </c>
      <c r="AJ508" t="s">
        <v>558</v>
      </c>
      <c r="AK508" t="s">
        <v>939</v>
      </c>
      <c r="AT508">
        <v>1</v>
      </c>
      <c r="AU508">
        <v>1</v>
      </c>
      <c r="AV508" t="s">
        <v>273</v>
      </c>
      <c r="AY508" t="s">
        <v>273</v>
      </c>
      <c r="BB508">
        <v>0</v>
      </c>
      <c r="BC508">
        <v>0</v>
      </c>
      <c r="BD508">
        <v>0</v>
      </c>
      <c r="BE508">
        <v>0</v>
      </c>
      <c r="BF508" t="s">
        <v>1063</v>
      </c>
      <c r="BG508" t="s">
        <v>6837</v>
      </c>
      <c r="BH508">
        <v>37</v>
      </c>
      <c r="BI508" t="s">
        <v>7101</v>
      </c>
      <c r="BK508">
        <v>825409</v>
      </c>
    </row>
    <row r="509" spans="1:63">
      <c r="A509" s="1">
        <f>HYPERLINK("https://lsnyc.legalserver.org/matter/dynamic-profile/view/1868755","18-1868755")</f>
        <v>0</v>
      </c>
      <c r="B509" t="s">
        <v>5242</v>
      </c>
      <c r="C509" t="s">
        <v>5625</v>
      </c>
      <c r="D509" t="s">
        <v>257</v>
      </c>
      <c r="E509" t="s">
        <v>3694</v>
      </c>
      <c r="F509" t="s">
        <v>274</v>
      </c>
      <c r="G509" t="s">
        <v>274</v>
      </c>
      <c r="H509">
        <v>122.48</v>
      </c>
      <c r="I509" t="s">
        <v>274</v>
      </c>
      <c r="K509" t="s">
        <v>1742</v>
      </c>
      <c r="Q509" t="s">
        <v>501</v>
      </c>
      <c r="S509" t="s">
        <v>503</v>
      </c>
      <c r="T509" t="s">
        <v>507</v>
      </c>
      <c r="U509" t="s">
        <v>511</v>
      </c>
      <c r="V509">
        <v>10469</v>
      </c>
      <c r="W509" t="s">
        <v>517</v>
      </c>
      <c r="X509" t="s">
        <v>549</v>
      </c>
      <c r="Z509" t="s">
        <v>5799</v>
      </c>
      <c r="AA509" t="s">
        <v>6177</v>
      </c>
      <c r="AB509" t="s">
        <v>902</v>
      </c>
      <c r="AC509" t="s">
        <v>904</v>
      </c>
      <c r="AF509" t="s">
        <v>923</v>
      </c>
      <c r="AI509">
        <v>1.9</v>
      </c>
      <c r="AJ509" t="s">
        <v>558</v>
      </c>
      <c r="AK509" t="s">
        <v>939</v>
      </c>
      <c r="AT509">
        <v>0</v>
      </c>
      <c r="AU509">
        <v>2</v>
      </c>
      <c r="AV509" t="s">
        <v>273</v>
      </c>
      <c r="AY509" t="s">
        <v>273</v>
      </c>
      <c r="BB509">
        <v>0</v>
      </c>
      <c r="BC509">
        <v>0</v>
      </c>
      <c r="BD509">
        <v>0</v>
      </c>
      <c r="BE509">
        <v>0</v>
      </c>
      <c r="BF509" t="s">
        <v>1063</v>
      </c>
      <c r="BG509" t="s">
        <v>6616</v>
      </c>
      <c r="BH509">
        <v>68</v>
      </c>
      <c r="BI509" t="s">
        <v>5072</v>
      </c>
      <c r="BK509">
        <v>830644</v>
      </c>
    </row>
    <row r="510" spans="1:63">
      <c r="A510" s="1">
        <f>HYPERLINK("https://lsnyc.legalserver.org/matter/dynamic-profile/view/1868513","18-1868513")</f>
        <v>0</v>
      </c>
      <c r="B510" t="s">
        <v>5486</v>
      </c>
      <c r="C510" t="s">
        <v>5625</v>
      </c>
      <c r="D510" t="s">
        <v>252</v>
      </c>
      <c r="E510" t="s">
        <v>3694</v>
      </c>
      <c r="F510" t="s">
        <v>273</v>
      </c>
      <c r="G510" t="s">
        <v>275</v>
      </c>
      <c r="H510">
        <v>40.26</v>
      </c>
      <c r="I510" t="s">
        <v>274</v>
      </c>
      <c r="K510" t="s">
        <v>398</v>
      </c>
      <c r="P510" t="s">
        <v>498</v>
      </c>
      <c r="Q510" t="s">
        <v>501</v>
      </c>
      <c r="S510" t="s">
        <v>503</v>
      </c>
      <c r="T510" t="s">
        <v>508</v>
      </c>
      <c r="U510" t="s">
        <v>511</v>
      </c>
      <c r="V510">
        <v>11233</v>
      </c>
      <c r="W510" t="s">
        <v>521</v>
      </c>
      <c r="X510" t="s">
        <v>548</v>
      </c>
      <c r="Z510" t="s">
        <v>5956</v>
      </c>
      <c r="AA510" t="s">
        <v>2348</v>
      </c>
      <c r="AB510" t="s">
        <v>902</v>
      </c>
      <c r="AC510" t="s">
        <v>905</v>
      </c>
      <c r="AF510" t="s">
        <v>923</v>
      </c>
      <c r="AI510">
        <v>0.31</v>
      </c>
      <c r="AJ510" t="s">
        <v>558</v>
      </c>
      <c r="AK510" t="s">
        <v>933</v>
      </c>
      <c r="AT510">
        <v>0</v>
      </c>
      <c r="AU510">
        <v>1</v>
      </c>
      <c r="AV510" t="s">
        <v>273</v>
      </c>
      <c r="AY510" t="s">
        <v>273</v>
      </c>
      <c r="BB510">
        <v>0</v>
      </c>
      <c r="BC510">
        <v>0</v>
      </c>
      <c r="BD510">
        <v>0</v>
      </c>
      <c r="BE510">
        <v>0</v>
      </c>
      <c r="BF510" t="s">
        <v>1063</v>
      </c>
      <c r="BG510" t="s">
        <v>6838</v>
      </c>
      <c r="BH510">
        <v>39</v>
      </c>
      <c r="BI510" t="s">
        <v>1292</v>
      </c>
      <c r="BK510">
        <v>1866022</v>
      </c>
    </row>
    <row r="511" spans="1:63">
      <c r="A511" s="1">
        <f>HYPERLINK("https://lsnyc.legalserver.org/matter/dynamic-profile/view/1868390","18-1868390")</f>
        <v>0</v>
      </c>
      <c r="B511" t="s">
        <v>5173</v>
      </c>
      <c r="C511" t="s">
        <v>5625</v>
      </c>
      <c r="D511" t="s">
        <v>257</v>
      </c>
      <c r="E511" t="s">
        <v>3694</v>
      </c>
      <c r="F511" t="s">
        <v>274</v>
      </c>
      <c r="G511" t="s">
        <v>274</v>
      </c>
      <c r="H511">
        <v>0</v>
      </c>
      <c r="I511" t="s">
        <v>274</v>
      </c>
      <c r="K511" t="s">
        <v>5647</v>
      </c>
      <c r="O511" t="s">
        <v>275</v>
      </c>
      <c r="Q511" t="s">
        <v>502</v>
      </c>
      <c r="S511" t="s">
        <v>503</v>
      </c>
      <c r="T511" t="s">
        <v>507</v>
      </c>
      <c r="U511" t="s">
        <v>511</v>
      </c>
      <c r="V511">
        <v>10474</v>
      </c>
      <c r="W511" t="s">
        <v>518</v>
      </c>
      <c r="X511" t="s">
        <v>548</v>
      </c>
      <c r="Z511" t="s">
        <v>2067</v>
      </c>
      <c r="AA511" t="s">
        <v>6133</v>
      </c>
      <c r="AB511" t="s">
        <v>902</v>
      </c>
      <c r="AC511" t="s">
        <v>905</v>
      </c>
      <c r="AF511" t="s">
        <v>923</v>
      </c>
      <c r="AI511">
        <v>7.65</v>
      </c>
      <c r="AJ511" t="s">
        <v>558</v>
      </c>
      <c r="AK511" t="s">
        <v>934</v>
      </c>
      <c r="AL511" t="s">
        <v>275</v>
      </c>
      <c r="AT511">
        <v>0</v>
      </c>
      <c r="AU511">
        <v>1</v>
      </c>
      <c r="AV511" t="s">
        <v>273</v>
      </c>
      <c r="AY511" t="s">
        <v>273</v>
      </c>
      <c r="BB511">
        <v>0</v>
      </c>
      <c r="BC511">
        <v>0</v>
      </c>
      <c r="BD511">
        <v>0</v>
      </c>
      <c r="BE511">
        <v>0</v>
      </c>
      <c r="BF511" t="s">
        <v>1063</v>
      </c>
      <c r="BG511" t="s">
        <v>6555</v>
      </c>
      <c r="BH511">
        <v>18</v>
      </c>
      <c r="BI511" t="s">
        <v>1247</v>
      </c>
      <c r="BK511">
        <v>1868983</v>
      </c>
    </row>
    <row r="512" spans="1:63">
      <c r="A512" s="1">
        <f>HYPERLINK("https://lsnyc.legalserver.org/matter/dynamic-profile/view/1868443","18-1868443")</f>
        <v>0</v>
      </c>
      <c r="B512" t="s">
        <v>5313</v>
      </c>
      <c r="C512" t="s">
        <v>5625</v>
      </c>
      <c r="D512" t="s">
        <v>257</v>
      </c>
      <c r="E512" t="s">
        <v>3694</v>
      </c>
      <c r="F512" t="s">
        <v>274</v>
      </c>
      <c r="G512" t="s">
        <v>274</v>
      </c>
      <c r="H512">
        <v>127.49</v>
      </c>
      <c r="I512" t="s">
        <v>274</v>
      </c>
      <c r="K512" t="s">
        <v>5647</v>
      </c>
      <c r="O512" t="s">
        <v>274</v>
      </c>
      <c r="P512" t="s">
        <v>498</v>
      </c>
      <c r="Q512" t="s">
        <v>501</v>
      </c>
      <c r="S512" t="s">
        <v>503</v>
      </c>
      <c r="T512" t="s">
        <v>508</v>
      </c>
      <c r="U512" t="s">
        <v>511</v>
      </c>
      <c r="V512">
        <v>10467</v>
      </c>
      <c r="W512" t="s">
        <v>517</v>
      </c>
      <c r="X512" t="s">
        <v>549</v>
      </c>
      <c r="Y512" t="s">
        <v>274</v>
      </c>
      <c r="Z512" t="s">
        <v>5844</v>
      </c>
      <c r="AA512" t="s">
        <v>6232</v>
      </c>
      <c r="AB512" t="s">
        <v>902</v>
      </c>
      <c r="AC512" t="s">
        <v>904</v>
      </c>
      <c r="AF512" t="s">
        <v>923</v>
      </c>
      <c r="AI512">
        <v>3.2</v>
      </c>
      <c r="AJ512" t="s">
        <v>558</v>
      </c>
      <c r="AK512" t="s">
        <v>965</v>
      </c>
      <c r="AL512" t="s">
        <v>274</v>
      </c>
      <c r="AT512">
        <v>0</v>
      </c>
      <c r="AU512">
        <v>4</v>
      </c>
      <c r="AV512" t="s">
        <v>273</v>
      </c>
      <c r="AY512" t="s">
        <v>273</v>
      </c>
      <c r="BB512">
        <v>0</v>
      </c>
      <c r="BC512">
        <v>0</v>
      </c>
      <c r="BD512">
        <v>0</v>
      </c>
      <c r="BE512">
        <v>0</v>
      </c>
      <c r="BF512" t="s">
        <v>1063</v>
      </c>
      <c r="BG512" t="s">
        <v>6683</v>
      </c>
      <c r="BH512">
        <v>58</v>
      </c>
      <c r="BI512" t="s">
        <v>3465</v>
      </c>
      <c r="BJ512" t="s">
        <v>393</v>
      </c>
      <c r="BK512">
        <v>1869036</v>
      </c>
    </row>
    <row r="513" spans="1:63">
      <c r="A513" s="1">
        <f>HYPERLINK("https://lsnyc.legalserver.org/matter/dynamic-profile/view/1868479","18-1868479")</f>
        <v>0</v>
      </c>
      <c r="B513" t="s">
        <v>5233</v>
      </c>
      <c r="C513" t="s">
        <v>5625</v>
      </c>
      <c r="D513" t="s">
        <v>255</v>
      </c>
      <c r="E513" t="s">
        <v>5630</v>
      </c>
      <c r="F513" t="s">
        <v>274</v>
      </c>
      <c r="G513" t="s">
        <v>274</v>
      </c>
      <c r="H513">
        <v>29.74</v>
      </c>
      <c r="I513" t="s">
        <v>274</v>
      </c>
      <c r="K513" t="s">
        <v>5647</v>
      </c>
      <c r="O513" t="s">
        <v>275</v>
      </c>
      <c r="Q513" t="s">
        <v>501</v>
      </c>
      <c r="S513" t="s">
        <v>503</v>
      </c>
      <c r="T513" t="s">
        <v>508</v>
      </c>
      <c r="U513" t="s">
        <v>511</v>
      </c>
      <c r="V513">
        <v>10032</v>
      </c>
      <c r="W513" t="s">
        <v>517</v>
      </c>
      <c r="X513" t="s">
        <v>548</v>
      </c>
      <c r="Z513" t="s">
        <v>5792</v>
      </c>
      <c r="AA513" t="s">
        <v>6171</v>
      </c>
      <c r="AB513" t="s">
        <v>902</v>
      </c>
      <c r="AC513" t="s">
        <v>904</v>
      </c>
      <c r="AF513" t="s">
        <v>923</v>
      </c>
      <c r="AI513">
        <v>5.9</v>
      </c>
      <c r="AJ513" t="s">
        <v>558</v>
      </c>
      <c r="AK513" t="s">
        <v>950</v>
      </c>
      <c r="AL513" t="s">
        <v>274</v>
      </c>
      <c r="AT513">
        <v>0</v>
      </c>
      <c r="AU513">
        <v>2</v>
      </c>
      <c r="AV513" t="s">
        <v>273</v>
      </c>
      <c r="AY513" t="s">
        <v>273</v>
      </c>
      <c r="BB513">
        <v>0</v>
      </c>
      <c r="BC513">
        <v>0</v>
      </c>
      <c r="BD513">
        <v>0</v>
      </c>
      <c r="BE513">
        <v>0</v>
      </c>
      <c r="BF513" t="s">
        <v>1063</v>
      </c>
      <c r="BG513" t="s">
        <v>6608</v>
      </c>
      <c r="BH513">
        <v>71</v>
      </c>
      <c r="BI513" t="s">
        <v>7028</v>
      </c>
      <c r="BK513">
        <v>1845446</v>
      </c>
    </row>
    <row r="514" spans="1:63">
      <c r="A514" s="1">
        <f>HYPERLINK("https://lsnyc.legalserver.org/matter/dynamic-profile/view/1868157","18-1868157")</f>
        <v>0</v>
      </c>
      <c r="B514" t="s">
        <v>5487</v>
      </c>
      <c r="C514" t="s">
        <v>5625</v>
      </c>
      <c r="D514" t="s">
        <v>257</v>
      </c>
      <c r="E514" t="s">
        <v>3694</v>
      </c>
      <c r="F514" t="s">
        <v>274</v>
      </c>
      <c r="G514" t="s">
        <v>274</v>
      </c>
      <c r="H514">
        <v>124.74</v>
      </c>
      <c r="I514" t="s">
        <v>274</v>
      </c>
      <c r="K514" t="s">
        <v>1010</v>
      </c>
      <c r="O514" t="s">
        <v>274</v>
      </c>
      <c r="Q514" t="s">
        <v>501</v>
      </c>
      <c r="S514" t="s">
        <v>503</v>
      </c>
      <c r="T514" t="s">
        <v>508</v>
      </c>
      <c r="U514" t="s">
        <v>511</v>
      </c>
      <c r="V514">
        <v>10451</v>
      </c>
      <c r="W514" t="s">
        <v>517</v>
      </c>
      <c r="X514" t="s">
        <v>548</v>
      </c>
      <c r="Y514" t="s">
        <v>275</v>
      </c>
      <c r="Z514" t="s">
        <v>5957</v>
      </c>
      <c r="AA514" t="s">
        <v>6356</v>
      </c>
      <c r="AB514" t="s">
        <v>902</v>
      </c>
      <c r="AC514" t="s">
        <v>904</v>
      </c>
      <c r="AF514" t="s">
        <v>923</v>
      </c>
      <c r="AI514">
        <v>3.2</v>
      </c>
      <c r="AJ514" t="s">
        <v>558</v>
      </c>
      <c r="AK514" t="s">
        <v>950</v>
      </c>
      <c r="AL514" t="s">
        <v>274</v>
      </c>
      <c r="AT514">
        <v>0</v>
      </c>
      <c r="AU514">
        <v>1</v>
      </c>
      <c r="AV514" t="s">
        <v>273</v>
      </c>
      <c r="AY514" t="s">
        <v>273</v>
      </c>
      <c r="BB514">
        <v>0</v>
      </c>
      <c r="BC514">
        <v>0</v>
      </c>
      <c r="BD514">
        <v>0</v>
      </c>
      <c r="BE514">
        <v>0</v>
      </c>
      <c r="BF514" t="s">
        <v>1063</v>
      </c>
      <c r="BG514" t="s">
        <v>6839</v>
      </c>
      <c r="BH514">
        <v>60</v>
      </c>
      <c r="BI514" t="s">
        <v>7102</v>
      </c>
      <c r="BJ514" t="s">
        <v>393</v>
      </c>
      <c r="BK514">
        <v>1868750</v>
      </c>
    </row>
    <row r="515" spans="1:63">
      <c r="A515" s="1">
        <f>HYPERLINK("https://lsnyc.legalserver.org/matter/dynamic-profile/view/1868164","18-1868164")</f>
        <v>0</v>
      </c>
      <c r="B515" t="s">
        <v>5345</v>
      </c>
      <c r="C515" t="s">
        <v>5625</v>
      </c>
      <c r="D515" t="s">
        <v>252</v>
      </c>
      <c r="E515" t="s">
        <v>3694</v>
      </c>
      <c r="F515" t="s">
        <v>274</v>
      </c>
      <c r="G515" t="s">
        <v>274</v>
      </c>
      <c r="H515">
        <v>99.52</v>
      </c>
      <c r="I515" t="s">
        <v>274</v>
      </c>
      <c r="K515" t="s">
        <v>1010</v>
      </c>
      <c r="O515" t="s">
        <v>274</v>
      </c>
      <c r="P515" t="s">
        <v>498</v>
      </c>
      <c r="Q515" t="s">
        <v>501</v>
      </c>
      <c r="S515" t="s">
        <v>503</v>
      </c>
      <c r="T515" t="s">
        <v>508</v>
      </c>
      <c r="U515" t="s">
        <v>511</v>
      </c>
      <c r="V515">
        <v>11212</v>
      </c>
      <c r="W515" t="s">
        <v>517</v>
      </c>
      <c r="X515" t="s">
        <v>548</v>
      </c>
      <c r="Z515" t="s">
        <v>5867</v>
      </c>
      <c r="AA515" t="s">
        <v>6249</v>
      </c>
      <c r="AB515" t="s">
        <v>902</v>
      </c>
      <c r="AC515" t="s">
        <v>904</v>
      </c>
      <c r="AF515" t="s">
        <v>923</v>
      </c>
      <c r="AI515">
        <v>3.5</v>
      </c>
      <c r="AJ515" t="s">
        <v>558</v>
      </c>
      <c r="AK515" t="s">
        <v>950</v>
      </c>
      <c r="AL515" t="s">
        <v>274</v>
      </c>
      <c r="AT515">
        <v>2</v>
      </c>
      <c r="AU515">
        <v>2</v>
      </c>
      <c r="AV515" t="s">
        <v>273</v>
      </c>
      <c r="AY515" t="s">
        <v>273</v>
      </c>
      <c r="BB515">
        <v>0</v>
      </c>
      <c r="BC515">
        <v>0</v>
      </c>
      <c r="BD515">
        <v>0</v>
      </c>
      <c r="BE515">
        <v>0</v>
      </c>
      <c r="BF515" t="s">
        <v>1063</v>
      </c>
      <c r="BG515" t="s">
        <v>6710</v>
      </c>
      <c r="BH515">
        <v>43</v>
      </c>
      <c r="BI515" t="s">
        <v>7059</v>
      </c>
      <c r="BJ515" t="s">
        <v>393</v>
      </c>
      <c r="BK515">
        <v>1868757</v>
      </c>
    </row>
    <row r="516" spans="1:63">
      <c r="A516" s="1">
        <f>HYPERLINK("https://lsnyc.legalserver.org/matter/dynamic-profile/view/1868185","18-1868185")</f>
        <v>0</v>
      </c>
      <c r="B516" t="s">
        <v>5488</v>
      </c>
      <c r="C516" t="s">
        <v>5625</v>
      </c>
      <c r="D516" t="s">
        <v>253</v>
      </c>
      <c r="E516" t="s">
        <v>3694</v>
      </c>
      <c r="F516" t="s">
        <v>274</v>
      </c>
      <c r="G516" t="s">
        <v>274</v>
      </c>
      <c r="H516">
        <v>113.73</v>
      </c>
      <c r="I516" t="s">
        <v>274</v>
      </c>
      <c r="K516" t="s">
        <v>1010</v>
      </c>
      <c r="Q516" t="s">
        <v>501</v>
      </c>
      <c r="S516" t="s">
        <v>503</v>
      </c>
      <c r="T516" t="s">
        <v>508</v>
      </c>
      <c r="U516" t="s">
        <v>511</v>
      </c>
      <c r="V516">
        <v>11420</v>
      </c>
      <c r="W516" t="s">
        <v>528</v>
      </c>
      <c r="X516" t="s">
        <v>548</v>
      </c>
      <c r="Z516" t="s">
        <v>5958</v>
      </c>
      <c r="AA516" t="s">
        <v>6357</v>
      </c>
      <c r="AB516" t="s">
        <v>902</v>
      </c>
      <c r="AC516" t="s">
        <v>905</v>
      </c>
      <c r="AF516" t="s">
        <v>923</v>
      </c>
      <c r="AI516">
        <v>1.65</v>
      </c>
      <c r="AJ516" t="s">
        <v>558</v>
      </c>
      <c r="AK516" t="s">
        <v>947</v>
      </c>
      <c r="AT516">
        <v>1</v>
      </c>
      <c r="AU516">
        <v>1</v>
      </c>
      <c r="AV516" t="s">
        <v>273</v>
      </c>
      <c r="AY516" t="s">
        <v>273</v>
      </c>
      <c r="BB516">
        <v>0</v>
      </c>
      <c r="BC516">
        <v>0</v>
      </c>
      <c r="BD516">
        <v>0</v>
      </c>
      <c r="BE516">
        <v>0</v>
      </c>
      <c r="BF516" t="s">
        <v>1063</v>
      </c>
      <c r="BG516" t="s">
        <v>6840</v>
      </c>
      <c r="BH516">
        <v>38</v>
      </c>
      <c r="BI516" t="s">
        <v>1318</v>
      </c>
      <c r="BK516">
        <v>1840012</v>
      </c>
    </row>
    <row r="517" spans="1:63">
      <c r="A517" s="1">
        <f>HYPERLINK("https://lsnyc.legalserver.org/matter/dynamic-profile/view/1868232","18-1868232")</f>
        <v>0</v>
      </c>
      <c r="B517" t="s">
        <v>5489</v>
      </c>
      <c r="C517" t="s">
        <v>5625</v>
      </c>
      <c r="D517" t="s">
        <v>255</v>
      </c>
      <c r="E517" t="s">
        <v>3694</v>
      </c>
      <c r="F517" t="s">
        <v>274</v>
      </c>
      <c r="G517" t="s">
        <v>274</v>
      </c>
      <c r="H517">
        <v>0</v>
      </c>
      <c r="I517" t="s">
        <v>274</v>
      </c>
      <c r="K517" t="s">
        <v>1010</v>
      </c>
      <c r="O517" t="s">
        <v>275</v>
      </c>
      <c r="P517" t="s">
        <v>498</v>
      </c>
      <c r="Q517" t="s">
        <v>501</v>
      </c>
      <c r="S517" t="s">
        <v>503</v>
      </c>
      <c r="T517" t="s">
        <v>508</v>
      </c>
      <c r="U517" t="s">
        <v>511</v>
      </c>
      <c r="V517">
        <v>10018</v>
      </c>
      <c r="W517" t="s">
        <v>521</v>
      </c>
      <c r="X517" t="s">
        <v>549</v>
      </c>
      <c r="Z517" t="s">
        <v>5959</v>
      </c>
      <c r="AA517" t="s">
        <v>6358</v>
      </c>
      <c r="AB517" t="s">
        <v>902</v>
      </c>
      <c r="AC517" t="s">
        <v>905</v>
      </c>
      <c r="AF517" t="s">
        <v>923</v>
      </c>
      <c r="AI517">
        <v>9.199999999999999</v>
      </c>
      <c r="AJ517" t="s">
        <v>558</v>
      </c>
      <c r="AK517" t="s">
        <v>965</v>
      </c>
      <c r="AT517">
        <v>0</v>
      </c>
      <c r="AU517">
        <v>1</v>
      </c>
      <c r="AV517" t="s">
        <v>273</v>
      </c>
      <c r="AY517" t="s">
        <v>273</v>
      </c>
      <c r="BB517">
        <v>0</v>
      </c>
      <c r="BC517">
        <v>0</v>
      </c>
      <c r="BD517">
        <v>0</v>
      </c>
      <c r="BE517">
        <v>0</v>
      </c>
      <c r="BF517" t="s">
        <v>1063</v>
      </c>
      <c r="BG517" t="s">
        <v>6841</v>
      </c>
      <c r="BH517">
        <v>24</v>
      </c>
      <c r="BI517" t="s">
        <v>1247</v>
      </c>
      <c r="BK517">
        <v>1868825</v>
      </c>
    </row>
    <row r="518" spans="1:63">
      <c r="A518" s="1">
        <f>HYPERLINK("https://lsnyc.legalserver.org/matter/dynamic-profile/view/1868046","18-1868046")</f>
        <v>0</v>
      </c>
      <c r="B518" t="s">
        <v>5490</v>
      </c>
      <c r="C518" t="s">
        <v>5625</v>
      </c>
      <c r="D518" t="s">
        <v>252</v>
      </c>
      <c r="E518" t="s">
        <v>3694</v>
      </c>
      <c r="F518" t="s">
        <v>274</v>
      </c>
      <c r="G518" t="s">
        <v>274</v>
      </c>
      <c r="H518">
        <v>61.12</v>
      </c>
      <c r="I518" t="s">
        <v>274</v>
      </c>
      <c r="K518" t="s">
        <v>1743</v>
      </c>
      <c r="O518" t="s">
        <v>274</v>
      </c>
      <c r="P518" t="s">
        <v>498</v>
      </c>
      <c r="Q518" t="s">
        <v>501</v>
      </c>
      <c r="S518" t="s">
        <v>503</v>
      </c>
      <c r="T518" t="s">
        <v>508</v>
      </c>
      <c r="U518" t="s">
        <v>511</v>
      </c>
      <c r="V518">
        <v>11220</v>
      </c>
      <c r="W518" t="s">
        <v>517</v>
      </c>
      <c r="X518" t="s">
        <v>548</v>
      </c>
      <c r="Y518" t="s">
        <v>274</v>
      </c>
      <c r="Z518" t="s">
        <v>584</v>
      </c>
      <c r="AA518" t="s">
        <v>6359</v>
      </c>
      <c r="AB518" t="s">
        <v>902</v>
      </c>
      <c r="AC518" t="s">
        <v>904</v>
      </c>
      <c r="AF518" t="s">
        <v>923</v>
      </c>
      <c r="AI518">
        <v>3.8</v>
      </c>
      <c r="AJ518" t="s">
        <v>558</v>
      </c>
      <c r="AK518" t="s">
        <v>950</v>
      </c>
      <c r="AL518" t="s">
        <v>274</v>
      </c>
      <c r="AT518">
        <v>2</v>
      </c>
      <c r="AU518">
        <v>1</v>
      </c>
      <c r="AV518" t="s">
        <v>273</v>
      </c>
      <c r="AY518" t="s">
        <v>273</v>
      </c>
      <c r="BB518">
        <v>0</v>
      </c>
      <c r="BC518">
        <v>0</v>
      </c>
      <c r="BD518">
        <v>0</v>
      </c>
      <c r="BE518">
        <v>0</v>
      </c>
      <c r="BF518" t="s">
        <v>1063</v>
      </c>
      <c r="BG518" t="s">
        <v>6842</v>
      </c>
      <c r="BH518">
        <v>38</v>
      </c>
      <c r="BI518" t="s">
        <v>7103</v>
      </c>
      <c r="BJ518" t="s">
        <v>393</v>
      </c>
      <c r="BK518">
        <v>1868639</v>
      </c>
    </row>
    <row r="519" spans="1:63">
      <c r="A519" s="1">
        <f>HYPERLINK("https://lsnyc.legalserver.org/matter/dynamic-profile/view/1867875","18-1867875")</f>
        <v>0</v>
      </c>
      <c r="B519" t="s">
        <v>5473</v>
      </c>
      <c r="C519" t="s">
        <v>5625</v>
      </c>
      <c r="D519" t="s">
        <v>255</v>
      </c>
      <c r="E519" t="s">
        <v>3694</v>
      </c>
      <c r="F519" t="s">
        <v>274</v>
      </c>
      <c r="G519" t="s">
        <v>274</v>
      </c>
      <c r="H519">
        <v>80.63</v>
      </c>
      <c r="I519" t="s">
        <v>274</v>
      </c>
      <c r="K519" t="s">
        <v>4839</v>
      </c>
      <c r="Q519" t="s">
        <v>501</v>
      </c>
      <c r="S519" t="s">
        <v>503</v>
      </c>
      <c r="T519" t="s">
        <v>507</v>
      </c>
      <c r="U519" t="s">
        <v>511</v>
      </c>
      <c r="V519">
        <v>10034</v>
      </c>
      <c r="W519" t="s">
        <v>544</v>
      </c>
      <c r="Y519" t="s">
        <v>274</v>
      </c>
      <c r="Z519" t="s">
        <v>5948</v>
      </c>
      <c r="AA519" t="s">
        <v>6347</v>
      </c>
      <c r="AB519" t="s">
        <v>902</v>
      </c>
      <c r="AC519" t="s">
        <v>904</v>
      </c>
      <c r="AF519" t="s">
        <v>923</v>
      </c>
      <c r="AI519">
        <v>0.11</v>
      </c>
      <c r="AJ519" t="s">
        <v>558</v>
      </c>
      <c r="AK519" t="s">
        <v>950</v>
      </c>
      <c r="AT519">
        <v>0</v>
      </c>
      <c r="AU519">
        <v>2</v>
      </c>
      <c r="AV519" t="s">
        <v>273</v>
      </c>
      <c r="AY519" t="s">
        <v>273</v>
      </c>
      <c r="BB519">
        <v>0</v>
      </c>
      <c r="BC519">
        <v>0</v>
      </c>
      <c r="BD519">
        <v>0</v>
      </c>
      <c r="BE519">
        <v>0</v>
      </c>
      <c r="BF519" t="s">
        <v>1063</v>
      </c>
      <c r="BG519" t="s">
        <v>6826</v>
      </c>
      <c r="BH519">
        <v>64</v>
      </c>
      <c r="BI519" t="s">
        <v>7096</v>
      </c>
      <c r="BK519">
        <v>366239</v>
      </c>
    </row>
    <row r="520" spans="1:63">
      <c r="A520" s="1">
        <f>HYPERLINK("https://lsnyc.legalserver.org/matter/dynamic-profile/view/1867918","18-1867918")</f>
        <v>0</v>
      </c>
      <c r="B520" t="s">
        <v>5491</v>
      </c>
      <c r="C520" t="s">
        <v>5625</v>
      </c>
      <c r="D520" t="s">
        <v>253</v>
      </c>
      <c r="E520" t="s">
        <v>3694</v>
      </c>
      <c r="F520" t="s">
        <v>274</v>
      </c>
      <c r="G520" t="s">
        <v>274</v>
      </c>
      <c r="H520">
        <v>123.73</v>
      </c>
      <c r="I520" t="s">
        <v>274</v>
      </c>
      <c r="K520" t="s">
        <v>4839</v>
      </c>
      <c r="Q520" t="s">
        <v>501</v>
      </c>
      <c r="S520" t="s">
        <v>503</v>
      </c>
      <c r="T520" t="s">
        <v>507</v>
      </c>
      <c r="U520" t="s">
        <v>511</v>
      </c>
      <c r="V520">
        <v>7047</v>
      </c>
      <c r="W520" t="s">
        <v>3017</v>
      </c>
      <c r="Z520" t="s">
        <v>602</v>
      </c>
      <c r="AA520" t="s">
        <v>6360</v>
      </c>
      <c r="AB520" t="s">
        <v>902</v>
      </c>
      <c r="AC520" t="s">
        <v>908</v>
      </c>
      <c r="AF520" t="s">
        <v>923</v>
      </c>
      <c r="AI520">
        <v>0.1</v>
      </c>
      <c r="AJ520" t="s">
        <v>558</v>
      </c>
      <c r="AK520" t="s">
        <v>933</v>
      </c>
      <c r="AT520">
        <v>3</v>
      </c>
      <c r="AU520">
        <v>2</v>
      </c>
      <c r="AV520" t="s">
        <v>273</v>
      </c>
      <c r="AY520" t="s">
        <v>273</v>
      </c>
      <c r="BB520">
        <v>0</v>
      </c>
      <c r="BC520">
        <v>0</v>
      </c>
      <c r="BD520">
        <v>0</v>
      </c>
      <c r="BE520">
        <v>0</v>
      </c>
      <c r="BF520" t="s">
        <v>1063</v>
      </c>
      <c r="BG520" t="s">
        <v>6843</v>
      </c>
      <c r="BH520">
        <v>21</v>
      </c>
      <c r="BI520" t="s">
        <v>1317</v>
      </c>
      <c r="BK520">
        <v>1868154</v>
      </c>
    </row>
    <row r="521" spans="1:63">
      <c r="A521" s="1">
        <f>HYPERLINK("https://lsnyc.legalserver.org/matter/dynamic-profile/view/1867930","18-1867930")</f>
        <v>0</v>
      </c>
      <c r="B521" t="s">
        <v>5492</v>
      </c>
      <c r="C521" t="s">
        <v>5625</v>
      </c>
      <c r="D521" t="s">
        <v>253</v>
      </c>
      <c r="E521" t="s">
        <v>3694</v>
      </c>
      <c r="F521" t="s">
        <v>274</v>
      </c>
      <c r="G521" t="s">
        <v>274</v>
      </c>
      <c r="H521">
        <v>123.73</v>
      </c>
      <c r="I521" t="s">
        <v>274</v>
      </c>
      <c r="K521" t="s">
        <v>4839</v>
      </c>
      <c r="Q521" t="s">
        <v>501</v>
      </c>
      <c r="S521" t="s">
        <v>503</v>
      </c>
      <c r="T521" t="s">
        <v>508</v>
      </c>
      <c r="U521" t="s">
        <v>511</v>
      </c>
      <c r="V521">
        <v>7047</v>
      </c>
      <c r="W521" t="s">
        <v>3017</v>
      </c>
      <c r="Z521" t="s">
        <v>3114</v>
      </c>
      <c r="AA521" t="s">
        <v>6361</v>
      </c>
      <c r="AB521" t="s">
        <v>902</v>
      </c>
      <c r="AC521" t="s">
        <v>905</v>
      </c>
      <c r="AF521" t="s">
        <v>923</v>
      </c>
      <c r="AI521">
        <v>0.1</v>
      </c>
      <c r="AJ521" t="s">
        <v>558</v>
      </c>
      <c r="AK521" t="s">
        <v>933</v>
      </c>
      <c r="AT521">
        <v>3</v>
      </c>
      <c r="AU521">
        <v>2</v>
      </c>
      <c r="AV521" t="s">
        <v>273</v>
      </c>
      <c r="AY521" t="s">
        <v>273</v>
      </c>
      <c r="BB521">
        <v>0</v>
      </c>
      <c r="BC521">
        <v>0</v>
      </c>
      <c r="BD521">
        <v>0</v>
      </c>
      <c r="BE521">
        <v>0</v>
      </c>
      <c r="BF521" t="s">
        <v>1063</v>
      </c>
      <c r="BG521" t="s">
        <v>6844</v>
      </c>
      <c r="BH521">
        <v>17</v>
      </c>
      <c r="BI521" t="s">
        <v>1317</v>
      </c>
      <c r="BK521">
        <v>1868154</v>
      </c>
    </row>
    <row r="522" spans="1:63">
      <c r="A522" s="1">
        <f>HYPERLINK("https://lsnyc.legalserver.org/matter/dynamic-profile/view/1867772","18-1867772")</f>
        <v>0</v>
      </c>
      <c r="B522" t="s">
        <v>5295</v>
      </c>
      <c r="C522" t="s">
        <v>5625</v>
      </c>
      <c r="D522" t="s">
        <v>255</v>
      </c>
      <c r="E522" t="s">
        <v>3694</v>
      </c>
      <c r="F522" t="s">
        <v>274</v>
      </c>
      <c r="G522" t="s">
        <v>274</v>
      </c>
      <c r="H522">
        <v>47.73</v>
      </c>
      <c r="I522" t="s">
        <v>274</v>
      </c>
      <c r="K522" t="s">
        <v>3003</v>
      </c>
      <c r="O522" t="s">
        <v>274</v>
      </c>
      <c r="P522" t="s">
        <v>498</v>
      </c>
      <c r="Q522" t="s">
        <v>501</v>
      </c>
      <c r="S522" t="s">
        <v>503</v>
      </c>
      <c r="T522" t="s">
        <v>508</v>
      </c>
      <c r="U522" t="s">
        <v>511</v>
      </c>
      <c r="V522">
        <v>10128</v>
      </c>
      <c r="W522" t="s">
        <v>517</v>
      </c>
      <c r="X522" t="s">
        <v>548</v>
      </c>
      <c r="Z522" t="s">
        <v>5833</v>
      </c>
      <c r="AA522" t="s">
        <v>6220</v>
      </c>
      <c r="AB522" t="s">
        <v>902</v>
      </c>
      <c r="AC522" t="s">
        <v>904</v>
      </c>
      <c r="AF522" t="s">
        <v>923</v>
      </c>
      <c r="AI522">
        <v>12.2</v>
      </c>
      <c r="AJ522" t="s">
        <v>558</v>
      </c>
      <c r="AK522" t="s">
        <v>933</v>
      </c>
      <c r="AL522" t="s">
        <v>274</v>
      </c>
      <c r="AT522">
        <v>4</v>
      </c>
      <c r="AU522">
        <v>1</v>
      </c>
      <c r="AV522" t="s">
        <v>273</v>
      </c>
      <c r="AY522" t="s">
        <v>273</v>
      </c>
      <c r="BB522">
        <v>0</v>
      </c>
      <c r="BC522">
        <v>0</v>
      </c>
      <c r="BD522">
        <v>0</v>
      </c>
      <c r="BE522">
        <v>0</v>
      </c>
      <c r="BF522" t="s">
        <v>1063</v>
      </c>
      <c r="BG522" t="s">
        <v>6665</v>
      </c>
      <c r="BH522">
        <v>32</v>
      </c>
      <c r="BI522" t="s">
        <v>7043</v>
      </c>
      <c r="BJ522" t="s">
        <v>1733</v>
      </c>
      <c r="BK522">
        <v>1868365</v>
      </c>
    </row>
    <row r="523" spans="1:63">
      <c r="A523" s="1">
        <f>HYPERLINK("https://lsnyc.legalserver.org/matter/dynamic-profile/view/1867666","18-1867666")</f>
        <v>0</v>
      </c>
      <c r="B523" t="s">
        <v>5493</v>
      </c>
      <c r="C523" t="s">
        <v>5625</v>
      </c>
      <c r="D523" t="s">
        <v>257</v>
      </c>
      <c r="E523" t="s">
        <v>3694</v>
      </c>
      <c r="F523" t="s">
        <v>274</v>
      </c>
      <c r="G523" t="s">
        <v>274</v>
      </c>
      <c r="H523">
        <v>67.98</v>
      </c>
      <c r="I523" t="s">
        <v>274</v>
      </c>
      <c r="K523" t="s">
        <v>3712</v>
      </c>
      <c r="O523" t="s">
        <v>274</v>
      </c>
      <c r="P523" t="s">
        <v>498</v>
      </c>
      <c r="Q523" t="s">
        <v>501</v>
      </c>
      <c r="S523" t="s">
        <v>503</v>
      </c>
      <c r="T523" t="s">
        <v>508</v>
      </c>
      <c r="U523" t="s">
        <v>511</v>
      </c>
      <c r="V523">
        <v>10456</v>
      </c>
      <c r="W523" t="s">
        <v>517</v>
      </c>
      <c r="X523" t="s">
        <v>548</v>
      </c>
      <c r="Y523" t="s">
        <v>274</v>
      </c>
      <c r="Z523" t="s">
        <v>5960</v>
      </c>
      <c r="AA523" t="s">
        <v>2102</v>
      </c>
      <c r="AB523" t="s">
        <v>902</v>
      </c>
      <c r="AC523" t="s">
        <v>904</v>
      </c>
      <c r="AF523" t="s">
        <v>923</v>
      </c>
      <c r="AI523">
        <v>2.51</v>
      </c>
      <c r="AJ523" t="s">
        <v>558</v>
      </c>
      <c r="AK523" t="s">
        <v>934</v>
      </c>
      <c r="AL523" t="s">
        <v>274</v>
      </c>
      <c r="AT523">
        <v>4</v>
      </c>
      <c r="AU523">
        <v>1</v>
      </c>
      <c r="AV523" t="s">
        <v>273</v>
      </c>
      <c r="AY523" t="s">
        <v>273</v>
      </c>
      <c r="BB523">
        <v>0</v>
      </c>
      <c r="BC523">
        <v>0</v>
      </c>
      <c r="BD523">
        <v>0</v>
      </c>
      <c r="BE523">
        <v>0</v>
      </c>
      <c r="BF523" t="s">
        <v>1063</v>
      </c>
      <c r="BG523" t="s">
        <v>6845</v>
      </c>
      <c r="BH523">
        <v>51</v>
      </c>
      <c r="BI523" t="s">
        <v>1251</v>
      </c>
      <c r="BJ523" t="s">
        <v>2394</v>
      </c>
      <c r="BK523">
        <v>1868258</v>
      </c>
    </row>
    <row r="524" spans="1:63">
      <c r="A524" s="1">
        <f>HYPERLINK("https://lsnyc.legalserver.org/matter/dynamic-profile/view/1867674","18-1867674")</f>
        <v>0</v>
      </c>
      <c r="B524" t="s">
        <v>5494</v>
      </c>
      <c r="C524" t="s">
        <v>5625</v>
      </c>
      <c r="D524" t="s">
        <v>257</v>
      </c>
      <c r="E524" t="s">
        <v>3694</v>
      </c>
      <c r="F524" t="s">
        <v>274</v>
      </c>
      <c r="G524" t="s">
        <v>274</v>
      </c>
      <c r="H524">
        <v>31.59</v>
      </c>
      <c r="I524" t="s">
        <v>274</v>
      </c>
      <c r="K524" t="s">
        <v>3712</v>
      </c>
      <c r="O524" t="s">
        <v>274</v>
      </c>
      <c r="P524" t="s">
        <v>498</v>
      </c>
      <c r="Q524" t="s">
        <v>501</v>
      </c>
      <c r="S524" t="s">
        <v>503</v>
      </c>
      <c r="T524" t="s">
        <v>508</v>
      </c>
      <c r="U524" t="s">
        <v>511</v>
      </c>
      <c r="V524">
        <v>10473</v>
      </c>
      <c r="W524" t="s">
        <v>517</v>
      </c>
      <c r="X524" t="s">
        <v>548</v>
      </c>
      <c r="Y524" t="s">
        <v>275</v>
      </c>
      <c r="Z524" t="s">
        <v>5961</v>
      </c>
      <c r="AA524" t="s">
        <v>6362</v>
      </c>
      <c r="AB524" t="s">
        <v>902</v>
      </c>
      <c r="AC524" t="s">
        <v>904</v>
      </c>
      <c r="AF524" t="s">
        <v>923</v>
      </c>
      <c r="AI524">
        <v>1.7</v>
      </c>
      <c r="AJ524" t="s">
        <v>558</v>
      </c>
      <c r="AK524" t="s">
        <v>950</v>
      </c>
      <c r="AT524">
        <v>1</v>
      </c>
      <c r="AU524">
        <v>1</v>
      </c>
      <c r="AV524" t="s">
        <v>273</v>
      </c>
      <c r="AY524" t="s">
        <v>273</v>
      </c>
      <c r="BB524">
        <v>0</v>
      </c>
      <c r="BC524">
        <v>0</v>
      </c>
      <c r="BD524">
        <v>0</v>
      </c>
      <c r="BE524">
        <v>0</v>
      </c>
      <c r="BF524" t="s">
        <v>1063</v>
      </c>
      <c r="BG524" t="s">
        <v>6846</v>
      </c>
      <c r="BH524">
        <v>25</v>
      </c>
      <c r="BI524" t="s">
        <v>1258</v>
      </c>
      <c r="BK524">
        <v>1868266</v>
      </c>
    </row>
    <row r="525" spans="1:63">
      <c r="A525" s="1">
        <f>HYPERLINK("https://lsnyc.legalserver.org/matter/dynamic-profile/view/1867707","18-1867707")</f>
        <v>0</v>
      </c>
      <c r="B525" t="s">
        <v>5495</v>
      </c>
      <c r="C525" t="s">
        <v>5625</v>
      </c>
      <c r="D525" t="s">
        <v>253</v>
      </c>
      <c r="E525" t="s">
        <v>3694</v>
      </c>
      <c r="F525" t="s">
        <v>274</v>
      </c>
      <c r="G525" t="s">
        <v>274</v>
      </c>
      <c r="H525">
        <v>63.18</v>
      </c>
      <c r="I525" t="s">
        <v>274</v>
      </c>
      <c r="K525" t="s">
        <v>3712</v>
      </c>
      <c r="Q525" t="s">
        <v>501</v>
      </c>
      <c r="S525" t="s">
        <v>503</v>
      </c>
      <c r="T525" t="s">
        <v>508</v>
      </c>
      <c r="U525" t="s">
        <v>511</v>
      </c>
      <c r="V525">
        <v>11361</v>
      </c>
      <c r="W525" t="s">
        <v>524</v>
      </c>
      <c r="Y525" t="s">
        <v>275</v>
      </c>
      <c r="Z525" t="s">
        <v>2015</v>
      </c>
      <c r="AA525" t="s">
        <v>826</v>
      </c>
      <c r="AB525" t="s">
        <v>902</v>
      </c>
      <c r="AC525" t="s">
        <v>905</v>
      </c>
      <c r="AF525" t="s">
        <v>923</v>
      </c>
      <c r="AI525">
        <v>2.8</v>
      </c>
      <c r="AJ525" t="s">
        <v>558</v>
      </c>
      <c r="AK525" t="s">
        <v>947</v>
      </c>
      <c r="AT525">
        <v>1</v>
      </c>
      <c r="AU525">
        <v>1</v>
      </c>
      <c r="AV525" t="s">
        <v>273</v>
      </c>
      <c r="AY525" t="s">
        <v>273</v>
      </c>
      <c r="BB525">
        <v>0</v>
      </c>
      <c r="BC525">
        <v>0</v>
      </c>
      <c r="BD525">
        <v>0</v>
      </c>
      <c r="BE525">
        <v>0</v>
      </c>
      <c r="BF525" t="s">
        <v>1063</v>
      </c>
      <c r="BG525" t="s">
        <v>6847</v>
      </c>
      <c r="BH525">
        <v>46</v>
      </c>
      <c r="BI525" t="s">
        <v>1301</v>
      </c>
      <c r="BK525">
        <v>1862039</v>
      </c>
    </row>
    <row r="526" spans="1:63">
      <c r="A526" s="1">
        <f>HYPERLINK("https://lsnyc.legalserver.org/matter/dynamic-profile/view/1867709","18-1867709")</f>
        <v>0</v>
      </c>
      <c r="B526" t="s">
        <v>5496</v>
      </c>
      <c r="C526" t="s">
        <v>5625</v>
      </c>
      <c r="D526" t="s">
        <v>255</v>
      </c>
      <c r="E526" t="s">
        <v>3694</v>
      </c>
      <c r="F526" t="s">
        <v>274</v>
      </c>
      <c r="G526" t="s">
        <v>274</v>
      </c>
      <c r="H526">
        <v>98.84999999999999</v>
      </c>
      <c r="I526" t="s">
        <v>274</v>
      </c>
      <c r="K526" t="s">
        <v>3712</v>
      </c>
      <c r="Q526" t="s">
        <v>501</v>
      </c>
      <c r="S526" t="s">
        <v>503</v>
      </c>
      <c r="T526" t="s">
        <v>508</v>
      </c>
      <c r="U526" t="s">
        <v>511</v>
      </c>
      <c r="V526">
        <v>10029</v>
      </c>
      <c r="W526" t="s">
        <v>524</v>
      </c>
      <c r="X526" t="s">
        <v>1838</v>
      </c>
      <c r="Z526" t="s">
        <v>5962</v>
      </c>
      <c r="AA526" t="s">
        <v>6363</v>
      </c>
      <c r="AB526" t="s">
        <v>902</v>
      </c>
      <c r="AC526" t="s">
        <v>905</v>
      </c>
      <c r="AF526" t="s">
        <v>923</v>
      </c>
      <c r="AI526">
        <v>1</v>
      </c>
      <c r="AJ526" t="s">
        <v>558</v>
      </c>
      <c r="AK526" t="s">
        <v>2366</v>
      </c>
      <c r="AT526">
        <v>0</v>
      </c>
      <c r="AU526">
        <v>1</v>
      </c>
      <c r="AV526" t="s">
        <v>273</v>
      </c>
      <c r="AY526" t="s">
        <v>273</v>
      </c>
      <c r="BB526">
        <v>0</v>
      </c>
      <c r="BC526">
        <v>0</v>
      </c>
      <c r="BD526">
        <v>0</v>
      </c>
      <c r="BE526">
        <v>0</v>
      </c>
      <c r="BF526" t="s">
        <v>1063</v>
      </c>
      <c r="BG526" t="s">
        <v>2408</v>
      </c>
      <c r="BH526">
        <v>45</v>
      </c>
      <c r="BI526" t="s">
        <v>1267</v>
      </c>
      <c r="BK526">
        <v>1863747</v>
      </c>
    </row>
    <row r="527" spans="1:63">
      <c r="A527" s="1">
        <f>HYPERLINK("https://lsnyc.legalserver.org/matter/dynamic-profile/view/1867477","18-1867477")</f>
        <v>0</v>
      </c>
      <c r="B527" t="s">
        <v>5497</v>
      </c>
      <c r="C527" t="s">
        <v>5625</v>
      </c>
      <c r="D527" t="s">
        <v>257</v>
      </c>
      <c r="E527" t="s">
        <v>3694</v>
      </c>
      <c r="F527" t="s">
        <v>274</v>
      </c>
      <c r="G527" t="s">
        <v>274</v>
      </c>
      <c r="H527">
        <v>99.51000000000001</v>
      </c>
      <c r="I527" t="s">
        <v>274</v>
      </c>
      <c r="K527" t="s">
        <v>399</v>
      </c>
      <c r="Q527" t="s">
        <v>501</v>
      </c>
      <c r="S527" t="s">
        <v>503</v>
      </c>
      <c r="T527" t="s">
        <v>508</v>
      </c>
      <c r="U527" t="s">
        <v>511</v>
      </c>
      <c r="V527">
        <v>10451</v>
      </c>
      <c r="W527" t="s">
        <v>538</v>
      </c>
      <c r="Z527" t="s">
        <v>5963</v>
      </c>
      <c r="AA527" t="s">
        <v>6364</v>
      </c>
      <c r="AB527" t="s">
        <v>902</v>
      </c>
      <c r="AC527" t="s">
        <v>905</v>
      </c>
      <c r="AF527" t="s">
        <v>923</v>
      </c>
      <c r="AI527">
        <v>0.2</v>
      </c>
      <c r="AJ527" t="s">
        <v>558</v>
      </c>
      <c r="AK527" t="s">
        <v>939</v>
      </c>
      <c r="AT527">
        <v>1</v>
      </c>
      <c r="AU527">
        <v>1</v>
      </c>
      <c r="AV527" t="s">
        <v>273</v>
      </c>
      <c r="AY527" t="s">
        <v>273</v>
      </c>
      <c r="BB527">
        <v>0</v>
      </c>
      <c r="BC527">
        <v>0</v>
      </c>
      <c r="BD527">
        <v>0</v>
      </c>
      <c r="BE527">
        <v>0</v>
      </c>
      <c r="BF527" t="s">
        <v>1063</v>
      </c>
      <c r="BG527" t="s">
        <v>6848</v>
      </c>
      <c r="BH527">
        <v>14</v>
      </c>
      <c r="BI527" t="s">
        <v>7101</v>
      </c>
      <c r="BK527">
        <v>825409</v>
      </c>
    </row>
    <row r="528" spans="1:63">
      <c r="A528" s="1">
        <f>HYPERLINK("https://lsnyc.legalserver.org/matter/dynamic-profile/view/1867483","18-1867483")</f>
        <v>0</v>
      </c>
      <c r="B528" t="s">
        <v>5498</v>
      </c>
      <c r="C528" t="s">
        <v>5625</v>
      </c>
      <c r="D528" t="s">
        <v>257</v>
      </c>
      <c r="E528" t="s">
        <v>3694</v>
      </c>
      <c r="F528" t="s">
        <v>274</v>
      </c>
      <c r="G528" t="s">
        <v>274</v>
      </c>
      <c r="H528">
        <v>99.51000000000001</v>
      </c>
      <c r="I528" t="s">
        <v>274</v>
      </c>
      <c r="K528" t="s">
        <v>399</v>
      </c>
      <c r="Q528" t="s">
        <v>501</v>
      </c>
      <c r="S528" t="s">
        <v>503</v>
      </c>
      <c r="T528" t="s">
        <v>507</v>
      </c>
      <c r="U528" t="s">
        <v>511</v>
      </c>
      <c r="V528">
        <v>10451</v>
      </c>
      <c r="W528" t="s">
        <v>538</v>
      </c>
      <c r="Z528" t="s">
        <v>5964</v>
      </c>
      <c r="AA528" t="s">
        <v>3849</v>
      </c>
      <c r="AB528" t="s">
        <v>902</v>
      </c>
      <c r="AC528" t="s">
        <v>905</v>
      </c>
      <c r="AF528" t="s">
        <v>923</v>
      </c>
      <c r="AI528">
        <v>0.2</v>
      </c>
      <c r="AJ528" t="s">
        <v>558</v>
      </c>
      <c r="AK528" t="s">
        <v>939</v>
      </c>
      <c r="AT528">
        <v>1</v>
      </c>
      <c r="AU528">
        <v>1</v>
      </c>
      <c r="AV528" t="s">
        <v>273</v>
      </c>
      <c r="AY528" t="s">
        <v>273</v>
      </c>
      <c r="BB528">
        <v>0</v>
      </c>
      <c r="BC528">
        <v>0</v>
      </c>
      <c r="BD528">
        <v>0</v>
      </c>
      <c r="BE528">
        <v>0</v>
      </c>
      <c r="BF528" t="s">
        <v>1063</v>
      </c>
      <c r="BG528" t="s">
        <v>6849</v>
      </c>
      <c r="BH528">
        <v>12</v>
      </c>
      <c r="BI528" t="s">
        <v>7101</v>
      </c>
      <c r="BK528">
        <v>825409</v>
      </c>
    </row>
    <row r="529" spans="1:63">
      <c r="A529" s="1">
        <f>HYPERLINK("https://lsnyc.legalserver.org/matter/dynamic-profile/view/1867486","18-1867486")</f>
        <v>0</v>
      </c>
      <c r="B529" t="s">
        <v>5499</v>
      </c>
      <c r="C529" t="s">
        <v>5625</v>
      </c>
      <c r="D529" t="s">
        <v>257</v>
      </c>
      <c r="E529" t="s">
        <v>3694</v>
      </c>
      <c r="F529" t="s">
        <v>274</v>
      </c>
      <c r="G529" t="s">
        <v>274</v>
      </c>
      <c r="H529">
        <v>99.51000000000001</v>
      </c>
      <c r="I529" t="s">
        <v>274</v>
      </c>
      <c r="K529" t="s">
        <v>399</v>
      </c>
      <c r="Q529" t="s">
        <v>501</v>
      </c>
      <c r="S529" t="s">
        <v>503</v>
      </c>
      <c r="T529" t="s">
        <v>507</v>
      </c>
      <c r="U529" t="s">
        <v>511</v>
      </c>
      <c r="V529">
        <v>10451</v>
      </c>
      <c r="W529" t="s">
        <v>538</v>
      </c>
      <c r="Z529" t="s">
        <v>5965</v>
      </c>
      <c r="AA529" t="s">
        <v>6365</v>
      </c>
      <c r="AB529" t="s">
        <v>902</v>
      </c>
      <c r="AC529" t="s">
        <v>905</v>
      </c>
      <c r="AF529" t="s">
        <v>923</v>
      </c>
      <c r="AI529">
        <v>0.2</v>
      </c>
      <c r="AJ529" t="s">
        <v>558</v>
      </c>
      <c r="AK529" t="s">
        <v>939</v>
      </c>
      <c r="AT529">
        <v>1</v>
      </c>
      <c r="AU529">
        <v>1</v>
      </c>
      <c r="AV529" t="s">
        <v>273</v>
      </c>
      <c r="AY529" t="s">
        <v>273</v>
      </c>
      <c r="BB529">
        <v>0</v>
      </c>
      <c r="BC529">
        <v>0</v>
      </c>
      <c r="BD529">
        <v>0</v>
      </c>
      <c r="BE529">
        <v>0</v>
      </c>
      <c r="BF529" t="s">
        <v>1063</v>
      </c>
      <c r="BG529" t="s">
        <v>6850</v>
      </c>
      <c r="BH529">
        <v>10</v>
      </c>
      <c r="BI529" t="s">
        <v>7101</v>
      </c>
      <c r="BK529">
        <v>825409</v>
      </c>
    </row>
    <row r="530" spans="1:63">
      <c r="A530" s="1">
        <f>HYPERLINK("https://lsnyc.legalserver.org/matter/dynamic-profile/view/1867493","18-1867493")</f>
        <v>0</v>
      </c>
      <c r="B530" t="s">
        <v>5485</v>
      </c>
      <c r="C530" t="s">
        <v>5625</v>
      </c>
      <c r="D530" t="s">
        <v>257</v>
      </c>
      <c r="E530" t="s">
        <v>3694</v>
      </c>
      <c r="F530" t="s">
        <v>274</v>
      </c>
      <c r="G530" t="s">
        <v>274</v>
      </c>
      <c r="H530">
        <v>99.51000000000001</v>
      </c>
      <c r="I530" t="s">
        <v>274</v>
      </c>
      <c r="K530" t="s">
        <v>399</v>
      </c>
      <c r="Q530" t="s">
        <v>501</v>
      </c>
      <c r="S530" t="s">
        <v>503</v>
      </c>
      <c r="T530" t="s">
        <v>508</v>
      </c>
      <c r="U530" t="s">
        <v>511</v>
      </c>
      <c r="V530">
        <v>10451</v>
      </c>
      <c r="W530" t="s">
        <v>528</v>
      </c>
      <c r="Z530" t="s">
        <v>5955</v>
      </c>
      <c r="AA530" t="s">
        <v>1988</v>
      </c>
      <c r="AB530" t="s">
        <v>902</v>
      </c>
      <c r="AC530" t="s">
        <v>905</v>
      </c>
      <c r="AF530" t="s">
        <v>923</v>
      </c>
      <c r="AI530">
        <v>0.4</v>
      </c>
      <c r="AJ530" t="s">
        <v>2361</v>
      </c>
      <c r="AK530" t="s">
        <v>939</v>
      </c>
      <c r="AT530">
        <v>1</v>
      </c>
      <c r="AU530">
        <v>1</v>
      </c>
      <c r="AV530" t="s">
        <v>273</v>
      </c>
      <c r="AY530" t="s">
        <v>273</v>
      </c>
      <c r="BB530">
        <v>0</v>
      </c>
      <c r="BC530">
        <v>0</v>
      </c>
      <c r="BD530">
        <v>0</v>
      </c>
      <c r="BE530">
        <v>0</v>
      </c>
      <c r="BF530" t="s">
        <v>1063</v>
      </c>
      <c r="BG530" t="s">
        <v>6837</v>
      </c>
      <c r="BH530">
        <v>37</v>
      </c>
      <c r="BI530" t="s">
        <v>7101</v>
      </c>
      <c r="BK530">
        <v>825409</v>
      </c>
    </row>
    <row r="531" spans="1:63">
      <c r="A531" s="1">
        <f>HYPERLINK("https://lsnyc.legalserver.org/matter/dynamic-profile/view/1867496","18-1867496")</f>
        <v>0</v>
      </c>
      <c r="B531" t="s">
        <v>5500</v>
      </c>
      <c r="C531" t="s">
        <v>5625</v>
      </c>
      <c r="D531" t="s">
        <v>253</v>
      </c>
      <c r="E531" t="s">
        <v>3694</v>
      </c>
      <c r="F531" t="s">
        <v>274</v>
      </c>
      <c r="G531" t="s">
        <v>274</v>
      </c>
      <c r="H531">
        <v>123.73</v>
      </c>
      <c r="I531" t="s">
        <v>274</v>
      </c>
      <c r="K531" t="s">
        <v>399</v>
      </c>
      <c r="Q531" t="s">
        <v>501</v>
      </c>
      <c r="S531" t="s">
        <v>503</v>
      </c>
      <c r="T531" t="s">
        <v>508</v>
      </c>
      <c r="U531" t="s">
        <v>511</v>
      </c>
      <c r="V531">
        <v>7047</v>
      </c>
      <c r="W531" t="s">
        <v>528</v>
      </c>
      <c r="X531" t="s">
        <v>548</v>
      </c>
      <c r="Z531" t="s">
        <v>5866</v>
      </c>
      <c r="AA531" t="s">
        <v>6192</v>
      </c>
      <c r="AB531" t="s">
        <v>902</v>
      </c>
      <c r="AC531" t="s">
        <v>905</v>
      </c>
      <c r="AF531" t="s">
        <v>923</v>
      </c>
      <c r="AI531">
        <v>2.1</v>
      </c>
      <c r="AJ531" t="s">
        <v>558</v>
      </c>
      <c r="AK531" t="s">
        <v>933</v>
      </c>
      <c r="AT531">
        <v>3</v>
      </c>
      <c r="AU531">
        <v>2</v>
      </c>
      <c r="AV531" t="s">
        <v>273</v>
      </c>
      <c r="AY531" t="s">
        <v>273</v>
      </c>
      <c r="BB531">
        <v>0</v>
      </c>
      <c r="BC531">
        <v>0</v>
      </c>
      <c r="BD531">
        <v>0</v>
      </c>
      <c r="BE531">
        <v>0</v>
      </c>
      <c r="BF531" t="s">
        <v>1063</v>
      </c>
      <c r="BG531" t="s">
        <v>6851</v>
      </c>
      <c r="BH531">
        <v>37</v>
      </c>
      <c r="BI531" t="s">
        <v>1317</v>
      </c>
      <c r="BK531">
        <v>827677</v>
      </c>
    </row>
    <row r="532" spans="1:63">
      <c r="A532" s="1">
        <f>HYPERLINK("https://lsnyc.legalserver.org/matter/dynamic-profile/view/1867502","18-1867502")</f>
        <v>0</v>
      </c>
      <c r="B532" t="s">
        <v>5501</v>
      </c>
      <c r="C532" t="s">
        <v>5625</v>
      </c>
      <c r="D532" t="s">
        <v>257</v>
      </c>
      <c r="E532" t="s">
        <v>3694</v>
      </c>
      <c r="F532" t="s">
        <v>274</v>
      </c>
      <c r="G532" t="s">
        <v>274</v>
      </c>
      <c r="H532">
        <v>99.51000000000001</v>
      </c>
      <c r="I532" t="s">
        <v>274</v>
      </c>
      <c r="K532" t="s">
        <v>399</v>
      </c>
      <c r="Q532" t="s">
        <v>501</v>
      </c>
      <c r="S532" t="s">
        <v>503</v>
      </c>
      <c r="T532" t="s">
        <v>508</v>
      </c>
      <c r="U532" t="s">
        <v>511</v>
      </c>
      <c r="V532">
        <v>10451</v>
      </c>
      <c r="W532" t="s">
        <v>3017</v>
      </c>
      <c r="Z532" t="s">
        <v>5966</v>
      </c>
      <c r="AA532" t="s">
        <v>6366</v>
      </c>
      <c r="AB532" t="s">
        <v>902</v>
      </c>
      <c r="AC532" t="s">
        <v>905</v>
      </c>
      <c r="AF532" t="s">
        <v>923</v>
      </c>
      <c r="AI532">
        <v>0.2</v>
      </c>
      <c r="AJ532" t="s">
        <v>558</v>
      </c>
      <c r="AK532" t="s">
        <v>939</v>
      </c>
      <c r="AT532">
        <v>1</v>
      </c>
      <c r="AU532">
        <v>1</v>
      </c>
      <c r="AV532" t="s">
        <v>273</v>
      </c>
      <c r="AY532" t="s">
        <v>273</v>
      </c>
      <c r="BB532">
        <v>0</v>
      </c>
      <c r="BC532">
        <v>0</v>
      </c>
      <c r="BD532">
        <v>0</v>
      </c>
      <c r="BE532">
        <v>0</v>
      </c>
      <c r="BF532" t="s">
        <v>1063</v>
      </c>
      <c r="BG532" t="s">
        <v>6852</v>
      </c>
      <c r="BH532">
        <v>19</v>
      </c>
      <c r="BI532" t="s">
        <v>7101</v>
      </c>
      <c r="BK532">
        <v>825409</v>
      </c>
    </row>
    <row r="533" spans="1:63">
      <c r="A533" s="1">
        <f>HYPERLINK("https://lsnyc.legalserver.org/matter/dynamic-profile/view/1867507","18-1867507")</f>
        <v>0</v>
      </c>
      <c r="B533" t="s">
        <v>5497</v>
      </c>
      <c r="C533" t="s">
        <v>5625</v>
      </c>
      <c r="D533" t="s">
        <v>257</v>
      </c>
      <c r="E533" t="s">
        <v>3694</v>
      </c>
      <c r="F533" t="s">
        <v>274</v>
      </c>
      <c r="G533" t="s">
        <v>274</v>
      </c>
      <c r="H533">
        <v>99.51000000000001</v>
      </c>
      <c r="I533" t="s">
        <v>274</v>
      </c>
      <c r="K533" t="s">
        <v>399</v>
      </c>
      <c r="Q533" t="s">
        <v>501</v>
      </c>
      <c r="S533" t="s">
        <v>503</v>
      </c>
      <c r="T533" t="s">
        <v>508</v>
      </c>
      <c r="U533" t="s">
        <v>511</v>
      </c>
      <c r="V533">
        <v>10451</v>
      </c>
      <c r="W533" t="s">
        <v>3017</v>
      </c>
      <c r="Z533" t="s">
        <v>5963</v>
      </c>
      <c r="AA533" t="s">
        <v>6364</v>
      </c>
      <c r="AB533" t="s">
        <v>902</v>
      </c>
      <c r="AC533" t="s">
        <v>905</v>
      </c>
      <c r="AF533" t="s">
        <v>923</v>
      </c>
      <c r="AI533">
        <v>0.2</v>
      </c>
      <c r="AJ533" t="s">
        <v>558</v>
      </c>
      <c r="AK533" t="s">
        <v>939</v>
      </c>
      <c r="AT533">
        <v>1</v>
      </c>
      <c r="AU533">
        <v>1</v>
      </c>
      <c r="AV533" t="s">
        <v>273</v>
      </c>
      <c r="AY533" t="s">
        <v>273</v>
      </c>
      <c r="BB533">
        <v>0</v>
      </c>
      <c r="BC533">
        <v>0</v>
      </c>
      <c r="BD533">
        <v>0</v>
      </c>
      <c r="BE533">
        <v>0</v>
      </c>
      <c r="BF533" t="s">
        <v>1063</v>
      </c>
      <c r="BG533" t="s">
        <v>6848</v>
      </c>
      <c r="BH533">
        <v>14</v>
      </c>
      <c r="BI533" t="s">
        <v>7101</v>
      </c>
      <c r="BK533">
        <v>825409</v>
      </c>
    </row>
    <row r="534" spans="1:63">
      <c r="A534" s="1">
        <f>HYPERLINK("https://lsnyc.legalserver.org/matter/dynamic-profile/view/1867518","18-1867518")</f>
        <v>0</v>
      </c>
      <c r="B534" t="s">
        <v>5498</v>
      </c>
      <c r="C534" t="s">
        <v>5625</v>
      </c>
      <c r="D534" t="s">
        <v>257</v>
      </c>
      <c r="E534" t="s">
        <v>3694</v>
      </c>
      <c r="F534" t="s">
        <v>274</v>
      </c>
      <c r="G534" t="s">
        <v>274</v>
      </c>
      <c r="H534">
        <v>99.51000000000001</v>
      </c>
      <c r="I534" t="s">
        <v>274</v>
      </c>
      <c r="K534" t="s">
        <v>399</v>
      </c>
      <c r="Q534" t="s">
        <v>501</v>
      </c>
      <c r="S534" t="s">
        <v>503</v>
      </c>
      <c r="T534" t="s">
        <v>507</v>
      </c>
      <c r="U534" t="s">
        <v>511</v>
      </c>
      <c r="V534">
        <v>10451</v>
      </c>
      <c r="W534" t="s">
        <v>3017</v>
      </c>
      <c r="Z534" t="s">
        <v>5964</v>
      </c>
      <c r="AA534" t="s">
        <v>3849</v>
      </c>
      <c r="AB534" t="s">
        <v>902</v>
      </c>
      <c r="AC534" t="s">
        <v>905</v>
      </c>
      <c r="AF534" t="s">
        <v>923</v>
      </c>
      <c r="AI534">
        <v>0.2</v>
      </c>
      <c r="AJ534" t="s">
        <v>558</v>
      </c>
      <c r="AK534" t="s">
        <v>939</v>
      </c>
      <c r="AT534">
        <v>1</v>
      </c>
      <c r="AU534">
        <v>1</v>
      </c>
      <c r="AV534" t="s">
        <v>273</v>
      </c>
      <c r="AY534" t="s">
        <v>273</v>
      </c>
      <c r="BB534">
        <v>0</v>
      </c>
      <c r="BC534">
        <v>0</v>
      </c>
      <c r="BD534">
        <v>0</v>
      </c>
      <c r="BE534">
        <v>0</v>
      </c>
      <c r="BF534" t="s">
        <v>1063</v>
      </c>
      <c r="BG534" t="s">
        <v>6849</v>
      </c>
      <c r="BH534">
        <v>12</v>
      </c>
      <c r="BI534" t="s">
        <v>7101</v>
      </c>
      <c r="BK534">
        <v>825409</v>
      </c>
    </row>
    <row r="535" spans="1:63">
      <c r="A535" s="1">
        <f>HYPERLINK("https://lsnyc.legalserver.org/matter/dynamic-profile/view/1867523","18-1867523")</f>
        <v>0</v>
      </c>
      <c r="B535" t="s">
        <v>5499</v>
      </c>
      <c r="C535" t="s">
        <v>5625</v>
      </c>
      <c r="D535" t="s">
        <v>257</v>
      </c>
      <c r="E535" t="s">
        <v>3694</v>
      </c>
      <c r="F535" t="s">
        <v>274</v>
      </c>
      <c r="G535" t="s">
        <v>274</v>
      </c>
      <c r="H535">
        <v>99.51000000000001</v>
      </c>
      <c r="I535" t="s">
        <v>274</v>
      </c>
      <c r="K535" t="s">
        <v>399</v>
      </c>
      <c r="Q535" t="s">
        <v>501</v>
      </c>
      <c r="S535" t="s">
        <v>503</v>
      </c>
      <c r="T535" t="s">
        <v>507</v>
      </c>
      <c r="U535" t="s">
        <v>511</v>
      </c>
      <c r="V535">
        <v>10451</v>
      </c>
      <c r="W535" t="s">
        <v>3017</v>
      </c>
      <c r="Z535" t="s">
        <v>5965</v>
      </c>
      <c r="AA535" t="s">
        <v>6365</v>
      </c>
      <c r="AB535" t="s">
        <v>902</v>
      </c>
      <c r="AC535" t="s">
        <v>905</v>
      </c>
      <c r="AF535" t="s">
        <v>923</v>
      </c>
      <c r="AI535">
        <v>0.2</v>
      </c>
      <c r="AJ535" t="s">
        <v>558</v>
      </c>
      <c r="AK535" t="s">
        <v>939</v>
      </c>
      <c r="AT535">
        <v>1</v>
      </c>
      <c r="AU535">
        <v>1</v>
      </c>
      <c r="AV535" t="s">
        <v>273</v>
      </c>
      <c r="AY535" t="s">
        <v>273</v>
      </c>
      <c r="BB535">
        <v>0</v>
      </c>
      <c r="BC535">
        <v>0</v>
      </c>
      <c r="BD535">
        <v>0</v>
      </c>
      <c r="BE535">
        <v>0</v>
      </c>
      <c r="BF535" t="s">
        <v>1063</v>
      </c>
      <c r="BG535" t="s">
        <v>6850</v>
      </c>
      <c r="BH535">
        <v>10</v>
      </c>
      <c r="BI535" t="s">
        <v>7101</v>
      </c>
      <c r="BK535">
        <v>825409</v>
      </c>
    </row>
    <row r="536" spans="1:63">
      <c r="A536" s="1">
        <f>HYPERLINK("https://lsnyc.legalserver.org/matter/dynamic-profile/view/1867527","18-1867527")</f>
        <v>0</v>
      </c>
      <c r="B536" t="s">
        <v>5502</v>
      </c>
      <c r="C536" t="s">
        <v>5625</v>
      </c>
      <c r="D536" t="s">
        <v>254</v>
      </c>
      <c r="E536" t="s">
        <v>3694</v>
      </c>
      <c r="F536" t="s">
        <v>274</v>
      </c>
      <c r="G536" t="s">
        <v>274</v>
      </c>
      <c r="H536">
        <v>0</v>
      </c>
      <c r="I536" t="s">
        <v>274</v>
      </c>
      <c r="K536" t="s">
        <v>399</v>
      </c>
      <c r="O536" t="s">
        <v>274</v>
      </c>
      <c r="P536" t="s">
        <v>498</v>
      </c>
      <c r="Q536" t="s">
        <v>501</v>
      </c>
      <c r="S536" t="s">
        <v>503</v>
      </c>
      <c r="T536" t="s">
        <v>507</v>
      </c>
      <c r="U536" t="s">
        <v>511</v>
      </c>
      <c r="V536">
        <v>10304</v>
      </c>
      <c r="W536" t="s">
        <v>517</v>
      </c>
      <c r="X536" t="s">
        <v>549</v>
      </c>
      <c r="Y536" t="s">
        <v>274</v>
      </c>
      <c r="Z536" t="s">
        <v>1988</v>
      </c>
      <c r="AA536" t="s">
        <v>6079</v>
      </c>
      <c r="AB536" t="s">
        <v>902</v>
      </c>
      <c r="AC536" t="s">
        <v>904</v>
      </c>
      <c r="AF536" t="s">
        <v>923</v>
      </c>
      <c r="AI536">
        <v>1.5</v>
      </c>
      <c r="AJ536" t="s">
        <v>558</v>
      </c>
      <c r="AK536" t="s">
        <v>2384</v>
      </c>
      <c r="AT536">
        <v>0</v>
      </c>
      <c r="AU536">
        <v>1</v>
      </c>
      <c r="AV536" t="s">
        <v>273</v>
      </c>
      <c r="AY536" t="s">
        <v>273</v>
      </c>
      <c r="BB536">
        <v>0</v>
      </c>
      <c r="BC536">
        <v>0</v>
      </c>
      <c r="BD536">
        <v>0</v>
      </c>
      <c r="BE536">
        <v>0</v>
      </c>
      <c r="BF536" t="s">
        <v>1063</v>
      </c>
      <c r="BG536" t="s">
        <v>6853</v>
      </c>
      <c r="BH536">
        <v>23</v>
      </c>
      <c r="BI536" t="s">
        <v>1247</v>
      </c>
      <c r="BJ536" t="s">
        <v>1736</v>
      </c>
      <c r="BK536">
        <v>1868119</v>
      </c>
    </row>
    <row r="537" spans="1:63">
      <c r="A537" s="1">
        <f>HYPERLINK("https://lsnyc.legalserver.org/matter/dynamic-profile/view/1867553","18-1867553")</f>
        <v>0</v>
      </c>
      <c r="B537" t="s">
        <v>5503</v>
      </c>
      <c r="C537" t="s">
        <v>5625</v>
      </c>
      <c r="D537" t="s">
        <v>253</v>
      </c>
      <c r="E537" t="s">
        <v>3694</v>
      </c>
      <c r="F537" t="s">
        <v>274</v>
      </c>
      <c r="G537" t="s">
        <v>274</v>
      </c>
      <c r="H537">
        <v>123.73</v>
      </c>
      <c r="I537" t="s">
        <v>274</v>
      </c>
      <c r="K537" t="s">
        <v>399</v>
      </c>
      <c r="Q537" t="s">
        <v>501</v>
      </c>
      <c r="S537" t="s">
        <v>503</v>
      </c>
      <c r="T537" t="s">
        <v>507</v>
      </c>
      <c r="U537" t="s">
        <v>511</v>
      </c>
      <c r="V537">
        <v>7047</v>
      </c>
      <c r="W537" t="s">
        <v>538</v>
      </c>
      <c r="Y537" t="s">
        <v>274</v>
      </c>
      <c r="Z537" t="s">
        <v>3837</v>
      </c>
      <c r="AA537" t="s">
        <v>6367</v>
      </c>
      <c r="AB537" t="s">
        <v>902</v>
      </c>
      <c r="AC537" t="s">
        <v>905</v>
      </c>
      <c r="AF537" t="s">
        <v>923</v>
      </c>
      <c r="AI537">
        <v>0.2</v>
      </c>
      <c r="AK537" t="s">
        <v>933</v>
      </c>
      <c r="AT537">
        <v>3</v>
      </c>
      <c r="AU537">
        <v>2</v>
      </c>
      <c r="AV537" t="s">
        <v>273</v>
      </c>
      <c r="AY537" t="s">
        <v>273</v>
      </c>
      <c r="BB537">
        <v>0</v>
      </c>
      <c r="BC537">
        <v>0</v>
      </c>
      <c r="BD537">
        <v>0</v>
      </c>
      <c r="BE537">
        <v>0</v>
      </c>
      <c r="BF537" t="s">
        <v>1063</v>
      </c>
      <c r="BG537" t="s">
        <v>5042</v>
      </c>
      <c r="BH537">
        <v>38</v>
      </c>
      <c r="BI537" t="s">
        <v>1317</v>
      </c>
      <c r="BK537">
        <v>827677</v>
      </c>
    </row>
    <row r="538" spans="1:63">
      <c r="A538" s="1">
        <f>HYPERLINK("https://lsnyc.legalserver.org/matter/dynamic-profile/view/1867562","18-1867562")</f>
        <v>0</v>
      </c>
      <c r="B538" t="s">
        <v>5491</v>
      </c>
      <c r="C538" t="s">
        <v>5625</v>
      </c>
      <c r="D538" t="s">
        <v>253</v>
      </c>
      <c r="E538" t="s">
        <v>3694</v>
      </c>
      <c r="F538" t="s">
        <v>274</v>
      </c>
      <c r="G538" t="s">
        <v>274</v>
      </c>
      <c r="H538">
        <v>123.73</v>
      </c>
      <c r="I538" t="s">
        <v>274</v>
      </c>
      <c r="K538" t="s">
        <v>399</v>
      </c>
      <c r="Q538" t="s">
        <v>501</v>
      </c>
      <c r="S538" t="s">
        <v>503</v>
      </c>
      <c r="T538" t="s">
        <v>507</v>
      </c>
      <c r="U538" t="s">
        <v>511</v>
      </c>
      <c r="V538">
        <v>7047</v>
      </c>
      <c r="W538" t="s">
        <v>538</v>
      </c>
      <c r="Z538" t="s">
        <v>602</v>
      </c>
      <c r="AA538" t="s">
        <v>6360</v>
      </c>
      <c r="AB538" t="s">
        <v>902</v>
      </c>
      <c r="AC538" t="s">
        <v>908</v>
      </c>
      <c r="AF538" t="s">
        <v>923</v>
      </c>
      <c r="AI538">
        <v>0.3</v>
      </c>
      <c r="AJ538" t="s">
        <v>558</v>
      </c>
      <c r="AK538" t="s">
        <v>933</v>
      </c>
      <c r="AT538">
        <v>3</v>
      </c>
      <c r="AU538">
        <v>2</v>
      </c>
      <c r="AV538" t="s">
        <v>273</v>
      </c>
      <c r="AY538" t="s">
        <v>273</v>
      </c>
      <c r="BB538">
        <v>0</v>
      </c>
      <c r="BC538">
        <v>0</v>
      </c>
      <c r="BD538">
        <v>0</v>
      </c>
      <c r="BE538">
        <v>0</v>
      </c>
      <c r="BF538" t="s">
        <v>1063</v>
      </c>
      <c r="BG538" t="s">
        <v>6843</v>
      </c>
      <c r="BH538">
        <v>21</v>
      </c>
      <c r="BI538" t="s">
        <v>1317</v>
      </c>
      <c r="BK538">
        <v>1868154</v>
      </c>
    </row>
    <row r="539" spans="1:63">
      <c r="A539" s="1">
        <f>HYPERLINK("https://lsnyc.legalserver.org/matter/dynamic-profile/view/1867568","18-1867568")</f>
        <v>0</v>
      </c>
      <c r="B539" t="s">
        <v>5492</v>
      </c>
      <c r="C539" t="s">
        <v>5625</v>
      </c>
      <c r="D539" t="s">
        <v>253</v>
      </c>
      <c r="E539" t="s">
        <v>3694</v>
      </c>
      <c r="F539" t="s">
        <v>274</v>
      </c>
      <c r="G539" t="s">
        <v>274</v>
      </c>
      <c r="H539">
        <v>123.73</v>
      </c>
      <c r="I539" t="s">
        <v>274</v>
      </c>
      <c r="K539" t="s">
        <v>399</v>
      </c>
      <c r="Q539" t="s">
        <v>501</v>
      </c>
      <c r="S539" t="s">
        <v>503</v>
      </c>
      <c r="T539" t="s">
        <v>508</v>
      </c>
      <c r="U539" t="s">
        <v>511</v>
      </c>
      <c r="V539">
        <v>7047</v>
      </c>
      <c r="W539" t="s">
        <v>538</v>
      </c>
      <c r="Z539" t="s">
        <v>3114</v>
      </c>
      <c r="AA539" t="s">
        <v>6361</v>
      </c>
      <c r="AB539" t="s">
        <v>902</v>
      </c>
      <c r="AC539" t="s">
        <v>905</v>
      </c>
      <c r="AF539" t="s">
        <v>923</v>
      </c>
      <c r="AI539">
        <v>0.1</v>
      </c>
      <c r="AJ539" t="s">
        <v>2361</v>
      </c>
      <c r="AK539" t="s">
        <v>933</v>
      </c>
      <c r="AT539">
        <v>3</v>
      </c>
      <c r="AU539">
        <v>2</v>
      </c>
      <c r="AV539" t="s">
        <v>273</v>
      </c>
      <c r="AY539" t="s">
        <v>273</v>
      </c>
      <c r="BB539">
        <v>0</v>
      </c>
      <c r="BC539">
        <v>0</v>
      </c>
      <c r="BD539">
        <v>0</v>
      </c>
      <c r="BE539">
        <v>0</v>
      </c>
      <c r="BF539" t="s">
        <v>1063</v>
      </c>
      <c r="BG539" t="s">
        <v>6844</v>
      </c>
      <c r="BH539">
        <v>17</v>
      </c>
      <c r="BI539" t="s">
        <v>1317</v>
      </c>
      <c r="BK539">
        <v>1868154</v>
      </c>
    </row>
    <row r="540" spans="1:63">
      <c r="A540" s="1">
        <f>HYPERLINK("https://lsnyc.legalserver.org/matter/dynamic-profile/view/1867360","18-1867360")</f>
        <v>0</v>
      </c>
      <c r="B540" t="s">
        <v>5504</v>
      </c>
      <c r="C540" t="s">
        <v>5625</v>
      </c>
      <c r="D540" t="s">
        <v>254</v>
      </c>
      <c r="E540" t="s">
        <v>3694</v>
      </c>
      <c r="F540" t="s">
        <v>274</v>
      </c>
      <c r="G540" t="s">
        <v>274</v>
      </c>
      <c r="H540">
        <v>111.7</v>
      </c>
      <c r="I540" t="s">
        <v>274</v>
      </c>
      <c r="K540" t="s">
        <v>1745</v>
      </c>
      <c r="O540" t="s">
        <v>274</v>
      </c>
      <c r="P540" t="s">
        <v>498</v>
      </c>
      <c r="Q540" t="s">
        <v>501</v>
      </c>
      <c r="S540" t="s">
        <v>503</v>
      </c>
      <c r="T540" t="s">
        <v>507</v>
      </c>
      <c r="U540" t="s">
        <v>511</v>
      </c>
      <c r="V540">
        <v>10303</v>
      </c>
      <c r="W540" t="s">
        <v>517</v>
      </c>
      <c r="X540" t="s">
        <v>548</v>
      </c>
      <c r="Y540" t="s">
        <v>274</v>
      </c>
      <c r="Z540" t="s">
        <v>3835</v>
      </c>
      <c r="AA540" t="s">
        <v>6368</v>
      </c>
      <c r="AB540" t="s">
        <v>902</v>
      </c>
      <c r="AC540" t="s">
        <v>904</v>
      </c>
      <c r="AF540" t="s">
        <v>923</v>
      </c>
      <c r="AI540">
        <v>3.55</v>
      </c>
      <c r="AJ540" t="s">
        <v>558</v>
      </c>
      <c r="AK540" t="s">
        <v>950</v>
      </c>
      <c r="AT540">
        <v>0</v>
      </c>
      <c r="AU540">
        <v>1</v>
      </c>
      <c r="AV540" t="s">
        <v>273</v>
      </c>
      <c r="AY540" t="s">
        <v>273</v>
      </c>
      <c r="BB540">
        <v>0</v>
      </c>
      <c r="BC540">
        <v>0</v>
      </c>
      <c r="BD540">
        <v>0</v>
      </c>
      <c r="BE540">
        <v>0</v>
      </c>
      <c r="BF540" t="s">
        <v>1063</v>
      </c>
      <c r="BG540" t="s">
        <v>6854</v>
      </c>
      <c r="BH540">
        <v>62</v>
      </c>
      <c r="BI540" t="s">
        <v>7104</v>
      </c>
      <c r="BK540">
        <v>1859797</v>
      </c>
    </row>
    <row r="541" spans="1:63">
      <c r="A541" s="1">
        <f>HYPERLINK("https://lsnyc.legalserver.org/matter/dynamic-profile/view/1867373","18-1867373")</f>
        <v>0</v>
      </c>
      <c r="B541" t="s">
        <v>5235</v>
      </c>
      <c r="C541" t="s">
        <v>5625</v>
      </c>
      <c r="D541" t="s">
        <v>252</v>
      </c>
      <c r="E541" t="s">
        <v>3694</v>
      </c>
      <c r="F541" t="s">
        <v>274</v>
      </c>
      <c r="G541" t="s">
        <v>274</v>
      </c>
      <c r="H541">
        <v>179.76</v>
      </c>
      <c r="I541" t="s">
        <v>274</v>
      </c>
      <c r="K541" t="s">
        <v>1745</v>
      </c>
      <c r="O541" t="s">
        <v>274</v>
      </c>
      <c r="P541" t="s">
        <v>498</v>
      </c>
      <c r="Q541" t="s">
        <v>501</v>
      </c>
      <c r="S541" t="s">
        <v>503</v>
      </c>
      <c r="T541" t="s">
        <v>508</v>
      </c>
      <c r="U541" t="s">
        <v>511</v>
      </c>
      <c r="V541">
        <v>11219</v>
      </c>
      <c r="W541" t="s">
        <v>532</v>
      </c>
      <c r="X541" t="s">
        <v>548</v>
      </c>
      <c r="Z541" t="s">
        <v>5793</v>
      </c>
      <c r="AA541" t="s">
        <v>764</v>
      </c>
      <c r="AB541" t="s">
        <v>902</v>
      </c>
      <c r="AC541" t="s">
        <v>905</v>
      </c>
      <c r="AF541" t="s">
        <v>923</v>
      </c>
      <c r="AI541">
        <v>9.699999999999999</v>
      </c>
      <c r="AJ541" t="s">
        <v>558</v>
      </c>
      <c r="AK541" t="s">
        <v>941</v>
      </c>
      <c r="AL541" t="s">
        <v>274</v>
      </c>
      <c r="AT541">
        <v>3</v>
      </c>
      <c r="AU541">
        <v>1</v>
      </c>
      <c r="AV541" t="s">
        <v>273</v>
      </c>
      <c r="AY541" t="s">
        <v>273</v>
      </c>
      <c r="BB541">
        <v>0</v>
      </c>
      <c r="BC541">
        <v>0</v>
      </c>
      <c r="BD541">
        <v>0</v>
      </c>
      <c r="BE541">
        <v>0</v>
      </c>
      <c r="BF541" t="s">
        <v>1063</v>
      </c>
      <c r="BG541" t="s">
        <v>6609</v>
      </c>
      <c r="BH541">
        <v>32</v>
      </c>
      <c r="BI541" t="s">
        <v>7030</v>
      </c>
      <c r="BK541">
        <v>1867965</v>
      </c>
    </row>
    <row r="542" spans="1:63">
      <c r="A542" s="1">
        <f>HYPERLINK("https://lsnyc.legalserver.org/matter/dynamic-profile/view/1867446","18-1867446")</f>
        <v>0</v>
      </c>
      <c r="B542" t="s">
        <v>5505</v>
      </c>
      <c r="C542" t="s">
        <v>5625</v>
      </c>
      <c r="D542" t="s">
        <v>252</v>
      </c>
      <c r="E542" t="s">
        <v>3694</v>
      </c>
      <c r="F542" t="s">
        <v>274</v>
      </c>
      <c r="G542" t="s">
        <v>274</v>
      </c>
      <c r="H542">
        <v>29.16</v>
      </c>
      <c r="I542" t="s">
        <v>274</v>
      </c>
      <c r="K542" t="s">
        <v>1745</v>
      </c>
      <c r="Q542" t="s">
        <v>501</v>
      </c>
      <c r="S542" t="s">
        <v>503</v>
      </c>
      <c r="T542" t="s">
        <v>508</v>
      </c>
      <c r="U542" t="s">
        <v>511</v>
      </c>
      <c r="V542">
        <v>11223</v>
      </c>
      <c r="W542" t="s">
        <v>528</v>
      </c>
      <c r="X542" t="s">
        <v>548</v>
      </c>
      <c r="Z542" t="s">
        <v>5967</v>
      </c>
      <c r="AA542" t="s">
        <v>6369</v>
      </c>
      <c r="AB542" t="s">
        <v>902</v>
      </c>
      <c r="AC542" t="s">
        <v>905</v>
      </c>
      <c r="AF542" t="s">
        <v>923</v>
      </c>
      <c r="AI542">
        <v>0.2</v>
      </c>
      <c r="AJ542" t="s">
        <v>558</v>
      </c>
      <c r="AK542" t="s">
        <v>933</v>
      </c>
      <c r="AT542">
        <v>4</v>
      </c>
      <c r="AU542">
        <v>1</v>
      </c>
      <c r="AV542" t="s">
        <v>273</v>
      </c>
      <c r="AY542" t="s">
        <v>273</v>
      </c>
      <c r="BB542">
        <v>0</v>
      </c>
      <c r="BC542">
        <v>0</v>
      </c>
      <c r="BD542">
        <v>0</v>
      </c>
      <c r="BE542">
        <v>0</v>
      </c>
      <c r="BF542" t="s">
        <v>1063</v>
      </c>
      <c r="BG542" t="s">
        <v>6855</v>
      </c>
      <c r="BH542">
        <v>37</v>
      </c>
      <c r="BI542" t="s">
        <v>7105</v>
      </c>
      <c r="BK542">
        <v>1863017</v>
      </c>
    </row>
    <row r="543" spans="1:63">
      <c r="A543" s="1">
        <f>HYPERLINK("https://lsnyc.legalserver.org/matter/dynamic-profile/view/1867455","18-1867455")</f>
        <v>0</v>
      </c>
      <c r="B543" t="s">
        <v>5501</v>
      </c>
      <c r="C543" t="s">
        <v>5625</v>
      </c>
      <c r="D543" t="s">
        <v>257</v>
      </c>
      <c r="E543" t="s">
        <v>3694</v>
      </c>
      <c r="F543" t="s">
        <v>274</v>
      </c>
      <c r="G543" t="s">
        <v>274</v>
      </c>
      <c r="H543">
        <v>99.51000000000001</v>
      </c>
      <c r="I543" t="s">
        <v>274</v>
      </c>
      <c r="K543" t="s">
        <v>1745</v>
      </c>
      <c r="Q543" t="s">
        <v>501</v>
      </c>
      <c r="S543" t="s">
        <v>503</v>
      </c>
      <c r="T543" t="s">
        <v>508</v>
      </c>
      <c r="U543" t="s">
        <v>511</v>
      </c>
      <c r="V543">
        <v>10451</v>
      </c>
      <c r="W543" t="s">
        <v>538</v>
      </c>
      <c r="Z543" t="s">
        <v>5966</v>
      </c>
      <c r="AA543" t="s">
        <v>6366</v>
      </c>
      <c r="AB543" t="s">
        <v>902</v>
      </c>
      <c r="AC543" t="s">
        <v>905</v>
      </c>
      <c r="AF543" t="s">
        <v>923</v>
      </c>
      <c r="AI543">
        <v>0.2</v>
      </c>
      <c r="AJ543" t="s">
        <v>558</v>
      </c>
      <c r="AK543" t="s">
        <v>939</v>
      </c>
      <c r="AT543">
        <v>1</v>
      </c>
      <c r="AU543">
        <v>1</v>
      </c>
      <c r="AV543" t="s">
        <v>273</v>
      </c>
      <c r="AY543" t="s">
        <v>273</v>
      </c>
      <c r="BB543">
        <v>0</v>
      </c>
      <c r="BC543">
        <v>0</v>
      </c>
      <c r="BD543">
        <v>0</v>
      </c>
      <c r="BE543">
        <v>0</v>
      </c>
      <c r="BF543" t="s">
        <v>1063</v>
      </c>
      <c r="BG543" t="s">
        <v>6852</v>
      </c>
      <c r="BH543">
        <v>19</v>
      </c>
      <c r="BI543" t="s">
        <v>7101</v>
      </c>
      <c r="BK543">
        <v>825409</v>
      </c>
    </row>
    <row r="544" spans="1:63">
      <c r="A544" s="1">
        <f>HYPERLINK("https://lsnyc.legalserver.org/matter/dynamic-profile/view/1866846","18-1866846")</f>
        <v>0</v>
      </c>
      <c r="B544" t="s">
        <v>5506</v>
      </c>
      <c r="C544" t="s">
        <v>5625</v>
      </c>
      <c r="D544" t="s">
        <v>252</v>
      </c>
      <c r="E544" t="s">
        <v>3694</v>
      </c>
      <c r="F544" t="s">
        <v>274</v>
      </c>
      <c r="G544" t="s">
        <v>274</v>
      </c>
      <c r="H544">
        <v>0</v>
      </c>
      <c r="I544" t="s">
        <v>274</v>
      </c>
      <c r="K544" t="s">
        <v>1748</v>
      </c>
      <c r="L544" t="s">
        <v>1004</v>
      </c>
      <c r="O544" t="s">
        <v>275</v>
      </c>
      <c r="P544" t="s">
        <v>493</v>
      </c>
      <c r="Q544" t="s">
        <v>501</v>
      </c>
      <c r="S544" t="s">
        <v>503</v>
      </c>
      <c r="T544" t="s">
        <v>507</v>
      </c>
      <c r="U544" t="s">
        <v>511</v>
      </c>
      <c r="V544">
        <v>11234</v>
      </c>
      <c r="W544" t="s">
        <v>521</v>
      </c>
      <c r="X544" t="s">
        <v>549</v>
      </c>
      <c r="Y544" t="s">
        <v>275</v>
      </c>
      <c r="Z544" t="s">
        <v>5968</v>
      </c>
      <c r="AA544" t="s">
        <v>6370</v>
      </c>
      <c r="AB544" t="s">
        <v>902</v>
      </c>
      <c r="AC544" t="s">
        <v>905</v>
      </c>
      <c r="AD544" t="s">
        <v>275</v>
      </c>
      <c r="AE544" t="s">
        <v>919</v>
      </c>
      <c r="AF544" t="s">
        <v>923</v>
      </c>
      <c r="AI544">
        <v>4.5</v>
      </c>
      <c r="AJ544" t="s">
        <v>558</v>
      </c>
      <c r="AK544" t="s">
        <v>961</v>
      </c>
      <c r="AQ544" t="s">
        <v>1039</v>
      </c>
      <c r="AR544" t="s">
        <v>1051</v>
      </c>
      <c r="AT544">
        <v>0</v>
      </c>
      <c r="AU544">
        <v>1</v>
      </c>
      <c r="AV544" t="s">
        <v>273</v>
      </c>
      <c r="AY544" t="s">
        <v>273</v>
      </c>
      <c r="BB544">
        <v>0</v>
      </c>
      <c r="BC544">
        <v>0</v>
      </c>
      <c r="BD544">
        <v>0</v>
      </c>
      <c r="BE544">
        <v>0</v>
      </c>
      <c r="BF544" t="s">
        <v>493</v>
      </c>
      <c r="BG544" t="s">
        <v>6856</v>
      </c>
      <c r="BH544">
        <v>23</v>
      </c>
      <c r="BI544" t="s">
        <v>1247</v>
      </c>
      <c r="BK544">
        <v>1867438</v>
      </c>
    </row>
    <row r="545" spans="1:63">
      <c r="A545" s="1">
        <f>HYPERLINK("https://lsnyc.legalserver.org/matter/dynamic-profile/view/1866871","18-1866871")</f>
        <v>0</v>
      </c>
      <c r="B545" t="s">
        <v>5507</v>
      </c>
      <c r="C545" t="s">
        <v>5625</v>
      </c>
      <c r="D545" t="s">
        <v>257</v>
      </c>
      <c r="E545" t="s">
        <v>3694</v>
      </c>
      <c r="F545" t="s">
        <v>274</v>
      </c>
      <c r="G545" t="s">
        <v>274</v>
      </c>
      <c r="H545">
        <v>0</v>
      </c>
      <c r="I545" t="s">
        <v>274</v>
      </c>
      <c r="K545" t="s">
        <v>1748</v>
      </c>
      <c r="Q545" t="s">
        <v>501</v>
      </c>
      <c r="S545" t="s">
        <v>503</v>
      </c>
      <c r="T545" t="s">
        <v>508</v>
      </c>
      <c r="U545" t="s">
        <v>511</v>
      </c>
      <c r="V545">
        <v>10468</v>
      </c>
      <c r="W545" t="s">
        <v>524</v>
      </c>
      <c r="X545" t="s">
        <v>548</v>
      </c>
      <c r="Z545" t="s">
        <v>5969</v>
      </c>
      <c r="AA545" t="s">
        <v>6371</v>
      </c>
      <c r="AB545" t="s">
        <v>902</v>
      </c>
      <c r="AC545" t="s">
        <v>905</v>
      </c>
      <c r="AF545" t="s">
        <v>923</v>
      </c>
      <c r="AI545">
        <v>0.75</v>
      </c>
      <c r="AJ545" t="s">
        <v>558</v>
      </c>
      <c r="AK545" t="s">
        <v>949</v>
      </c>
      <c r="AT545">
        <v>0</v>
      </c>
      <c r="AU545">
        <v>1</v>
      </c>
      <c r="AV545" t="s">
        <v>273</v>
      </c>
      <c r="AY545" t="s">
        <v>273</v>
      </c>
      <c r="BB545">
        <v>0</v>
      </c>
      <c r="BC545">
        <v>0</v>
      </c>
      <c r="BD545">
        <v>0</v>
      </c>
      <c r="BE545">
        <v>0</v>
      </c>
      <c r="BF545" t="s">
        <v>1063</v>
      </c>
      <c r="BG545" t="s">
        <v>6857</v>
      </c>
      <c r="BH545">
        <v>25</v>
      </c>
      <c r="BI545" t="s">
        <v>1247</v>
      </c>
      <c r="BK545">
        <v>1861438</v>
      </c>
    </row>
    <row r="546" spans="1:63">
      <c r="A546" s="1">
        <f>HYPERLINK("https://lsnyc.legalserver.org/matter/dynamic-profile/view/1866879","18-1866879")</f>
        <v>0</v>
      </c>
      <c r="B546" t="s">
        <v>5352</v>
      </c>
      <c r="C546" t="s">
        <v>5625</v>
      </c>
      <c r="D546" t="s">
        <v>252</v>
      </c>
      <c r="E546" t="s">
        <v>3694</v>
      </c>
      <c r="F546" t="s">
        <v>274</v>
      </c>
      <c r="G546" t="s">
        <v>274</v>
      </c>
      <c r="H546">
        <v>128.5</v>
      </c>
      <c r="I546" t="s">
        <v>274</v>
      </c>
      <c r="K546" t="s">
        <v>1748</v>
      </c>
      <c r="Q546" t="s">
        <v>501</v>
      </c>
      <c r="S546" t="s">
        <v>503</v>
      </c>
      <c r="T546" t="s">
        <v>508</v>
      </c>
      <c r="U546" t="s">
        <v>511</v>
      </c>
      <c r="V546">
        <v>11206</v>
      </c>
      <c r="W546" t="s">
        <v>524</v>
      </c>
      <c r="Y546" t="s">
        <v>275</v>
      </c>
      <c r="Z546" t="s">
        <v>2085</v>
      </c>
      <c r="AA546" t="s">
        <v>4779</v>
      </c>
      <c r="AB546" t="s">
        <v>902</v>
      </c>
      <c r="AC546" t="s">
        <v>905</v>
      </c>
      <c r="AF546" t="s">
        <v>923</v>
      </c>
      <c r="AI546">
        <v>0.75</v>
      </c>
      <c r="AJ546" t="s">
        <v>558</v>
      </c>
      <c r="AK546" t="s">
        <v>6452</v>
      </c>
      <c r="AT546">
        <v>0</v>
      </c>
      <c r="AU546">
        <v>1</v>
      </c>
      <c r="AV546" t="s">
        <v>273</v>
      </c>
      <c r="AY546" t="s">
        <v>273</v>
      </c>
      <c r="BB546">
        <v>0</v>
      </c>
      <c r="BC546">
        <v>0</v>
      </c>
      <c r="BD546">
        <v>0</v>
      </c>
      <c r="BE546">
        <v>0</v>
      </c>
      <c r="BF546" t="s">
        <v>1063</v>
      </c>
      <c r="BG546" t="s">
        <v>6858</v>
      </c>
      <c r="BH546">
        <v>33</v>
      </c>
      <c r="BI546" t="s">
        <v>1270</v>
      </c>
      <c r="BK546">
        <v>1859250</v>
      </c>
    </row>
    <row r="547" spans="1:63">
      <c r="A547" s="1">
        <f>HYPERLINK("https://lsnyc.legalserver.org/matter/dynamic-profile/view/1866886","18-1866886")</f>
        <v>0</v>
      </c>
      <c r="B547" t="s">
        <v>5508</v>
      </c>
      <c r="C547" t="s">
        <v>5625</v>
      </c>
      <c r="D547" t="s">
        <v>253</v>
      </c>
      <c r="E547" t="s">
        <v>3694</v>
      </c>
      <c r="F547" t="s">
        <v>274</v>
      </c>
      <c r="G547" t="s">
        <v>274</v>
      </c>
      <c r="H547">
        <v>128.5</v>
      </c>
      <c r="I547" t="s">
        <v>274</v>
      </c>
      <c r="K547" t="s">
        <v>1748</v>
      </c>
      <c r="Q547" t="s">
        <v>501</v>
      </c>
      <c r="S547" t="s">
        <v>503</v>
      </c>
      <c r="T547" t="s">
        <v>508</v>
      </c>
      <c r="U547" t="s">
        <v>511</v>
      </c>
      <c r="V547">
        <v>11422</v>
      </c>
      <c r="W547" t="s">
        <v>544</v>
      </c>
      <c r="X547" t="s">
        <v>554</v>
      </c>
      <c r="Z547" t="s">
        <v>5970</v>
      </c>
      <c r="AA547" t="s">
        <v>6372</v>
      </c>
      <c r="AB547" t="s">
        <v>902</v>
      </c>
      <c r="AC547" t="s">
        <v>905</v>
      </c>
      <c r="AF547" t="s">
        <v>923</v>
      </c>
      <c r="AI547">
        <v>2.65</v>
      </c>
      <c r="AJ547" t="s">
        <v>558</v>
      </c>
      <c r="AK547" t="s">
        <v>937</v>
      </c>
      <c r="AT547">
        <v>0</v>
      </c>
      <c r="AU547">
        <v>1</v>
      </c>
      <c r="AV547" t="s">
        <v>273</v>
      </c>
      <c r="AY547" t="s">
        <v>273</v>
      </c>
      <c r="BB547">
        <v>0</v>
      </c>
      <c r="BC547">
        <v>0</v>
      </c>
      <c r="BD547">
        <v>0</v>
      </c>
      <c r="BE547">
        <v>0</v>
      </c>
      <c r="BF547" t="s">
        <v>1063</v>
      </c>
      <c r="BG547" t="s">
        <v>6859</v>
      </c>
      <c r="BH547">
        <v>32</v>
      </c>
      <c r="BI547" t="s">
        <v>1270</v>
      </c>
      <c r="BK547">
        <v>1843007</v>
      </c>
    </row>
    <row r="548" spans="1:63">
      <c r="A548" s="1">
        <f>HYPERLINK("https://lsnyc.legalserver.org/matter/dynamic-profile/view/1866910","18-1866910")</f>
        <v>0</v>
      </c>
      <c r="B548" t="s">
        <v>5509</v>
      </c>
      <c r="C548" t="s">
        <v>5625</v>
      </c>
      <c r="D548" t="s">
        <v>257</v>
      </c>
      <c r="E548" t="s">
        <v>3694</v>
      </c>
      <c r="F548" t="s">
        <v>274</v>
      </c>
      <c r="G548" t="s">
        <v>274</v>
      </c>
      <c r="H548">
        <v>0</v>
      </c>
      <c r="I548" t="s">
        <v>274</v>
      </c>
      <c r="K548" t="s">
        <v>1748</v>
      </c>
      <c r="Q548" t="s">
        <v>501</v>
      </c>
      <c r="S548" t="s">
        <v>503</v>
      </c>
      <c r="T548" t="s">
        <v>508</v>
      </c>
      <c r="U548" t="s">
        <v>511</v>
      </c>
      <c r="V548">
        <v>10467</v>
      </c>
      <c r="W548" t="s">
        <v>524</v>
      </c>
      <c r="Y548" t="s">
        <v>275</v>
      </c>
      <c r="Z548" t="s">
        <v>5971</v>
      </c>
      <c r="AA548" t="s">
        <v>6373</v>
      </c>
      <c r="AB548" t="s">
        <v>902</v>
      </c>
      <c r="AC548" t="s">
        <v>905</v>
      </c>
      <c r="AF548" t="s">
        <v>923</v>
      </c>
      <c r="AI548">
        <v>1.2</v>
      </c>
      <c r="AJ548" t="s">
        <v>558</v>
      </c>
      <c r="AK548" t="s">
        <v>944</v>
      </c>
      <c r="AT548">
        <v>0</v>
      </c>
      <c r="AU548">
        <v>1</v>
      </c>
      <c r="AV548" t="s">
        <v>273</v>
      </c>
      <c r="AY548" t="s">
        <v>273</v>
      </c>
      <c r="BB548">
        <v>0</v>
      </c>
      <c r="BC548">
        <v>0</v>
      </c>
      <c r="BD548">
        <v>0</v>
      </c>
      <c r="BE548">
        <v>0</v>
      </c>
      <c r="BF548" t="s">
        <v>1063</v>
      </c>
      <c r="BG548" t="s">
        <v>6860</v>
      </c>
      <c r="BH548">
        <v>55</v>
      </c>
      <c r="BI548" t="s">
        <v>1247</v>
      </c>
      <c r="BK548">
        <v>1864567</v>
      </c>
    </row>
    <row r="549" spans="1:63">
      <c r="A549" s="1">
        <f>HYPERLINK("https://lsnyc.legalserver.org/matter/dynamic-profile/view/1866914","18-1866914")</f>
        <v>0</v>
      </c>
      <c r="B549" t="s">
        <v>5510</v>
      </c>
      <c r="C549" t="s">
        <v>5625</v>
      </c>
      <c r="D549" t="s">
        <v>253</v>
      </c>
      <c r="E549" t="s">
        <v>3694</v>
      </c>
      <c r="F549" t="s">
        <v>274</v>
      </c>
      <c r="G549" t="s">
        <v>274</v>
      </c>
      <c r="H549">
        <v>0</v>
      </c>
      <c r="I549" t="s">
        <v>274</v>
      </c>
      <c r="K549" t="s">
        <v>1748</v>
      </c>
      <c r="Q549" t="s">
        <v>501</v>
      </c>
      <c r="S549" t="s">
        <v>503</v>
      </c>
      <c r="T549" t="s">
        <v>508</v>
      </c>
      <c r="U549" t="s">
        <v>511</v>
      </c>
      <c r="V549">
        <v>11418</v>
      </c>
      <c r="W549" t="s">
        <v>544</v>
      </c>
      <c r="X549" t="s">
        <v>548</v>
      </c>
      <c r="Y549" t="s">
        <v>275</v>
      </c>
      <c r="Z549" t="s">
        <v>4651</v>
      </c>
      <c r="AA549" t="s">
        <v>6374</v>
      </c>
      <c r="AB549" t="s">
        <v>902</v>
      </c>
      <c r="AC549" t="s">
        <v>904</v>
      </c>
      <c r="AF549" t="s">
        <v>923</v>
      </c>
      <c r="AI549">
        <v>1.5</v>
      </c>
      <c r="AJ549" t="s">
        <v>558</v>
      </c>
      <c r="AK549" t="s">
        <v>950</v>
      </c>
      <c r="AT549">
        <v>1</v>
      </c>
      <c r="AU549">
        <v>1</v>
      </c>
      <c r="AV549" t="s">
        <v>273</v>
      </c>
      <c r="AY549" t="s">
        <v>273</v>
      </c>
      <c r="BB549">
        <v>0</v>
      </c>
      <c r="BC549">
        <v>0</v>
      </c>
      <c r="BD549">
        <v>0</v>
      </c>
      <c r="BE549">
        <v>0</v>
      </c>
      <c r="BF549" t="s">
        <v>1063</v>
      </c>
      <c r="BG549" t="s">
        <v>6861</v>
      </c>
      <c r="BH549">
        <v>39</v>
      </c>
      <c r="BI549" t="s">
        <v>1247</v>
      </c>
      <c r="BK549">
        <v>1860358</v>
      </c>
    </row>
    <row r="550" spans="1:63">
      <c r="A550" s="1">
        <f>HYPERLINK("https://lsnyc.legalserver.org/matter/dynamic-profile/view/1866926","18-1866926")</f>
        <v>0</v>
      </c>
      <c r="B550" t="s">
        <v>5511</v>
      </c>
      <c r="C550" t="s">
        <v>5625</v>
      </c>
      <c r="D550" t="s">
        <v>253</v>
      </c>
      <c r="E550" t="s">
        <v>3694</v>
      </c>
      <c r="F550" t="s">
        <v>274</v>
      </c>
      <c r="G550" t="s">
        <v>274</v>
      </c>
      <c r="H550">
        <v>19.77</v>
      </c>
      <c r="I550" t="s">
        <v>274</v>
      </c>
      <c r="K550" t="s">
        <v>1748</v>
      </c>
      <c r="Q550" t="s">
        <v>501</v>
      </c>
      <c r="S550" t="s">
        <v>503</v>
      </c>
      <c r="T550" t="s">
        <v>508</v>
      </c>
      <c r="U550" t="s">
        <v>511</v>
      </c>
      <c r="V550">
        <v>11104</v>
      </c>
      <c r="W550" t="s">
        <v>544</v>
      </c>
      <c r="Y550" t="s">
        <v>275</v>
      </c>
      <c r="Z550" t="s">
        <v>5972</v>
      </c>
      <c r="AA550" t="s">
        <v>6375</v>
      </c>
      <c r="AB550" t="s">
        <v>902</v>
      </c>
      <c r="AC550" t="s">
        <v>904</v>
      </c>
      <c r="AF550" t="s">
        <v>923</v>
      </c>
      <c r="AI550">
        <v>0.6</v>
      </c>
      <c r="AJ550" t="s">
        <v>558</v>
      </c>
      <c r="AK550" t="s">
        <v>6462</v>
      </c>
      <c r="AT550">
        <v>0</v>
      </c>
      <c r="AU550">
        <v>1</v>
      </c>
      <c r="AV550" t="s">
        <v>273</v>
      </c>
      <c r="AY550" t="s">
        <v>273</v>
      </c>
      <c r="BB550">
        <v>0</v>
      </c>
      <c r="BC550">
        <v>0</v>
      </c>
      <c r="BD550">
        <v>0</v>
      </c>
      <c r="BE550">
        <v>0</v>
      </c>
      <c r="BF550" t="s">
        <v>1063</v>
      </c>
      <c r="BG550" t="s">
        <v>6862</v>
      </c>
      <c r="BH550">
        <v>53</v>
      </c>
      <c r="BI550" t="s">
        <v>1291</v>
      </c>
      <c r="BK550">
        <v>1853717</v>
      </c>
    </row>
    <row r="551" spans="1:63">
      <c r="A551" s="1">
        <f>HYPERLINK("https://lsnyc.legalserver.org/matter/dynamic-profile/view/1866930","18-1866930")</f>
        <v>0</v>
      </c>
      <c r="B551" t="s">
        <v>5512</v>
      </c>
      <c r="C551" t="s">
        <v>5625</v>
      </c>
      <c r="D551" t="s">
        <v>253</v>
      </c>
      <c r="E551" t="s">
        <v>3694</v>
      </c>
      <c r="F551" t="s">
        <v>274</v>
      </c>
      <c r="G551" t="s">
        <v>274</v>
      </c>
      <c r="H551">
        <v>20.19</v>
      </c>
      <c r="I551" t="s">
        <v>274</v>
      </c>
      <c r="K551" t="s">
        <v>1748</v>
      </c>
      <c r="Q551" t="s">
        <v>501</v>
      </c>
      <c r="S551" t="s">
        <v>503</v>
      </c>
      <c r="T551" t="s">
        <v>508</v>
      </c>
      <c r="U551" t="s">
        <v>511</v>
      </c>
      <c r="V551">
        <v>11433</v>
      </c>
      <c r="W551" t="s">
        <v>524</v>
      </c>
      <c r="Y551" t="s">
        <v>274</v>
      </c>
      <c r="Z551" t="s">
        <v>5973</v>
      </c>
      <c r="AA551" t="s">
        <v>6376</v>
      </c>
      <c r="AB551" t="s">
        <v>902</v>
      </c>
      <c r="AC551" t="s">
        <v>905</v>
      </c>
      <c r="AF551" t="s">
        <v>923</v>
      </c>
      <c r="AI551">
        <v>1.51</v>
      </c>
      <c r="AJ551" t="s">
        <v>558</v>
      </c>
      <c r="AK551" t="s">
        <v>6463</v>
      </c>
      <c r="AT551">
        <v>1</v>
      </c>
      <c r="AU551">
        <v>1</v>
      </c>
      <c r="AV551" t="s">
        <v>273</v>
      </c>
      <c r="AY551" t="s">
        <v>273</v>
      </c>
      <c r="BB551">
        <v>0</v>
      </c>
      <c r="BC551">
        <v>0</v>
      </c>
      <c r="BD551">
        <v>0</v>
      </c>
      <c r="BE551">
        <v>0</v>
      </c>
      <c r="BF551" t="s">
        <v>1063</v>
      </c>
      <c r="BG551" t="s">
        <v>6863</v>
      </c>
      <c r="BH551">
        <v>34</v>
      </c>
      <c r="BI551" t="s">
        <v>7106</v>
      </c>
      <c r="BK551">
        <v>1859433</v>
      </c>
    </row>
    <row r="552" spans="1:63">
      <c r="A552" s="1">
        <f>HYPERLINK("https://lsnyc.legalserver.org/matter/dynamic-profile/view/1866638","18-1866638")</f>
        <v>0</v>
      </c>
      <c r="B552" t="s">
        <v>5513</v>
      </c>
      <c r="C552" t="s">
        <v>5625</v>
      </c>
      <c r="D552" t="s">
        <v>257</v>
      </c>
      <c r="E552" t="s">
        <v>3694</v>
      </c>
      <c r="F552" t="s">
        <v>274</v>
      </c>
      <c r="G552" t="s">
        <v>274</v>
      </c>
      <c r="H552">
        <v>119.93</v>
      </c>
      <c r="I552" t="s">
        <v>274</v>
      </c>
      <c r="K552" t="s">
        <v>1749</v>
      </c>
      <c r="Q552" t="s">
        <v>501</v>
      </c>
      <c r="S552" t="s">
        <v>503</v>
      </c>
      <c r="T552" t="s">
        <v>508</v>
      </c>
      <c r="U552" t="s">
        <v>511</v>
      </c>
      <c r="V552">
        <v>10456</v>
      </c>
      <c r="W552" t="s">
        <v>544</v>
      </c>
      <c r="X552" t="s">
        <v>548</v>
      </c>
      <c r="Y552" t="s">
        <v>274</v>
      </c>
      <c r="Z552" t="s">
        <v>5974</v>
      </c>
      <c r="AA552" t="s">
        <v>2320</v>
      </c>
      <c r="AB552" t="s">
        <v>902</v>
      </c>
      <c r="AC552" t="s">
        <v>904</v>
      </c>
      <c r="AF552" t="s">
        <v>923</v>
      </c>
      <c r="AI552">
        <v>0.8</v>
      </c>
      <c r="AJ552" t="s">
        <v>558</v>
      </c>
      <c r="AK552" t="s">
        <v>950</v>
      </c>
      <c r="AT552">
        <v>0</v>
      </c>
      <c r="AU552">
        <v>1</v>
      </c>
      <c r="AV552" t="s">
        <v>273</v>
      </c>
      <c r="AY552" t="s">
        <v>273</v>
      </c>
      <c r="BB552">
        <v>0</v>
      </c>
      <c r="BC552">
        <v>0</v>
      </c>
      <c r="BD552">
        <v>0</v>
      </c>
      <c r="BE552">
        <v>0</v>
      </c>
      <c r="BF552" t="s">
        <v>1063</v>
      </c>
      <c r="BG552" t="s">
        <v>6864</v>
      </c>
      <c r="BH552">
        <v>55</v>
      </c>
      <c r="BI552" t="s">
        <v>2719</v>
      </c>
      <c r="BK552">
        <v>1845022</v>
      </c>
    </row>
    <row r="553" spans="1:63">
      <c r="A553" s="1">
        <f>HYPERLINK("https://lsnyc.legalserver.org/matter/dynamic-profile/view/1866643","18-1866643")</f>
        <v>0</v>
      </c>
      <c r="B553" t="s">
        <v>5514</v>
      </c>
      <c r="C553" t="s">
        <v>5625</v>
      </c>
      <c r="D553" t="s">
        <v>253</v>
      </c>
      <c r="E553" t="s">
        <v>3694</v>
      </c>
      <c r="F553" t="s">
        <v>274</v>
      </c>
      <c r="G553" t="s">
        <v>274</v>
      </c>
      <c r="H553">
        <v>118.41</v>
      </c>
      <c r="I553" t="s">
        <v>274</v>
      </c>
      <c r="K553" t="s">
        <v>1749</v>
      </c>
      <c r="Q553" t="s">
        <v>501</v>
      </c>
      <c r="S553" t="s">
        <v>503</v>
      </c>
      <c r="T553" t="s">
        <v>508</v>
      </c>
      <c r="U553" t="s">
        <v>511</v>
      </c>
      <c r="V553">
        <v>11433</v>
      </c>
      <c r="W553" t="s">
        <v>544</v>
      </c>
      <c r="X553" t="s">
        <v>548</v>
      </c>
      <c r="Y553" t="s">
        <v>275</v>
      </c>
      <c r="Z553" t="s">
        <v>2011</v>
      </c>
      <c r="AA553" t="s">
        <v>6377</v>
      </c>
      <c r="AB553" t="s">
        <v>902</v>
      </c>
      <c r="AC553" t="s">
        <v>904</v>
      </c>
      <c r="AF553" t="s">
        <v>923</v>
      </c>
      <c r="AI553">
        <v>1.6</v>
      </c>
      <c r="AJ553" t="s">
        <v>558</v>
      </c>
      <c r="AK553" t="s">
        <v>950</v>
      </c>
      <c r="AT553">
        <v>2</v>
      </c>
      <c r="AU553">
        <v>2</v>
      </c>
      <c r="AV553" t="s">
        <v>273</v>
      </c>
      <c r="AY553" t="s">
        <v>273</v>
      </c>
      <c r="BB553">
        <v>0</v>
      </c>
      <c r="BC553">
        <v>0</v>
      </c>
      <c r="BD553">
        <v>0</v>
      </c>
      <c r="BE553">
        <v>0</v>
      </c>
      <c r="BF553" t="s">
        <v>1063</v>
      </c>
      <c r="BG553" t="s">
        <v>6865</v>
      </c>
      <c r="BH553">
        <v>44</v>
      </c>
      <c r="BI553" t="s">
        <v>7107</v>
      </c>
      <c r="BK553">
        <v>1861257</v>
      </c>
    </row>
    <row r="554" spans="1:63">
      <c r="A554" s="1">
        <f>HYPERLINK("https://lsnyc.legalserver.org/matter/dynamic-profile/view/1866673","18-1866673")</f>
        <v>0</v>
      </c>
      <c r="B554" t="s">
        <v>5515</v>
      </c>
      <c r="C554" t="s">
        <v>5625</v>
      </c>
      <c r="D554" t="s">
        <v>253</v>
      </c>
      <c r="E554" t="s">
        <v>3694</v>
      </c>
      <c r="F554" t="s">
        <v>274</v>
      </c>
      <c r="G554" t="s">
        <v>274</v>
      </c>
      <c r="H554">
        <v>107.08</v>
      </c>
      <c r="I554" t="s">
        <v>274</v>
      </c>
      <c r="K554" t="s">
        <v>1749</v>
      </c>
      <c r="Q554" t="s">
        <v>501</v>
      </c>
      <c r="S554" t="s">
        <v>503</v>
      </c>
      <c r="T554" t="s">
        <v>508</v>
      </c>
      <c r="U554" t="s">
        <v>511</v>
      </c>
      <c r="V554">
        <v>11102</v>
      </c>
      <c r="W554" t="s">
        <v>544</v>
      </c>
      <c r="X554" t="s">
        <v>548</v>
      </c>
      <c r="Y554" t="s">
        <v>275</v>
      </c>
      <c r="Z554" t="s">
        <v>5975</v>
      </c>
      <c r="AA554" t="s">
        <v>6378</v>
      </c>
      <c r="AB554" t="s">
        <v>902</v>
      </c>
      <c r="AC554" t="s">
        <v>904</v>
      </c>
      <c r="AF554" t="s">
        <v>923</v>
      </c>
      <c r="AI554">
        <v>1.45</v>
      </c>
      <c r="AJ554" t="s">
        <v>558</v>
      </c>
      <c r="AK554" t="s">
        <v>950</v>
      </c>
      <c r="AM554" t="s">
        <v>973</v>
      </c>
      <c r="AN554" t="s">
        <v>1747</v>
      </c>
      <c r="AT554">
        <v>0</v>
      </c>
      <c r="AU554">
        <v>1</v>
      </c>
      <c r="AV554" t="s">
        <v>273</v>
      </c>
      <c r="AY554" t="s">
        <v>273</v>
      </c>
      <c r="BB554">
        <v>0</v>
      </c>
      <c r="BC554">
        <v>0</v>
      </c>
      <c r="BD554">
        <v>0</v>
      </c>
      <c r="BE554">
        <v>0</v>
      </c>
      <c r="BF554" t="s">
        <v>1063</v>
      </c>
      <c r="BG554" t="s">
        <v>6866</v>
      </c>
      <c r="BH554">
        <v>25</v>
      </c>
      <c r="BI554" t="s">
        <v>1264</v>
      </c>
      <c r="BK554">
        <v>784438</v>
      </c>
    </row>
    <row r="555" spans="1:63">
      <c r="A555" s="1">
        <f>HYPERLINK("https://lsnyc.legalserver.org/matter/dynamic-profile/view/1866682","18-1866682")</f>
        <v>0</v>
      </c>
      <c r="B555" t="s">
        <v>5516</v>
      </c>
      <c r="C555" t="s">
        <v>5625</v>
      </c>
      <c r="D555" t="s">
        <v>253</v>
      </c>
      <c r="E555" t="s">
        <v>3694</v>
      </c>
      <c r="F555" t="s">
        <v>274</v>
      </c>
      <c r="G555" t="s">
        <v>274</v>
      </c>
      <c r="H555">
        <v>92.97</v>
      </c>
      <c r="I555" t="s">
        <v>274</v>
      </c>
      <c r="K555" t="s">
        <v>1749</v>
      </c>
      <c r="Q555" t="s">
        <v>501</v>
      </c>
      <c r="S555" t="s">
        <v>503</v>
      </c>
      <c r="T555" t="s">
        <v>508</v>
      </c>
      <c r="U555" t="s">
        <v>511</v>
      </c>
      <c r="V555">
        <v>11433</v>
      </c>
      <c r="W555" t="s">
        <v>544</v>
      </c>
      <c r="X555" t="s">
        <v>549</v>
      </c>
      <c r="Y555" t="s">
        <v>275</v>
      </c>
      <c r="Z555" t="s">
        <v>2081</v>
      </c>
      <c r="AA555" t="s">
        <v>6379</v>
      </c>
      <c r="AB555" t="s">
        <v>902</v>
      </c>
      <c r="AC555" t="s">
        <v>904</v>
      </c>
      <c r="AF555" t="s">
        <v>923</v>
      </c>
      <c r="AI555">
        <v>0.6</v>
      </c>
      <c r="AJ555" t="s">
        <v>558</v>
      </c>
      <c r="AK555" t="s">
        <v>939</v>
      </c>
      <c r="AT555">
        <v>1</v>
      </c>
      <c r="AU555">
        <v>2</v>
      </c>
      <c r="AV555" t="s">
        <v>273</v>
      </c>
      <c r="AY555" t="s">
        <v>273</v>
      </c>
      <c r="BB555">
        <v>0</v>
      </c>
      <c r="BC555">
        <v>0</v>
      </c>
      <c r="BD555">
        <v>0</v>
      </c>
      <c r="BE555">
        <v>0</v>
      </c>
      <c r="BF555" t="s">
        <v>1063</v>
      </c>
      <c r="BG555" t="s">
        <v>6867</v>
      </c>
      <c r="BH555">
        <v>47</v>
      </c>
      <c r="BI555" t="s">
        <v>7108</v>
      </c>
      <c r="BK555">
        <v>1858968</v>
      </c>
    </row>
    <row r="556" spans="1:63">
      <c r="A556" s="1">
        <f>HYPERLINK("https://lsnyc.legalserver.org/matter/dynamic-profile/view/1866690","18-1866690")</f>
        <v>0</v>
      </c>
      <c r="B556" t="s">
        <v>5517</v>
      </c>
      <c r="C556" t="s">
        <v>5625</v>
      </c>
      <c r="D556" t="s">
        <v>257</v>
      </c>
      <c r="E556" t="s">
        <v>3694</v>
      </c>
      <c r="F556" t="s">
        <v>274</v>
      </c>
      <c r="G556" t="s">
        <v>274</v>
      </c>
      <c r="H556">
        <v>69.5</v>
      </c>
      <c r="I556" t="s">
        <v>274</v>
      </c>
      <c r="K556" t="s">
        <v>1749</v>
      </c>
      <c r="Q556" t="s">
        <v>501</v>
      </c>
      <c r="S556" t="s">
        <v>503</v>
      </c>
      <c r="T556" t="s">
        <v>508</v>
      </c>
      <c r="U556" t="s">
        <v>511</v>
      </c>
      <c r="V556">
        <v>10451</v>
      </c>
      <c r="W556" t="s">
        <v>544</v>
      </c>
      <c r="Y556" t="s">
        <v>275</v>
      </c>
      <c r="Z556" t="s">
        <v>5976</v>
      </c>
      <c r="AA556" t="s">
        <v>6380</v>
      </c>
      <c r="AB556" t="s">
        <v>902</v>
      </c>
      <c r="AC556" t="s">
        <v>904</v>
      </c>
      <c r="AF556" t="s">
        <v>923</v>
      </c>
      <c r="AI556">
        <v>0.2</v>
      </c>
      <c r="AJ556" t="s">
        <v>558</v>
      </c>
      <c r="AK556" t="s">
        <v>949</v>
      </c>
      <c r="AT556">
        <v>0</v>
      </c>
      <c r="AU556">
        <v>2</v>
      </c>
      <c r="AV556" t="s">
        <v>273</v>
      </c>
      <c r="AY556" t="s">
        <v>273</v>
      </c>
      <c r="BB556">
        <v>0</v>
      </c>
      <c r="BC556">
        <v>0</v>
      </c>
      <c r="BD556">
        <v>0</v>
      </c>
      <c r="BE556">
        <v>0</v>
      </c>
      <c r="BF556" t="s">
        <v>1063</v>
      </c>
      <c r="BG556" t="s">
        <v>6868</v>
      </c>
      <c r="BH556">
        <v>71</v>
      </c>
      <c r="BI556" t="s">
        <v>2772</v>
      </c>
      <c r="BK556">
        <v>1847081</v>
      </c>
    </row>
    <row r="557" spans="1:63">
      <c r="A557" s="1">
        <f>HYPERLINK("https://lsnyc.legalserver.org/matter/dynamic-profile/view/1866781","18-1866781")</f>
        <v>0</v>
      </c>
      <c r="B557" t="s">
        <v>5518</v>
      </c>
      <c r="C557" t="s">
        <v>5625</v>
      </c>
      <c r="D557" t="s">
        <v>255</v>
      </c>
      <c r="E557" t="s">
        <v>3694</v>
      </c>
      <c r="F557" t="s">
        <v>274</v>
      </c>
      <c r="G557" t="s">
        <v>274</v>
      </c>
      <c r="H557">
        <v>149.92</v>
      </c>
      <c r="I557" t="s">
        <v>274</v>
      </c>
      <c r="K557" t="s">
        <v>1749</v>
      </c>
      <c r="O557" t="s">
        <v>274</v>
      </c>
      <c r="Q557" t="s">
        <v>501</v>
      </c>
      <c r="S557" t="s">
        <v>503</v>
      </c>
      <c r="T557" t="s">
        <v>507</v>
      </c>
      <c r="U557" t="s">
        <v>511</v>
      </c>
      <c r="V557">
        <v>10032</v>
      </c>
      <c r="W557" t="s">
        <v>517</v>
      </c>
      <c r="X557" t="s">
        <v>548</v>
      </c>
      <c r="Y557" t="s">
        <v>274</v>
      </c>
      <c r="Z557" t="s">
        <v>5977</v>
      </c>
      <c r="AA557" t="s">
        <v>6381</v>
      </c>
      <c r="AB557" t="s">
        <v>902</v>
      </c>
      <c r="AC557" t="s">
        <v>904</v>
      </c>
      <c r="AF557" t="s">
        <v>923</v>
      </c>
      <c r="AI557">
        <v>2.4</v>
      </c>
      <c r="AJ557" t="s">
        <v>558</v>
      </c>
      <c r="AK557" t="s">
        <v>950</v>
      </c>
      <c r="AT557">
        <v>0</v>
      </c>
      <c r="AU557">
        <v>1</v>
      </c>
      <c r="AV557" t="s">
        <v>273</v>
      </c>
      <c r="AY557" t="s">
        <v>273</v>
      </c>
      <c r="BB557">
        <v>0</v>
      </c>
      <c r="BC557">
        <v>0</v>
      </c>
      <c r="BD557">
        <v>0</v>
      </c>
      <c r="BE557">
        <v>0</v>
      </c>
      <c r="BF557" t="s">
        <v>1063</v>
      </c>
      <c r="BG557" t="s">
        <v>6869</v>
      </c>
      <c r="BH557">
        <v>57</v>
      </c>
      <c r="BI557" t="s">
        <v>1260</v>
      </c>
      <c r="BK557">
        <v>686056</v>
      </c>
    </row>
    <row r="558" spans="1:63">
      <c r="A558" s="1">
        <f>HYPERLINK("https://lsnyc.legalserver.org/matter/dynamic-profile/view/1867358","18-1867358")</f>
        <v>0</v>
      </c>
      <c r="B558" t="s">
        <v>5355</v>
      </c>
      <c r="C558" t="s">
        <v>5625</v>
      </c>
      <c r="D558" t="s">
        <v>253</v>
      </c>
      <c r="E558" t="s">
        <v>3694</v>
      </c>
      <c r="F558" t="s">
        <v>274</v>
      </c>
      <c r="G558" t="s">
        <v>274</v>
      </c>
      <c r="H558">
        <v>182.26</v>
      </c>
      <c r="I558" t="s">
        <v>274</v>
      </c>
      <c r="K558" t="s">
        <v>1749</v>
      </c>
      <c r="O558" t="s">
        <v>274</v>
      </c>
      <c r="Q558" t="s">
        <v>501</v>
      </c>
      <c r="S558" t="s">
        <v>503</v>
      </c>
      <c r="T558" t="s">
        <v>508</v>
      </c>
      <c r="U558" t="s">
        <v>511</v>
      </c>
      <c r="V558">
        <v>11415</v>
      </c>
      <c r="W558" t="s">
        <v>536</v>
      </c>
      <c r="X558" t="s">
        <v>3025</v>
      </c>
      <c r="Z558" t="s">
        <v>5871</v>
      </c>
      <c r="AA558" t="s">
        <v>6257</v>
      </c>
      <c r="AB558" t="s">
        <v>902</v>
      </c>
      <c r="AC558" t="s">
        <v>905</v>
      </c>
      <c r="AD558" t="s">
        <v>274</v>
      </c>
      <c r="AF558" t="s">
        <v>923</v>
      </c>
      <c r="AI558">
        <v>7.8</v>
      </c>
      <c r="AJ558" t="s">
        <v>558</v>
      </c>
      <c r="AK558" t="s">
        <v>951</v>
      </c>
      <c r="AL558" t="s">
        <v>274</v>
      </c>
      <c r="AQ558" t="s">
        <v>1033</v>
      </c>
      <c r="AR558" t="s">
        <v>1051</v>
      </c>
      <c r="AS558" t="s">
        <v>1061</v>
      </c>
      <c r="AT558">
        <v>0</v>
      </c>
      <c r="AU558">
        <v>2</v>
      </c>
      <c r="AV558" t="s">
        <v>273</v>
      </c>
      <c r="AY558" t="s">
        <v>273</v>
      </c>
      <c r="BB558">
        <v>0</v>
      </c>
      <c r="BC558">
        <v>0</v>
      </c>
      <c r="BD558">
        <v>0</v>
      </c>
      <c r="BE558">
        <v>0</v>
      </c>
      <c r="BF558" t="s">
        <v>1063</v>
      </c>
      <c r="BG558" t="s">
        <v>6720</v>
      </c>
      <c r="BH558">
        <v>29</v>
      </c>
      <c r="BI558" t="s">
        <v>1272</v>
      </c>
      <c r="BJ558" t="s">
        <v>7146</v>
      </c>
      <c r="BK558">
        <v>1867950</v>
      </c>
    </row>
    <row r="559" spans="1:63">
      <c r="A559" s="1">
        <f>HYPERLINK("https://lsnyc.legalserver.org/matter/dynamic-profile/view/1866547","18-1866547")</f>
        <v>0</v>
      </c>
      <c r="B559" t="s">
        <v>5225</v>
      </c>
      <c r="C559" t="s">
        <v>5625</v>
      </c>
      <c r="D559" t="s">
        <v>252</v>
      </c>
      <c r="E559" t="s">
        <v>5630</v>
      </c>
      <c r="F559" t="s">
        <v>274</v>
      </c>
      <c r="G559" t="s">
        <v>274</v>
      </c>
      <c r="H559">
        <v>54.68</v>
      </c>
      <c r="I559" t="s">
        <v>274</v>
      </c>
      <c r="K559" t="s">
        <v>1009</v>
      </c>
      <c r="O559" t="s">
        <v>274</v>
      </c>
      <c r="P559" t="s">
        <v>498</v>
      </c>
      <c r="Q559" t="s">
        <v>501</v>
      </c>
      <c r="S559" t="s">
        <v>503</v>
      </c>
      <c r="T559" t="s">
        <v>508</v>
      </c>
      <c r="U559" t="s">
        <v>511</v>
      </c>
      <c r="V559">
        <v>11225</v>
      </c>
      <c r="W559" t="s">
        <v>517</v>
      </c>
      <c r="X559" t="s">
        <v>548</v>
      </c>
      <c r="Z559" t="s">
        <v>601</v>
      </c>
      <c r="AA559" t="s">
        <v>6165</v>
      </c>
      <c r="AB559" t="s">
        <v>902</v>
      </c>
      <c r="AC559" t="s">
        <v>904</v>
      </c>
      <c r="AF559" t="s">
        <v>923</v>
      </c>
      <c r="AI559">
        <v>2</v>
      </c>
      <c r="AJ559" t="s">
        <v>558</v>
      </c>
      <c r="AK559" t="s">
        <v>950</v>
      </c>
      <c r="AL559" t="s">
        <v>274</v>
      </c>
      <c r="AM559" t="s">
        <v>973</v>
      </c>
      <c r="AN559" t="s">
        <v>1680</v>
      </c>
      <c r="AT559">
        <v>0</v>
      </c>
      <c r="AU559">
        <v>2</v>
      </c>
      <c r="AV559" t="s">
        <v>273</v>
      </c>
      <c r="AY559" t="s">
        <v>273</v>
      </c>
      <c r="BB559">
        <v>0</v>
      </c>
      <c r="BC559">
        <v>0</v>
      </c>
      <c r="BD559">
        <v>0</v>
      </c>
      <c r="BE559">
        <v>0</v>
      </c>
      <c r="BF559" t="s">
        <v>1063</v>
      </c>
      <c r="BG559" t="s">
        <v>2623</v>
      </c>
      <c r="BH559">
        <v>51</v>
      </c>
      <c r="BI559" t="s">
        <v>2724</v>
      </c>
      <c r="BJ559" t="s">
        <v>2996</v>
      </c>
      <c r="BK559">
        <v>1867138</v>
      </c>
    </row>
    <row r="560" spans="1:63">
      <c r="A560" s="1">
        <f>HYPERLINK("https://lsnyc.legalserver.org/matter/dynamic-profile/view/1866626","18-1866626")</f>
        <v>0</v>
      </c>
      <c r="B560" t="s">
        <v>5519</v>
      </c>
      <c r="C560" t="s">
        <v>5625</v>
      </c>
      <c r="D560" t="s">
        <v>257</v>
      </c>
      <c r="E560" t="s">
        <v>3694</v>
      </c>
      <c r="F560" t="s">
        <v>274</v>
      </c>
      <c r="G560" t="s">
        <v>274</v>
      </c>
      <c r="H560">
        <v>23.13</v>
      </c>
      <c r="I560" t="s">
        <v>274</v>
      </c>
      <c r="K560" t="s">
        <v>1009</v>
      </c>
      <c r="O560" t="s">
        <v>274</v>
      </c>
      <c r="P560" t="s">
        <v>498</v>
      </c>
      <c r="Q560" t="s">
        <v>501</v>
      </c>
      <c r="S560" t="s">
        <v>503</v>
      </c>
      <c r="T560" t="s">
        <v>508</v>
      </c>
      <c r="U560" t="s">
        <v>511</v>
      </c>
      <c r="V560">
        <v>10460</v>
      </c>
      <c r="W560" t="s">
        <v>517</v>
      </c>
      <c r="X560" t="s">
        <v>549</v>
      </c>
      <c r="Y560" t="s">
        <v>274</v>
      </c>
      <c r="Z560" t="s">
        <v>5978</v>
      </c>
      <c r="AA560" t="s">
        <v>6382</v>
      </c>
      <c r="AB560" t="s">
        <v>902</v>
      </c>
      <c r="AC560" t="s">
        <v>904</v>
      </c>
      <c r="AF560" t="s">
        <v>923</v>
      </c>
      <c r="AI560">
        <v>5.2</v>
      </c>
      <c r="AJ560" t="s">
        <v>558</v>
      </c>
      <c r="AK560" t="s">
        <v>950</v>
      </c>
      <c r="AT560">
        <v>0</v>
      </c>
      <c r="AU560">
        <v>1</v>
      </c>
      <c r="AV560" t="s">
        <v>273</v>
      </c>
      <c r="AY560" t="s">
        <v>273</v>
      </c>
      <c r="BB560">
        <v>0</v>
      </c>
      <c r="BC560">
        <v>0</v>
      </c>
      <c r="BD560">
        <v>0</v>
      </c>
      <c r="BE560">
        <v>0</v>
      </c>
      <c r="BF560" t="s">
        <v>1063</v>
      </c>
      <c r="BG560" t="s">
        <v>5025</v>
      </c>
      <c r="BH560">
        <v>29</v>
      </c>
      <c r="BI560" t="s">
        <v>7109</v>
      </c>
      <c r="BK560">
        <v>794611</v>
      </c>
    </row>
    <row r="561" spans="1:63">
      <c r="A561" s="1">
        <f>HYPERLINK("https://lsnyc.legalserver.org/matter/dynamic-profile/view/1866033","18-1866033")</f>
        <v>0</v>
      </c>
      <c r="B561" t="s">
        <v>5520</v>
      </c>
      <c r="C561" t="s">
        <v>5625</v>
      </c>
      <c r="D561" t="s">
        <v>252</v>
      </c>
      <c r="E561" t="s">
        <v>3694</v>
      </c>
      <c r="F561" t="s">
        <v>274</v>
      </c>
      <c r="G561" t="s">
        <v>274</v>
      </c>
      <c r="H561">
        <v>132.07</v>
      </c>
      <c r="I561" t="s">
        <v>274</v>
      </c>
      <c r="K561" t="s">
        <v>5648</v>
      </c>
      <c r="O561" t="s">
        <v>274</v>
      </c>
      <c r="P561" t="s">
        <v>498</v>
      </c>
      <c r="Q561" t="s">
        <v>501</v>
      </c>
      <c r="S561" t="s">
        <v>503</v>
      </c>
      <c r="T561" t="s">
        <v>508</v>
      </c>
      <c r="U561" t="s">
        <v>511</v>
      </c>
      <c r="V561">
        <v>11221</v>
      </c>
      <c r="W561" t="s">
        <v>517</v>
      </c>
      <c r="X561" t="s">
        <v>548</v>
      </c>
      <c r="Y561" t="s">
        <v>274</v>
      </c>
      <c r="Z561" t="s">
        <v>5979</v>
      </c>
      <c r="AA561" t="s">
        <v>6383</v>
      </c>
      <c r="AB561" t="s">
        <v>902</v>
      </c>
      <c r="AC561" t="s">
        <v>904</v>
      </c>
      <c r="AF561" t="s">
        <v>923</v>
      </c>
      <c r="AI561">
        <v>2.2</v>
      </c>
      <c r="AJ561" t="s">
        <v>558</v>
      </c>
      <c r="AK561" t="s">
        <v>950</v>
      </c>
      <c r="AL561" t="s">
        <v>274</v>
      </c>
      <c r="AT561">
        <v>0</v>
      </c>
      <c r="AU561">
        <v>2</v>
      </c>
      <c r="AV561" t="s">
        <v>273</v>
      </c>
      <c r="AY561" t="s">
        <v>273</v>
      </c>
      <c r="BB561">
        <v>0</v>
      </c>
      <c r="BC561">
        <v>0</v>
      </c>
      <c r="BD561">
        <v>0</v>
      </c>
      <c r="BE561">
        <v>0</v>
      </c>
      <c r="BF561" t="s">
        <v>1063</v>
      </c>
      <c r="BG561" t="s">
        <v>6870</v>
      </c>
      <c r="BH561">
        <v>46</v>
      </c>
      <c r="BI561" t="s">
        <v>7110</v>
      </c>
      <c r="BJ561" t="s">
        <v>4838</v>
      </c>
      <c r="BK561">
        <v>1866620</v>
      </c>
    </row>
    <row r="562" spans="1:63">
      <c r="A562" s="1">
        <f>HYPERLINK("https://lsnyc.legalserver.org/matter/dynamic-profile/view/1865866","18-1865866")</f>
        <v>0</v>
      </c>
      <c r="B562" t="s">
        <v>5521</v>
      </c>
      <c r="C562" t="s">
        <v>5625</v>
      </c>
      <c r="D562" t="s">
        <v>255</v>
      </c>
      <c r="E562" t="s">
        <v>3694</v>
      </c>
      <c r="F562" t="s">
        <v>274</v>
      </c>
      <c r="G562" t="s">
        <v>274</v>
      </c>
      <c r="H562">
        <v>90.44</v>
      </c>
      <c r="I562" t="s">
        <v>274</v>
      </c>
      <c r="K562" t="s">
        <v>400</v>
      </c>
      <c r="Q562" t="s">
        <v>501</v>
      </c>
      <c r="S562" t="s">
        <v>503</v>
      </c>
      <c r="T562" t="s">
        <v>507</v>
      </c>
      <c r="U562" t="s">
        <v>511</v>
      </c>
      <c r="V562">
        <v>10001</v>
      </c>
      <c r="W562" t="s">
        <v>517</v>
      </c>
      <c r="Y562" t="s">
        <v>275</v>
      </c>
      <c r="Z562" t="s">
        <v>3891</v>
      </c>
      <c r="AA562" t="s">
        <v>6384</v>
      </c>
      <c r="AB562" t="s">
        <v>902</v>
      </c>
      <c r="AC562" t="s">
        <v>904</v>
      </c>
      <c r="AF562" t="s">
        <v>923</v>
      </c>
      <c r="AI562">
        <v>0.61</v>
      </c>
      <c r="AJ562" t="s">
        <v>558</v>
      </c>
      <c r="AK562" t="s">
        <v>938</v>
      </c>
      <c r="AT562">
        <v>0</v>
      </c>
      <c r="AU562">
        <v>1</v>
      </c>
      <c r="AV562" t="s">
        <v>273</v>
      </c>
      <c r="AY562" t="s">
        <v>273</v>
      </c>
      <c r="BB562">
        <v>0</v>
      </c>
      <c r="BC562">
        <v>0</v>
      </c>
      <c r="BD562">
        <v>0</v>
      </c>
      <c r="BE562">
        <v>0</v>
      </c>
      <c r="BF562" t="s">
        <v>1063</v>
      </c>
      <c r="BG562" t="s">
        <v>6871</v>
      </c>
      <c r="BH562">
        <v>43</v>
      </c>
      <c r="BI562" t="s">
        <v>7111</v>
      </c>
      <c r="BK562">
        <v>1866453</v>
      </c>
    </row>
    <row r="563" spans="1:63">
      <c r="A563" s="1">
        <f>HYPERLINK("https://lsnyc.legalserver.org/matter/dynamic-profile/view/1865870","18-1865870")</f>
        <v>0</v>
      </c>
      <c r="B563" t="s">
        <v>5521</v>
      </c>
      <c r="C563" t="s">
        <v>5625</v>
      </c>
      <c r="D563" t="s">
        <v>255</v>
      </c>
      <c r="E563" t="s">
        <v>3694</v>
      </c>
      <c r="F563" t="s">
        <v>274</v>
      </c>
      <c r="G563" t="s">
        <v>274</v>
      </c>
      <c r="H563">
        <v>90.44</v>
      </c>
      <c r="I563" t="s">
        <v>274</v>
      </c>
      <c r="K563" t="s">
        <v>400</v>
      </c>
      <c r="Q563" t="s">
        <v>501</v>
      </c>
      <c r="S563" t="s">
        <v>503</v>
      </c>
      <c r="T563" t="s">
        <v>507</v>
      </c>
      <c r="U563" t="s">
        <v>511</v>
      </c>
      <c r="V563">
        <v>10001</v>
      </c>
      <c r="W563" t="s">
        <v>544</v>
      </c>
      <c r="X563" t="s">
        <v>548</v>
      </c>
      <c r="Y563" t="s">
        <v>275</v>
      </c>
      <c r="Z563" t="s">
        <v>3891</v>
      </c>
      <c r="AA563" t="s">
        <v>6384</v>
      </c>
      <c r="AB563" t="s">
        <v>902</v>
      </c>
      <c r="AC563" t="s">
        <v>904</v>
      </c>
      <c r="AF563" t="s">
        <v>923</v>
      </c>
      <c r="AI563">
        <v>0.2</v>
      </c>
      <c r="AJ563" t="s">
        <v>558</v>
      </c>
      <c r="AK563" t="s">
        <v>938</v>
      </c>
      <c r="AT563">
        <v>0</v>
      </c>
      <c r="AU563">
        <v>1</v>
      </c>
      <c r="AV563" t="s">
        <v>273</v>
      </c>
      <c r="AY563" t="s">
        <v>273</v>
      </c>
      <c r="BB563">
        <v>0</v>
      </c>
      <c r="BC563">
        <v>0</v>
      </c>
      <c r="BD563">
        <v>0</v>
      </c>
      <c r="BE563">
        <v>0</v>
      </c>
      <c r="BF563" t="s">
        <v>1063</v>
      </c>
      <c r="BG563" t="s">
        <v>6871</v>
      </c>
      <c r="BH563">
        <v>43</v>
      </c>
      <c r="BI563" t="s">
        <v>7111</v>
      </c>
      <c r="BK563">
        <v>1866453</v>
      </c>
    </row>
    <row r="564" spans="1:63">
      <c r="A564" s="1">
        <f>HYPERLINK("https://lsnyc.legalserver.org/matter/dynamic-profile/view/1865874","18-1865874")</f>
        <v>0</v>
      </c>
      <c r="B564" t="s">
        <v>5217</v>
      </c>
      <c r="C564" t="s">
        <v>5625</v>
      </c>
      <c r="D564" t="s">
        <v>252</v>
      </c>
      <c r="E564" t="s">
        <v>5630</v>
      </c>
      <c r="F564" t="s">
        <v>274</v>
      </c>
      <c r="G564" t="s">
        <v>274</v>
      </c>
      <c r="H564">
        <v>89.06</v>
      </c>
      <c r="I564" t="s">
        <v>274</v>
      </c>
      <c r="K564" t="s">
        <v>400</v>
      </c>
      <c r="O564" t="s">
        <v>274</v>
      </c>
      <c r="Q564" t="s">
        <v>501</v>
      </c>
      <c r="S564" t="s">
        <v>503</v>
      </c>
      <c r="T564" t="s">
        <v>507</v>
      </c>
      <c r="U564" t="s">
        <v>511</v>
      </c>
      <c r="V564">
        <v>11208</v>
      </c>
      <c r="W564" t="s">
        <v>517</v>
      </c>
      <c r="X564" t="s">
        <v>548</v>
      </c>
      <c r="Z564" t="s">
        <v>4590</v>
      </c>
      <c r="AA564" t="s">
        <v>6160</v>
      </c>
      <c r="AB564" t="s">
        <v>902</v>
      </c>
      <c r="AC564" t="s">
        <v>904</v>
      </c>
      <c r="AF564" t="s">
        <v>923</v>
      </c>
      <c r="AI564">
        <v>2</v>
      </c>
      <c r="AJ564" t="s">
        <v>558</v>
      </c>
      <c r="AK564" t="s">
        <v>950</v>
      </c>
      <c r="AL564" t="s">
        <v>274</v>
      </c>
      <c r="AT564">
        <v>1</v>
      </c>
      <c r="AU564">
        <v>4</v>
      </c>
      <c r="AV564" t="s">
        <v>273</v>
      </c>
      <c r="AY564" t="s">
        <v>273</v>
      </c>
      <c r="BB564">
        <v>0</v>
      </c>
      <c r="BC564">
        <v>0</v>
      </c>
      <c r="BD564">
        <v>0</v>
      </c>
      <c r="BE564">
        <v>0</v>
      </c>
      <c r="BF564" t="s">
        <v>1063</v>
      </c>
      <c r="BG564" t="s">
        <v>6594</v>
      </c>
      <c r="BH564">
        <v>54</v>
      </c>
      <c r="BI564" t="s">
        <v>7022</v>
      </c>
      <c r="BJ564" t="s">
        <v>4858</v>
      </c>
      <c r="BK564">
        <v>1866461</v>
      </c>
    </row>
    <row r="565" spans="1:63">
      <c r="A565" s="1">
        <f>HYPERLINK("https://lsnyc.legalserver.org/matter/dynamic-profile/view/1865703","18-1865703")</f>
        <v>0</v>
      </c>
      <c r="B565" t="s">
        <v>5522</v>
      </c>
      <c r="C565" t="s">
        <v>5625</v>
      </c>
      <c r="D565" t="s">
        <v>253</v>
      </c>
      <c r="E565" t="s">
        <v>3694</v>
      </c>
      <c r="F565" t="s">
        <v>274</v>
      </c>
      <c r="G565" t="s">
        <v>274</v>
      </c>
      <c r="H565">
        <v>94.78</v>
      </c>
      <c r="I565" t="s">
        <v>274</v>
      </c>
      <c r="K565" t="s">
        <v>1751</v>
      </c>
      <c r="O565" t="s">
        <v>274</v>
      </c>
      <c r="P565" t="s">
        <v>498</v>
      </c>
      <c r="Q565" t="s">
        <v>501</v>
      </c>
      <c r="S565" t="s">
        <v>503</v>
      </c>
      <c r="T565" t="s">
        <v>508</v>
      </c>
      <c r="U565" t="s">
        <v>511</v>
      </c>
      <c r="V565">
        <v>11356</v>
      </c>
      <c r="W565" t="s">
        <v>1831</v>
      </c>
      <c r="X565" t="s">
        <v>548</v>
      </c>
      <c r="Y565" t="s">
        <v>275</v>
      </c>
      <c r="Z565" t="s">
        <v>5980</v>
      </c>
      <c r="AA565" t="s">
        <v>2351</v>
      </c>
      <c r="AB565" t="s">
        <v>902</v>
      </c>
      <c r="AC565" t="s">
        <v>904</v>
      </c>
      <c r="AF565" t="s">
        <v>923</v>
      </c>
      <c r="AI565">
        <v>3.5</v>
      </c>
      <c r="AJ565" t="s">
        <v>558</v>
      </c>
      <c r="AK565" t="s">
        <v>947</v>
      </c>
      <c r="AT565">
        <v>1</v>
      </c>
      <c r="AU565">
        <v>1</v>
      </c>
      <c r="AV565" t="s">
        <v>273</v>
      </c>
      <c r="AY565" t="s">
        <v>273</v>
      </c>
      <c r="BB565">
        <v>0</v>
      </c>
      <c r="BC565">
        <v>0</v>
      </c>
      <c r="BD565">
        <v>0</v>
      </c>
      <c r="BE565">
        <v>0</v>
      </c>
      <c r="BF565" t="s">
        <v>1063</v>
      </c>
      <c r="BG565" t="s">
        <v>6872</v>
      </c>
      <c r="BH565">
        <v>8</v>
      </c>
      <c r="BI565" t="s">
        <v>1270</v>
      </c>
      <c r="BK565">
        <v>1866290</v>
      </c>
    </row>
    <row r="566" spans="1:63">
      <c r="A566" s="1">
        <f>HYPERLINK("https://lsnyc.legalserver.org/matter/dynamic-profile/view/1865406","18-1865406")</f>
        <v>0</v>
      </c>
      <c r="B566" t="s">
        <v>5523</v>
      </c>
      <c r="C566" t="s">
        <v>5625</v>
      </c>
      <c r="D566" t="s">
        <v>257</v>
      </c>
      <c r="E566" t="s">
        <v>5630</v>
      </c>
      <c r="F566" t="s">
        <v>274</v>
      </c>
      <c r="G566" t="s">
        <v>274</v>
      </c>
      <c r="H566">
        <v>39.84</v>
      </c>
      <c r="I566" t="s">
        <v>274</v>
      </c>
      <c r="K566" t="s">
        <v>1752</v>
      </c>
      <c r="O566" t="s">
        <v>274</v>
      </c>
      <c r="Q566" t="s">
        <v>501</v>
      </c>
      <c r="S566" t="s">
        <v>503</v>
      </c>
      <c r="T566" t="s">
        <v>508</v>
      </c>
      <c r="U566" t="s">
        <v>511</v>
      </c>
      <c r="V566">
        <v>10451</v>
      </c>
      <c r="W566" t="s">
        <v>1831</v>
      </c>
      <c r="X566" t="s">
        <v>548</v>
      </c>
      <c r="Y566" t="s">
        <v>275</v>
      </c>
      <c r="Z566" t="s">
        <v>5981</v>
      </c>
      <c r="AA566" t="s">
        <v>4596</v>
      </c>
      <c r="AB566" t="s">
        <v>902</v>
      </c>
      <c r="AC566" t="s">
        <v>904</v>
      </c>
      <c r="AF566" t="s">
        <v>923</v>
      </c>
      <c r="AI566">
        <v>7.9</v>
      </c>
      <c r="AJ566" t="s">
        <v>558</v>
      </c>
      <c r="AK566" t="s">
        <v>950</v>
      </c>
      <c r="AL566" t="s">
        <v>274</v>
      </c>
      <c r="AM566" t="s">
        <v>973</v>
      </c>
      <c r="AN566" t="s">
        <v>987</v>
      </c>
      <c r="AT566">
        <v>1</v>
      </c>
      <c r="AU566">
        <v>3</v>
      </c>
      <c r="AV566" t="s">
        <v>273</v>
      </c>
      <c r="AY566" t="s">
        <v>273</v>
      </c>
      <c r="BB566">
        <v>0</v>
      </c>
      <c r="BC566">
        <v>0</v>
      </c>
      <c r="BD566">
        <v>0</v>
      </c>
      <c r="BE566">
        <v>0</v>
      </c>
      <c r="BF566" t="s">
        <v>1063</v>
      </c>
      <c r="BG566" t="s">
        <v>6873</v>
      </c>
      <c r="BH566">
        <v>37</v>
      </c>
      <c r="BI566" t="s">
        <v>1268</v>
      </c>
      <c r="BJ566" t="s">
        <v>4838</v>
      </c>
      <c r="BK566">
        <v>1865993</v>
      </c>
    </row>
    <row r="567" spans="1:63">
      <c r="A567" s="1">
        <f>HYPERLINK("https://lsnyc.legalserver.org/matter/dynamic-profile/view/1865451","18-1865451")</f>
        <v>0</v>
      </c>
      <c r="B567" t="s">
        <v>5524</v>
      </c>
      <c r="C567" t="s">
        <v>5625</v>
      </c>
      <c r="D567" t="s">
        <v>257</v>
      </c>
      <c r="E567" t="s">
        <v>3694</v>
      </c>
      <c r="F567" t="s">
        <v>274</v>
      </c>
      <c r="G567" t="s">
        <v>274</v>
      </c>
      <c r="H567">
        <v>82.54000000000001</v>
      </c>
      <c r="I567" t="s">
        <v>275</v>
      </c>
      <c r="K567" t="s">
        <v>1752</v>
      </c>
      <c r="O567" t="s">
        <v>274</v>
      </c>
      <c r="P567" t="s">
        <v>498</v>
      </c>
      <c r="Q567" t="s">
        <v>501</v>
      </c>
      <c r="S567" t="s">
        <v>503</v>
      </c>
      <c r="T567" t="s">
        <v>508</v>
      </c>
      <c r="U567" t="s">
        <v>511</v>
      </c>
      <c r="V567">
        <v>10458</v>
      </c>
      <c r="W567" t="s">
        <v>517</v>
      </c>
      <c r="X567" t="s">
        <v>1842</v>
      </c>
      <c r="Y567" t="s">
        <v>275</v>
      </c>
      <c r="Z567" t="s">
        <v>5982</v>
      </c>
      <c r="AA567" t="s">
        <v>6385</v>
      </c>
      <c r="AB567" t="s">
        <v>902</v>
      </c>
      <c r="AC567" t="s">
        <v>904</v>
      </c>
      <c r="AF567" t="s">
        <v>923</v>
      </c>
      <c r="AI567">
        <v>2.85</v>
      </c>
      <c r="AJ567" t="s">
        <v>558</v>
      </c>
      <c r="AK567" t="s">
        <v>2375</v>
      </c>
      <c r="AT567">
        <v>0</v>
      </c>
      <c r="AU567">
        <v>1</v>
      </c>
      <c r="AV567" t="s">
        <v>273</v>
      </c>
      <c r="AY567" t="s">
        <v>273</v>
      </c>
      <c r="BB567">
        <v>0</v>
      </c>
      <c r="BC567">
        <v>0</v>
      </c>
      <c r="BD567">
        <v>0</v>
      </c>
      <c r="BE567">
        <v>0</v>
      </c>
      <c r="BF567" t="s">
        <v>1063</v>
      </c>
      <c r="BG567" t="s">
        <v>6874</v>
      </c>
      <c r="BH567">
        <v>65</v>
      </c>
      <c r="BI567" t="s">
        <v>7112</v>
      </c>
      <c r="BJ567" t="s">
        <v>1736</v>
      </c>
      <c r="BK567">
        <v>1866038</v>
      </c>
    </row>
    <row r="568" spans="1:63">
      <c r="A568" s="1">
        <f>HYPERLINK("https://lsnyc.legalserver.org/matter/dynamic-profile/view/1865370","18-1865370")</f>
        <v>0</v>
      </c>
      <c r="B568" t="s">
        <v>5525</v>
      </c>
      <c r="C568" t="s">
        <v>5625</v>
      </c>
      <c r="D568" t="s">
        <v>257</v>
      </c>
      <c r="E568" t="s">
        <v>3694</v>
      </c>
      <c r="F568" t="s">
        <v>274</v>
      </c>
      <c r="G568" t="s">
        <v>274</v>
      </c>
      <c r="H568">
        <v>110.71</v>
      </c>
      <c r="I568" t="s">
        <v>274</v>
      </c>
      <c r="K568" t="s">
        <v>5649</v>
      </c>
      <c r="O568" t="s">
        <v>275</v>
      </c>
      <c r="Q568" t="s">
        <v>501</v>
      </c>
      <c r="S568" t="s">
        <v>503</v>
      </c>
      <c r="T568" t="s">
        <v>508</v>
      </c>
      <c r="U568" t="s">
        <v>511</v>
      </c>
      <c r="V568">
        <v>10454</v>
      </c>
      <c r="W568" t="s">
        <v>532</v>
      </c>
      <c r="X568" t="s">
        <v>548</v>
      </c>
      <c r="Y568" t="s">
        <v>275</v>
      </c>
      <c r="Z568" t="s">
        <v>5983</v>
      </c>
      <c r="AA568" t="s">
        <v>2209</v>
      </c>
      <c r="AB568" t="s">
        <v>902</v>
      </c>
      <c r="AC568" t="s">
        <v>905</v>
      </c>
      <c r="AF568" t="s">
        <v>923</v>
      </c>
      <c r="AI568">
        <v>17.97</v>
      </c>
      <c r="AJ568" t="s">
        <v>558</v>
      </c>
      <c r="AK568" t="s">
        <v>933</v>
      </c>
      <c r="AL568" t="s">
        <v>274</v>
      </c>
      <c r="AT568">
        <v>0</v>
      </c>
      <c r="AU568">
        <v>1</v>
      </c>
      <c r="AV568" t="s">
        <v>273</v>
      </c>
      <c r="AY568" t="s">
        <v>273</v>
      </c>
      <c r="BB568">
        <v>0</v>
      </c>
      <c r="BC568">
        <v>0</v>
      </c>
      <c r="BD568">
        <v>0</v>
      </c>
      <c r="BE568">
        <v>0</v>
      </c>
      <c r="BF568" t="s">
        <v>1063</v>
      </c>
      <c r="BG568" t="s">
        <v>6875</v>
      </c>
      <c r="BH568">
        <v>51</v>
      </c>
      <c r="BI568" t="s">
        <v>6988</v>
      </c>
      <c r="BK568">
        <v>1865957</v>
      </c>
    </row>
    <row r="569" spans="1:63">
      <c r="A569" s="1">
        <f>HYPERLINK("https://lsnyc.legalserver.org/matter/dynamic-profile/view/1864990","18-1864990")</f>
        <v>0</v>
      </c>
      <c r="B569" t="s">
        <v>5334</v>
      </c>
      <c r="C569" t="s">
        <v>5625</v>
      </c>
      <c r="D569" t="s">
        <v>257</v>
      </c>
      <c r="E569" t="s">
        <v>5630</v>
      </c>
      <c r="F569" t="s">
        <v>274</v>
      </c>
      <c r="G569" t="s">
        <v>274</v>
      </c>
      <c r="H569">
        <v>66.29000000000001</v>
      </c>
      <c r="I569" t="s">
        <v>274</v>
      </c>
      <c r="K569" t="s">
        <v>401</v>
      </c>
      <c r="O569" t="s">
        <v>275</v>
      </c>
      <c r="P569" t="s">
        <v>498</v>
      </c>
      <c r="Q569" t="s">
        <v>501</v>
      </c>
      <c r="S569" t="s">
        <v>503</v>
      </c>
      <c r="T569" t="s">
        <v>508</v>
      </c>
      <c r="U569" t="s">
        <v>511</v>
      </c>
      <c r="V569">
        <v>10451</v>
      </c>
      <c r="W569" t="s">
        <v>532</v>
      </c>
      <c r="X569" t="s">
        <v>548</v>
      </c>
      <c r="Z569" t="s">
        <v>5858</v>
      </c>
      <c r="AA569" t="s">
        <v>2110</v>
      </c>
      <c r="AB569" t="s">
        <v>902</v>
      </c>
      <c r="AC569" t="s">
        <v>906</v>
      </c>
      <c r="AF569" t="s">
        <v>923</v>
      </c>
      <c r="AI569">
        <v>13.46</v>
      </c>
      <c r="AJ569" t="s">
        <v>558</v>
      </c>
      <c r="AK569" t="s">
        <v>933</v>
      </c>
      <c r="AT569">
        <v>3</v>
      </c>
      <c r="AU569">
        <v>1</v>
      </c>
      <c r="AV569" t="s">
        <v>273</v>
      </c>
      <c r="AY569" t="s">
        <v>273</v>
      </c>
      <c r="BB569">
        <v>0</v>
      </c>
      <c r="BC569">
        <v>0</v>
      </c>
      <c r="BD569">
        <v>0</v>
      </c>
      <c r="BE569">
        <v>0</v>
      </c>
      <c r="BF569" t="s">
        <v>1063</v>
      </c>
      <c r="BG569" t="s">
        <v>6701</v>
      </c>
      <c r="BH569">
        <v>34</v>
      </c>
      <c r="BI569" t="s">
        <v>1320</v>
      </c>
      <c r="BK569">
        <v>752053</v>
      </c>
    </row>
    <row r="570" spans="1:63">
      <c r="A570" s="1">
        <f>HYPERLINK("https://lsnyc.legalserver.org/matter/dynamic-profile/view/1864693","18-1864693")</f>
        <v>0</v>
      </c>
      <c r="B570" t="s">
        <v>5526</v>
      </c>
      <c r="C570" t="s">
        <v>5625</v>
      </c>
      <c r="D570" t="s">
        <v>252</v>
      </c>
      <c r="E570" t="s">
        <v>3694</v>
      </c>
      <c r="F570" t="s">
        <v>274</v>
      </c>
      <c r="G570" t="s">
        <v>274</v>
      </c>
      <c r="H570">
        <v>164.74</v>
      </c>
      <c r="I570" t="s">
        <v>274</v>
      </c>
      <c r="K570" t="s">
        <v>402</v>
      </c>
      <c r="L570" t="s">
        <v>448</v>
      </c>
      <c r="O570" t="s">
        <v>275</v>
      </c>
      <c r="P570" t="s">
        <v>493</v>
      </c>
      <c r="Q570" t="s">
        <v>501</v>
      </c>
      <c r="S570" t="s">
        <v>503</v>
      </c>
      <c r="T570" t="s">
        <v>508</v>
      </c>
      <c r="U570" t="s">
        <v>511</v>
      </c>
      <c r="V570">
        <v>11226</v>
      </c>
      <c r="W570" t="s">
        <v>517</v>
      </c>
      <c r="X570" t="s">
        <v>549</v>
      </c>
      <c r="Y570" t="s">
        <v>275</v>
      </c>
      <c r="Z570" t="s">
        <v>5984</v>
      </c>
      <c r="AA570" t="s">
        <v>6386</v>
      </c>
      <c r="AB570" t="s">
        <v>902</v>
      </c>
      <c r="AC570" t="s">
        <v>904</v>
      </c>
      <c r="AD570" t="s">
        <v>275</v>
      </c>
      <c r="AE570" t="s">
        <v>919</v>
      </c>
      <c r="AF570" t="s">
        <v>923</v>
      </c>
      <c r="AI570">
        <v>2.86</v>
      </c>
      <c r="AJ570" t="s">
        <v>558</v>
      </c>
      <c r="AK570" t="s">
        <v>939</v>
      </c>
      <c r="AQ570" t="s">
        <v>1042</v>
      </c>
      <c r="AR570" t="s">
        <v>1051</v>
      </c>
      <c r="AT570">
        <v>0</v>
      </c>
      <c r="AU570">
        <v>1</v>
      </c>
      <c r="AV570" t="s">
        <v>273</v>
      </c>
      <c r="AY570" t="s">
        <v>273</v>
      </c>
      <c r="BB570">
        <v>0</v>
      </c>
      <c r="BC570">
        <v>0</v>
      </c>
      <c r="BD570">
        <v>0</v>
      </c>
      <c r="BE570">
        <v>0</v>
      </c>
      <c r="BF570" t="s">
        <v>493</v>
      </c>
      <c r="BG570" t="s">
        <v>6876</v>
      </c>
      <c r="BH570">
        <v>59</v>
      </c>
      <c r="BI570" t="s">
        <v>1251</v>
      </c>
      <c r="BK570">
        <v>1865280</v>
      </c>
    </row>
    <row r="571" spans="1:63">
      <c r="A571" s="1">
        <f>HYPERLINK("https://lsnyc.legalserver.org/matter/dynamic-profile/view/1864499","18-1864499")</f>
        <v>0</v>
      </c>
      <c r="B571" t="s">
        <v>5527</v>
      </c>
      <c r="C571" t="s">
        <v>5625</v>
      </c>
      <c r="D571" t="s">
        <v>252</v>
      </c>
      <c r="E571" t="s">
        <v>3694</v>
      </c>
      <c r="F571" t="s">
        <v>274</v>
      </c>
      <c r="G571" t="s">
        <v>274</v>
      </c>
      <c r="H571">
        <v>0</v>
      </c>
      <c r="I571" t="s">
        <v>274</v>
      </c>
      <c r="K571" t="s">
        <v>3715</v>
      </c>
      <c r="O571" t="s">
        <v>275</v>
      </c>
      <c r="P571" t="s">
        <v>498</v>
      </c>
      <c r="Q571" t="s">
        <v>501</v>
      </c>
      <c r="S571" t="s">
        <v>503</v>
      </c>
      <c r="T571" t="s">
        <v>507</v>
      </c>
      <c r="U571" t="s">
        <v>511</v>
      </c>
      <c r="V571">
        <v>11214</v>
      </c>
      <c r="W571" t="s">
        <v>521</v>
      </c>
      <c r="X571" t="s">
        <v>553</v>
      </c>
      <c r="Z571" t="s">
        <v>5985</v>
      </c>
      <c r="AA571" t="s">
        <v>6387</v>
      </c>
      <c r="AB571" t="s">
        <v>902</v>
      </c>
      <c r="AC571" t="s">
        <v>905</v>
      </c>
      <c r="AI571">
        <v>11.5</v>
      </c>
      <c r="AJ571" t="s">
        <v>558</v>
      </c>
      <c r="AK571" t="s">
        <v>951</v>
      </c>
      <c r="AT571">
        <v>0</v>
      </c>
      <c r="AU571">
        <v>1</v>
      </c>
      <c r="AV571" t="s">
        <v>273</v>
      </c>
      <c r="AY571" t="s">
        <v>273</v>
      </c>
      <c r="BB571">
        <v>0</v>
      </c>
      <c r="BC571">
        <v>0</v>
      </c>
      <c r="BD571">
        <v>0</v>
      </c>
      <c r="BE571">
        <v>0</v>
      </c>
      <c r="BF571" t="s">
        <v>1063</v>
      </c>
      <c r="BG571" t="s">
        <v>6877</v>
      </c>
      <c r="BH571">
        <v>26</v>
      </c>
      <c r="BI571" t="s">
        <v>1247</v>
      </c>
      <c r="BK571">
        <v>1865082</v>
      </c>
    </row>
    <row r="572" spans="1:63">
      <c r="A572" s="1">
        <f>HYPERLINK("https://lsnyc.legalserver.org/matter/dynamic-profile/view/1864288","18-1864288")</f>
        <v>0</v>
      </c>
      <c r="B572" t="s">
        <v>5528</v>
      </c>
      <c r="C572" t="s">
        <v>5625</v>
      </c>
      <c r="D572" t="s">
        <v>253</v>
      </c>
      <c r="E572" t="s">
        <v>3694</v>
      </c>
      <c r="F572" t="s">
        <v>274</v>
      </c>
      <c r="G572" t="s">
        <v>274</v>
      </c>
      <c r="H572">
        <v>52.19</v>
      </c>
      <c r="I572" t="s">
        <v>274</v>
      </c>
      <c r="K572" t="s">
        <v>4513</v>
      </c>
      <c r="O572" t="s">
        <v>274</v>
      </c>
      <c r="P572" t="s">
        <v>498</v>
      </c>
      <c r="Q572" t="s">
        <v>501</v>
      </c>
      <c r="S572" t="s">
        <v>503</v>
      </c>
      <c r="T572" t="s">
        <v>508</v>
      </c>
      <c r="U572" t="s">
        <v>511</v>
      </c>
      <c r="V572">
        <v>11354</v>
      </c>
      <c r="W572" t="s">
        <v>517</v>
      </c>
      <c r="X572" t="s">
        <v>1837</v>
      </c>
      <c r="Y572" t="s">
        <v>274</v>
      </c>
      <c r="Z572" t="s">
        <v>5986</v>
      </c>
      <c r="AA572" t="s">
        <v>6388</v>
      </c>
      <c r="AB572" t="s">
        <v>902</v>
      </c>
      <c r="AC572" t="s">
        <v>904</v>
      </c>
      <c r="AF572" t="s">
        <v>923</v>
      </c>
      <c r="AI572">
        <v>2.8</v>
      </c>
      <c r="AJ572" t="s">
        <v>558</v>
      </c>
      <c r="AK572" t="s">
        <v>2363</v>
      </c>
      <c r="AL572" t="s">
        <v>274</v>
      </c>
      <c r="AT572">
        <v>0</v>
      </c>
      <c r="AU572">
        <v>1</v>
      </c>
      <c r="AV572" t="s">
        <v>273</v>
      </c>
      <c r="AY572" t="s">
        <v>273</v>
      </c>
      <c r="BB572">
        <v>0</v>
      </c>
      <c r="BC572">
        <v>0</v>
      </c>
      <c r="BD572">
        <v>0</v>
      </c>
      <c r="BE572">
        <v>0</v>
      </c>
      <c r="BF572" t="s">
        <v>1063</v>
      </c>
      <c r="BG572" t="s">
        <v>3377</v>
      </c>
      <c r="BH572">
        <v>57</v>
      </c>
      <c r="BI572" t="s">
        <v>2815</v>
      </c>
      <c r="BJ572" t="s">
        <v>2396</v>
      </c>
      <c r="BK572">
        <v>1864871</v>
      </c>
    </row>
    <row r="573" spans="1:63">
      <c r="A573" s="1">
        <f>HYPERLINK("https://lsnyc.legalserver.org/matter/dynamic-profile/view/1864310","18-1864310")</f>
        <v>0</v>
      </c>
      <c r="B573" t="s">
        <v>5529</v>
      </c>
      <c r="C573" t="s">
        <v>5625</v>
      </c>
      <c r="D573" t="s">
        <v>253</v>
      </c>
      <c r="E573" t="s">
        <v>3694</v>
      </c>
      <c r="F573" t="s">
        <v>274</v>
      </c>
      <c r="G573" t="s">
        <v>274</v>
      </c>
      <c r="H573">
        <v>53.07</v>
      </c>
      <c r="I573" t="s">
        <v>274</v>
      </c>
      <c r="K573" t="s">
        <v>4513</v>
      </c>
      <c r="O573" t="s">
        <v>274</v>
      </c>
      <c r="Q573" t="s">
        <v>501</v>
      </c>
      <c r="S573" t="s">
        <v>503</v>
      </c>
      <c r="T573" t="s">
        <v>508</v>
      </c>
      <c r="U573" t="s">
        <v>511</v>
      </c>
      <c r="V573">
        <v>11516</v>
      </c>
      <c r="W573" t="s">
        <v>532</v>
      </c>
      <c r="X573" t="s">
        <v>548</v>
      </c>
      <c r="Z573" t="s">
        <v>5987</v>
      </c>
      <c r="AA573" t="s">
        <v>6389</v>
      </c>
      <c r="AB573" t="s">
        <v>902</v>
      </c>
      <c r="AC573" t="s">
        <v>906</v>
      </c>
      <c r="AF573" t="s">
        <v>923</v>
      </c>
      <c r="AI573">
        <v>7.85</v>
      </c>
      <c r="AJ573" t="s">
        <v>558</v>
      </c>
      <c r="AK573" t="s">
        <v>941</v>
      </c>
      <c r="AL573" t="s">
        <v>274</v>
      </c>
      <c r="AT573">
        <v>1</v>
      </c>
      <c r="AU573">
        <v>1</v>
      </c>
      <c r="AV573" t="s">
        <v>273</v>
      </c>
      <c r="AY573" t="s">
        <v>273</v>
      </c>
      <c r="BB573">
        <v>0</v>
      </c>
      <c r="BC573">
        <v>0</v>
      </c>
      <c r="BD573">
        <v>0</v>
      </c>
      <c r="BE573">
        <v>0</v>
      </c>
      <c r="BF573" t="s">
        <v>1063</v>
      </c>
      <c r="BG573" t="s">
        <v>6878</v>
      </c>
      <c r="BH573">
        <v>28</v>
      </c>
      <c r="BI573" t="s">
        <v>7113</v>
      </c>
      <c r="BK573">
        <v>1864893</v>
      </c>
    </row>
    <row r="574" spans="1:63">
      <c r="A574" s="1">
        <f>HYPERLINK("https://lsnyc.legalserver.org/matter/dynamic-profile/view/1864169","18-1864169")</f>
        <v>0</v>
      </c>
      <c r="B574" t="s">
        <v>5530</v>
      </c>
      <c r="C574" t="s">
        <v>5625</v>
      </c>
      <c r="D574" t="s">
        <v>257</v>
      </c>
      <c r="E574" t="s">
        <v>3694</v>
      </c>
      <c r="F574" t="s">
        <v>274</v>
      </c>
      <c r="G574" t="s">
        <v>274</v>
      </c>
      <c r="H574">
        <v>164.91</v>
      </c>
      <c r="I574" t="s">
        <v>274</v>
      </c>
      <c r="K574" t="s">
        <v>4065</v>
      </c>
      <c r="O574" t="s">
        <v>274</v>
      </c>
      <c r="Q574" t="s">
        <v>501</v>
      </c>
      <c r="S574" t="s">
        <v>503</v>
      </c>
      <c r="T574" t="s">
        <v>508</v>
      </c>
      <c r="U574" t="s">
        <v>511</v>
      </c>
      <c r="V574">
        <v>10460</v>
      </c>
      <c r="W574" t="s">
        <v>517</v>
      </c>
      <c r="X574" t="s">
        <v>549</v>
      </c>
      <c r="Y574" t="s">
        <v>275</v>
      </c>
      <c r="Z574" t="s">
        <v>5988</v>
      </c>
      <c r="AA574" t="s">
        <v>6390</v>
      </c>
      <c r="AB574" t="s">
        <v>902</v>
      </c>
      <c r="AC574" t="s">
        <v>904</v>
      </c>
      <c r="AF574" t="s">
        <v>923</v>
      </c>
      <c r="AI574">
        <v>3.95</v>
      </c>
      <c r="AJ574" t="s">
        <v>558</v>
      </c>
      <c r="AK574" t="s">
        <v>939</v>
      </c>
      <c r="AT574">
        <v>0</v>
      </c>
      <c r="AU574">
        <v>1</v>
      </c>
      <c r="AV574" t="s">
        <v>273</v>
      </c>
      <c r="AY574" t="s">
        <v>273</v>
      </c>
      <c r="BB574">
        <v>0</v>
      </c>
      <c r="BC574">
        <v>0</v>
      </c>
      <c r="BD574">
        <v>0</v>
      </c>
      <c r="BE574">
        <v>0</v>
      </c>
      <c r="BF574" t="s">
        <v>1063</v>
      </c>
      <c r="BG574" t="s">
        <v>6879</v>
      </c>
      <c r="BH574">
        <v>54</v>
      </c>
      <c r="BI574" t="s">
        <v>3468</v>
      </c>
      <c r="BK574">
        <v>1864751</v>
      </c>
    </row>
    <row r="575" spans="1:63">
      <c r="A575" s="1">
        <f>HYPERLINK("https://lsnyc.legalserver.org/matter/dynamic-profile/view/1863985","18-1863985")</f>
        <v>0</v>
      </c>
      <c r="B575" t="s">
        <v>5509</v>
      </c>
      <c r="C575" t="s">
        <v>5625</v>
      </c>
      <c r="D575" t="s">
        <v>257</v>
      </c>
      <c r="E575" t="s">
        <v>3694</v>
      </c>
      <c r="F575" t="s">
        <v>274</v>
      </c>
      <c r="G575" t="s">
        <v>274</v>
      </c>
      <c r="H575">
        <v>0</v>
      </c>
      <c r="I575" t="s">
        <v>274</v>
      </c>
      <c r="K575" t="s">
        <v>5650</v>
      </c>
      <c r="O575" t="s">
        <v>275</v>
      </c>
      <c r="Q575" t="s">
        <v>501</v>
      </c>
      <c r="S575" t="s">
        <v>503</v>
      </c>
      <c r="T575" t="s">
        <v>508</v>
      </c>
      <c r="U575" t="s">
        <v>511</v>
      </c>
      <c r="V575">
        <v>10467</v>
      </c>
      <c r="W575" t="s">
        <v>536</v>
      </c>
      <c r="X575" t="s">
        <v>549</v>
      </c>
      <c r="Y575" t="s">
        <v>275</v>
      </c>
      <c r="Z575" t="s">
        <v>5971</v>
      </c>
      <c r="AA575" t="s">
        <v>6373</v>
      </c>
      <c r="AB575" t="s">
        <v>902</v>
      </c>
      <c r="AC575" t="s">
        <v>905</v>
      </c>
      <c r="AF575" t="s">
        <v>923</v>
      </c>
      <c r="AI575">
        <v>9.449999999999999</v>
      </c>
      <c r="AJ575" t="s">
        <v>558</v>
      </c>
      <c r="AK575" t="s">
        <v>952</v>
      </c>
      <c r="AT575">
        <v>0</v>
      </c>
      <c r="AU575">
        <v>1</v>
      </c>
      <c r="AV575" t="s">
        <v>273</v>
      </c>
      <c r="AY575" t="s">
        <v>273</v>
      </c>
      <c r="BB575">
        <v>0</v>
      </c>
      <c r="BC575">
        <v>0</v>
      </c>
      <c r="BD575">
        <v>0</v>
      </c>
      <c r="BE575">
        <v>0</v>
      </c>
      <c r="BF575" t="s">
        <v>1063</v>
      </c>
      <c r="BG575" t="s">
        <v>6860</v>
      </c>
      <c r="BH575">
        <v>55</v>
      </c>
      <c r="BI575" t="s">
        <v>1247</v>
      </c>
      <c r="BK575">
        <v>1864567</v>
      </c>
    </row>
    <row r="576" spans="1:63">
      <c r="A576" s="1">
        <f>HYPERLINK("https://lsnyc.legalserver.org/matter/dynamic-profile/view/1864008","18-1864008")</f>
        <v>0</v>
      </c>
      <c r="B576" t="s">
        <v>5531</v>
      </c>
      <c r="C576" t="s">
        <v>5625</v>
      </c>
      <c r="D576" t="s">
        <v>253</v>
      </c>
      <c r="E576" t="s">
        <v>3694</v>
      </c>
      <c r="F576" t="s">
        <v>274</v>
      </c>
      <c r="G576" t="s">
        <v>274</v>
      </c>
      <c r="H576">
        <v>128.5</v>
      </c>
      <c r="I576" t="s">
        <v>274</v>
      </c>
      <c r="K576" t="s">
        <v>5650</v>
      </c>
      <c r="O576" t="s">
        <v>274</v>
      </c>
      <c r="P576" t="s">
        <v>498</v>
      </c>
      <c r="Q576" t="s">
        <v>501</v>
      </c>
      <c r="S576" t="s">
        <v>503</v>
      </c>
      <c r="T576" t="s">
        <v>507</v>
      </c>
      <c r="U576" t="s">
        <v>511</v>
      </c>
      <c r="V576">
        <v>11691</v>
      </c>
      <c r="W576" t="s">
        <v>517</v>
      </c>
      <c r="X576" t="s">
        <v>548</v>
      </c>
      <c r="Y576" t="s">
        <v>275</v>
      </c>
      <c r="Z576" t="s">
        <v>2062</v>
      </c>
      <c r="AA576" t="s">
        <v>2111</v>
      </c>
      <c r="AB576" t="s">
        <v>902</v>
      </c>
      <c r="AC576" t="s">
        <v>904</v>
      </c>
      <c r="AF576" t="s">
        <v>923</v>
      </c>
      <c r="AI576">
        <v>1.35</v>
      </c>
      <c r="AJ576" t="s">
        <v>558</v>
      </c>
      <c r="AK576" t="s">
        <v>3264</v>
      </c>
      <c r="AT576">
        <v>0</v>
      </c>
      <c r="AU576">
        <v>1</v>
      </c>
      <c r="AV576" t="s">
        <v>273</v>
      </c>
      <c r="AY576" t="s">
        <v>273</v>
      </c>
      <c r="BB576">
        <v>0</v>
      </c>
      <c r="BC576">
        <v>0</v>
      </c>
      <c r="BD576">
        <v>0</v>
      </c>
      <c r="BE576">
        <v>0</v>
      </c>
      <c r="BF576" t="s">
        <v>1063</v>
      </c>
      <c r="BG576" t="s">
        <v>6880</v>
      </c>
      <c r="BH576">
        <v>32</v>
      </c>
      <c r="BI576" t="s">
        <v>1270</v>
      </c>
      <c r="BK576">
        <v>1864590</v>
      </c>
    </row>
    <row r="577" spans="1:63">
      <c r="A577" s="1">
        <f>HYPERLINK("https://lsnyc.legalserver.org/matter/dynamic-profile/view/1863766","18-1863766")</f>
        <v>0</v>
      </c>
      <c r="B577" t="s">
        <v>5532</v>
      </c>
      <c r="C577" t="s">
        <v>5625</v>
      </c>
      <c r="D577" t="s">
        <v>255</v>
      </c>
      <c r="E577" t="s">
        <v>3694</v>
      </c>
      <c r="F577" t="s">
        <v>274</v>
      </c>
      <c r="G577" t="s">
        <v>274</v>
      </c>
      <c r="H577">
        <v>160.56</v>
      </c>
      <c r="I577" t="s">
        <v>274</v>
      </c>
      <c r="K577" t="s">
        <v>5651</v>
      </c>
      <c r="Q577" t="s">
        <v>501</v>
      </c>
      <c r="S577" t="s">
        <v>503</v>
      </c>
      <c r="T577" t="s">
        <v>507</v>
      </c>
      <c r="U577" t="s">
        <v>511</v>
      </c>
      <c r="V577">
        <v>10032</v>
      </c>
      <c r="W577" t="s">
        <v>544</v>
      </c>
      <c r="X577" t="s">
        <v>548</v>
      </c>
      <c r="Y577" t="s">
        <v>275</v>
      </c>
      <c r="Z577" t="s">
        <v>5989</v>
      </c>
      <c r="AA577" t="s">
        <v>824</v>
      </c>
      <c r="AB577" t="s">
        <v>902</v>
      </c>
      <c r="AC577" t="s">
        <v>904</v>
      </c>
      <c r="AF577" t="s">
        <v>923</v>
      </c>
      <c r="AI577">
        <v>1.3</v>
      </c>
      <c r="AJ577" t="s">
        <v>558</v>
      </c>
      <c r="AK577" t="s">
        <v>949</v>
      </c>
      <c r="AT577">
        <v>2</v>
      </c>
      <c r="AU577">
        <v>2</v>
      </c>
      <c r="AV577" t="s">
        <v>273</v>
      </c>
      <c r="AY577" t="s">
        <v>273</v>
      </c>
      <c r="BB577">
        <v>0</v>
      </c>
      <c r="BC577">
        <v>0</v>
      </c>
      <c r="BD577">
        <v>0</v>
      </c>
      <c r="BE577">
        <v>0</v>
      </c>
      <c r="BF577" t="s">
        <v>1063</v>
      </c>
      <c r="BG577" t="s">
        <v>6881</v>
      </c>
      <c r="BH577">
        <v>52</v>
      </c>
      <c r="BI577" t="s">
        <v>7114</v>
      </c>
      <c r="BK577">
        <v>1843246</v>
      </c>
    </row>
    <row r="578" spans="1:63">
      <c r="A578" s="1">
        <f>HYPERLINK("https://lsnyc.legalserver.org/matter/dynamic-profile/view/1863772","18-1863772")</f>
        <v>0</v>
      </c>
      <c r="B578" t="s">
        <v>5469</v>
      </c>
      <c r="C578" t="s">
        <v>5625</v>
      </c>
      <c r="D578" t="s">
        <v>254</v>
      </c>
      <c r="E578" t="s">
        <v>3694</v>
      </c>
      <c r="F578" t="s">
        <v>274</v>
      </c>
      <c r="G578" t="s">
        <v>274</v>
      </c>
      <c r="H578">
        <v>122.23</v>
      </c>
      <c r="I578" t="s">
        <v>274</v>
      </c>
      <c r="K578" t="s">
        <v>5651</v>
      </c>
      <c r="Q578" t="s">
        <v>501</v>
      </c>
      <c r="S578" t="s">
        <v>503</v>
      </c>
      <c r="T578" t="s">
        <v>508</v>
      </c>
      <c r="U578" t="s">
        <v>511</v>
      </c>
      <c r="V578">
        <v>10306</v>
      </c>
      <c r="W578" t="s">
        <v>544</v>
      </c>
      <c r="X578" t="s">
        <v>548</v>
      </c>
      <c r="Y578" t="s">
        <v>275</v>
      </c>
      <c r="Z578" t="s">
        <v>2009</v>
      </c>
      <c r="AA578" t="s">
        <v>6270</v>
      </c>
      <c r="AB578" t="s">
        <v>902</v>
      </c>
      <c r="AC578" t="s">
        <v>904</v>
      </c>
      <c r="AF578" t="s">
        <v>923</v>
      </c>
      <c r="AI578">
        <v>0.8</v>
      </c>
      <c r="AJ578" t="s">
        <v>2361</v>
      </c>
      <c r="AK578" t="s">
        <v>947</v>
      </c>
      <c r="AT578">
        <v>0</v>
      </c>
      <c r="AU578">
        <v>4</v>
      </c>
      <c r="AV578" t="s">
        <v>273</v>
      </c>
      <c r="AY578" t="s">
        <v>273</v>
      </c>
      <c r="BB578">
        <v>0</v>
      </c>
      <c r="BC578">
        <v>0</v>
      </c>
      <c r="BD578">
        <v>0</v>
      </c>
      <c r="BE578">
        <v>0</v>
      </c>
      <c r="BF578" t="s">
        <v>1063</v>
      </c>
      <c r="BG578" t="s">
        <v>6822</v>
      </c>
      <c r="BH578">
        <v>56</v>
      </c>
      <c r="BI578" t="s">
        <v>7095</v>
      </c>
      <c r="BK578">
        <v>1839339</v>
      </c>
    </row>
    <row r="579" spans="1:63">
      <c r="A579" s="1">
        <f>HYPERLINK("https://lsnyc.legalserver.org/matter/dynamic-profile/view/1863784","18-1863784")</f>
        <v>0</v>
      </c>
      <c r="B579" t="s">
        <v>5533</v>
      </c>
      <c r="C579" t="s">
        <v>5625</v>
      </c>
      <c r="D579" t="s">
        <v>255</v>
      </c>
      <c r="E579" t="s">
        <v>3694</v>
      </c>
      <c r="F579" t="s">
        <v>274</v>
      </c>
      <c r="G579" t="s">
        <v>274</v>
      </c>
      <c r="H579">
        <v>160.56</v>
      </c>
      <c r="I579" t="s">
        <v>274</v>
      </c>
      <c r="K579" t="s">
        <v>5651</v>
      </c>
      <c r="Q579" t="s">
        <v>501</v>
      </c>
      <c r="S579" t="s">
        <v>503</v>
      </c>
      <c r="T579" t="s">
        <v>508</v>
      </c>
      <c r="U579" t="s">
        <v>511</v>
      </c>
      <c r="V579">
        <v>10032</v>
      </c>
      <c r="W579" t="s">
        <v>544</v>
      </c>
      <c r="X579" t="s">
        <v>548</v>
      </c>
      <c r="Y579" t="s">
        <v>275</v>
      </c>
      <c r="Z579" t="s">
        <v>1881</v>
      </c>
      <c r="AA579" t="s">
        <v>824</v>
      </c>
      <c r="AB579" t="s">
        <v>902</v>
      </c>
      <c r="AC579" t="s">
        <v>904</v>
      </c>
      <c r="AF579" t="s">
        <v>923</v>
      </c>
      <c r="AI579">
        <v>1.4</v>
      </c>
      <c r="AJ579" t="s">
        <v>558</v>
      </c>
      <c r="AK579" t="s">
        <v>949</v>
      </c>
      <c r="AT579">
        <v>2</v>
      </c>
      <c r="AU579">
        <v>2</v>
      </c>
      <c r="AV579" t="s">
        <v>273</v>
      </c>
      <c r="AY579" t="s">
        <v>273</v>
      </c>
      <c r="BB579">
        <v>0</v>
      </c>
      <c r="BC579">
        <v>0</v>
      </c>
      <c r="BD579">
        <v>0</v>
      </c>
      <c r="BE579">
        <v>0</v>
      </c>
      <c r="BF579" t="s">
        <v>1063</v>
      </c>
      <c r="BG579" t="s">
        <v>6882</v>
      </c>
      <c r="BH579">
        <v>47</v>
      </c>
      <c r="BI579" t="s">
        <v>7114</v>
      </c>
      <c r="BK579">
        <v>1843246</v>
      </c>
    </row>
    <row r="580" spans="1:63">
      <c r="A580" s="1">
        <f>HYPERLINK("https://lsnyc.legalserver.org/matter/dynamic-profile/view/1863793","18-1863793")</f>
        <v>0</v>
      </c>
      <c r="B580" t="s">
        <v>5534</v>
      </c>
      <c r="C580" t="s">
        <v>5625</v>
      </c>
      <c r="D580" t="s">
        <v>252</v>
      </c>
      <c r="E580" t="s">
        <v>3694</v>
      </c>
      <c r="F580" t="s">
        <v>274</v>
      </c>
      <c r="G580" t="s">
        <v>274</v>
      </c>
      <c r="H580">
        <v>160.49</v>
      </c>
      <c r="I580" t="s">
        <v>274</v>
      </c>
      <c r="K580" t="s">
        <v>5651</v>
      </c>
      <c r="Q580" t="s">
        <v>501</v>
      </c>
      <c r="S580" t="s">
        <v>503</v>
      </c>
      <c r="T580" t="s">
        <v>508</v>
      </c>
      <c r="U580" t="s">
        <v>511</v>
      </c>
      <c r="V580">
        <v>11213</v>
      </c>
      <c r="W580" t="s">
        <v>525</v>
      </c>
      <c r="Y580" t="s">
        <v>274</v>
      </c>
      <c r="Z580" t="s">
        <v>5803</v>
      </c>
      <c r="AA580" t="s">
        <v>6391</v>
      </c>
      <c r="AB580" t="s">
        <v>902</v>
      </c>
      <c r="AC580" t="s">
        <v>904</v>
      </c>
      <c r="AF580" t="s">
        <v>923</v>
      </c>
      <c r="AI580">
        <v>0.2</v>
      </c>
      <c r="AJ580" t="s">
        <v>558</v>
      </c>
      <c r="AK580" t="s">
        <v>2365</v>
      </c>
      <c r="AT580">
        <v>0</v>
      </c>
      <c r="AU580">
        <v>2</v>
      </c>
      <c r="AV580" t="s">
        <v>273</v>
      </c>
      <c r="AY580" t="s">
        <v>273</v>
      </c>
      <c r="BB580">
        <v>0</v>
      </c>
      <c r="BC580">
        <v>0</v>
      </c>
      <c r="BD580">
        <v>0</v>
      </c>
      <c r="BE580">
        <v>0</v>
      </c>
      <c r="BF580" t="s">
        <v>1063</v>
      </c>
      <c r="BG580" t="s">
        <v>6883</v>
      </c>
      <c r="BH580">
        <v>52</v>
      </c>
      <c r="BI580" t="s">
        <v>7115</v>
      </c>
      <c r="BK580">
        <v>833331</v>
      </c>
    </row>
    <row r="581" spans="1:63">
      <c r="A581" s="1">
        <f>HYPERLINK("https://lsnyc.legalserver.org/matter/dynamic-profile/view/1863803","18-1863803")</f>
        <v>0</v>
      </c>
      <c r="B581" t="s">
        <v>5535</v>
      </c>
      <c r="C581" t="s">
        <v>5625</v>
      </c>
      <c r="D581" t="s">
        <v>257</v>
      </c>
      <c r="E581" t="s">
        <v>3694</v>
      </c>
      <c r="F581" t="s">
        <v>274</v>
      </c>
      <c r="G581" t="s">
        <v>274</v>
      </c>
      <c r="H581">
        <v>51.4</v>
      </c>
      <c r="I581" t="s">
        <v>274</v>
      </c>
      <c r="K581" t="s">
        <v>5651</v>
      </c>
      <c r="Q581" t="s">
        <v>501</v>
      </c>
      <c r="S581" t="s">
        <v>503</v>
      </c>
      <c r="T581" t="s">
        <v>508</v>
      </c>
      <c r="U581" t="s">
        <v>511</v>
      </c>
      <c r="V581">
        <v>10452</v>
      </c>
      <c r="W581" t="s">
        <v>544</v>
      </c>
      <c r="X581" t="s">
        <v>548</v>
      </c>
      <c r="Y581" t="s">
        <v>275</v>
      </c>
      <c r="Z581" t="s">
        <v>1985</v>
      </c>
      <c r="AA581" t="s">
        <v>6384</v>
      </c>
      <c r="AB581" t="s">
        <v>902</v>
      </c>
      <c r="AC581" t="s">
        <v>904</v>
      </c>
      <c r="AF581" t="s">
        <v>923</v>
      </c>
      <c r="AI581">
        <v>2.55</v>
      </c>
      <c r="AJ581" t="s">
        <v>558</v>
      </c>
      <c r="AK581" t="s">
        <v>950</v>
      </c>
      <c r="AT581">
        <v>0</v>
      </c>
      <c r="AU581">
        <v>1</v>
      </c>
      <c r="AV581" t="s">
        <v>273</v>
      </c>
      <c r="AY581" t="s">
        <v>273</v>
      </c>
      <c r="BB581">
        <v>0</v>
      </c>
      <c r="BC581">
        <v>0</v>
      </c>
      <c r="BD581">
        <v>0</v>
      </c>
      <c r="BE581">
        <v>0</v>
      </c>
      <c r="BF581" t="s">
        <v>1063</v>
      </c>
      <c r="BG581" t="s">
        <v>6884</v>
      </c>
      <c r="BH581">
        <v>49</v>
      </c>
      <c r="BI581" t="s">
        <v>1305</v>
      </c>
      <c r="BK581">
        <v>1849822</v>
      </c>
    </row>
    <row r="582" spans="1:63">
      <c r="A582" s="1">
        <f>HYPERLINK("https://lsnyc.legalserver.org/matter/dynamic-profile/view/1863804","18-1863804")</f>
        <v>0</v>
      </c>
      <c r="B582" t="s">
        <v>5470</v>
      </c>
      <c r="C582" t="s">
        <v>5625</v>
      </c>
      <c r="D582" t="s">
        <v>257</v>
      </c>
      <c r="E582" t="s">
        <v>3694</v>
      </c>
      <c r="F582" t="s">
        <v>274</v>
      </c>
      <c r="G582" t="s">
        <v>274</v>
      </c>
      <c r="H582">
        <v>0</v>
      </c>
      <c r="I582" t="s">
        <v>274</v>
      </c>
      <c r="K582" t="s">
        <v>5651</v>
      </c>
      <c r="Q582" t="s">
        <v>501</v>
      </c>
      <c r="S582" t="s">
        <v>503</v>
      </c>
      <c r="T582" t="s">
        <v>507</v>
      </c>
      <c r="U582" t="s">
        <v>511</v>
      </c>
      <c r="V582">
        <v>10452</v>
      </c>
      <c r="W582" t="s">
        <v>544</v>
      </c>
      <c r="X582" t="s">
        <v>548</v>
      </c>
      <c r="Y582" t="s">
        <v>275</v>
      </c>
      <c r="Z582" t="s">
        <v>613</v>
      </c>
      <c r="AA582" t="s">
        <v>6345</v>
      </c>
      <c r="AB582" t="s">
        <v>902</v>
      </c>
      <c r="AC582" t="s">
        <v>904</v>
      </c>
      <c r="AF582" t="s">
        <v>923</v>
      </c>
      <c r="AI582">
        <v>4.4</v>
      </c>
      <c r="AJ582" t="s">
        <v>558</v>
      </c>
      <c r="AK582" t="s">
        <v>949</v>
      </c>
      <c r="AT582">
        <v>0</v>
      </c>
      <c r="AU582">
        <v>1</v>
      </c>
      <c r="AV582" t="s">
        <v>273</v>
      </c>
      <c r="AY582" t="s">
        <v>273</v>
      </c>
      <c r="BB582">
        <v>0</v>
      </c>
      <c r="BC582">
        <v>0</v>
      </c>
      <c r="BD582">
        <v>0</v>
      </c>
      <c r="BE582">
        <v>0</v>
      </c>
      <c r="BF582" t="s">
        <v>1063</v>
      </c>
      <c r="BG582" t="s">
        <v>6823</v>
      </c>
      <c r="BH582">
        <v>87</v>
      </c>
      <c r="BI582" t="s">
        <v>1247</v>
      </c>
      <c r="BK582">
        <v>826183</v>
      </c>
    </row>
    <row r="583" spans="1:63">
      <c r="A583" s="1">
        <f>HYPERLINK("https://lsnyc.legalserver.org/matter/dynamic-profile/view/1863811","18-1863811")</f>
        <v>0</v>
      </c>
      <c r="B583" t="s">
        <v>5536</v>
      </c>
      <c r="C583" t="s">
        <v>5625</v>
      </c>
      <c r="D583" t="s">
        <v>257</v>
      </c>
      <c r="E583" t="s">
        <v>3694</v>
      </c>
      <c r="F583" t="s">
        <v>274</v>
      </c>
      <c r="G583" t="s">
        <v>274</v>
      </c>
      <c r="H583">
        <v>128.5</v>
      </c>
      <c r="I583" t="s">
        <v>274</v>
      </c>
      <c r="K583" t="s">
        <v>5651</v>
      </c>
      <c r="Q583" t="s">
        <v>501</v>
      </c>
      <c r="S583" t="s">
        <v>503</v>
      </c>
      <c r="T583" t="s">
        <v>508</v>
      </c>
      <c r="U583" t="s">
        <v>511</v>
      </c>
      <c r="V583">
        <v>10455</v>
      </c>
      <c r="W583" t="s">
        <v>525</v>
      </c>
      <c r="X583" t="s">
        <v>549</v>
      </c>
      <c r="Y583" t="s">
        <v>275</v>
      </c>
      <c r="Z583" t="s">
        <v>5990</v>
      </c>
      <c r="AA583" t="s">
        <v>6392</v>
      </c>
      <c r="AB583" t="s">
        <v>902</v>
      </c>
      <c r="AC583" t="s">
        <v>904</v>
      </c>
      <c r="AF583" t="s">
        <v>923</v>
      </c>
      <c r="AI583">
        <v>1.55</v>
      </c>
      <c r="AJ583" t="s">
        <v>558</v>
      </c>
      <c r="AK583" t="s">
        <v>950</v>
      </c>
      <c r="AT583">
        <v>0</v>
      </c>
      <c r="AU583">
        <v>1</v>
      </c>
      <c r="AV583" t="s">
        <v>273</v>
      </c>
      <c r="AY583" t="s">
        <v>273</v>
      </c>
      <c r="BB583">
        <v>0</v>
      </c>
      <c r="BC583">
        <v>0</v>
      </c>
      <c r="BD583">
        <v>0</v>
      </c>
      <c r="BE583">
        <v>0</v>
      </c>
      <c r="BF583" t="s">
        <v>1063</v>
      </c>
      <c r="BG583" t="s">
        <v>6885</v>
      </c>
      <c r="BH583">
        <v>24</v>
      </c>
      <c r="BI583" t="s">
        <v>1270</v>
      </c>
      <c r="BK583">
        <v>1848707</v>
      </c>
    </row>
    <row r="584" spans="1:63">
      <c r="A584" s="1">
        <f>HYPERLINK("https://lsnyc.legalserver.org/matter/dynamic-profile/view/1863822","18-1863822")</f>
        <v>0</v>
      </c>
      <c r="B584" t="s">
        <v>5537</v>
      </c>
      <c r="C584" t="s">
        <v>5625</v>
      </c>
      <c r="D584" t="s">
        <v>254</v>
      </c>
      <c r="E584" t="s">
        <v>3694</v>
      </c>
      <c r="F584" t="s">
        <v>274</v>
      </c>
      <c r="G584" t="s">
        <v>274</v>
      </c>
      <c r="H584">
        <v>0</v>
      </c>
      <c r="I584" t="s">
        <v>274</v>
      </c>
      <c r="K584" t="s">
        <v>5651</v>
      </c>
      <c r="Q584" t="s">
        <v>501</v>
      </c>
      <c r="S584" t="s">
        <v>503</v>
      </c>
      <c r="T584" t="s">
        <v>508</v>
      </c>
      <c r="U584" t="s">
        <v>511</v>
      </c>
      <c r="V584">
        <v>10305</v>
      </c>
      <c r="W584" t="s">
        <v>544</v>
      </c>
      <c r="X584" t="s">
        <v>549</v>
      </c>
      <c r="Y584" t="s">
        <v>275</v>
      </c>
      <c r="Z584" t="s">
        <v>5991</v>
      </c>
      <c r="AA584" t="s">
        <v>6287</v>
      </c>
      <c r="AB584" t="s">
        <v>902</v>
      </c>
      <c r="AC584" t="s">
        <v>904</v>
      </c>
      <c r="AF584" t="s">
        <v>923</v>
      </c>
      <c r="AI584">
        <v>1.45</v>
      </c>
      <c r="AJ584" t="s">
        <v>558</v>
      </c>
      <c r="AK584" t="s">
        <v>950</v>
      </c>
      <c r="AM584" t="s">
        <v>973</v>
      </c>
      <c r="AT584">
        <v>0</v>
      </c>
      <c r="AU584">
        <v>1</v>
      </c>
      <c r="AV584" t="s">
        <v>273</v>
      </c>
      <c r="AY584" t="s">
        <v>273</v>
      </c>
      <c r="BB584">
        <v>0</v>
      </c>
      <c r="BC584">
        <v>0</v>
      </c>
      <c r="BD584">
        <v>0</v>
      </c>
      <c r="BE584">
        <v>0</v>
      </c>
      <c r="BF584" t="s">
        <v>1063</v>
      </c>
      <c r="BG584" t="s">
        <v>6886</v>
      </c>
      <c r="BH584">
        <v>23</v>
      </c>
      <c r="BI584" t="s">
        <v>1247</v>
      </c>
      <c r="BK584">
        <v>1850782</v>
      </c>
    </row>
    <row r="585" spans="1:63">
      <c r="A585" s="1">
        <f>HYPERLINK("https://lsnyc.legalserver.org/matter/dynamic-profile/view/1863832","18-1863832")</f>
        <v>0</v>
      </c>
      <c r="B585" t="s">
        <v>5538</v>
      </c>
      <c r="C585" t="s">
        <v>5625</v>
      </c>
      <c r="D585" t="s">
        <v>252</v>
      </c>
      <c r="E585" t="s">
        <v>3694</v>
      </c>
      <c r="F585" t="s">
        <v>274</v>
      </c>
      <c r="G585" t="s">
        <v>274</v>
      </c>
      <c r="H585">
        <v>246.42</v>
      </c>
      <c r="I585" t="s">
        <v>274</v>
      </c>
      <c r="K585" t="s">
        <v>5651</v>
      </c>
      <c r="Q585" t="s">
        <v>501</v>
      </c>
      <c r="S585" t="s">
        <v>503</v>
      </c>
      <c r="T585" t="s">
        <v>508</v>
      </c>
      <c r="U585" t="s">
        <v>511</v>
      </c>
      <c r="V585">
        <v>11208</v>
      </c>
      <c r="W585" t="s">
        <v>525</v>
      </c>
      <c r="Y585" t="s">
        <v>275</v>
      </c>
      <c r="Z585" t="s">
        <v>2086</v>
      </c>
      <c r="AA585" t="s">
        <v>4655</v>
      </c>
      <c r="AB585" t="s">
        <v>902</v>
      </c>
      <c r="AC585" t="s">
        <v>904</v>
      </c>
      <c r="AF585" t="s">
        <v>923</v>
      </c>
      <c r="AI585">
        <v>1.05</v>
      </c>
      <c r="AJ585" t="s">
        <v>558</v>
      </c>
      <c r="AK585" t="s">
        <v>939</v>
      </c>
      <c r="AT585">
        <v>1</v>
      </c>
      <c r="AU585">
        <v>1</v>
      </c>
      <c r="AV585" t="s">
        <v>273</v>
      </c>
      <c r="AY585" t="s">
        <v>273</v>
      </c>
      <c r="BB585">
        <v>0</v>
      </c>
      <c r="BC585">
        <v>0</v>
      </c>
      <c r="BD585">
        <v>0</v>
      </c>
      <c r="BE585">
        <v>0</v>
      </c>
      <c r="BF585" t="s">
        <v>1063</v>
      </c>
      <c r="BG585" t="s">
        <v>6887</v>
      </c>
      <c r="BH585">
        <v>62</v>
      </c>
      <c r="BI585" t="s">
        <v>7116</v>
      </c>
      <c r="BK585">
        <v>1858163</v>
      </c>
    </row>
    <row r="586" spans="1:63">
      <c r="A586" s="1">
        <f>HYPERLINK("https://lsnyc.legalserver.org/matter/dynamic-profile/view/1863835","18-1863835")</f>
        <v>0</v>
      </c>
      <c r="B586" t="s">
        <v>5539</v>
      </c>
      <c r="C586" t="s">
        <v>5625</v>
      </c>
      <c r="D586" t="s">
        <v>257</v>
      </c>
      <c r="E586" t="s">
        <v>3694</v>
      </c>
      <c r="F586" t="s">
        <v>274</v>
      </c>
      <c r="G586" t="s">
        <v>274</v>
      </c>
      <c r="H586">
        <v>50.05</v>
      </c>
      <c r="I586" t="s">
        <v>274</v>
      </c>
      <c r="K586" t="s">
        <v>5651</v>
      </c>
      <c r="Q586" t="s">
        <v>501</v>
      </c>
      <c r="S586" t="s">
        <v>503</v>
      </c>
      <c r="T586" t="s">
        <v>508</v>
      </c>
      <c r="U586" t="s">
        <v>511</v>
      </c>
      <c r="V586">
        <v>10456</v>
      </c>
      <c r="W586" t="s">
        <v>544</v>
      </c>
      <c r="X586" t="s">
        <v>548</v>
      </c>
      <c r="Y586" t="s">
        <v>274</v>
      </c>
      <c r="Z586" t="s">
        <v>5992</v>
      </c>
      <c r="AA586" t="s">
        <v>6393</v>
      </c>
      <c r="AB586" t="s">
        <v>902</v>
      </c>
      <c r="AC586" t="s">
        <v>904</v>
      </c>
      <c r="AF586" t="s">
        <v>923</v>
      </c>
      <c r="AI586">
        <v>1.7</v>
      </c>
      <c r="AJ586" t="s">
        <v>558</v>
      </c>
      <c r="AK586" t="s">
        <v>933</v>
      </c>
      <c r="AT586">
        <v>2</v>
      </c>
      <c r="AU586">
        <v>1</v>
      </c>
      <c r="AV586" t="s">
        <v>273</v>
      </c>
      <c r="AY586" t="s">
        <v>273</v>
      </c>
      <c r="BB586">
        <v>0</v>
      </c>
      <c r="BC586">
        <v>0</v>
      </c>
      <c r="BD586">
        <v>0</v>
      </c>
      <c r="BE586">
        <v>0</v>
      </c>
      <c r="BF586" t="s">
        <v>1063</v>
      </c>
      <c r="BG586" t="s">
        <v>6888</v>
      </c>
      <c r="BH586">
        <v>22</v>
      </c>
      <c r="BI586" t="s">
        <v>1301</v>
      </c>
      <c r="BK586">
        <v>1858558</v>
      </c>
    </row>
    <row r="587" spans="1:63">
      <c r="A587" s="1">
        <f>HYPERLINK("https://lsnyc.legalserver.org/matter/dynamic-profile/view/1863859","18-1863859")</f>
        <v>0</v>
      </c>
      <c r="B587" t="s">
        <v>5540</v>
      </c>
      <c r="C587" t="s">
        <v>5625</v>
      </c>
      <c r="D587" t="s">
        <v>252</v>
      </c>
      <c r="E587" t="s">
        <v>3694</v>
      </c>
      <c r="F587" t="s">
        <v>274</v>
      </c>
      <c r="G587" t="s">
        <v>274</v>
      </c>
      <c r="H587">
        <v>8.199999999999999</v>
      </c>
      <c r="I587" t="s">
        <v>274</v>
      </c>
      <c r="K587" t="s">
        <v>5651</v>
      </c>
      <c r="Q587" t="s">
        <v>501</v>
      </c>
      <c r="S587" t="s">
        <v>503</v>
      </c>
      <c r="T587" t="s">
        <v>508</v>
      </c>
      <c r="U587" t="s">
        <v>511</v>
      </c>
      <c r="V587">
        <v>11207</v>
      </c>
      <c r="W587" t="s">
        <v>544</v>
      </c>
      <c r="X587" t="s">
        <v>552</v>
      </c>
      <c r="Y587" t="s">
        <v>275</v>
      </c>
      <c r="Z587" t="s">
        <v>5993</v>
      </c>
      <c r="AA587" t="s">
        <v>6394</v>
      </c>
      <c r="AB587" t="s">
        <v>902</v>
      </c>
      <c r="AC587" t="s">
        <v>904</v>
      </c>
      <c r="AF587" t="s">
        <v>923</v>
      </c>
      <c r="AI587">
        <v>0.2</v>
      </c>
      <c r="AJ587" t="s">
        <v>558</v>
      </c>
      <c r="AK587" t="s">
        <v>937</v>
      </c>
      <c r="AT587">
        <v>0</v>
      </c>
      <c r="AU587">
        <v>1</v>
      </c>
      <c r="AV587" t="s">
        <v>273</v>
      </c>
      <c r="AY587" t="s">
        <v>273</v>
      </c>
      <c r="BB587">
        <v>0</v>
      </c>
      <c r="BC587">
        <v>0</v>
      </c>
      <c r="BD587">
        <v>0</v>
      </c>
      <c r="BE587">
        <v>0</v>
      </c>
      <c r="BF587" t="s">
        <v>1063</v>
      </c>
      <c r="BG587" t="s">
        <v>6889</v>
      </c>
      <c r="BH587">
        <v>63</v>
      </c>
      <c r="BI587" t="s">
        <v>7117</v>
      </c>
      <c r="BK587">
        <v>1854742</v>
      </c>
    </row>
    <row r="588" spans="1:63">
      <c r="A588" s="1">
        <f>HYPERLINK("https://lsnyc.legalserver.org/matter/dynamic-profile/view/1863865","18-1863865")</f>
        <v>0</v>
      </c>
      <c r="B588" t="s">
        <v>5541</v>
      </c>
      <c r="C588" t="s">
        <v>5625</v>
      </c>
      <c r="D588" t="s">
        <v>257</v>
      </c>
      <c r="E588" t="s">
        <v>3694</v>
      </c>
      <c r="F588" t="s">
        <v>274</v>
      </c>
      <c r="G588" t="s">
        <v>274</v>
      </c>
      <c r="H588">
        <v>109.36</v>
      </c>
      <c r="I588" t="s">
        <v>274</v>
      </c>
      <c r="K588" t="s">
        <v>5651</v>
      </c>
      <c r="Q588" t="s">
        <v>501</v>
      </c>
      <c r="S588" t="s">
        <v>503</v>
      </c>
      <c r="T588" t="s">
        <v>508</v>
      </c>
      <c r="U588" t="s">
        <v>511</v>
      </c>
      <c r="V588">
        <v>10455</v>
      </c>
      <c r="W588" t="s">
        <v>544</v>
      </c>
      <c r="X588" t="s">
        <v>549</v>
      </c>
      <c r="Y588" t="s">
        <v>275</v>
      </c>
      <c r="Z588" t="s">
        <v>5994</v>
      </c>
      <c r="AA588" t="s">
        <v>6395</v>
      </c>
      <c r="AB588" t="s">
        <v>902</v>
      </c>
      <c r="AC588" t="s">
        <v>904</v>
      </c>
      <c r="AF588" t="s">
        <v>923</v>
      </c>
      <c r="AI588">
        <v>0.2</v>
      </c>
      <c r="AJ588" t="s">
        <v>558</v>
      </c>
      <c r="AK588" t="s">
        <v>6461</v>
      </c>
      <c r="AM588" t="s">
        <v>973</v>
      </c>
      <c r="AN588" t="s">
        <v>1745</v>
      </c>
      <c r="AT588">
        <v>1</v>
      </c>
      <c r="AU588">
        <v>1</v>
      </c>
      <c r="AV588" t="s">
        <v>273</v>
      </c>
      <c r="AY588" t="s">
        <v>273</v>
      </c>
      <c r="BB588">
        <v>0</v>
      </c>
      <c r="BC588">
        <v>0</v>
      </c>
      <c r="BD588">
        <v>0</v>
      </c>
      <c r="BE588">
        <v>0</v>
      </c>
      <c r="BF588" t="s">
        <v>1063</v>
      </c>
      <c r="BG588" t="s">
        <v>6890</v>
      </c>
      <c r="BH588">
        <v>29</v>
      </c>
      <c r="BI588" t="s">
        <v>1289</v>
      </c>
      <c r="BK588">
        <v>1851326</v>
      </c>
    </row>
    <row r="589" spans="1:63">
      <c r="A589" s="1">
        <f>HYPERLINK("https://lsnyc.legalserver.org/matter/dynamic-profile/view/1863866","18-1863866")</f>
        <v>0</v>
      </c>
      <c r="B589" t="s">
        <v>5542</v>
      </c>
      <c r="C589" t="s">
        <v>5625</v>
      </c>
      <c r="D589" t="s">
        <v>254</v>
      </c>
      <c r="E589" t="s">
        <v>3694</v>
      </c>
      <c r="F589" t="s">
        <v>274</v>
      </c>
      <c r="G589" t="s">
        <v>274</v>
      </c>
      <c r="H589">
        <v>155.38</v>
      </c>
      <c r="I589" t="s">
        <v>275</v>
      </c>
      <c r="K589" t="s">
        <v>5651</v>
      </c>
      <c r="Q589" t="s">
        <v>501</v>
      </c>
      <c r="S589" t="s">
        <v>503</v>
      </c>
      <c r="T589" t="s">
        <v>507</v>
      </c>
      <c r="U589" t="s">
        <v>511</v>
      </c>
      <c r="V589">
        <v>10314</v>
      </c>
      <c r="W589" t="s">
        <v>544</v>
      </c>
      <c r="X589" t="s">
        <v>549</v>
      </c>
      <c r="Y589" t="s">
        <v>275</v>
      </c>
      <c r="Z589" t="s">
        <v>5995</v>
      </c>
      <c r="AA589" t="s">
        <v>3160</v>
      </c>
      <c r="AB589" t="s">
        <v>902</v>
      </c>
      <c r="AC589" t="s">
        <v>904</v>
      </c>
      <c r="AF589" t="s">
        <v>923</v>
      </c>
      <c r="AI589">
        <v>0.3</v>
      </c>
      <c r="AJ589" t="s">
        <v>558</v>
      </c>
      <c r="AK589" t="s">
        <v>954</v>
      </c>
      <c r="AT589">
        <v>1</v>
      </c>
      <c r="AU589">
        <v>3</v>
      </c>
      <c r="AV589" t="s">
        <v>273</v>
      </c>
      <c r="AY589" t="s">
        <v>273</v>
      </c>
      <c r="BB589">
        <v>0</v>
      </c>
      <c r="BC589">
        <v>0</v>
      </c>
      <c r="BD589">
        <v>0</v>
      </c>
      <c r="BE589">
        <v>0</v>
      </c>
      <c r="BF589" t="s">
        <v>1063</v>
      </c>
      <c r="BG589" t="s">
        <v>6891</v>
      </c>
      <c r="BH589">
        <v>49</v>
      </c>
      <c r="BI589" t="s">
        <v>1273</v>
      </c>
      <c r="BK589">
        <v>740841</v>
      </c>
    </row>
    <row r="590" spans="1:63">
      <c r="A590" s="1">
        <f>HYPERLINK("https://lsnyc.legalserver.org/matter/dynamic-profile/view/1863871","18-1863871")</f>
        <v>0</v>
      </c>
      <c r="B590" t="s">
        <v>5543</v>
      </c>
      <c r="C590" t="s">
        <v>5625</v>
      </c>
      <c r="D590" t="s">
        <v>257</v>
      </c>
      <c r="E590" t="s">
        <v>3694</v>
      </c>
      <c r="F590" t="s">
        <v>274</v>
      </c>
      <c r="G590" t="s">
        <v>274</v>
      </c>
      <c r="H590">
        <v>150.14</v>
      </c>
      <c r="I590" t="s">
        <v>274</v>
      </c>
      <c r="K590" t="s">
        <v>5651</v>
      </c>
      <c r="Q590" t="s">
        <v>501</v>
      </c>
      <c r="S590" t="s">
        <v>503</v>
      </c>
      <c r="T590" t="s">
        <v>508</v>
      </c>
      <c r="U590" t="s">
        <v>511</v>
      </c>
      <c r="V590">
        <v>10466</v>
      </c>
      <c r="W590" t="s">
        <v>544</v>
      </c>
      <c r="X590" t="s">
        <v>549</v>
      </c>
      <c r="Y590" t="s">
        <v>275</v>
      </c>
      <c r="Z590" t="s">
        <v>5996</v>
      </c>
      <c r="AA590" t="s">
        <v>6396</v>
      </c>
      <c r="AB590" t="s">
        <v>902</v>
      </c>
      <c r="AC590" t="s">
        <v>904</v>
      </c>
      <c r="AF590" t="s">
        <v>923</v>
      </c>
      <c r="AI590">
        <v>0.3</v>
      </c>
      <c r="AJ590" t="s">
        <v>558</v>
      </c>
      <c r="AK590" t="s">
        <v>952</v>
      </c>
      <c r="AT590">
        <v>1</v>
      </c>
      <c r="AU590">
        <v>2</v>
      </c>
      <c r="AV590" t="s">
        <v>273</v>
      </c>
      <c r="AY590" t="s">
        <v>273</v>
      </c>
      <c r="BB590">
        <v>0</v>
      </c>
      <c r="BC590">
        <v>0</v>
      </c>
      <c r="BD590">
        <v>0</v>
      </c>
      <c r="BE590">
        <v>0</v>
      </c>
      <c r="BF590" t="s">
        <v>1063</v>
      </c>
      <c r="BG590" t="s">
        <v>6892</v>
      </c>
      <c r="BH590">
        <v>20</v>
      </c>
      <c r="BI590" t="s">
        <v>1254</v>
      </c>
      <c r="BK590">
        <v>1835293</v>
      </c>
    </row>
    <row r="591" spans="1:63">
      <c r="A591" s="1">
        <f>HYPERLINK("https://lsnyc.legalserver.org/matter/dynamic-profile/view/1863874","18-1863874")</f>
        <v>0</v>
      </c>
      <c r="B591" t="s">
        <v>5544</v>
      </c>
      <c r="C591" t="s">
        <v>5625</v>
      </c>
      <c r="D591" t="s">
        <v>253</v>
      </c>
      <c r="E591" t="s">
        <v>3694</v>
      </c>
      <c r="F591" t="s">
        <v>273</v>
      </c>
      <c r="G591" t="s">
        <v>275</v>
      </c>
      <c r="H591">
        <v>63.52</v>
      </c>
      <c r="I591" t="s">
        <v>274</v>
      </c>
      <c r="K591" t="s">
        <v>5651</v>
      </c>
      <c r="Q591" t="s">
        <v>501</v>
      </c>
      <c r="S591" t="s">
        <v>503</v>
      </c>
      <c r="T591" t="s">
        <v>508</v>
      </c>
      <c r="U591" t="s">
        <v>511</v>
      </c>
      <c r="V591">
        <v>11368</v>
      </c>
      <c r="W591" t="s">
        <v>528</v>
      </c>
      <c r="Y591" t="s">
        <v>275</v>
      </c>
      <c r="Z591" t="s">
        <v>614</v>
      </c>
      <c r="AA591" t="s">
        <v>6397</v>
      </c>
      <c r="AB591" t="s">
        <v>902</v>
      </c>
      <c r="AC591" t="s">
        <v>905</v>
      </c>
      <c r="AF591" t="s">
        <v>923</v>
      </c>
      <c r="AI591">
        <v>4.3</v>
      </c>
      <c r="AJ591" t="s">
        <v>558</v>
      </c>
      <c r="AK591" t="s">
        <v>933</v>
      </c>
      <c r="AT591">
        <v>2</v>
      </c>
      <c r="AU591">
        <v>1</v>
      </c>
      <c r="AV591" t="s">
        <v>273</v>
      </c>
      <c r="AY591" t="s">
        <v>273</v>
      </c>
      <c r="BB591">
        <v>0</v>
      </c>
      <c r="BC591">
        <v>0</v>
      </c>
      <c r="BD591">
        <v>0</v>
      </c>
      <c r="BE591">
        <v>0</v>
      </c>
      <c r="BF591" t="s">
        <v>1063</v>
      </c>
      <c r="BG591" t="s">
        <v>6893</v>
      </c>
      <c r="BH591">
        <v>35</v>
      </c>
      <c r="BI591" t="s">
        <v>1298</v>
      </c>
      <c r="BK591">
        <v>1861902</v>
      </c>
    </row>
    <row r="592" spans="1:63">
      <c r="A592" s="1">
        <f>HYPERLINK("https://lsnyc.legalserver.org/matter/dynamic-profile/view/1863880","18-1863880")</f>
        <v>0</v>
      </c>
      <c r="B592" t="s">
        <v>5545</v>
      </c>
      <c r="C592" t="s">
        <v>5625</v>
      </c>
      <c r="D592" t="s">
        <v>252</v>
      </c>
      <c r="E592" t="s">
        <v>3694</v>
      </c>
      <c r="F592" t="s">
        <v>274</v>
      </c>
      <c r="G592" t="s">
        <v>274</v>
      </c>
      <c r="H592">
        <v>0</v>
      </c>
      <c r="I592" t="s">
        <v>274</v>
      </c>
      <c r="K592" t="s">
        <v>5651</v>
      </c>
      <c r="O592" t="s">
        <v>274</v>
      </c>
      <c r="P592" t="s">
        <v>498</v>
      </c>
      <c r="Q592" t="s">
        <v>501</v>
      </c>
      <c r="S592" t="s">
        <v>503</v>
      </c>
      <c r="T592" t="s">
        <v>507</v>
      </c>
      <c r="U592" t="s">
        <v>511</v>
      </c>
      <c r="V592">
        <v>11213</v>
      </c>
      <c r="W592" t="s">
        <v>1831</v>
      </c>
      <c r="X592" t="s">
        <v>549</v>
      </c>
      <c r="Y592" t="s">
        <v>274</v>
      </c>
      <c r="Z592" t="s">
        <v>5997</v>
      </c>
      <c r="AA592" t="s">
        <v>6398</v>
      </c>
      <c r="AB592" t="s">
        <v>902</v>
      </c>
      <c r="AC592" t="s">
        <v>904</v>
      </c>
      <c r="AF592" t="s">
        <v>928</v>
      </c>
      <c r="AI592">
        <v>1.4</v>
      </c>
      <c r="AJ592" t="s">
        <v>558</v>
      </c>
      <c r="AK592" t="s">
        <v>939</v>
      </c>
      <c r="AT592">
        <v>0</v>
      </c>
      <c r="AU592">
        <v>1</v>
      </c>
      <c r="AV592" t="s">
        <v>273</v>
      </c>
      <c r="AY592" t="s">
        <v>273</v>
      </c>
      <c r="BB592">
        <v>0</v>
      </c>
      <c r="BC592">
        <v>0</v>
      </c>
      <c r="BD592">
        <v>0</v>
      </c>
      <c r="BE592">
        <v>0</v>
      </c>
      <c r="BF592" t="s">
        <v>1063</v>
      </c>
      <c r="BG592" t="s">
        <v>6894</v>
      </c>
      <c r="BH592">
        <v>47</v>
      </c>
      <c r="BI592" t="s">
        <v>1247</v>
      </c>
      <c r="BK592">
        <v>1864462</v>
      </c>
    </row>
    <row r="593" spans="1:63">
      <c r="A593" s="1">
        <f>HYPERLINK("https://lsnyc.legalserver.org/matter/dynamic-profile/view/1863882","18-1863882")</f>
        <v>0</v>
      </c>
      <c r="B593" t="s">
        <v>5546</v>
      </c>
      <c r="C593" t="s">
        <v>5625</v>
      </c>
      <c r="D593" t="s">
        <v>253</v>
      </c>
      <c r="E593" t="s">
        <v>3694</v>
      </c>
      <c r="F593" t="s">
        <v>274</v>
      </c>
      <c r="G593" t="s">
        <v>274</v>
      </c>
      <c r="H593">
        <v>0</v>
      </c>
      <c r="I593" t="s">
        <v>274</v>
      </c>
      <c r="K593" t="s">
        <v>5651</v>
      </c>
      <c r="Q593" t="s">
        <v>501</v>
      </c>
      <c r="S593" t="s">
        <v>503</v>
      </c>
      <c r="T593" t="s">
        <v>508</v>
      </c>
      <c r="U593" t="s">
        <v>511</v>
      </c>
      <c r="V593">
        <v>11368</v>
      </c>
      <c r="W593" t="s">
        <v>528</v>
      </c>
      <c r="X593" t="s">
        <v>548</v>
      </c>
      <c r="Y593" t="s">
        <v>275</v>
      </c>
      <c r="Z593" t="s">
        <v>5998</v>
      </c>
      <c r="AA593" t="s">
        <v>2348</v>
      </c>
      <c r="AB593" t="s">
        <v>902</v>
      </c>
      <c r="AC593" t="s">
        <v>905</v>
      </c>
      <c r="AF593" t="s">
        <v>923</v>
      </c>
      <c r="AI593">
        <v>0.85</v>
      </c>
      <c r="AJ593" t="s">
        <v>558</v>
      </c>
      <c r="AK593" t="s">
        <v>933</v>
      </c>
      <c r="AT593">
        <v>3</v>
      </c>
      <c r="AU593">
        <v>1</v>
      </c>
      <c r="AV593" t="s">
        <v>273</v>
      </c>
      <c r="AY593" t="s">
        <v>273</v>
      </c>
      <c r="BB593">
        <v>0</v>
      </c>
      <c r="BC593">
        <v>0</v>
      </c>
      <c r="BD593">
        <v>0</v>
      </c>
      <c r="BE593">
        <v>0</v>
      </c>
      <c r="BF593" t="s">
        <v>1063</v>
      </c>
      <c r="BG593" t="s">
        <v>6895</v>
      </c>
      <c r="BH593">
        <v>43</v>
      </c>
      <c r="BI593" t="s">
        <v>1247</v>
      </c>
      <c r="BK593">
        <v>828472</v>
      </c>
    </row>
    <row r="594" spans="1:63">
      <c r="A594" s="1">
        <f>HYPERLINK("https://lsnyc.legalserver.org/matter/dynamic-profile/view/1863888","18-1863888")</f>
        <v>0</v>
      </c>
      <c r="B594" t="s">
        <v>5547</v>
      </c>
      <c r="C594" t="s">
        <v>5625</v>
      </c>
      <c r="D594" t="s">
        <v>253</v>
      </c>
      <c r="E594" t="s">
        <v>3694</v>
      </c>
      <c r="F594" t="s">
        <v>274</v>
      </c>
      <c r="G594" t="s">
        <v>274</v>
      </c>
      <c r="H594">
        <v>0</v>
      </c>
      <c r="I594" t="s">
        <v>274</v>
      </c>
      <c r="K594" t="s">
        <v>5651</v>
      </c>
      <c r="O594" t="s">
        <v>275</v>
      </c>
      <c r="Q594" t="s">
        <v>501</v>
      </c>
      <c r="S594" t="s">
        <v>503</v>
      </c>
      <c r="T594" t="s">
        <v>508</v>
      </c>
      <c r="U594" t="s">
        <v>511</v>
      </c>
      <c r="V594">
        <v>11373</v>
      </c>
      <c r="W594" t="s">
        <v>521</v>
      </c>
      <c r="X594" t="s">
        <v>548</v>
      </c>
      <c r="Z594" t="s">
        <v>5999</v>
      </c>
      <c r="AA594" t="s">
        <v>6231</v>
      </c>
      <c r="AB594" t="s">
        <v>902</v>
      </c>
      <c r="AC594" t="s">
        <v>905</v>
      </c>
      <c r="AF594" t="s">
        <v>923</v>
      </c>
      <c r="AI594">
        <v>3.34</v>
      </c>
      <c r="AJ594" t="s">
        <v>558</v>
      </c>
      <c r="AK594" t="s">
        <v>933</v>
      </c>
      <c r="AT594">
        <v>0</v>
      </c>
      <c r="AU594">
        <v>1</v>
      </c>
      <c r="AV594" t="s">
        <v>273</v>
      </c>
      <c r="AY594" t="s">
        <v>273</v>
      </c>
      <c r="BB594">
        <v>0</v>
      </c>
      <c r="BC594">
        <v>0</v>
      </c>
      <c r="BD594">
        <v>0</v>
      </c>
      <c r="BE594">
        <v>0</v>
      </c>
      <c r="BF594" t="s">
        <v>1063</v>
      </c>
      <c r="BG594" t="s">
        <v>6896</v>
      </c>
      <c r="BH594">
        <v>36</v>
      </c>
      <c r="BI594" t="s">
        <v>1247</v>
      </c>
      <c r="BK594">
        <v>1864470</v>
      </c>
    </row>
    <row r="595" spans="1:63">
      <c r="A595" s="1">
        <f>HYPERLINK("https://lsnyc.legalserver.org/matter/dynamic-profile/view/1863892","18-1863892")</f>
        <v>0</v>
      </c>
      <c r="B595" t="s">
        <v>5482</v>
      </c>
      <c r="C595" t="s">
        <v>5625</v>
      </c>
      <c r="D595" t="s">
        <v>253</v>
      </c>
      <c r="E595" t="s">
        <v>3694</v>
      </c>
      <c r="F595" t="s">
        <v>274</v>
      </c>
      <c r="G595" t="s">
        <v>274</v>
      </c>
      <c r="H595">
        <v>72.90000000000001</v>
      </c>
      <c r="I595" t="s">
        <v>274</v>
      </c>
      <c r="K595" t="s">
        <v>5651</v>
      </c>
      <c r="Q595" t="s">
        <v>501</v>
      </c>
      <c r="S595" t="s">
        <v>503</v>
      </c>
      <c r="T595" t="s">
        <v>508</v>
      </c>
      <c r="U595" t="s">
        <v>511</v>
      </c>
      <c r="V595">
        <v>11378</v>
      </c>
      <c r="W595" t="s">
        <v>528</v>
      </c>
      <c r="X595" t="s">
        <v>549</v>
      </c>
      <c r="Z595" t="s">
        <v>5953</v>
      </c>
      <c r="AA595" t="s">
        <v>6353</v>
      </c>
      <c r="AB595" t="s">
        <v>902</v>
      </c>
      <c r="AC595" t="s">
        <v>905</v>
      </c>
      <c r="AF595" t="s">
        <v>923</v>
      </c>
      <c r="AI595">
        <v>0.61</v>
      </c>
      <c r="AJ595" t="s">
        <v>558</v>
      </c>
      <c r="AK595" t="s">
        <v>932</v>
      </c>
      <c r="AT595">
        <v>1</v>
      </c>
      <c r="AU595">
        <v>1</v>
      </c>
      <c r="AV595" t="s">
        <v>273</v>
      </c>
      <c r="AY595" t="s">
        <v>273</v>
      </c>
      <c r="BB595">
        <v>0</v>
      </c>
      <c r="BC595">
        <v>0</v>
      </c>
      <c r="BD595">
        <v>0</v>
      </c>
      <c r="BE595">
        <v>0</v>
      </c>
      <c r="BF595" t="s">
        <v>1063</v>
      </c>
      <c r="BG595" t="s">
        <v>6834</v>
      </c>
      <c r="BH595">
        <v>34</v>
      </c>
      <c r="BI595" t="s">
        <v>1267</v>
      </c>
      <c r="BK595">
        <v>814872</v>
      </c>
    </row>
    <row r="596" spans="1:63">
      <c r="A596" s="1">
        <f>HYPERLINK("https://lsnyc.legalserver.org/matter/dynamic-profile/view/1863893","18-1863893")</f>
        <v>0</v>
      </c>
      <c r="B596" t="s">
        <v>4492</v>
      </c>
      <c r="C596" t="s">
        <v>5625</v>
      </c>
      <c r="D596" t="s">
        <v>253</v>
      </c>
      <c r="E596" t="s">
        <v>3694</v>
      </c>
      <c r="F596" t="s">
        <v>274</v>
      </c>
      <c r="G596" t="s">
        <v>274</v>
      </c>
      <c r="H596">
        <v>14.58</v>
      </c>
      <c r="I596" t="s">
        <v>274</v>
      </c>
      <c r="K596" t="s">
        <v>5651</v>
      </c>
      <c r="Q596" t="s">
        <v>501</v>
      </c>
      <c r="S596" t="s">
        <v>503</v>
      </c>
      <c r="T596" t="s">
        <v>508</v>
      </c>
      <c r="U596" t="s">
        <v>511</v>
      </c>
      <c r="V596">
        <v>11372</v>
      </c>
      <c r="W596" t="s">
        <v>528</v>
      </c>
      <c r="X596" t="s">
        <v>548</v>
      </c>
      <c r="Z596" t="s">
        <v>584</v>
      </c>
      <c r="AA596" t="s">
        <v>824</v>
      </c>
      <c r="AB596" t="s">
        <v>902</v>
      </c>
      <c r="AC596" t="s">
        <v>905</v>
      </c>
      <c r="AF596" t="s">
        <v>923</v>
      </c>
      <c r="AI596">
        <v>0.4</v>
      </c>
      <c r="AJ596" t="s">
        <v>558</v>
      </c>
      <c r="AK596" t="s">
        <v>933</v>
      </c>
      <c r="AM596" t="s">
        <v>973</v>
      </c>
      <c r="AN596" t="s">
        <v>1743</v>
      </c>
      <c r="AT596">
        <v>1</v>
      </c>
      <c r="AU596">
        <v>1</v>
      </c>
      <c r="AV596" t="s">
        <v>273</v>
      </c>
      <c r="AY596" t="s">
        <v>273</v>
      </c>
      <c r="BB596">
        <v>0</v>
      </c>
      <c r="BC596">
        <v>0</v>
      </c>
      <c r="BD596">
        <v>0</v>
      </c>
      <c r="BE596">
        <v>0</v>
      </c>
      <c r="BF596" t="s">
        <v>1063</v>
      </c>
      <c r="BG596" t="s">
        <v>6827</v>
      </c>
      <c r="BH596">
        <v>49</v>
      </c>
      <c r="BI596" t="s">
        <v>1291</v>
      </c>
      <c r="BK596">
        <v>1834198</v>
      </c>
    </row>
    <row r="597" spans="1:63">
      <c r="A597" s="1">
        <f>HYPERLINK("https://lsnyc.legalserver.org/matter/dynamic-profile/view/1863895","18-1863895")</f>
        <v>0</v>
      </c>
      <c r="B597" t="s">
        <v>5467</v>
      </c>
      <c r="C597" t="s">
        <v>5625</v>
      </c>
      <c r="D597" t="s">
        <v>253</v>
      </c>
      <c r="E597" t="s">
        <v>3694</v>
      </c>
      <c r="F597" t="s">
        <v>274</v>
      </c>
      <c r="G597" t="s">
        <v>274</v>
      </c>
      <c r="H597">
        <v>100.1</v>
      </c>
      <c r="I597" t="s">
        <v>274</v>
      </c>
      <c r="K597" t="s">
        <v>5651</v>
      </c>
      <c r="Q597" t="s">
        <v>501</v>
      </c>
      <c r="S597" t="s">
        <v>503</v>
      </c>
      <c r="T597" t="s">
        <v>508</v>
      </c>
      <c r="U597" t="s">
        <v>511</v>
      </c>
      <c r="V597">
        <v>11368</v>
      </c>
      <c r="W597" t="s">
        <v>528</v>
      </c>
      <c r="Z597" t="s">
        <v>577</v>
      </c>
      <c r="AA597" t="s">
        <v>6343</v>
      </c>
      <c r="AB597" t="s">
        <v>902</v>
      </c>
      <c r="AC597" t="s">
        <v>908</v>
      </c>
      <c r="AF597" t="s">
        <v>923</v>
      </c>
      <c r="AI597">
        <v>0.75</v>
      </c>
      <c r="AK597" t="s">
        <v>949</v>
      </c>
      <c r="AT597">
        <v>2</v>
      </c>
      <c r="AU597">
        <v>1</v>
      </c>
      <c r="AV597" t="s">
        <v>273</v>
      </c>
      <c r="AY597" t="s">
        <v>273</v>
      </c>
      <c r="BB597">
        <v>0</v>
      </c>
      <c r="BC597">
        <v>0</v>
      </c>
      <c r="BD597">
        <v>0</v>
      </c>
      <c r="BE597">
        <v>0</v>
      </c>
      <c r="BF597" t="s">
        <v>1063</v>
      </c>
      <c r="BG597" t="s">
        <v>6820</v>
      </c>
      <c r="BH597">
        <v>36</v>
      </c>
      <c r="BI597" t="s">
        <v>1261</v>
      </c>
      <c r="BK597">
        <v>815868</v>
      </c>
    </row>
    <row r="598" spans="1:63">
      <c r="A598" s="1">
        <f>HYPERLINK("https://lsnyc.legalserver.org/matter/dynamic-profile/view/1863511","18-1863511")</f>
        <v>0</v>
      </c>
      <c r="B598" t="s">
        <v>5548</v>
      </c>
      <c r="C598" t="s">
        <v>5625</v>
      </c>
      <c r="D598" t="s">
        <v>257</v>
      </c>
      <c r="E598" t="s">
        <v>3694</v>
      </c>
      <c r="F598" t="s">
        <v>274</v>
      </c>
      <c r="G598" t="s">
        <v>274</v>
      </c>
      <c r="H598">
        <v>149.92</v>
      </c>
      <c r="I598" t="s">
        <v>274</v>
      </c>
      <c r="K598" t="s">
        <v>2395</v>
      </c>
      <c r="L598" t="s">
        <v>462</v>
      </c>
      <c r="O598" t="s">
        <v>275</v>
      </c>
      <c r="P598" t="s">
        <v>493</v>
      </c>
      <c r="Q598" t="s">
        <v>501</v>
      </c>
      <c r="S598" t="s">
        <v>503</v>
      </c>
      <c r="T598" t="s">
        <v>508</v>
      </c>
      <c r="U598" t="s">
        <v>511</v>
      </c>
      <c r="V598">
        <v>10462</v>
      </c>
      <c r="W598" t="s">
        <v>521</v>
      </c>
      <c r="X598" t="s">
        <v>548</v>
      </c>
      <c r="Z598" t="s">
        <v>6000</v>
      </c>
      <c r="AA598" t="s">
        <v>6152</v>
      </c>
      <c r="AB598" t="s">
        <v>902</v>
      </c>
      <c r="AC598" t="s">
        <v>905</v>
      </c>
      <c r="AD598" t="s">
        <v>275</v>
      </c>
      <c r="AE598" t="s">
        <v>919</v>
      </c>
      <c r="AF598" t="s">
        <v>923</v>
      </c>
      <c r="AI598">
        <v>6.2</v>
      </c>
      <c r="AJ598" t="s">
        <v>558</v>
      </c>
      <c r="AK598" t="s">
        <v>933</v>
      </c>
      <c r="AQ598" t="s">
        <v>1039</v>
      </c>
      <c r="AR598" t="s">
        <v>1051</v>
      </c>
      <c r="AT598">
        <v>0</v>
      </c>
      <c r="AU598">
        <v>1</v>
      </c>
      <c r="AV598" t="s">
        <v>273</v>
      </c>
      <c r="AY598" t="s">
        <v>273</v>
      </c>
      <c r="BB598">
        <v>0</v>
      </c>
      <c r="BC598">
        <v>0</v>
      </c>
      <c r="BD598">
        <v>0</v>
      </c>
      <c r="BE598">
        <v>0</v>
      </c>
      <c r="BF598" t="s">
        <v>493</v>
      </c>
      <c r="BG598" t="s">
        <v>6897</v>
      </c>
      <c r="BH598">
        <v>27</v>
      </c>
      <c r="BI598" t="s">
        <v>1260</v>
      </c>
      <c r="BK598">
        <v>1864093</v>
      </c>
    </row>
    <row r="599" spans="1:63">
      <c r="A599" s="1">
        <f>HYPERLINK("https://lsnyc.legalserver.org/matter/dynamic-profile/view/1863550","18-1863550")</f>
        <v>0</v>
      </c>
      <c r="B599" t="s">
        <v>5549</v>
      </c>
      <c r="C599" t="s">
        <v>5625</v>
      </c>
      <c r="D599" t="s">
        <v>257</v>
      </c>
      <c r="E599" t="s">
        <v>3694</v>
      </c>
      <c r="F599" t="s">
        <v>274</v>
      </c>
      <c r="G599" t="s">
        <v>274</v>
      </c>
      <c r="H599">
        <v>67.56999999999999</v>
      </c>
      <c r="I599" t="s">
        <v>274</v>
      </c>
      <c r="K599" t="s">
        <v>2395</v>
      </c>
      <c r="O599" t="s">
        <v>274</v>
      </c>
      <c r="Q599" t="s">
        <v>501</v>
      </c>
      <c r="S599" t="s">
        <v>503</v>
      </c>
      <c r="T599" t="s">
        <v>508</v>
      </c>
      <c r="U599" t="s">
        <v>511</v>
      </c>
      <c r="V599">
        <v>10466</v>
      </c>
      <c r="W599" t="s">
        <v>517</v>
      </c>
      <c r="X599" t="s">
        <v>549</v>
      </c>
      <c r="Y599" t="s">
        <v>275</v>
      </c>
      <c r="Z599" t="s">
        <v>6001</v>
      </c>
      <c r="AA599" t="s">
        <v>6399</v>
      </c>
      <c r="AB599" t="s">
        <v>902</v>
      </c>
      <c r="AC599" t="s">
        <v>904</v>
      </c>
      <c r="AF599" t="s">
        <v>923</v>
      </c>
      <c r="AI599">
        <v>4.21</v>
      </c>
      <c r="AJ599" t="s">
        <v>558</v>
      </c>
      <c r="AK599" t="s">
        <v>2365</v>
      </c>
      <c r="AT599">
        <v>2</v>
      </c>
      <c r="AU599">
        <v>2</v>
      </c>
      <c r="AV599" t="s">
        <v>273</v>
      </c>
      <c r="AY599" t="s">
        <v>273</v>
      </c>
      <c r="BB599">
        <v>0</v>
      </c>
      <c r="BC599">
        <v>0</v>
      </c>
      <c r="BD599">
        <v>0</v>
      </c>
      <c r="BE599">
        <v>0</v>
      </c>
      <c r="BF599" t="s">
        <v>1063</v>
      </c>
      <c r="BG599" t="s">
        <v>6898</v>
      </c>
      <c r="BH599">
        <v>49</v>
      </c>
      <c r="BI599" t="s">
        <v>7118</v>
      </c>
      <c r="BK599">
        <v>1864132</v>
      </c>
    </row>
    <row r="600" spans="1:63">
      <c r="A600" s="1">
        <f>HYPERLINK("https://lsnyc.legalserver.org/matter/dynamic-profile/view/1863561","18-1863561")</f>
        <v>0</v>
      </c>
      <c r="B600" t="s">
        <v>5550</v>
      </c>
      <c r="C600" t="s">
        <v>5625</v>
      </c>
      <c r="D600" t="s">
        <v>254</v>
      </c>
      <c r="E600" t="s">
        <v>3694</v>
      </c>
      <c r="F600" t="s">
        <v>274</v>
      </c>
      <c r="G600" t="s">
        <v>274</v>
      </c>
      <c r="H600">
        <v>115.11</v>
      </c>
      <c r="I600" t="s">
        <v>274</v>
      </c>
      <c r="K600" t="s">
        <v>2395</v>
      </c>
      <c r="O600" t="s">
        <v>274</v>
      </c>
      <c r="P600" t="s">
        <v>498</v>
      </c>
      <c r="Q600" t="s">
        <v>501</v>
      </c>
      <c r="S600" t="s">
        <v>503</v>
      </c>
      <c r="T600" t="s">
        <v>508</v>
      </c>
      <c r="U600" t="s">
        <v>511</v>
      </c>
      <c r="V600">
        <v>10305</v>
      </c>
      <c r="W600" t="s">
        <v>517</v>
      </c>
      <c r="X600" t="s">
        <v>549</v>
      </c>
      <c r="Z600" t="s">
        <v>6002</v>
      </c>
      <c r="AA600" t="s">
        <v>3169</v>
      </c>
      <c r="AB600" t="s">
        <v>902</v>
      </c>
      <c r="AC600" t="s">
        <v>904</v>
      </c>
      <c r="AF600" t="s">
        <v>923</v>
      </c>
      <c r="AI600">
        <v>0.91</v>
      </c>
      <c r="AJ600" t="s">
        <v>558</v>
      </c>
      <c r="AK600" t="s">
        <v>2384</v>
      </c>
      <c r="AT600">
        <v>2</v>
      </c>
      <c r="AU600">
        <v>1</v>
      </c>
      <c r="AV600" t="s">
        <v>273</v>
      </c>
      <c r="AY600" t="s">
        <v>273</v>
      </c>
      <c r="BB600">
        <v>0</v>
      </c>
      <c r="BC600">
        <v>0</v>
      </c>
      <c r="BD600">
        <v>0</v>
      </c>
      <c r="BE600">
        <v>0</v>
      </c>
      <c r="BF600" t="s">
        <v>1063</v>
      </c>
      <c r="BG600" t="s">
        <v>6899</v>
      </c>
      <c r="BH600">
        <v>34</v>
      </c>
      <c r="BI600" t="s">
        <v>7119</v>
      </c>
      <c r="BK600">
        <v>1864143</v>
      </c>
    </row>
    <row r="601" spans="1:63">
      <c r="A601" s="1">
        <f>HYPERLINK("https://lsnyc.legalserver.org/matter/dynamic-profile/view/1863582","18-1863582")</f>
        <v>0</v>
      </c>
      <c r="B601" t="s">
        <v>5443</v>
      </c>
      <c r="C601" t="s">
        <v>5625</v>
      </c>
      <c r="D601" t="s">
        <v>252</v>
      </c>
      <c r="E601" t="s">
        <v>3694</v>
      </c>
      <c r="F601" t="s">
        <v>274</v>
      </c>
      <c r="G601" t="s">
        <v>274</v>
      </c>
      <c r="H601">
        <v>0</v>
      </c>
      <c r="I601" t="s">
        <v>274</v>
      </c>
      <c r="K601" t="s">
        <v>2395</v>
      </c>
      <c r="O601" t="s">
        <v>274</v>
      </c>
      <c r="P601" t="s">
        <v>498</v>
      </c>
      <c r="Q601" t="s">
        <v>501</v>
      </c>
      <c r="S601" t="s">
        <v>503</v>
      </c>
      <c r="T601" t="s">
        <v>508</v>
      </c>
      <c r="U601" t="s">
        <v>511</v>
      </c>
      <c r="V601">
        <v>11219</v>
      </c>
      <c r="W601" t="s">
        <v>517</v>
      </c>
      <c r="X601" t="s">
        <v>555</v>
      </c>
      <c r="Y601" t="s">
        <v>275</v>
      </c>
      <c r="Z601" t="s">
        <v>5930</v>
      </c>
      <c r="AA601" t="s">
        <v>6164</v>
      </c>
      <c r="AB601" t="s">
        <v>902</v>
      </c>
      <c r="AC601" t="s">
        <v>904</v>
      </c>
      <c r="AF601" t="s">
        <v>923</v>
      </c>
      <c r="AI601">
        <v>2.75</v>
      </c>
      <c r="AJ601" t="s">
        <v>558</v>
      </c>
      <c r="AK601" t="s">
        <v>951</v>
      </c>
      <c r="AL601" t="s">
        <v>274</v>
      </c>
      <c r="AT601">
        <v>0</v>
      </c>
      <c r="AU601">
        <v>1</v>
      </c>
      <c r="AV601" t="s">
        <v>273</v>
      </c>
      <c r="AY601" t="s">
        <v>273</v>
      </c>
      <c r="BB601">
        <v>0</v>
      </c>
      <c r="BC601">
        <v>0</v>
      </c>
      <c r="BD601">
        <v>0</v>
      </c>
      <c r="BE601">
        <v>0</v>
      </c>
      <c r="BF601" t="s">
        <v>1063</v>
      </c>
      <c r="BG601" t="s">
        <v>6800</v>
      </c>
      <c r="BH601">
        <v>54</v>
      </c>
      <c r="BI601" t="s">
        <v>1247</v>
      </c>
      <c r="BK601">
        <v>1864164</v>
      </c>
    </row>
    <row r="602" spans="1:63">
      <c r="A602" s="1">
        <f>HYPERLINK("https://lsnyc.legalserver.org/matter/dynamic-profile/view/1863585","18-1863585")</f>
        <v>0</v>
      </c>
      <c r="B602" t="s">
        <v>5551</v>
      </c>
      <c r="C602" t="s">
        <v>5625</v>
      </c>
      <c r="D602" t="s">
        <v>253</v>
      </c>
      <c r="E602" t="s">
        <v>3694</v>
      </c>
      <c r="F602" t="s">
        <v>273</v>
      </c>
      <c r="G602" t="s">
        <v>275</v>
      </c>
      <c r="H602">
        <v>138.59</v>
      </c>
      <c r="I602" t="s">
        <v>275</v>
      </c>
      <c r="K602" t="s">
        <v>2395</v>
      </c>
      <c r="O602" t="s">
        <v>274</v>
      </c>
      <c r="P602" t="s">
        <v>492</v>
      </c>
      <c r="Q602" t="s">
        <v>501</v>
      </c>
      <c r="S602" t="s">
        <v>503</v>
      </c>
      <c r="T602" t="s">
        <v>508</v>
      </c>
      <c r="U602" t="s">
        <v>511</v>
      </c>
      <c r="V602">
        <v>11413</v>
      </c>
      <c r="W602" t="s">
        <v>523</v>
      </c>
      <c r="X602" t="s">
        <v>549</v>
      </c>
      <c r="Z602" t="s">
        <v>6003</v>
      </c>
      <c r="AA602" t="s">
        <v>6400</v>
      </c>
      <c r="AB602" t="s">
        <v>902</v>
      </c>
      <c r="AC602" t="s">
        <v>904</v>
      </c>
      <c r="AF602" t="s">
        <v>926</v>
      </c>
      <c r="AI602">
        <v>4.2</v>
      </c>
      <c r="AJ602" t="s">
        <v>558</v>
      </c>
      <c r="AK602" t="s">
        <v>939</v>
      </c>
      <c r="AT602">
        <v>0</v>
      </c>
      <c r="AU602">
        <v>3</v>
      </c>
      <c r="AV602" t="s">
        <v>273</v>
      </c>
      <c r="AY602" t="s">
        <v>273</v>
      </c>
      <c r="BB602">
        <v>0</v>
      </c>
      <c r="BC602">
        <v>0</v>
      </c>
      <c r="BD602">
        <v>0</v>
      </c>
      <c r="BE602">
        <v>0</v>
      </c>
      <c r="BF602" t="s">
        <v>1063</v>
      </c>
      <c r="BG602" t="s">
        <v>6900</v>
      </c>
      <c r="BH602">
        <v>55</v>
      </c>
      <c r="BI602" t="s">
        <v>2744</v>
      </c>
      <c r="BK602">
        <v>783781</v>
      </c>
    </row>
    <row r="603" spans="1:63">
      <c r="A603" s="1">
        <f>HYPERLINK("https://lsnyc.legalserver.org/matter/dynamic-profile/view/1863586","18-1863586")</f>
        <v>0</v>
      </c>
      <c r="B603" t="s">
        <v>5488</v>
      </c>
      <c r="C603" t="s">
        <v>5625</v>
      </c>
      <c r="D603" t="s">
        <v>253</v>
      </c>
      <c r="E603" t="s">
        <v>3694</v>
      </c>
      <c r="F603" t="s">
        <v>274</v>
      </c>
      <c r="G603" t="s">
        <v>274</v>
      </c>
      <c r="H603">
        <v>113.73</v>
      </c>
      <c r="I603" t="s">
        <v>274</v>
      </c>
      <c r="K603" t="s">
        <v>2395</v>
      </c>
      <c r="Q603" t="s">
        <v>501</v>
      </c>
      <c r="S603" t="s">
        <v>503</v>
      </c>
      <c r="T603" t="s">
        <v>508</v>
      </c>
      <c r="U603" t="s">
        <v>511</v>
      </c>
      <c r="V603">
        <v>11420</v>
      </c>
      <c r="W603" t="s">
        <v>532</v>
      </c>
      <c r="X603" t="s">
        <v>548</v>
      </c>
      <c r="Z603" t="s">
        <v>5958</v>
      </c>
      <c r="AA603" t="s">
        <v>6357</v>
      </c>
      <c r="AB603" t="s">
        <v>902</v>
      </c>
      <c r="AC603" t="s">
        <v>905</v>
      </c>
      <c r="AF603" t="s">
        <v>923</v>
      </c>
      <c r="AI603">
        <v>0.85</v>
      </c>
      <c r="AJ603" t="s">
        <v>558</v>
      </c>
      <c r="AK603" t="s">
        <v>947</v>
      </c>
      <c r="AL603" t="s">
        <v>274</v>
      </c>
      <c r="AS603" t="s">
        <v>1061</v>
      </c>
      <c r="AT603">
        <v>1</v>
      </c>
      <c r="AU603">
        <v>1</v>
      </c>
      <c r="AV603" t="s">
        <v>273</v>
      </c>
      <c r="AY603" t="s">
        <v>273</v>
      </c>
      <c r="BB603">
        <v>0</v>
      </c>
      <c r="BC603">
        <v>0</v>
      </c>
      <c r="BD603">
        <v>0</v>
      </c>
      <c r="BE603">
        <v>0</v>
      </c>
      <c r="BF603" t="s">
        <v>1063</v>
      </c>
      <c r="BG603" t="s">
        <v>6840</v>
      </c>
      <c r="BH603">
        <v>38</v>
      </c>
      <c r="BI603" t="s">
        <v>1318</v>
      </c>
      <c r="BK603">
        <v>1840012</v>
      </c>
    </row>
    <row r="604" spans="1:63">
      <c r="A604" s="1">
        <f>HYPERLINK("https://lsnyc.legalserver.org/matter/dynamic-profile/view/1863596","18-1863596")</f>
        <v>0</v>
      </c>
      <c r="B604" t="s">
        <v>5552</v>
      </c>
      <c r="C604" t="s">
        <v>5625</v>
      </c>
      <c r="D604" t="s">
        <v>252</v>
      </c>
      <c r="E604" t="s">
        <v>3694</v>
      </c>
      <c r="F604" t="s">
        <v>274</v>
      </c>
      <c r="G604" t="s">
        <v>274</v>
      </c>
      <c r="H604">
        <v>17.13</v>
      </c>
      <c r="K604" t="s">
        <v>2395</v>
      </c>
      <c r="O604" t="s">
        <v>275</v>
      </c>
      <c r="P604" t="s">
        <v>498</v>
      </c>
      <c r="Q604" t="s">
        <v>501</v>
      </c>
      <c r="S604" t="s">
        <v>503</v>
      </c>
      <c r="T604" t="s">
        <v>507</v>
      </c>
      <c r="U604" t="s">
        <v>511</v>
      </c>
      <c r="V604">
        <v>11207</v>
      </c>
      <c r="W604" t="s">
        <v>521</v>
      </c>
      <c r="X604" t="s">
        <v>549</v>
      </c>
      <c r="Z604" t="s">
        <v>6004</v>
      </c>
      <c r="AA604" t="s">
        <v>6401</v>
      </c>
      <c r="AB604" t="s">
        <v>902</v>
      </c>
      <c r="AC604" t="s">
        <v>905</v>
      </c>
      <c r="AF604" t="s">
        <v>923</v>
      </c>
      <c r="AI604">
        <v>3.05</v>
      </c>
      <c r="AJ604" t="s">
        <v>558</v>
      </c>
      <c r="AK604" t="s">
        <v>2381</v>
      </c>
      <c r="AT604">
        <v>0</v>
      </c>
      <c r="AU604">
        <v>1</v>
      </c>
      <c r="AV604" t="s">
        <v>273</v>
      </c>
      <c r="AY604" t="s">
        <v>273</v>
      </c>
      <c r="BB604">
        <v>0</v>
      </c>
      <c r="BC604">
        <v>0</v>
      </c>
      <c r="BD604">
        <v>0</v>
      </c>
      <c r="BE604">
        <v>0</v>
      </c>
      <c r="BF604" t="s">
        <v>1063</v>
      </c>
      <c r="BG604" t="s">
        <v>6901</v>
      </c>
      <c r="BH604">
        <v>27</v>
      </c>
      <c r="BI604" t="s">
        <v>7120</v>
      </c>
      <c r="BK604">
        <v>1864178</v>
      </c>
    </row>
    <row r="605" spans="1:63">
      <c r="A605" s="1">
        <f>HYPERLINK("https://lsnyc.legalserver.org/matter/dynamic-profile/view/1863445","18-1863445")</f>
        <v>0</v>
      </c>
      <c r="B605" t="s">
        <v>5553</v>
      </c>
      <c r="C605" t="s">
        <v>5625</v>
      </c>
      <c r="D605" t="s">
        <v>254</v>
      </c>
      <c r="E605" t="s">
        <v>3694</v>
      </c>
      <c r="F605" t="s">
        <v>274</v>
      </c>
      <c r="G605" t="s">
        <v>274</v>
      </c>
      <c r="H605">
        <v>58.32</v>
      </c>
      <c r="I605" t="s">
        <v>274</v>
      </c>
      <c r="K605" t="s">
        <v>4514</v>
      </c>
      <c r="O605" t="s">
        <v>274</v>
      </c>
      <c r="P605" t="s">
        <v>498</v>
      </c>
      <c r="Q605" t="s">
        <v>501</v>
      </c>
      <c r="S605" t="s">
        <v>503</v>
      </c>
      <c r="T605" t="s">
        <v>507</v>
      </c>
      <c r="U605" t="s">
        <v>511</v>
      </c>
      <c r="V605">
        <v>10304</v>
      </c>
      <c r="W605" t="s">
        <v>517</v>
      </c>
      <c r="X605" t="s">
        <v>548</v>
      </c>
      <c r="Y605" t="s">
        <v>274</v>
      </c>
      <c r="Z605" t="s">
        <v>657</v>
      </c>
      <c r="AA605" t="s">
        <v>6402</v>
      </c>
      <c r="AB605" t="s">
        <v>902</v>
      </c>
      <c r="AC605" t="s">
        <v>904</v>
      </c>
      <c r="AF605" t="s">
        <v>923</v>
      </c>
      <c r="AI605">
        <v>4.55</v>
      </c>
      <c r="AJ605" t="s">
        <v>558</v>
      </c>
      <c r="AK605" t="s">
        <v>6452</v>
      </c>
      <c r="AT605">
        <v>0</v>
      </c>
      <c r="AU605">
        <v>2</v>
      </c>
      <c r="AV605" t="s">
        <v>273</v>
      </c>
      <c r="AY605" t="s">
        <v>273</v>
      </c>
      <c r="BB605">
        <v>0</v>
      </c>
      <c r="BC605">
        <v>0</v>
      </c>
      <c r="BD605">
        <v>0</v>
      </c>
      <c r="BE605">
        <v>0</v>
      </c>
      <c r="BF605" t="s">
        <v>1063</v>
      </c>
      <c r="BG605" t="s">
        <v>6902</v>
      </c>
      <c r="BH605">
        <v>55</v>
      </c>
      <c r="BI605" t="s">
        <v>1280</v>
      </c>
      <c r="BK605">
        <v>1864027</v>
      </c>
    </row>
    <row r="606" spans="1:63">
      <c r="A606" s="1">
        <f>HYPERLINK("https://lsnyc.legalserver.org/matter/dynamic-profile/view/1863446","18-1863446")</f>
        <v>0</v>
      </c>
      <c r="B606" t="s">
        <v>5554</v>
      </c>
      <c r="C606" t="s">
        <v>5625</v>
      </c>
      <c r="D606" t="s">
        <v>252</v>
      </c>
      <c r="E606" t="s">
        <v>3694</v>
      </c>
      <c r="F606" t="s">
        <v>274</v>
      </c>
      <c r="G606" t="s">
        <v>274</v>
      </c>
      <c r="H606">
        <v>102.28</v>
      </c>
      <c r="I606" t="s">
        <v>274</v>
      </c>
      <c r="K606" t="s">
        <v>4514</v>
      </c>
      <c r="O606" t="s">
        <v>274</v>
      </c>
      <c r="Q606" t="s">
        <v>501</v>
      </c>
      <c r="S606" t="s">
        <v>503</v>
      </c>
      <c r="T606" t="s">
        <v>508</v>
      </c>
      <c r="U606" t="s">
        <v>511</v>
      </c>
      <c r="V606">
        <v>11231</v>
      </c>
      <c r="W606" t="s">
        <v>517</v>
      </c>
      <c r="X606" t="s">
        <v>548</v>
      </c>
      <c r="Y606" t="s">
        <v>275</v>
      </c>
      <c r="Z606" t="s">
        <v>562</v>
      </c>
      <c r="AA606" t="s">
        <v>6078</v>
      </c>
      <c r="AB606" t="s">
        <v>902</v>
      </c>
      <c r="AC606" t="s">
        <v>904</v>
      </c>
      <c r="AF606" t="s">
        <v>923</v>
      </c>
      <c r="AI606">
        <v>2.45</v>
      </c>
      <c r="AJ606" t="s">
        <v>558</v>
      </c>
      <c r="AK606" t="s">
        <v>950</v>
      </c>
      <c r="AT606">
        <v>1</v>
      </c>
      <c r="AU606">
        <v>1</v>
      </c>
      <c r="AV606" t="s">
        <v>273</v>
      </c>
      <c r="AY606" t="s">
        <v>273</v>
      </c>
      <c r="BB606">
        <v>0</v>
      </c>
      <c r="BC606">
        <v>0</v>
      </c>
      <c r="BD606">
        <v>0</v>
      </c>
      <c r="BE606">
        <v>0</v>
      </c>
      <c r="BF606" t="s">
        <v>1063</v>
      </c>
      <c r="BG606" t="s">
        <v>6903</v>
      </c>
      <c r="BH606">
        <v>32</v>
      </c>
      <c r="BI606" t="s">
        <v>7121</v>
      </c>
      <c r="BK606">
        <v>739105</v>
      </c>
    </row>
    <row r="607" spans="1:63">
      <c r="A607" s="1">
        <f>HYPERLINK("https://lsnyc.legalserver.org/matter/dynamic-profile/view/1863502","18-1863502")</f>
        <v>0</v>
      </c>
      <c r="B607" t="s">
        <v>5555</v>
      </c>
      <c r="C607" t="s">
        <v>5625</v>
      </c>
      <c r="D607" t="s">
        <v>253</v>
      </c>
      <c r="E607" t="s">
        <v>3694</v>
      </c>
      <c r="F607" t="s">
        <v>274</v>
      </c>
      <c r="G607" t="s">
        <v>274</v>
      </c>
      <c r="H607">
        <v>148.27</v>
      </c>
      <c r="I607" t="s">
        <v>274</v>
      </c>
      <c r="K607" t="s">
        <v>4514</v>
      </c>
      <c r="O607" t="s">
        <v>274</v>
      </c>
      <c r="P607" t="s">
        <v>497</v>
      </c>
      <c r="Q607" t="s">
        <v>501</v>
      </c>
      <c r="S607" t="s">
        <v>503</v>
      </c>
      <c r="T607" t="s">
        <v>508</v>
      </c>
      <c r="U607" t="s">
        <v>511</v>
      </c>
      <c r="V607">
        <v>11434</v>
      </c>
      <c r="W607" t="s">
        <v>516</v>
      </c>
      <c r="X607" t="s">
        <v>549</v>
      </c>
      <c r="Y607" t="s">
        <v>275</v>
      </c>
      <c r="Z607" t="s">
        <v>6005</v>
      </c>
      <c r="AA607" t="s">
        <v>6076</v>
      </c>
      <c r="AB607" t="s">
        <v>902</v>
      </c>
      <c r="AC607" t="s">
        <v>905</v>
      </c>
      <c r="AF607" t="s">
        <v>923</v>
      </c>
      <c r="AI607">
        <v>3.6</v>
      </c>
      <c r="AJ607" t="s">
        <v>558</v>
      </c>
      <c r="AK607" t="s">
        <v>965</v>
      </c>
      <c r="AS607" t="s">
        <v>1061</v>
      </c>
      <c r="AT607">
        <v>0</v>
      </c>
      <c r="AU607">
        <v>1</v>
      </c>
      <c r="AV607" t="s">
        <v>273</v>
      </c>
      <c r="AY607" t="s">
        <v>273</v>
      </c>
      <c r="BB607">
        <v>0</v>
      </c>
      <c r="BC607">
        <v>0</v>
      </c>
      <c r="BD607">
        <v>0</v>
      </c>
      <c r="BE607">
        <v>0</v>
      </c>
      <c r="BF607" t="s">
        <v>1063</v>
      </c>
      <c r="BG607" t="s">
        <v>6904</v>
      </c>
      <c r="BH607">
        <v>45</v>
      </c>
      <c r="BI607" t="s">
        <v>1289</v>
      </c>
      <c r="BK607">
        <v>1864084</v>
      </c>
    </row>
    <row r="608" spans="1:63">
      <c r="A608" s="1">
        <f>HYPERLINK("https://lsnyc.legalserver.org/matter/dynamic-profile/view/1851360","17-1851360")</f>
        <v>0</v>
      </c>
      <c r="B608" t="s">
        <v>5556</v>
      </c>
      <c r="C608" t="s">
        <v>5625</v>
      </c>
      <c r="D608" t="s">
        <v>257</v>
      </c>
      <c r="E608" t="s">
        <v>3694</v>
      </c>
      <c r="F608" t="s">
        <v>274</v>
      </c>
      <c r="G608" t="s">
        <v>274</v>
      </c>
      <c r="H608">
        <v>19.5</v>
      </c>
      <c r="I608" t="s">
        <v>274</v>
      </c>
      <c r="K608" t="s">
        <v>1754</v>
      </c>
      <c r="P608" t="s">
        <v>497</v>
      </c>
      <c r="Q608" t="s">
        <v>501</v>
      </c>
      <c r="S608" t="s">
        <v>503</v>
      </c>
      <c r="T608" t="s">
        <v>508</v>
      </c>
      <c r="U608" t="s">
        <v>511</v>
      </c>
      <c r="V608">
        <v>10459</v>
      </c>
      <c r="W608" t="s">
        <v>544</v>
      </c>
      <c r="X608" t="s">
        <v>549</v>
      </c>
      <c r="Z608" t="s">
        <v>6006</v>
      </c>
      <c r="AA608" t="s">
        <v>656</v>
      </c>
      <c r="AB608" t="s">
        <v>902</v>
      </c>
      <c r="AC608" t="s">
        <v>904</v>
      </c>
      <c r="AF608" t="s">
        <v>923</v>
      </c>
      <c r="AI608">
        <v>0.2</v>
      </c>
      <c r="AK608" t="s">
        <v>2365</v>
      </c>
      <c r="AT608">
        <v>0</v>
      </c>
      <c r="AU608">
        <v>1</v>
      </c>
      <c r="AV608" t="s">
        <v>273</v>
      </c>
      <c r="AY608" t="s">
        <v>273</v>
      </c>
      <c r="BB608">
        <v>0</v>
      </c>
      <c r="BC608">
        <v>0</v>
      </c>
      <c r="BD608">
        <v>0</v>
      </c>
      <c r="BE608">
        <v>0</v>
      </c>
      <c r="BF608" t="s">
        <v>1063</v>
      </c>
      <c r="BG608" t="s">
        <v>6905</v>
      </c>
      <c r="BH608">
        <v>61</v>
      </c>
      <c r="BI608" t="s">
        <v>7122</v>
      </c>
      <c r="BK608">
        <v>1851876</v>
      </c>
    </row>
    <row r="609" spans="1:63">
      <c r="A609" s="1">
        <f>HYPERLINK("https://lsnyc.legalserver.org/matter/dynamic-profile/view/1862992","18-1862992")</f>
        <v>0</v>
      </c>
      <c r="B609" t="s">
        <v>5557</v>
      </c>
      <c r="C609" t="s">
        <v>5625</v>
      </c>
      <c r="D609" t="s">
        <v>253</v>
      </c>
      <c r="E609" t="s">
        <v>3694</v>
      </c>
      <c r="F609" t="s">
        <v>274</v>
      </c>
      <c r="G609" t="s">
        <v>274</v>
      </c>
      <c r="H609">
        <v>79.59999999999999</v>
      </c>
      <c r="I609" t="s">
        <v>275</v>
      </c>
      <c r="K609" t="s">
        <v>4515</v>
      </c>
      <c r="P609" t="s">
        <v>497</v>
      </c>
      <c r="Q609" t="s">
        <v>501</v>
      </c>
      <c r="S609" t="s">
        <v>503</v>
      </c>
      <c r="T609" t="s">
        <v>508</v>
      </c>
      <c r="U609" t="s">
        <v>511</v>
      </c>
      <c r="V609">
        <v>11435</v>
      </c>
      <c r="W609" t="s">
        <v>544</v>
      </c>
      <c r="X609" t="s">
        <v>549</v>
      </c>
      <c r="Y609" t="s">
        <v>275</v>
      </c>
      <c r="Z609" t="s">
        <v>6007</v>
      </c>
      <c r="AA609" t="s">
        <v>6403</v>
      </c>
      <c r="AB609" t="s">
        <v>902</v>
      </c>
      <c r="AC609" t="s">
        <v>905</v>
      </c>
      <c r="AF609" t="s">
        <v>923</v>
      </c>
      <c r="AI609">
        <v>2.25</v>
      </c>
      <c r="AJ609" t="s">
        <v>558</v>
      </c>
      <c r="AK609" t="s">
        <v>965</v>
      </c>
      <c r="AM609" t="s">
        <v>973</v>
      </c>
      <c r="AN609" t="s">
        <v>1754</v>
      </c>
      <c r="AT609">
        <v>0</v>
      </c>
      <c r="AU609">
        <v>1</v>
      </c>
      <c r="AV609" t="s">
        <v>273</v>
      </c>
      <c r="AY609" t="s">
        <v>273</v>
      </c>
      <c r="BB609">
        <v>0</v>
      </c>
      <c r="BC609">
        <v>0</v>
      </c>
      <c r="BD609">
        <v>0</v>
      </c>
      <c r="BE609">
        <v>0</v>
      </c>
      <c r="BF609" t="s">
        <v>1063</v>
      </c>
      <c r="BG609" t="s">
        <v>6906</v>
      </c>
      <c r="BH609">
        <v>61</v>
      </c>
      <c r="BI609" t="s">
        <v>1280</v>
      </c>
      <c r="BK609">
        <v>1851807</v>
      </c>
    </row>
    <row r="610" spans="1:63">
      <c r="A610" s="1">
        <f>HYPERLINK("https://lsnyc.legalserver.org/matter/dynamic-profile/view/1863035","18-1863035")</f>
        <v>0</v>
      </c>
      <c r="B610" t="s">
        <v>5558</v>
      </c>
      <c r="C610" t="s">
        <v>5625</v>
      </c>
      <c r="D610" t="s">
        <v>257</v>
      </c>
      <c r="E610" t="s">
        <v>1650</v>
      </c>
      <c r="F610" t="s">
        <v>274</v>
      </c>
      <c r="G610" t="s">
        <v>274</v>
      </c>
      <c r="H610">
        <v>86.62</v>
      </c>
      <c r="I610" t="s">
        <v>274</v>
      </c>
      <c r="K610" t="s">
        <v>4515</v>
      </c>
      <c r="O610" t="s">
        <v>274</v>
      </c>
      <c r="Q610" t="s">
        <v>501</v>
      </c>
      <c r="S610" t="s">
        <v>503</v>
      </c>
      <c r="T610" t="s">
        <v>508</v>
      </c>
      <c r="U610" t="s">
        <v>511</v>
      </c>
      <c r="V610">
        <v>10451</v>
      </c>
      <c r="W610" t="s">
        <v>517</v>
      </c>
      <c r="X610" t="s">
        <v>548</v>
      </c>
      <c r="Y610" t="s">
        <v>275</v>
      </c>
      <c r="Z610" t="s">
        <v>6008</v>
      </c>
      <c r="AA610" t="s">
        <v>6404</v>
      </c>
      <c r="AB610" t="s">
        <v>902</v>
      </c>
      <c r="AC610" t="s">
        <v>904</v>
      </c>
      <c r="AF610" t="s">
        <v>923</v>
      </c>
      <c r="AI610">
        <v>6.3</v>
      </c>
      <c r="AK610" t="s">
        <v>949</v>
      </c>
      <c r="AL610" t="s">
        <v>274</v>
      </c>
      <c r="AT610">
        <v>0</v>
      </c>
      <c r="AU610">
        <v>3</v>
      </c>
      <c r="AV610" t="s">
        <v>273</v>
      </c>
      <c r="AY610" t="s">
        <v>273</v>
      </c>
      <c r="BB610">
        <v>0</v>
      </c>
      <c r="BC610">
        <v>0</v>
      </c>
      <c r="BD610">
        <v>0</v>
      </c>
      <c r="BE610">
        <v>0</v>
      </c>
      <c r="BF610" t="s">
        <v>1063</v>
      </c>
      <c r="BG610" t="s">
        <v>6907</v>
      </c>
      <c r="BH610">
        <v>26</v>
      </c>
      <c r="BI610" t="s">
        <v>1289</v>
      </c>
      <c r="BK610">
        <v>1863615</v>
      </c>
    </row>
    <row r="611" spans="1:63">
      <c r="A611" s="1">
        <f>HYPERLINK("https://lsnyc.legalserver.org/matter/dynamic-profile/view/1862665","18-1862665")</f>
        <v>0</v>
      </c>
      <c r="B611" t="s">
        <v>5559</v>
      </c>
      <c r="C611" t="s">
        <v>5625</v>
      </c>
      <c r="D611" t="s">
        <v>253</v>
      </c>
      <c r="E611" t="s">
        <v>3694</v>
      </c>
      <c r="F611" t="s">
        <v>273</v>
      </c>
      <c r="G611" t="s">
        <v>275</v>
      </c>
      <c r="H611">
        <v>0</v>
      </c>
      <c r="I611" t="s">
        <v>274</v>
      </c>
      <c r="K611" t="s">
        <v>1015</v>
      </c>
      <c r="Q611" t="s">
        <v>501</v>
      </c>
      <c r="S611" t="s">
        <v>503</v>
      </c>
      <c r="T611" t="s">
        <v>508</v>
      </c>
      <c r="U611" t="s">
        <v>511</v>
      </c>
      <c r="V611">
        <v>11433</v>
      </c>
      <c r="W611" t="s">
        <v>518</v>
      </c>
      <c r="X611" t="s">
        <v>548</v>
      </c>
      <c r="Y611" t="s">
        <v>274</v>
      </c>
      <c r="Z611" t="s">
        <v>6009</v>
      </c>
      <c r="AA611" t="s">
        <v>6405</v>
      </c>
      <c r="AB611" t="s">
        <v>902</v>
      </c>
      <c r="AC611" t="s">
        <v>905</v>
      </c>
      <c r="AF611" t="s">
        <v>923</v>
      </c>
      <c r="AI611">
        <v>30.55</v>
      </c>
      <c r="AJ611" t="s">
        <v>558</v>
      </c>
      <c r="AK611" t="s">
        <v>934</v>
      </c>
      <c r="AL611" t="s">
        <v>274</v>
      </c>
      <c r="AT611">
        <v>1</v>
      </c>
      <c r="AU611">
        <v>1</v>
      </c>
      <c r="AV611" t="s">
        <v>273</v>
      </c>
      <c r="AY611" t="s">
        <v>273</v>
      </c>
      <c r="BB611">
        <v>0</v>
      </c>
      <c r="BC611">
        <v>0</v>
      </c>
      <c r="BD611">
        <v>0</v>
      </c>
      <c r="BE611">
        <v>0</v>
      </c>
      <c r="BF611" t="s">
        <v>1063</v>
      </c>
      <c r="BG611" t="s">
        <v>6908</v>
      </c>
      <c r="BH611">
        <v>31</v>
      </c>
      <c r="BI611" t="s">
        <v>1247</v>
      </c>
      <c r="BK611">
        <v>1852604</v>
      </c>
    </row>
    <row r="612" spans="1:63">
      <c r="A612" s="1">
        <f>HYPERLINK("https://lsnyc.legalserver.org/matter/dynamic-profile/view/1863166","18-1863166")</f>
        <v>0</v>
      </c>
      <c r="B612" t="s">
        <v>5496</v>
      </c>
      <c r="C612" t="s">
        <v>5625</v>
      </c>
      <c r="D612" t="s">
        <v>255</v>
      </c>
      <c r="E612" t="s">
        <v>3694</v>
      </c>
      <c r="F612" t="s">
        <v>274</v>
      </c>
      <c r="G612" t="s">
        <v>274</v>
      </c>
      <c r="H612">
        <v>98.84999999999999</v>
      </c>
      <c r="I612" t="s">
        <v>274</v>
      </c>
      <c r="K612" t="s">
        <v>1015</v>
      </c>
      <c r="P612" t="s">
        <v>492</v>
      </c>
      <c r="Q612" t="s">
        <v>501</v>
      </c>
      <c r="S612" t="s">
        <v>503</v>
      </c>
      <c r="T612" t="s">
        <v>508</v>
      </c>
      <c r="U612" t="s">
        <v>511</v>
      </c>
      <c r="V612">
        <v>10029</v>
      </c>
      <c r="W612" t="s">
        <v>536</v>
      </c>
      <c r="X612" t="s">
        <v>1838</v>
      </c>
      <c r="Z612" t="s">
        <v>5962</v>
      </c>
      <c r="AA612" t="s">
        <v>6363</v>
      </c>
      <c r="AB612" t="s">
        <v>902</v>
      </c>
      <c r="AC612" t="s">
        <v>905</v>
      </c>
      <c r="AF612" t="s">
        <v>923</v>
      </c>
      <c r="AI612">
        <v>9.81</v>
      </c>
      <c r="AJ612" t="s">
        <v>558</v>
      </c>
      <c r="AK612" t="s">
        <v>2366</v>
      </c>
      <c r="AT612">
        <v>0</v>
      </c>
      <c r="AU612">
        <v>1</v>
      </c>
      <c r="AV612" t="s">
        <v>273</v>
      </c>
      <c r="AY612" t="s">
        <v>273</v>
      </c>
      <c r="BB612">
        <v>0</v>
      </c>
      <c r="BC612">
        <v>0</v>
      </c>
      <c r="BD612">
        <v>0</v>
      </c>
      <c r="BE612">
        <v>0</v>
      </c>
      <c r="BF612" t="s">
        <v>1063</v>
      </c>
      <c r="BG612" t="s">
        <v>2408</v>
      </c>
      <c r="BH612">
        <v>45</v>
      </c>
      <c r="BI612" t="s">
        <v>1267</v>
      </c>
      <c r="BK612">
        <v>1863747</v>
      </c>
    </row>
    <row r="613" spans="1:63">
      <c r="A613" s="1">
        <f>HYPERLINK("https://lsnyc.legalserver.org/matter/dynamic-profile/view/1862438","18-1862438")</f>
        <v>0</v>
      </c>
      <c r="B613" t="s">
        <v>5505</v>
      </c>
      <c r="C613" t="s">
        <v>5625</v>
      </c>
      <c r="D613" t="s">
        <v>252</v>
      </c>
      <c r="E613" t="s">
        <v>3694</v>
      </c>
      <c r="F613" t="s">
        <v>274</v>
      </c>
      <c r="G613" t="s">
        <v>274</v>
      </c>
      <c r="H613">
        <v>29.16</v>
      </c>
      <c r="I613" t="s">
        <v>274</v>
      </c>
      <c r="K613" t="s">
        <v>3005</v>
      </c>
      <c r="Q613" t="s">
        <v>501</v>
      </c>
      <c r="S613" t="s">
        <v>503</v>
      </c>
      <c r="T613" t="s">
        <v>508</v>
      </c>
      <c r="U613" t="s">
        <v>511</v>
      </c>
      <c r="V613">
        <v>11223</v>
      </c>
      <c r="W613" t="s">
        <v>532</v>
      </c>
      <c r="X613" t="s">
        <v>548</v>
      </c>
      <c r="Z613" t="s">
        <v>5967</v>
      </c>
      <c r="AA613" t="s">
        <v>6369</v>
      </c>
      <c r="AB613" t="s">
        <v>902</v>
      </c>
      <c r="AC613" t="s">
        <v>905</v>
      </c>
      <c r="AF613" t="s">
        <v>923</v>
      </c>
      <c r="AI613">
        <v>2.1</v>
      </c>
      <c r="AJ613" t="s">
        <v>558</v>
      </c>
      <c r="AK613" t="s">
        <v>933</v>
      </c>
      <c r="AT613">
        <v>4</v>
      </c>
      <c r="AU613">
        <v>1</v>
      </c>
      <c r="AV613" t="s">
        <v>273</v>
      </c>
      <c r="AY613" t="s">
        <v>273</v>
      </c>
      <c r="BB613">
        <v>0</v>
      </c>
      <c r="BC613">
        <v>0</v>
      </c>
      <c r="BD613">
        <v>0</v>
      </c>
      <c r="BE613">
        <v>0</v>
      </c>
      <c r="BF613" t="s">
        <v>1063</v>
      </c>
      <c r="BG613" t="s">
        <v>6855</v>
      </c>
      <c r="BH613">
        <v>37</v>
      </c>
      <c r="BI613" t="s">
        <v>7105</v>
      </c>
      <c r="BK613">
        <v>1863017</v>
      </c>
    </row>
    <row r="614" spans="1:63">
      <c r="A614" s="1">
        <f>HYPERLINK("https://lsnyc.legalserver.org/matter/dynamic-profile/view/1862395","18-1862395")</f>
        <v>0</v>
      </c>
      <c r="B614" t="s">
        <v>5560</v>
      </c>
      <c r="C614" t="s">
        <v>5625</v>
      </c>
      <c r="D614" t="s">
        <v>252</v>
      </c>
      <c r="E614" t="s">
        <v>3694</v>
      </c>
      <c r="F614" t="s">
        <v>274</v>
      </c>
      <c r="G614" t="s">
        <v>274</v>
      </c>
      <c r="H614">
        <v>141.4</v>
      </c>
      <c r="I614" t="s">
        <v>274</v>
      </c>
      <c r="K614" t="s">
        <v>1755</v>
      </c>
      <c r="Q614" t="s">
        <v>501</v>
      </c>
      <c r="S614" t="s">
        <v>503</v>
      </c>
      <c r="T614" t="s">
        <v>508</v>
      </c>
      <c r="U614" t="s">
        <v>511</v>
      </c>
      <c r="V614">
        <v>11106</v>
      </c>
      <c r="W614" t="s">
        <v>532</v>
      </c>
      <c r="X614" t="s">
        <v>548</v>
      </c>
      <c r="Z614" t="s">
        <v>584</v>
      </c>
      <c r="AA614" t="s">
        <v>6406</v>
      </c>
      <c r="AB614" t="s">
        <v>902</v>
      </c>
      <c r="AC614" t="s">
        <v>905</v>
      </c>
      <c r="AF614" t="s">
        <v>923</v>
      </c>
      <c r="AI614">
        <v>2.8</v>
      </c>
      <c r="AJ614" t="s">
        <v>558</v>
      </c>
      <c r="AK614" t="s">
        <v>933</v>
      </c>
      <c r="AT614">
        <v>3</v>
      </c>
      <c r="AU614">
        <v>2</v>
      </c>
      <c r="AV614" t="s">
        <v>273</v>
      </c>
      <c r="AY614" t="s">
        <v>273</v>
      </c>
      <c r="BB614">
        <v>0</v>
      </c>
      <c r="BC614">
        <v>0</v>
      </c>
      <c r="BD614">
        <v>0</v>
      </c>
      <c r="BE614">
        <v>0</v>
      </c>
      <c r="BF614" t="s">
        <v>1063</v>
      </c>
      <c r="BG614" t="s">
        <v>6909</v>
      </c>
      <c r="BH614">
        <v>46</v>
      </c>
      <c r="BI614" t="s">
        <v>2721</v>
      </c>
      <c r="BK614">
        <v>1862973</v>
      </c>
    </row>
    <row r="615" spans="1:63">
      <c r="A615" s="1">
        <f>HYPERLINK("https://lsnyc.legalserver.org/matter/dynamic-profile/view/1862399","18-1862399")</f>
        <v>0</v>
      </c>
      <c r="B615" t="s">
        <v>5561</v>
      </c>
      <c r="C615" t="s">
        <v>5625</v>
      </c>
      <c r="D615" t="s">
        <v>257</v>
      </c>
      <c r="E615" t="s">
        <v>3694</v>
      </c>
      <c r="F615" t="s">
        <v>274</v>
      </c>
      <c r="G615" t="s">
        <v>274</v>
      </c>
      <c r="H615">
        <v>75.06999999999999</v>
      </c>
      <c r="I615" t="s">
        <v>274</v>
      </c>
      <c r="K615" t="s">
        <v>1755</v>
      </c>
      <c r="O615" t="s">
        <v>275</v>
      </c>
      <c r="Q615" t="s">
        <v>501</v>
      </c>
      <c r="S615" t="s">
        <v>503</v>
      </c>
      <c r="T615" t="s">
        <v>508</v>
      </c>
      <c r="U615" t="s">
        <v>511</v>
      </c>
      <c r="V615">
        <v>10453</v>
      </c>
      <c r="W615" t="s">
        <v>532</v>
      </c>
      <c r="X615" t="s">
        <v>548</v>
      </c>
      <c r="Z615" t="s">
        <v>6010</v>
      </c>
      <c r="AA615" t="s">
        <v>2111</v>
      </c>
      <c r="AB615" t="s">
        <v>902</v>
      </c>
      <c r="AC615" t="s">
        <v>905</v>
      </c>
      <c r="AF615" t="s">
        <v>923</v>
      </c>
      <c r="AI615">
        <v>0.9</v>
      </c>
      <c r="AJ615" t="s">
        <v>558</v>
      </c>
      <c r="AK615" t="s">
        <v>933</v>
      </c>
      <c r="AM615" t="s">
        <v>973</v>
      </c>
      <c r="AN615" t="s">
        <v>396</v>
      </c>
      <c r="AT615">
        <v>2</v>
      </c>
      <c r="AU615">
        <v>1</v>
      </c>
      <c r="AV615" t="s">
        <v>273</v>
      </c>
      <c r="AY615" t="s">
        <v>273</v>
      </c>
      <c r="BB615">
        <v>0</v>
      </c>
      <c r="BC615">
        <v>0</v>
      </c>
      <c r="BD615">
        <v>0</v>
      </c>
      <c r="BE615">
        <v>0</v>
      </c>
      <c r="BF615" t="s">
        <v>1063</v>
      </c>
      <c r="BG615" t="s">
        <v>6910</v>
      </c>
      <c r="BH615">
        <v>40</v>
      </c>
      <c r="BI615" t="s">
        <v>1270</v>
      </c>
      <c r="BK615">
        <v>1862978</v>
      </c>
    </row>
    <row r="616" spans="1:63">
      <c r="A616" s="1">
        <f>HYPERLINK("https://lsnyc.legalserver.org/matter/dynamic-profile/view/1862005","18-1862005")</f>
        <v>0</v>
      </c>
      <c r="B616" t="s">
        <v>5562</v>
      </c>
      <c r="C616" t="s">
        <v>5625</v>
      </c>
      <c r="D616" t="s">
        <v>253</v>
      </c>
      <c r="E616" t="s">
        <v>3694</v>
      </c>
      <c r="F616" t="s">
        <v>274</v>
      </c>
      <c r="G616" t="s">
        <v>274</v>
      </c>
      <c r="H616">
        <v>0</v>
      </c>
      <c r="I616" t="s">
        <v>274</v>
      </c>
      <c r="K616" t="s">
        <v>4516</v>
      </c>
      <c r="L616" t="s">
        <v>457</v>
      </c>
      <c r="O616" t="s">
        <v>275</v>
      </c>
      <c r="P616" t="s">
        <v>498</v>
      </c>
      <c r="Q616" t="s">
        <v>501</v>
      </c>
      <c r="S616" t="s">
        <v>503</v>
      </c>
      <c r="T616" t="s">
        <v>507</v>
      </c>
      <c r="U616" t="s">
        <v>511</v>
      </c>
      <c r="V616">
        <v>11416</v>
      </c>
      <c r="W616" t="s">
        <v>521</v>
      </c>
      <c r="X616" t="s">
        <v>548</v>
      </c>
      <c r="Y616" t="s">
        <v>274</v>
      </c>
      <c r="Z616" t="s">
        <v>6011</v>
      </c>
      <c r="AA616" t="s">
        <v>2348</v>
      </c>
      <c r="AB616" t="s">
        <v>902</v>
      </c>
      <c r="AC616" t="s">
        <v>905</v>
      </c>
      <c r="AD616" t="s">
        <v>275</v>
      </c>
      <c r="AE616" t="s">
        <v>919</v>
      </c>
      <c r="AF616" t="s">
        <v>923</v>
      </c>
      <c r="AI616">
        <v>7.4</v>
      </c>
      <c r="AJ616" t="s">
        <v>558</v>
      </c>
      <c r="AK616" t="s">
        <v>945</v>
      </c>
      <c r="AQ616" t="s">
        <v>1039</v>
      </c>
      <c r="AR616" t="s">
        <v>1051</v>
      </c>
      <c r="AT616">
        <v>0</v>
      </c>
      <c r="AU616">
        <v>1</v>
      </c>
      <c r="AV616" t="s">
        <v>273</v>
      </c>
      <c r="AY616" t="s">
        <v>273</v>
      </c>
      <c r="BB616">
        <v>0</v>
      </c>
      <c r="BC616">
        <v>0</v>
      </c>
      <c r="BD616">
        <v>0</v>
      </c>
      <c r="BE616">
        <v>0</v>
      </c>
      <c r="BF616" t="s">
        <v>493</v>
      </c>
      <c r="BG616" t="s">
        <v>6911</v>
      </c>
      <c r="BH616">
        <v>28</v>
      </c>
      <c r="BI616" t="s">
        <v>1247</v>
      </c>
      <c r="BK616">
        <v>1862583</v>
      </c>
    </row>
    <row r="617" spans="1:63">
      <c r="A617" s="1">
        <f>HYPERLINK("https://lsnyc.legalserver.org/matter/dynamic-profile/view/1861520","18-1861520")</f>
        <v>0</v>
      </c>
      <c r="B617" t="s">
        <v>5563</v>
      </c>
      <c r="C617" t="s">
        <v>5625</v>
      </c>
      <c r="D617" t="s">
        <v>257</v>
      </c>
      <c r="E617" t="s">
        <v>3694</v>
      </c>
      <c r="F617" t="s">
        <v>274</v>
      </c>
      <c r="G617" t="s">
        <v>274</v>
      </c>
      <c r="H617">
        <v>213.23</v>
      </c>
      <c r="I617" t="s">
        <v>274</v>
      </c>
      <c r="K617" t="s">
        <v>406</v>
      </c>
      <c r="O617" t="s">
        <v>274</v>
      </c>
      <c r="Q617" t="s">
        <v>501</v>
      </c>
      <c r="S617" t="s">
        <v>503</v>
      </c>
      <c r="T617" t="s">
        <v>508</v>
      </c>
      <c r="U617" t="s">
        <v>511</v>
      </c>
      <c r="V617">
        <v>10457</v>
      </c>
      <c r="W617" t="s">
        <v>517</v>
      </c>
      <c r="X617" t="s">
        <v>548</v>
      </c>
      <c r="Y617" t="s">
        <v>275</v>
      </c>
      <c r="Z617" t="s">
        <v>6012</v>
      </c>
      <c r="AA617" t="s">
        <v>840</v>
      </c>
      <c r="AB617" t="s">
        <v>902</v>
      </c>
      <c r="AC617" t="s">
        <v>904</v>
      </c>
      <c r="AF617" t="s">
        <v>923</v>
      </c>
      <c r="AI617">
        <v>4</v>
      </c>
      <c r="AJ617" t="s">
        <v>558</v>
      </c>
      <c r="AK617" t="s">
        <v>950</v>
      </c>
      <c r="AT617">
        <v>2</v>
      </c>
      <c r="AU617">
        <v>2</v>
      </c>
      <c r="AV617" t="s">
        <v>273</v>
      </c>
      <c r="AY617" t="s">
        <v>273</v>
      </c>
      <c r="BB617">
        <v>0</v>
      </c>
      <c r="BC617">
        <v>0</v>
      </c>
      <c r="BD617">
        <v>0</v>
      </c>
      <c r="BE617">
        <v>0</v>
      </c>
      <c r="BF617" t="s">
        <v>1063</v>
      </c>
      <c r="BG617" t="s">
        <v>6912</v>
      </c>
      <c r="BH617">
        <v>47</v>
      </c>
      <c r="BI617" t="s">
        <v>7123</v>
      </c>
      <c r="BK617">
        <v>1862097</v>
      </c>
    </row>
    <row r="618" spans="1:63">
      <c r="A618" s="1">
        <f>HYPERLINK("https://lsnyc.legalserver.org/matter/dynamic-profile/view/1861462","18-1861462")</f>
        <v>0</v>
      </c>
      <c r="B618" t="s">
        <v>5495</v>
      </c>
      <c r="C618" t="s">
        <v>5625</v>
      </c>
      <c r="D618" t="s">
        <v>253</v>
      </c>
      <c r="E618" t="s">
        <v>3694</v>
      </c>
      <c r="F618" t="s">
        <v>274</v>
      </c>
      <c r="G618" t="s">
        <v>274</v>
      </c>
      <c r="H618">
        <v>63.18</v>
      </c>
      <c r="I618" t="s">
        <v>274</v>
      </c>
      <c r="K618" t="s">
        <v>407</v>
      </c>
      <c r="O618" t="s">
        <v>274</v>
      </c>
      <c r="P618" t="s">
        <v>492</v>
      </c>
      <c r="Q618" t="s">
        <v>501</v>
      </c>
      <c r="S618" t="s">
        <v>503</v>
      </c>
      <c r="T618" t="s">
        <v>508</v>
      </c>
      <c r="U618" t="s">
        <v>511</v>
      </c>
      <c r="V618">
        <v>11361</v>
      </c>
      <c r="W618" t="s">
        <v>536</v>
      </c>
      <c r="X618" t="s">
        <v>548</v>
      </c>
      <c r="Y618" t="s">
        <v>275</v>
      </c>
      <c r="Z618" t="s">
        <v>2015</v>
      </c>
      <c r="AA618" t="s">
        <v>826</v>
      </c>
      <c r="AB618" t="s">
        <v>902</v>
      </c>
      <c r="AC618" t="s">
        <v>905</v>
      </c>
      <c r="AF618" t="s">
        <v>923</v>
      </c>
      <c r="AI618">
        <v>6.3</v>
      </c>
      <c r="AJ618" t="s">
        <v>558</v>
      </c>
      <c r="AK618" t="s">
        <v>947</v>
      </c>
      <c r="AS618" t="s">
        <v>1061</v>
      </c>
      <c r="AT618">
        <v>1</v>
      </c>
      <c r="AU618">
        <v>1</v>
      </c>
      <c r="AV618" t="s">
        <v>273</v>
      </c>
      <c r="AY618" t="s">
        <v>273</v>
      </c>
      <c r="BB618">
        <v>0</v>
      </c>
      <c r="BC618">
        <v>0</v>
      </c>
      <c r="BD618">
        <v>0</v>
      </c>
      <c r="BE618">
        <v>0</v>
      </c>
      <c r="BF618" t="s">
        <v>1063</v>
      </c>
      <c r="BG618" t="s">
        <v>6847</v>
      </c>
      <c r="BH618">
        <v>46</v>
      </c>
      <c r="BI618" t="s">
        <v>1301</v>
      </c>
      <c r="BK618">
        <v>1862039</v>
      </c>
    </row>
    <row r="619" spans="1:63">
      <c r="A619" s="1">
        <f>HYPERLINK("https://lsnyc.legalserver.org/matter/dynamic-profile/view/1863372","18-1863372")</f>
        <v>0</v>
      </c>
      <c r="B619" t="s">
        <v>5212</v>
      </c>
      <c r="C619" t="s">
        <v>5625</v>
      </c>
      <c r="D619" t="s">
        <v>252</v>
      </c>
      <c r="E619" t="s">
        <v>3694</v>
      </c>
      <c r="F619" t="s">
        <v>273</v>
      </c>
      <c r="G619" t="s">
        <v>275</v>
      </c>
      <c r="H619">
        <v>128.5</v>
      </c>
      <c r="I619" t="s">
        <v>275</v>
      </c>
      <c r="K619" t="s">
        <v>407</v>
      </c>
      <c r="P619" t="s">
        <v>492</v>
      </c>
      <c r="Q619" t="s">
        <v>501</v>
      </c>
      <c r="S619" t="s">
        <v>503</v>
      </c>
      <c r="T619" t="s">
        <v>508</v>
      </c>
      <c r="U619" t="s">
        <v>511</v>
      </c>
      <c r="V619">
        <v>11232</v>
      </c>
      <c r="W619" t="s">
        <v>542</v>
      </c>
      <c r="X619" t="s">
        <v>548</v>
      </c>
      <c r="Z619" t="s">
        <v>5778</v>
      </c>
      <c r="AA619" t="s">
        <v>6157</v>
      </c>
      <c r="AB619" t="s">
        <v>902</v>
      </c>
      <c r="AC619" t="s">
        <v>904</v>
      </c>
      <c r="AF619" t="s">
        <v>923</v>
      </c>
      <c r="AI619">
        <v>25.25</v>
      </c>
      <c r="AJ619" t="s">
        <v>558</v>
      </c>
      <c r="AK619" t="s">
        <v>949</v>
      </c>
      <c r="AT619">
        <v>0</v>
      </c>
      <c r="AU619">
        <v>1</v>
      </c>
      <c r="AV619" t="s">
        <v>273</v>
      </c>
      <c r="AY619" t="s">
        <v>273</v>
      </c>
      <c r="BB619">
        <v>0</v>
      </c>
      <c r="BC619">
        <v>0</v>
      </c>
      <c r="BD619">
        <v>0</v>
      </c>
      <c r="BE619">
        <v>0</v>
      </c>
      <c r="BF619" t="s">
        <v>1063</v>
      </c>
      <c r="BG619" t="s">
        <v>6574</v>
      </c>
      <c r="BH619">
        <v>55</v>
      </c>
      <c r="BI619" t="s">
        <v>1270</v>
      </c>
      <c r="BK619">
        <v>1863953</v>
      </c>
    </row>
    <row r="620" spans="1:63">
      <c r="A620" s="1">
        <f>HYPERLINK("https://lsnyc.legalserver.org/matter/dynamic-profile/view/1861325","18-1861325")</f>
        <v>0</v>
      </c>
      <c r="B620" t="s">
        <v>5544</v>
      </c>
      <c r="C620" t="s">
        <v>5625</v>
      </c>
      <c r="D620" t="s">
        <v>253</v>
      </c>
      <c r="E620" t="s">
        <v>3694</v>
      </c>
      <c r="F620" t="s">
        <v>273</v>
      </c>
      <c r="G620" t="s">
        <v>275</v>
      </c>
      <c r="H620">
        <v>63.52</v>
      </c>
      <c r="I620" t="s">
        <v>274</v>
      </c>
      <c r="K620" t="s">
        <v>1756</v>
      </c>
      <c r="O620" t="s">
        <v>275</v>
      </c>
      <c r="Q620" t="s">
        <v>501</v>
      </c>
      <c r="S620" t="s">
        <v>503</v>
      </c>
      <c r="T620" t="s">
        <v>508</v>
      </c>
      <c r="U620" t="s">
        <v>511</v>
      </c>
      <c r="V620">
        <v>11368</v>
      </c>
      <c r="W620" t="s">
        <v>1829</v>
      </c>
      <c r="X620" t="s">
        <v>548</v>
      </c>
      <c r="Y620" t="s">
        <v>275</v>
      </c>
      <c r="Z620" t="s">
        <v>614</v>
      </c>
      <c r="AA620" t="s">
        <v>6397</v>
      </c>
      <c r="AB620" t="s">
        <v>902</v>
      </c>
      <c r="AC620" t="s">
        <v>905</v>
      </c>
      <c r="AF620" t="s">
        <v>923</v>
      </c>
      <c r="AI620">
        <v>18.5</v>
      </c>
      <c r="AJ620" t="s">
        <v>558</v>
      </c>
      <c r="AK620" t="s">
        <v>933</v>
      </c>
      <c r="AT620">
        <v>2</v>
      </c>
      <c r="AU620">
        <v>1</v>
      </c>
      <c r="AV620" t="s">
        <v>273</v>
      </c>
      <c r="AY620" t="s">
        <v>273</v>
      </c>
      <c r="BB620">
        <v>0</v>
      </c>
      <c r="BC620">
        <v>0</v>
      </c>
      <c r="BD620">
        <v>0</v>
      </c>
      <c r="BE620">
        <v>0</v>
      </c>
      <c r="BF620" t="s">
        <v>1063</v>
      </c>
      <c r="BG620" t="s">
        <v>6893</v>
      </c>
      <c r="BH620">
        <v>35</v>
      </c>
      <c r="BI620" t="s">
        <v>1298</v>
      </c>
      <c r="BK620">
        <v>1861902</v>
      </c>
    </row>
    <row r="621" spans="1:63">
      <c r="A621" s="1">
        <f>HYPERLINK("https://lsnyc.legalserver.org/matter/dynamic-profile/view/1860861","18-1860861")</f>
        <v>0</v>
      </c>
      <c r="B621" t="s">
        <v>5507</v>
      </c>
      <c r="C621" t="s">
        <v>5625</v>
      </c>
      <c r="D621" t="s">
        <v>257</v>
      </c>
      <c r="E621" t="s">
        <v>3694</v>
      </c>
      <c r="F621" t="s">
        <v>274</v>
      </c>
      <c r="G621" t="s">
        <v>274</v>
      </c>
      <c r="H621">
        <v>0</v>
      </c>
      <c r="I621" t="s">
        <v>274</v>
      </c>
      <c r="K621" t="s">
        <v>1017</v>
      </c>
      <c r="Q621" t="s">
        <v>501</v>
      </c>
      <c r="S621" t="s">
        <v>503</v>
      </c>
      <c r="T621" t="s">
        <v>508</v>
      </c>
      <c r="U621" t="s">
        <v>511</v>
      </c>
      <c r="V621">
        <v>10468</v>
      </c>
      <c r="W621" t="s">
        <v>536</v>
      </c>
      <c r="X621" t="s">
        <v>548</v>
      </c>
      <c r="Z621" t="s">
        <v>5969</v>
      </c>
      <c r="AA621" t="s">
        <v>6371</v>
      </c>
      <c r="AB621" t="s">
        <v>902</v>
      </c>
      <c r="AC621" t="s">
        <v>905</v>
      </c>
      <c r="AF621" t="s">
        <v>923</v>
      </c>
      <c r="AI621">
        <v>7.05</v>
      </c>
      <c r="AJ621" t="s">
        <v>558</v>
      </c>
      <c r="AK621" t="s">
        <v>949</v>
      </c>
      <c r="AS621" t="s">
        <v>1061</v>
      </c>
      <c r="AT621">
        <v>0</v>
      </c>
      <c r="AU621">
        <v>1</v>
      </c>
      <c r="AV621" t="s">
        <v>273</v>
      </c>
      <c r="AY621" t="s">
        <v>273</v>
      </c>
      <c r="BB621">
        <v>0</v>
      </c>
      <c r="BC621">
        <v>0</v>
      </c>
      <c r="BD621">
        <v>0</v>
      </c>
      <c r="BE621">
        <v>0</v>
      </c>
      <c r="BF621" t="s">
        <v>1063</v>
      </c>
      <c r="BG621" t="s">
        <v>6857</v>
      </c>
      <c r="BH621">
        <v>25</v>
      </c>
      <c r="BI621" t="s">
        <v>1247</v>
      </c>
      <c r="BK621">
        <v>1861438</v>
      </c>
    </row>
    <row r="622" spans="1:63">
      <c r="A622" s="1">
        <f>HYPERLINK("https://lsnyc.legalserver.org/matter/dynamic-profile/view/1860854","18-1860854")</f>
        <v>0</v>
      </c>
      <c r="B622" t="s">
        <v>5564</v>
      </c>
      <c r="C622" t="s">
        <v>5625</v>
      </c>
      <c r="D622" t="s">
        <v>252</v>
      </c>
      <c r="E622" t="s">
        <v>3694</v>
      </c>
      <c r="F622" t="s">
        <v>274</v>
      </c>
      <c r="G622" t="s">
        <v>274</v>
      </c>
      <c r="H622">
        <v>229.04</v>
      </c>
      <c r="I622" t="s">
        <v>274</v>
      </c>
      <c r="J622" t="s">
        <v>5632</v>
      </c>
      <c r="K622" t="s">
        <v>3716</v>
      </c>
      <c r="O622" t="s">
        <v>275</v>
      </c>
      <c r="P622" t="s">
        <v>499</v>
      </c>
      <c r="Q622" t="s">
        <v>501</v>
      </c>
      <c r="S622" t="s">
        <v>503</v>
      </c>
      <c r="T622" t="s">
        <v>507</v>
      </c>
      <c r="U622" t="s">
        <v>511</v>
      </c>
      <c r="V622">
        <v>11232</v>
      </c>
      <c r="W622" t="s">
        <v>521</v>
      </c>
      <c r="X622" t="s">
        <v>548</v>
      </c>
      <c r="Z622" t="s">
        <v>6013</v>
      </c>
      <c r="AA622" t="s">
        <v>815</v>
      </c>
      <c r="AB622" t="s">
        <v>902</v>
      </c>
      <c r="AC622" t="s">
        <v>905</v>
      </c>
      <c r="AF622" t="s">
        <v>923</v>
      </c>
      <c r="AI622">
        <v>10.7</v>
      </c>
      <c r="AJ622" t="s">
        <v>558</v>
      </c>
      <c r="AK622" t="s">
        <v>945</v>
      </c>
      <c r="AT622">
        <v>0</v>
      </c>
      <c r="AU622">
        <v>2</v>
      </c>
      <c r="AV622" t="s">
        <v>273</v>
      </c>
      <c r="AY622" t="s">
        <v>273</v>
      </c>
      <c r="BB622">
        <v>0</v>
      </c>
      <c r="BC622">
        <v>0</v>
      </c>
      <c r="BD622">
        <v>0</v>
      </c>
      <c r="BE622">
        <v>0</v>
      </c>
      <c r="BF622" t="s">
        <v>1063</v>
      </c>
      <c r="BG622" t="s">
        <v>6913</v>
      </c>
      <c r="BH622">
        <v>32</v>
      </c>
      <c r="BI622" t="s">
        <v>7124</v>
      </c>
      <c r="BK622">
        <v>1861190</v>
      </c>
    </row>
    <row r="623" spans="1:63">
      <c r="A623" s="1">
        <f>HYPERLINK("https://lsnyc.legalserver.org/matter/dynamic-profile/view/1860690","18-1860690")</f>
        <v>0</v>
      </c>
      <c r="B623" t="s">
        <v>5565</v>
      </c>
      <c r="C623" t="s">
        <v>5625</v>
      </c>
      <c r="D623" t="s">
        <v>255</v>
      </c>
      <c r="E623" t="s">
        <v>3694</v>
      </c>
      <c r="F623" t="s">
        <v>274</v>
      </c>
      <c r="G623" t="s">
        <v>274</v>
      </c>
      <c r="H623">
        <v>74.14</v>
      </c>
      <c r="I623" t="s">
        <v>274</v>
      </c>
      <c r="K623" t="s">
        <v>1757</v>
      </c>
      <c r="L623" t="s">
        <v>457</v>
      </c>
      <c r="O623" t="s">
        <v>274</v>
      </c>
      <c r="Q623" t="s">
        <v>501</v>
      </c>
      <c r="S623" t="s">
        <v>503</v>
      </c>
      <c r="T623" t="s">
        <v>508</v>
      </c>
      <c r="U623" t="s">
        <v>511</v>
      </c>
      <c r="V623">
        <v>10029</v>
      </c>
      <c r="W623" t="s">
        <v>517</v>
      </c>
      <c r="X623" t="s">
        <v>548</v>
      </c>
      <c r="Y623" t="s">
        <v>275</v>
      </c>
      <c r="Z623" t="s">
        <v>3071</v>
      </c>
      <c r="AA623" t="s">
        <v>2191</v>
      </c>
      <c r="AB623" t="s">
        <v>902</v>
      </c>
      <c r="AC623" t="s">
        <v>904</v>
      </c>
      <c r="AD623" t="s">
        <v>275</v>
      </c>
      <c r="AE623" t="s">
        <v>919</v>
      </c>
      <c r="AF623" t="s">
        <v>923</v>
      </c>
      <c r="AI623">
        <v>3.75</v>
      </c>
      <c r="AJ623" t="s">
        <v>558</v>
      </c>
      <c r="AK623" t="s">
        <v>966</v>
      </c>
      <c r="AQ623" t="s">
        <v>1042</v>
      </c>
      <c r="AR623" t="s">
        <v>1051</v>
      </c>
      <c r="AT623">
        <v>0</v>
      </c>
      <c r="AU623">
        <v>1</v>
      </c>
      <c r="AV623" t="s">
        <v>273</v>
      </c>
      <c r="AY623" t="s">
        <v>273</v>
      </c>
      <c r="BB623">
        <v>0</v>
      </c>
      <c r="BC623">
        <v>0</v>
      </c>
      <c r="BD623">
        <v>0</v>
      </c>
      <c r="BE623">
        <v>0</v>
      </c>
      <c r="BF623" t="s">
        <v>493</v>
      </c>
      <c r="BG623" t="s">
        <v>6914</v>
      </c>
      <c r="BH623">
        <v>78</v>
      </c>
      <c r="BI623" t="s">
        <v>2724</v>
      </c>
      <c r="BK623">
        <v>1861267</v>
      </c>
    </row>
    <row r="624" spans="1:63">
      <c r="A624" s="1">
        <f>HYPERLINK("https://lsnyc.legalserver.org/matter/dynamic-profile/view/1860613","18-1860613")</f>
        <v>0</v>
      </c>
      <c r="B624" t="s">
        <v>5566</v>
      </c>
      <c r="C624" t="s">
        <v>5625</v>
      </c>
      <c r="D624" t="s">
        <v>252</v>
      </c>
      <c r="E624" t="s">
        <v>3694</v>
      </c>
      <c r="F624" t="s">
        <v>274</v>
      </c>
      <c r="G624" t="s">
        <v>274</v>
      </c>
      <c r="H624">
        <v>229.04</v>
      </c>
      <c r="I624" t="s">
        <v>274</v>
      </c>
      <c r="J624" t="s">
        <v>5632</v>
      </c>
      <c r="K624" t="s">
        <v>1757</v>
      </c>
      <c r="O624" t="s">
        <v>275</v>
      </c>
      <c r="P624" t="s">
        <v>499</v>
      </c>
      <c r="Q624" t="s">
        <v>501</v>
      </c>
      <c r="S624" t="s">
        <v>503</v>
      </c>
      <c r="T624" t="s">
        <v>507</v>
      </c>
      <c r="U624" t="s">
        <v>511</v>
      </c>
      <c r="V624">
        <v>11223</v>
      </c>
      <c r="W624" t="s">
        <v>521</v>
      </c>
      <c r="X624" t="s">
        <v>548</v>
      </c>
      <c r="Z624" t="s">
        <v>6014</v>
      </c>
      <c r="AA624" t="s">
        <v>6407</v>
      </c>
      <c r="AB624" t="s">
        <v>902</v>
      </c>
      <c r="AC624" t="s">
        <v>911</v>
      </c>
      <c r="AF624" t="s">
        <v>923</v>
      </c>
      <c r="AI624">
        <v>7.45</v>
      </c>
      <c r="AJ624" t="s">
        <v>2361</v>
      </c>
      <c r="AK624" t="s">
        <v>945</v>
      </c>
      <c r="AT624">
        <v>0</v>
      </c>
      <c r="AU624">
        <v>2</v>
      </c>
      <c r="AV624" t="s">
        <v>273</v>
      </c>
      <c r="AY624" t="s">
        <v>273</v>
      </c>
      <c r="BB624">
        <v>0</v>
      </c>
      <c r="BC624">
        <v>0</v>
      </c>
      <c r="BD624">
        <v>0</v>
      </c>
      <c r="BE624">
        <v>0</v>
      </c>
      <c r="BF624" t="s">
        <v>1063</v>
      </c>
      <c r="BG624" t="s">
        <v>6915</v>
      </c>
      <c r="BH624">
        <v>29</v>
      </c>
      <c r="BI624" t="s">
        <v>7094</v>
      </c>
      <c r="BK624">
        <v>1861190</v>
      </c>
    </row>
    <row r="625" spans="1:63">
      <c r="A625" s="1">
        <f>HYPERLINK("https://lsnyc.legalserver.org/matter/dynamic-profile/view/1860680","18-1860680")</f>
        <v>0</v>
      </c>
      <c r="B625" t="s">
        <v>5514</v>
      </c>
      <c r="C625" t="s">
        <v>5625</v>
      </c>
      <c r="D625" t="s">
        <v>253</v>
      </c>
      <c r="E625" t="s">
        <v>3694</v>
      </c>
      <c r="F625" t="s">
        <v>274</v>
      </c>
      <c r="G625" t="s">
        <v>274</v>
      </c>
      <c r="H625">
        <v>118.41</v>
      </c>
      <c r="I625" t="s">
        <v>274</v>
      </c>
      <c r="K625" t="s">
        <v>1757</v>
      </c>
      <c r="P625" t="s">
        <v>492</v>
      </c>
      <c r="Q625" t="s">
        <v>501</v>
      </c>
      <c r="R625" t="s">
        <v>1817</v>
      </c>
      <c r="S625" t="s">
        <v>503</v>
      </c>
      <c r="T625" t="s">
        <v>508</v>
      </c>
      <c r="U625" t="s">
        <v>511</v>
      </c>
      <c r="V625">
        <v>11433</v>
      </c>
      <c r="W625" t="s">
        <v>517</v>
      </c>
      <c r="X625" t="s">
        <v>548</v>
      </c>
      <c r="Y625" t="s">
        <v>275</v>
      </c>
      <c r="Z625" t="s">
        <v>2011</v>
      </c>
      <c r="AA625" t="s">
        <v>6377</v>
      </c>
      <c r="AB625" t="s">
        <v>902</v>
      </c>
      <c r="AC625" t="s">
        <v>904</v>
      </c>
      <c r="AF625" t="s">
        <v>923</v>
      </c>
      <c r="AI625">
        <v>3.9</v>
      </c>
      <c r="AJ625" t="s">
        <v>558</v>
      </c>
      <c r="AK625" t="s">
        <v>950</v>
      </c>
      <c r="AS625" t="s">
        <v>2407</v>
      </c>
      <c r="AT625">
        <v>2</v>
      </c>
      <c r="AU625">
        <v>2</v>
      </c>
      <c r="AV625" t="s">
        <v>273</v>
      </c>
      <c r="AY625" t="s">
        <v>273</v>
      </c>
      <c r="BB625">
        <v>0</v>
      </c>
      <c r="BC625">
        <v>0</v>
      </c>
      <c r="BD625">
        <v>0</v>
      </c>
      <c r="BE625">
        <v>0</v>
      </c>
      <c r="BF625" t="s">
        <v>1063</v>
      </c>
      <c r="BG625" t="s">
        <v>6865</v>
      </c>
      <c r="BH625">
        <v>43</v>
      </c>
      <c r="BI625" t="s">
        <v>7107</v>
      </c>
      <c r="BK625">
        <v>1861257</v>
      </c>
    </row>
    <row r="626" spans="1:63">
      <c r="A626" s="1">
        <f>HYPERLINK("https://lsnyc.legalserver.org/matter/dynamic-profile/view/1860518","18-1860518")</f>
        <v>0</v>
      </c>
      <c r="B626" t="s">
        <v>5567</v>
      </c>
      <c r="C626" t="s">
        <v>5625</v>
      </c>
      <c r="D626" t="s">
        <v>257</v>
      </c>
      <c r="E626" t="s">
        <v>3694</v>
      </c>
      <c r="F626" t="s">
        <v>274</v>
      </c>
      <c r="G626" t="s">
        <v>274</v>
      </c>
      <c r="H626">
        <v>189.55</v>
      </c>
      <c r="I626" t="s">
        <v>274</v>
      </c>
      <c r="K626" t="s">
        <v>3006</v>
      </c>
      <c r="O626" t="s">
        <v>274</v>
      </c>
      <c r="P626" t="s">
        <v>498</v>
      </c>
      <c r="Q626" t="s">
        <v>501</v>
      </c>
      <c r="S626" t="s">
        <v>503</v>
      </c>
      <c r="T626" t="s">
        <v>508</v>
      </c>
      <c r="U626" t="s">
        <v>511</v>
      </c>
      <c r="V626">
        <v>10470</v>
      </c>
      <c r="W626" t="s">
        <v>517</v>
      </c>
      <c r="X626" t="s">
        <v>549</v>
      </c>
      <c r="Y626" t="s">
        <v>274</v>
      </c>
      <c r="Z626" t="s">
        <v>584</v>
      </c>
      <c r="AA626" t="s">
        <v>6408</v>
      </c>
      <c r="AB626" t="s">
        <v>902</v>
      </c>
      <c r="AC626" t="s">
        <v>904</v>
      </c>
      <c r="AF626" t="s">
        <v>923</v>
      </c>
      <c r="AI626">
        <v>1.5</v>
      </c>
      <c r="AJ626" t="s">
        <v>558</v>
      </c>
      <c r="AK626" t="s">
        <v>933</v>
      </c>
      <c r="AL626" t="s">
        <v>274</v>
      </c>
      <c r="AT626">
        <v>1</v>
      </c>
      <c r="AU626">
        <v>1</v>
      </c>
      <c r="AV626" t="s">
        <v>273</v>
      </c>
      <c r="AY626" t="s">
        <v>273</v>
      </c>
      <c r="BB626">
        <v>0</v>
      </c>
      <c r="BC626">
        <v>0</v>
      </c>
      <c r="BD626">
        <v>0</v>
      </c>
      <c r="BE626">
        <v>0</v>
      </c>
      <c r="BF626" t="s">
        <v>1063</v>
      </c>
      <c r="BG626" t="s">
        <v>6916</v>
      </c>
      <c r="BH626">
        <v>45</v>
      </c>
      <c r="BI626" t="s">
        <v>1254</v>
      </c>
      <c r="BJ626" t="s">
        <v>4073</v>
      </c>
      <c r="BK626">
        <v>1861095</v>
      </c>
    </row>
    <row r="627" spans="1:63">
      <c r="A627" s="1">
        <f>HYPERLINK("https://lsnyc.legalserver.org/matter/dynamic-profile/view/1860296","18-1860296")</f>
        <v>0</v>
      </c>
      <c r="B627" t="s">
        <v>5568</v>
      </c>
      <c r="C627" t="s">
        <v>5625</v>
      </c>
      <c r="D627" t="s">
        <v>252</v>
      </c>
      <c r="E627" t="s">
        <v>3694</v>
      </c>
      <c r="F627" t="s">
        <v>274</v>
      </c>
      <c r="G627" t="s">
        <v>274</v>
      </c>
      <c r="H627">
        <v>256.16</v>
      </c>
      <c r="I627" t="s">
        <v>274</v>
      </c>
      <c r="K627" t="s">
        <v>3007</v>
      </c>
      <c r="O627" t="s">
        <v>274</v>
      </c>
      <c r="P627" t="s">
        <v>498</v>
      </c>
      <c r="Q627" t="s">
        <v>501</v>
      </c>
      <c r="S627" t="s">
        <v>503</v>
      </c>
      <c r="T627" t="s">
        <v>508</v>
      </c>
      <c r="U627" t="s">
        <v>511</v>
      </c>
      <c r="V627">
        <v>11213</v>
      </c>
      <c r="W627" t="s">
        <v>517</v>
      </c>
      <c r="X627" t="s">
        <v>549</v>
      </c>
      <c r="Y627" t="s">
        <v>275</v>
      </c>
      <c r="Z627" t="s">
        <v>6015</v>
      </c>
      <c r="AA627" t="s">
        <v>727</v>
      </c>
      <c r="AB627" t="s">
        <v>902</v>
      </c>
      <c r="AC627" t="s">
        <v>904</v>
      </c>
      <c r="AF627" t="s">
        <v>923</v>
      </c>
      <c r="AI627">
        <v>1.1</v>
      </c>
      <c r="AJ627" t="s">
        <v>558</v>
      </c>
      <c r="AK627" t="s">
        <v>965</v>
      </c>
      <c r="AT627">
        <v>0</v>
      </c>
      <c r="AU627">
        <v>2</v>
      </c>
      <c r="AV627" t="s">
        <v>273</v>
      </c>
      <c r="AY627" t="s">
        <v>273</v>
      </c>
      <c r="BB627">
        <v>0</v>
      </c>
      <c r="BC627">
        <v>0</v>
      </c>
      <c r="BD627">
        <v>0</v>
      </c>
      <c r="BE627">
        <v>0</v>
      </c>
      <c r="BF627" t="s">
        <v>1063</v>
      </c>
      <c r="BG627" t="s">
        <v>6917</v>
      </c>
      <c r="BH627">
        <v>36</v>
      </c>
      <c r="BI627" t="s">
        <v>2721</v>
      </c>
      <c r="BK627">
        <v>1860873</v>
      </c>
    </row>
    <row r="628" spans="1:63">
      <c r="A628" s="1">
        <f>HYPERLINK("https://lsnyc.legalserver.org/matter/dynamic-profile/view/1860338","18-1860338")</f>
        <v>0</v>
      </c>
      <c r="B628" t="s">
        <v>5569</v>
      </c>
      <c r="C628" t="s">
        <v>5625</v>
      </c>
      <c r="D628" t="s">
        <v>252</v>
      </c>
      <c r="E628" t="s">
        <v>3694</v>
      </c>
      <c r="F628" t="s">
        <v>274</v>
      </c>
      <c r="G628" t="s">
        <v>274</v>
      </c>
      <c r="H628">
        <v>124.88</v>
      </c>
      <c r="I628" t="s">
        <v>274</v>
      </c>
      <c r="K628" t="s">
        <v>3007</v>
      </c>
      <c r="O628" t="s">
        <v>274</v>
      </c>
      <c r="P628" t="s">
        <v>498</v>
      </c>
      <c r="Q628" t="s">
        <v>501</v>
      </c>
      <c r="S628" t="s">
        <v>503</v>
      </c>
      <c r="T628" t="s">
        <v>508</v>
      </c>
      <c r="U628" t="s">
        <v>511</v>
      </c>
      <c r="V628">
        <v>11203</v>
      </c>
      <c r="W628" t="s">
        <v>517</v>
      </c>
      <c r="X628" t="s">
        <v>549</v>
      </c>
      <c r="Y628" t="s">
        <v>275</v>
      </c>
      <c r="Z628" t="s">
        <v>6016</v>
      </c>
      <c r="AA628" t="s">
        <v>6409</v>
      </c>
      <c r="AB628" t="s">
        <v>902</v>
      </c>
      <c r="AC628" t="s">
        <v>904</v>
      </c>
      <c r="AF628" t="s">
        <v>923</v>
      </c>
      <c r="AI628">
        <v>2.81</v>
      </c>
      <c r="AJ628" t="s">
        <v>558</v>
      </c>
      <c r="AK628" t="s">
        <v>939</v>
      </c>
      <c r="AT628">
        <v>1</v>
      </c>
      <c r="AU628">
        <v>1</v>
      </c>
      <c r="AV628" t="s">
        <v>273</v>
      </c>
      <c r="AY628" t="s">
        <v>273</v>
      </c>
      <c r="BB628">
        <v>0</v>
      </c>
      <c r="BC628">
        <v>0</v>
      </c>
      <c r="BD628">
        <v>0</v>
      </c>
      <c r="BE628">
        <v>0</v>
      </c>
      <c r="BF628" t="s">
        <v>1063</v>
      </c>
      <c r="BG628" t="s">
        <v>6918</v>
      </c>
      <c r="BH628">
        <v>46</v>
      </c>
      <c r="BI628" t="s">
        <v>7125</v>
      </c>
      <c r="BK628">
        <v>1860915</v>
      </c>
    </row>
    <row r="629" spans="1:63">
      <c r="A629" s="1">
        <f>HYPERLINK("https://lsnyc.legalserver.org/matter/dynamic-profile/view/1860150","18-1860150")</f>
        <v>0</v>
      </c>
      <c r="B629" t="s">
        <v>5570</v>
      </c>
      <c r="C629" t="s">
        <v>5625</v>
      </c>
      <c r="D629" t="s">
        <v>257</v>
      </c>
      <c r="E629" t="s">
        <v>1646</v>
      </c>
      <c r="F629" t="s">
        <v>274</v>
      </c>
      <c r="G629" t="s">
        <v>274</v>
      </c>
      <c r="H629">
        <v>59.76</v>
      </c>
      <c r="I629" t="s">
        <v>274</v>
      </c>
      <c r="K629" t="s">
        <v>1758</v>
      </c>
      <c r="L629" t="s">
        <v>459</v>
      </c>
      <c r="O629" t="s">
        <v>274</v>
      </c>
      <c r="P629" t="s">
        <v>493</v>
      </c>
      <c r="Q629" t="s">
        <v>501</v>
      </c>
      <c r="S629" t="s">
        <v>503</v>
      </c>
      <c r="T629" t="s">
        <v>508</v>
      </c>
      <c r="U629" t="s">
        <v>511</v>
      </c>
      <c r="V629">
        <v>10458</v>
      </c>
      <c r="W629" t="s">
        <v>517</v>
      </c>
      <c r="X629" t="s">
        <v>548</v>
      </c>
      <c r="Z629" t="s">
        <v>6017</v>
      </c>
      <c r="AA629" t="s">
        <v>6410</v>
      </c>
      <c r="AB629" t="s">
        <v>902</v>
      </c>
      <c r="AC629" t="s">
        <v>904</v>
      </c>
      <c r="AD629" t="s">
        <v>275</v>
      </c>
      <c r="AE629" t="s">
        <v>919</v>
      </c>
      <c r="AF629" t="s">
        <v>923</v>
      </c>
      <c r="AI629">
        <v>2.95</v>
      </c>
      <c r="AJ629" t="s">
        <v>558</v>
      </c>
      <c r="AK629" t="s">
        <v>934</v>
      </c>
      <c r="AQ629" t="s">
        <v>1042</v>
      </c>
      <c r="AR629" t="s">
        <v>1051</v>
      </c>
      <c r="AT629">
        <v>2</v>
      </c>
      <c r="AU629">
        <v>2</v>
      </c>
      <c r="AV629" t="s">
        <v>273</v>
      </c>
      <c r="AY629" t="s">
        <v>273</v>
      </c>
      <c r="BB629">
        <v>0</v>
      </c>
      <c r="BC629">
        <v>0</v>
      </c>
      <c r="BD629">
        <v>0</v>
      </c>
      <c r="BE629">
        <v>0</v>
      </c>
      <c r="BF629" t="s">
        <v>493</v>
      </c>
      <c r="BG629" t="s">
        <v>6919</v>
      </c>
      <c r="BH629">
        <v>33</v>
      </c>
      <c r="BI629" t="s">
        <v>2801</v>
      </c>
      <c r="BK629">
        <v>1860727</v>
      </c>
    </row>
    <row r="630" spans="1:63">
      <c r="A630" s="1">
        <f>HYPERLINK("https://lsnyc.legalserver.org/matter/dynamic-profile/view/1860101","18-1860101")</f>
        <v>0</v>
      </c>
      <c r="B630" t="s">
        <v>5551</v>
      </c>
      <c r="C630" t="s">
        <v>5625</v>
      </c>
      <c r="D630" t="s">
        <v>253</v>
      </c>
      <c r="E630" t="s">
        <v>3694</v>
      </c>
      <c r="F630" t="s">
        <v>273</v>
      </c>
      <c r="G630" t="s">
        <v>275</v>
      </c>
      <c r="H630">
        <v>306.14</v>
      </c>
      <c r="K630" t="s">
        <v>409</v>
      </c>
      <c r="O630" t="s">
        <v>275</v>
      </c>
      <c r="P630" t="s">
        <v>492</v>
      </c>
      <c r="Q630" t="s">
        <v>501</v>
      </c>
      <c r="S630" t="s">
        <v>503</v>
      </c>
      <c r="T630" t="s">
        <v>508</v>
      </c>
      <c r="U630" t="s">
        <v>511</v>
      </c>
      <c r="V630">
        <v>11413</v>
      </c>
      <c r="W630" t="s">
        <v>3017</v>
      </c>
      <c r="X630" t="s">
        <v>549</v>
      </c>
      <c r="Z630" t="s">
        <v>6003</v>
      </c>
      <c r="AA630" t="s">
        <v>6400</v>
      </c>
      <c r="AB630" t="s">
        <v>902</v>
      </c>
      <c r="AC630" t="s">
        <v>904</v>
      </c>
      <c r="AF630" t="s">
        <v>926</v>
      </c>
      <c r="AI630">
        <v>3.55</v>
      </c>
      <c r="AT630">
        <v>0</v>
      </c>
      <c r="AU630">
        <v>1</v>
      </c>
      <c r="AV630" t="s">
        <v>273</v>
      </c>
      <c r="AY630" t="s">
        <v>273</v>
      </c>
      <c r="BB630">
        <v>0</v>
      </c>
      <c r="BC630">
        <v>0</v>
      </c>
      <c r="BD630">
        <v>0</v>
      </c>
      <c r="BE630">
        <v>0</v>
      </c>
      <c r="BF630" t="s">
        <v>1063</v>
      </c>
      <c r="BG630" t="s">
        <v>6900</v>
      </c>
      <c r="BH630">
        <v>55</v>
      </c>
      <c r="BI630" t="s">
        <v>7126</v>
      </c>
      <c r="BK630">
        <v>783781</v>
      </c>
    </row>
    <row r="631" spans="1:63">
      <c r="A631" s="1">
        <f>HYPERLINK("https://lsnyc.legalserver.org/matter/dynamic-profile/view/1859877","18-1859877")</f>
        <v>0</v>
      </c>
      <c r="B631" t="s">
        <v>5452</v>
      </c>
      <c r="C631" t="s">
        <v>5625</v>
      </c>
      <c r="D631" t="s">
        <v>252</v>
      </c>
      <c r="E631" t="s">
        <v>3694</v>
      </c>
      <c r="F631" t="s">
        <v>274</v>
      </c>
      <c r="G631" t="s">
        <v>274</v>
      </c>
      <c r="H631">
        <v>45.67</v>
      </c>
      <c r="I631" t="s">
        <v>274</v>
      </c>
      <c r="K631" t="s">
        <v>4518</v>
      </c>
      <c r="L631" t="s">
        <v>992</v>
      </c>
      <c r="O631" t="s">
        <v>274</v>
      </c>
      <c r="P631" t="s">
        <v>493</v>
      </c>
      <c r="Q631" t="s">
        <v>501</v>
      </c>
      <c r="S631" t="s">
        <v>503</v>
      </c>
      <c r="T631" t="s">
        <v>508</v>
      </c>
      <c r="U631" t="s">
        <v>511</v>
      </c>
      <c r="V631">
        <v>11234</v>
      </c>
      <c r="W631" t="s">
        <v>517</v>
      </c>
      <c r="X631" t="s">
        <v>549</v>
      </c>
      <c r="Y631" t="s">
        <v>275</v>
      </c>
      <c r="Z631" t="s">
        <v>2015</v>
      </c>
      <c r="AA631" t="s">
        <v>6333</v>
      </c>
      <c r="AB631" t="s">
        <v>902</v>
      </c>
      <c r="AC631" t="s">
        <v>904</v>
      </c>
      <c r="AD631" t="s">
        <v>275</v>
      </c>
      <c r="AE631" t="s">
        <v>922</v>
      </c>
      <c r="AF631" t="s">
        <v>923</v>
      </c>
      <c r="AI631">
        <v>2.1</v>
      </c>
      <c r="AJ631" t="s">
        <v>558</v>
      </c>
      <c r="AK631" t="s">
        <v>939</v>
      </c>
      <c r="AL631" t="s">
        <v>275</v>
      </c>
      <c r="AQ631" t="s">
        <v>1048</v>
      </c>
      <c r="AR631" t="s">
        <v>1052</v>
      </c>
      <c r="AT631">
        <v>0</v>
      </c>
      <c r="AU631">
        <v>1</v>
      </c>
      <c r="AV631" t="s">
        <v>273</v>
      </c>
      <c r="AY631" t="s">
        <v>273</v>
      </c>
      <c r="BB631">
        <v>0</v>
      </c>
      <c r="BC631">
        <v>0</v>
      </c>
      <c r="BD631">
        <v>0</v>
      </c>
      <c r="BE631">
        <v>0</v>
      </c>
      <c r="BF631" t="s">
        <v>493</v>
      </c>
      <c r="BG631" t="s">
        <v>6808</v>
      </c>
      <c r="BH631">
        <v>76</v>
      </c>
      <c r="BI631" t="s">
        <v>7087</v>
      </c>
      <c r="BK631">
        <v>1860453</v>
      </c>
    </row>
    <row r="632" spans="1:63">
      <c r="A632" s="1">
        <f>HYPERLINK("https://lsnyc.legalserver.org/matter/dynamic-profile/view/1859761","18-1859761")</f>
        <v>0</v>
      </c>
      <c r="B632" t="s">
        <v>5571</v>
      </c>
      <c r="C632" t="s">
        <v>5625</v>
      </c>
      <c r="D632" t="s">
        <v>254</v>
      </c>
      <c r="E632" t="s">
        <v>3694</v>
      </c>
      <c r="F632" t="s">
        <v>274</v>
      </c>
      <c r="G632" t="s">
        <v>274</v>
      </c>
      <c r="H632">
        <v>59.37</v>
      </c>
      <c r="I632" t="s">
        <v>274</v>
      </c>
      <c r="K632" t="s">
        <v>3717</v>
      </c>
      <c r="O632" t="s">
        <v>275</v>
      </c>
      <c r="P632" t="s">
        <v>498</v>
      </c>
      <c r="Q632" t="s">
        <v>501</v>
      </c>
      <c r="S632" t="s">
        <v>503</v>
      </c>
      <c r="T632" t="s">
        <v>508</v>
      </c>
      <c r="U632" t="s">
        <v>511</v>
      </c>
      <c r="V632">
        <v>10304</v>
      </c>
      <c r="W632" t="s">
        <v>517</v>
      </c>
      <c r="X632" t="s">
        <v>549</v>
      </c>
      <c r="Y632" t="s">
        <v>274</v>
      </c>
      <c r="Z632" t="s">
        <v>6018</v>
      </c>
      <c r="AA632" t="s">
        <v>6411</v>
      </c>
      <c r="AB632" t="s">
        <v>902</v>
      </c>
      <c r="AC632" t="s">
        <v>904</v>
      </c>
      <c r="AF632" t="s">
        <v>923</v>
      </c>
      <c r="AI632">
        <v>5</v>
      </c>
      <c r="AJ632" t="s">
        <v>558</v>
      </c>
      <c r="AK632" t="s">
        <v>3262</v>
      </c>
      <c r="AL632" t="s">
        <v>274</v>
      </c>
      <c r="AT632">
        <v>2</v>
      </c>
      <c r="AU632">
        <v>1</v>
      </c>
      <c r="AV632" t="s">
        <v>273</v>
      </c>
      <c r="AY632" t="s">
        <v>273</v>
      </c>
      <c r="BB632">
        <v>0</v>
      </c>
      <c r="BC632">
        <v>0</v>
      </c>
      <c r="BD632">
        <v>0</v>
      </c>
      <c r="BE632">
        <v>0</v>
      </c>
      <c r="BF632" t="s">
        <v>1063</v>
      </c>
      <c r="BG632" t="s">
        <v>6920</v>
      </c>
      <c r="BH632">
        <v>24</v>
      </c>
      <c r="BI632" t="s">
        <v>7127</v>
      </c>
      <c r="BJ632" t="s">
        <v>2998</v>
      </c>
      <c r="BK632">
        <v>730094</v>
      </c>
    </row>
    <row r="633" spans="1:63">
      <c r="A633" s="1">
        <f>HYPERLINK("https://lsnyc.legalserver.org/matter/dynamic-profile/view/1859782","18-1859782")</f>
        <v>0</v>
      </c>
      <c r="B633" t="s">
        <v>5510</v>
      </c>
      <c r="C633" t="s">
        <v>5625</v>
      </c>
      <c r="D633" t="s">
        <v>253</v>
      </c>
      <c r="E633" t="s">
        <v>3694</v>
      </c>
      <c r="F633" t="s">
        <v>274</v>
      </c>
      <c r="G633" t="s">
        <v>274</v>
      </c>
      <c r="H633">
        <v>0</v>
      </c>
      <c r="I633" t="s">
        <v>274</v>
      </c>
      <c r="K633" t="s">
        <v>3717</v>
      </c>
      <c r="O633" t="s">
        <v>275</v>
      </c>
      <c r="Q633" t="s">
        <v>501</v>
      </c>
      <c r="S633" t="s">
        <v>503</v>
      </c>
      <c r="T633" t="s">
        <v>508</v>
      </c>
      <c r="U633" t="s">
        <v>511</v>
      </c>
      <c r="V633">
        <v>11418</v>
      </c>
      <c r="W633" t="s">
        <v>516</v>
      </c>
      <c r="X633" t="s">
        <v>548</v>
      </c>
      <c r="Y633" t="s">
        <v>275</v>
      </c>
      <c r="Z633" t="s">
        <v>4651</v>
      </c>
      <c r="AA633" t="s">
        <v>6374</v>
      </c>
      <c r="AB633" t="s">
        <v>902</v>
      </c>
      <c r="AC633" t="s">
        <v>904</v>
      </c>
      <c r="AF633" t="s">
        <v>923</v>
      </c>
      <c r="AI633">
        <v>4.7</v>
      </c>
      <c r="AJ633" t="s">
        <v>558</v>
      </c>
      <c r="AK633" t="s">
        <v>950</v>
      </c>
      <c r="AT633">
        <v>1</v>
      </c>
      <c r="AU633">
        <v>1</v>
      </c>
      <c r="AV633" t="s">
        <v>273</v>
      </c>
      <c r="AY633" t="s">
        <v>273</v>
      </c>
      <c r="BB633">
        <v>0</v>
      </c>
      <c r="BC633">
        <v>0</v>
      </c>
      <c r="BD633">
        <v>0</v>
      </c>
      <c r="BE633">
        <v>0</v>
      </c>
      <c r="BF633" t="s">
        <v>1063</v>
      </c>
      <c r="BG633" t="s">
        <v>6861</v>
      </c>
      <c r="BH633">
        <v>39</v>
      </c>
      <c r="BI633" t="s">
        <v>1247</v>
      </c>
      <c r="BK633">
        <v>1860358</v>
      </c>
    </row>
    <row r="634" spans="1:63">
      <c r="A634" s="1">
        <f>HYPERLINK("https://lsnyc.legalserver.org/matter/dynamic-profile/view/1859710","18-1859710")</f>
        <v>0</v>
      </c>
      <c r="B634" t="s">
        <v>5572</v>
      </c>
      <c r="C634" t="s">
        <v>5625</v>
      </c>
      <c r="D634" t="s">
        <v>255</v>
      </c>
      <c r="E634" t="s">
        <v>3694</v>
      </c>
      <c r="F634" t="s">
        <v>274</v>
      </c>
      <c r="G634" t="s">
        <v>274</v>
      </c>
      <c r="H634">
        <v>190.89</v>
      </c>
      <c r="I634" t="s">
        <v>274</v>
      </c>
      <c r="K634" t="s">
        <v>1759</v>
      </c>
      <c r="O634" t="s">
        <v>274</v>
      </c>
      <c r="P634" t="s">
        <v>494</v>
      </c>
      <c r="Q634" t="s">
        <v>501</v>
      </c>
      <c r="S634" t="s">
        <v>503</v>
      </c>
      <c r="T634" t="s">
        <v>508</v>
      </c>
      <c r="U634" t="s">
        <v>511</v>
      </c>
      <c r="V634">
        <v>10027</v>
      </c>
      <c r="W634" t="s">
        <v>517</v>
      </c>
      <c r="X634" t="s">
        <v>549</v>
      </c>
      <c r="Z634" t="s">
        <v>6019</v>
      </c>
      <c r="AA634" t="s">
        <v>6412</v>
      </c>
      <c r="AB634" t="s">
        <v>902</v>
      </c>
      <c r="AC634" t="s">
        <v>904</v>
      </c>
      <c r="AF634" t="s">
        <v>923</v>
      </c>
      <c r="AI634">
        <v>2.9</v>
      </c>
      <c r="AK634" t="s">
        <v>2383</v>
      </c>
      <c r="AT634">
        <v>0</v>
      </c>
      <c r="AU634">
        <v>2</v>
      </c>
      <c r="AV634" t="s">
        <v>273</v>
      </c>
      <c r="AY634" t="s">
        <v>273</v>
      </c>
      <c r="BB634">
        <v>0</v>
      </c>
      <c r="BC634">
        <v>0</v>
      </c>
      <c r="BD634">
        <v>0</v>
      </c>
      <c r="BE634">
        <v>0</v>
      </c>
      <c r="BF634" t="s">
        <v>1063</v>
      </c>
      <c r="BG634" t="s">
        <v>6921</v>
      </c>
      <c r="BH634">
        <v>49</v>
      </c>
      <c r="BI634" t="s">
        <v>2788</v>
      </c>
      <c r="BK634">
        <v>1860285</v>
      </c>
    </row>
    <row r="635" spans="1:63">
      <c r="A635" s="1">
        <f>HYPERLINK("https://lsnyc.legalserver.org/matter/dynamic-profile/view/1859346","18-1859346")</f>
        <v>0</v>
      </c>
      <c r="B635" t="s">
        <v>5573</v>
      </c>
      <c r="C635" t="s">
        <v>5625</v>
      </c>
      <c r="D635" t="s">
        <v>252</v>
      </c>
      <c r="E635" t="s">
        <v>3694</v>
      </c>
      <c r="F635" t="s">
        <v>274</v>
      </c>
      <c r="G635" t="s">
        <v>274</v>
      </c>
      <c r="H635">
        <v>237.15</v>
      </c>
      <c r="I635" t="s">
        <v>274</v>
      </c>
      <c r="J635" t="s">
        <v>5632</v>
      </c>
      <c r="K635" t="s">
        <v>410</v>
      </c>
      <c r="O635" t="s">
        <v>275</v>
      </c>
      <c r="P635" t="s">
        <v>499</v>
      </c>
      <c r="Q635" t="s">
        <v>501</v>
      </c>
      <c r="S635" t="s">
        <v>503</v>
      </c>
      <c r="T635" t="s">
        <v>507</v>
      </c>
      <c r="U635" t="s">
        <v>511</v>
      </c>
      <c r="V635">
        <v>11234</v>
      </c>
      <c r="W635" t="s">
        <v>521</v>
      </c>
      <c r="X635" t="s">
        <v>553</v>
      </c>
      <c r="Z635" t="s">
        <v>6020</v>
      </c>
      <c r="AA635" t="s">
        <v>6413</v>
      </c>
      <c r="AB635" t="s">
        <v>902</v>
      </c>
      <c r="AC635" t="s">
        <v>911</v>
      </c>
      <c r="AF635" t="s">
        <v>923</v>
      </c>
      <c r="AI635">
        <v>7.9</v>
      </c>
      <c r="AJ635" t="s">
        <v>558</v>
      </c>
      <c r="AK635" t="s">
        <v>968</v>
      </c>
      <c r="AT635">
        <v>0</v>
      </c>
      <c r="AU635">
        <v>1</v>
      </c>
      <c r="AV635" t="s">
        <v>273</v>
      </c>
      <c r="AY635" t="s">
        <v>273</v>
      </c>
      <c r="BB635">
        <v>0</v>
      </c>
      <c r="BC635">
        <v>0</v>
      </c>
      <c r="BD635">
        <v>0</v>
      </c>
      <c r="BE635">
        <v>0</v>
      </c>
      <c r="BF635" t="s">
        <v>1063</v>
      </c>
      <c r="BG635" t="s">
        <v>6831</v>
      </c>
      <c r="BH635">
        <v>30</v>
      </c>
      <c r="BI635" t="s">
        <v>4265</v>
      </c>
      <c r="BK635">
        <v>1859920</v>
      </c>
    </row>
    <row r="636" spans="1:63">
      <c r="A636" s="1">
        <f>HYPERLINK("https://lsnyc.legalserver.org/matter/dynamic-profile/view/1859179","18-1859179")</f>
        <v>0</v>
      </c>
      <c r="B636" t="s">
        <v>5574</v>
      </c>
      <c r="C636" t="s">
        <v>5625</v>
      </c>
      <c r="D636" t="s">
        <v>257</v>
      </c>
      <c r="E636" t="s">
        <v>3694</v>
      </c>
      <c r="F636" t="s">
        <v>274</v>
      </c>
      <c r="G636" t="s">
        <v>274</v>
      </c>
      <c r="H636">
        <v>89.66</v>
      </c>
      <c r="I636" t="s">
        <v>274</v>
      </c>
      <c r="K636" t="s">
        <v>2402</v>
      </c>
      <c r="O636" t="s">
        <v>274</v>
      </c>
      <c r="P636" t="s">
        <v>498</v>
      </c>
      <c r="Q636" t="s">
        <v>501</v>
      </c>
      <c r="S636" t="s">
        <v>503</v>
      </c>
      <c r="T636" t="s">
        <v>507</v>
      </c>
      <c r="U636" t="s">
        <v>511</v>
      </c>
      <c r="V636">
        <v>10456</v>
      </c>
      <c r="W636" t="s">
        <v>517</v>
      </c>
      <c r="X636" t="s">
        <v>548</v>
      </c>
      <c r="Y636" t="s">
        <v>274</v>
      </c>
      <c r="Z636" t="s">
        <v>6021</v>
      </c>
      <c r="AA636" t="s">
        <v>6414</v>
      </c>
      <c r="AB636" t="s">
        <v>902</v>
      </c>
      <c r="AC636" t="s">
        <v>904</v>
      </c>
      <c r="AF636" t="s">
        <v>923</v>
      </c>
      <c r="AI636">
        <v>4.4</v>
      </c>
      <c r="AJ636" t="s">
        <v>558</v>
      </c>
      <c r="AK636" t="s">
        <v>950</v>
      </c>
      <c r="AT636">
        <v>0</v>
      </c>
      <c r="AU636">
        <v>2</v>
      </c>
      <c r="AV636" t="s">
        <v>273</v>
      </c>
      <c r="AY636" t="s">
        <v>273</v>
      </c>
      <c r="BB636">
        <v>0</v>
      </c>
      <c r="BC636">
        <v>0</v>
      </c>
      <c r="BD636">
        <v>0</v>
      </c>
      <c r="BE636">
        <v>0</v>
      </c>
      <c r="BF636" t="s">
        <v>1063</v>
      </c>
      <c r="BG636" t="s">
        <v>6922</v>
      </c>
      <c r="BH636">
        <v>22</v>
      </c>
      <c r="BI636" t="s">
        <v>2719</v>
      </c>
      <c r="BK636">
        <v>1859753</v>
      </c>
    </row>
    <row r="637" spans="1:63">
      <c r="A637" s="1">
        <f>HYPERLINK("https://lsnyc.legalserver.org/matter/dynamic-profile/view/1859051","18-1859051")</f>
        <v>0</v>
      </c>
      <c r="B637" t="s">
        <v>5575</v>
      </c>
      <c r="C637" t="s">
        <v>5625</v>
      </c>
      <c r="D637" t="s">
        <v>257</v>
      </c>
      <c r="E637" t="s">
        <v>3694</v>
      </c>
      <c r="F637" t="s">
        <v>274</v>
      </c>
      <c r="G637" t="s">
        <v>274</v>
      </c>
      <c r="H637">
        <v>186.71</v>
      </c>
      <c r="I637" t="s">
        <v>274</v>
      </c>
      <c r="K637" t="s">
        <v>3718</v>
      </c>
      <c r="O637" t="s">
        <v>274</v>
      </c>
      <c r="Q637" t="s">
        <v>501</v>
      </c>
      <c r="S637" t="s">
        <v>503</v>
      </c>
      <c r="T637" t="s">
        <v>508</v>
      </c>
      <c r="U637" t="s">
        <v>511</v>
      </c>
      <c r="V637">
        <v>10460</v>
      </c>
      <c r="W637" t="s">
        <v>517</v>
      </c>
      <c r="X637" t="s">
        <v>548</v>
      </c>
      <c r="Y637" t="s">
        <v>275</v>
      </c>
      <c r="Z637" t="s">
        <v>560</v>
      </c>
      <c r="AA637" t="s">
        <v>6415</v>
      </c>
      <c r="AB637" t="s">
        <v>902</v>
      </c>
      <c r="AC637" t="s">
        <v>904</v>
      </c>
      <c r="AF637" t="s">
        <v>923</v>
      </c>
      <c r="AI637">
        <v>3</v>
      </c>
      <c r="AJ637" t="s">
        <v>558</v>
      </c>
      <c r="AK637" t="s">
        <v>950</v>
      </c>
      <c r="AT637">
        <v>1</v>
      </c>
      <c r="AU637">
        <v>5</v>
      </c>
      <c r="AV637" t="s">
        <v>273</v>
      </c>
      <c r="AY637" t="s">
        <v>273</v>
      </c>
      <c r="BB637">
        <v>0</v>
      </c>
      <c r="BC637">
        <v>0</v>
      </c>
      <c r="BD637">
        <v>0</v>
      </c>
      <c r="BE637">
        <v>0</v>
      </c>
      <c r="BF637" t="s">
        <v>1063</v>
      </c>
      <c r="BG637" t="s">
        <v>6923</v>
      </c>
      <c r="BH637">
        <v>53</v>
      </c>
      <c r="BI637" t="s">
        <v>7128</v>
      </c>
      <c r="BK637">
        <v>1859625</v>
      </c>
    </row>
    <row r="638" spans="1:63">
      <c r="A638" s="1">
        <f>HYPERLINK("https://lsnyc.legalserver.org/matter/dynamic-profile/view/1859083","18-1859083")</f>
        <v>0</v>
      </c>
      <c r="B638" t="s">
        <v>5201</v>
      </c>
      <c r="C638" t="s">
        <v>5625</v>
      </c>
      <c r="D638" t="s">
        <v>257</v>
      </c>
      <c r="E638" t="s">
        <v>3694</v>
      </c>
      <c r="F638" t="s">
        <v>274</v>
      </c>
      <c r="G638" t="s">
        <v>274</v>
      </c>
      <c r="H638">
        <v>66.23</v>
      </c>
      <c r="I638" t="s">
        <v>274</v>
      </c>
      <c r="K638" t="s">
        <v>3718</v>
      </c>
      <c r="O638" t="s">
        <v>274</v>
      </c>
      <c r="Q638" t="s">
        <v>501</v>
      </c>
      <c r="S638" t="s">
        <v>503</v>
      </c>
      <c r="T638" t="s">
        <v>507</v>
      </c>
      <c r="U638" t="s">
        <v>511</v>
      </c>
      <c r="V638">
        <v>10467</v>
      </c>
      <c r="W638" t="s">
        <v>517</v>
      </c>
      <c r="X638" t="s">
        <v>548</v>
      </c>
      <c r="Z638" t="s">
        <v>597</v>
      </c>
      <c r="AA638" t="s">
        <v>770</v>
      </c>
      <c r="AB638" t="s">
        <v>902</v>
      </c>
      <c r="AC638" t="s">
        <v>904</v>
      </c>
      <c r="AD638" t="s">
        <v>275</v>
      </c>
      <c r="AF638" t="s">
        <v>923</v>
      </c>
      <c r="AI638">
        <v>3.2</v>
      </c>
      <c r="AJ638" t="s">
        <v>558</v>
      </c>
      <c r="AK638" t="s">
        <v>950</v>
      </c>
      <c r="AL638" t="s">
        <v>274</v>
      </c>
      <c r="AQ638" t="s">
        <v>1033</v>
      </c>
      <c r="AR638" t="s">
        <v>1052</v>
      </c>
      <c r="AT638">
        <v>0</v>
      </c>
      <c r="AU638">
        <v>1</v>
      </c>
      <c r="AV638" t="s">
        <v>273</v>
      </c>
      <c r="AY638" t="s">
        <v>273</v>
      </c>
      <c r="BB638">
        <v>0</v>
      </c>
      <c r="BC638">
        <v>0</v>
      </c>
      <c r="BD638">
        <v>0</v>
      </c>
      <c r="BE638">
        <v>0</v>
      </c>
      <c r="BF638" t="s">
        <v>1063</v>
      </c>
      <c r="BG638" t="s">
        <v>6581</v>
      </c>
      <c r="BH638">
        <v>75</v>
      </c>
      <c r="BI638" t="s">
        <v>7016</v>
      </c>
      <c r="BJ638" t="s">
        <v>1726</v>
      </c>
      <c r="BK638">
        <v>1859657</v>
      </c>
    </row>
    <row r="639" spans="1:63">
      <c r="A639" s="1">
        <f>HYPERLINK("https://lsnyc.legalserver.org/matter/dynamic-profile/view/1858859","18-1858859")</f>
        <v>0</v>
      </c>
      <c r="B639" t="s">
        <v>5512</v>
      </c>
      <c r="C639" t="s">
        <v>5625</v>
      </c>
      <c r="D639" t="s">
        <v>253</v>
      </c>
      <c r="E639" t="s">
        <v>3694</v>
      </c>
      <c r="F639" t="s">
        <v>274</v>
      </c>
      <c r="G639" t="s">
        <v>274</v>
      </c>
      <c r="H639">
        <v>20.47</v>
      </c>
      <c r="I639" t="s">
        <v>274</v>
      </c>
      <c r="K639" t="s">
        <v>1760</v>
      </c>
      <c r="O639" t="s">
        <v>275</v>
      </c>
      <c r="Q639" t="s">
        <v>501</v>
      </c>
      <c r="S639" t="s">
        <v>503</v>
      </c>
      <c r="T639" t="s">
        <v>508</v>
      </c>
      <c r="U639" t="s">
        <v>511</v>
      </c>
      <c r="V639">
        <v>11433</v>
      </c>
      <c r="W639" t="s">
        <v>536</v>
      </c>
      <c r="X639" t="s">
        <v>549</v>
      </c>
      <c r="Y639" t="s">
        <v>274</v>
      </c>
      <c r="Z639" t="s">
        <v>5973</v>
      </c>
      <c r="AA639" t="s">
        <v>6376</v>
      </c>
      <c r="AB639" t="s">
        <v>902</v>
      </c>
      <c r="AC639" t="s">
        <v>905</v>
      </c>
      <c r="AF639" t="s">
        <v>923</v>
      </c>
      <c r="AI639">
        <v>8.5</v>
      </c>
      <c r="AJ639" t="s">
        <v>558</v>
      </c>
      <c r="AK639" t="s">
        <v>6463</v>
      </c>
      <c r="AT639">
        <v>1</v>
      </c>
      <c r="AU639">
        <v>1</v>
      </c>
      <c r="AV639" t="s">
        <v>273</v>
      </c>
      <c r="AY639" t="s">
        <v>273</v>
      </c>
      <c r="BB639">
        <v>0</v>
      </c>
      <c r="BC639">
        <v>0</v>
      </c>
      <c r="BD639">
        <v>0</v>
      </c>
      <c r="BE639">
        <v>0</v>
      </c>
      <c r="BF639" t="s">
        <v>1063</v>
      </c>
      <c r="BG639" t="s">
        <v>6863</v>
      </c>
      <c r="BH639">
        <v>33</v>
      </c>
      <c r="BI639" t="s">
        <v>7106</v>
      </c>
      <c r="BK639">
        <v>1859433</v>
      </c>
    </row>
    <row r="640" spans="1:63">
      <c r="A640" s="1">
        <f>HYPERLINK("https://lsnyc.legalserver.org/matter/dynamic-profile/view/1858865","18-1858865")</f>
        <v>0</v>
      </c>
      <c r="B640" t="s">
        <v>5576</v>
      </c>
      <c r="C640" t="s">
        <v>5625</v>
      </c>
      <c r="D640" t="s">
        <v>252</v>
      </c>
      <c r="E640" t="s">
        <v>3694</v>
      </c>
      <c r="F640" t="s">
        <v>274</v>
      </c>
      <c r="G640" t="s">
        <v>274</v>
      </c>
      <c r="H640">
        <v>86.41</v>
      </c>
      <c r="I640" t="s">
        <v>274</v>
      </c>
      <c r="K640" t="s">
        <v>1760</v>
      </c>
      <c r="O640" t="s">
        <v>274</v>
      </c>
      <c r="P640" t="s">
        <v>498</v>
      </c>
      <c r="Q640" t="s">
        <v>501</v>
      </c>
      <c r="S640" t="s">
        <v>503</v>
      </c>
      <c r="T640" t="s">
        <v>507</v>
      </c>
      <c r="U640" t="s">
        <v>511</v>
      </c>
      <c r="V640">
        <v>11208</v>
      </c>
      <c r="W640" t="s">
        <v>517</v>
      </c>
      <c r="X640" t="s">
        <v>549</v>
      </c>
      <c r="Z640" t="s">
        <v>6022</v>
      </c>
      <c r="AA640" t="s">
        <v>828</v>
      </c>
      <c r="AB640" t="s">
        <v>902</v>
      </c>
      <c r="AC640" t="s">
        <v>904</v>
      </c>
      <c r="AF640" t="s">
        <v>923</v>
      </c>
      <c r="AI640">
        <v>3.25</v>
      </c>
      <c r="AK640" t="s">
        <v>938</v>
      </c>
      <c r="AT640">
        <v>0</v>
      </c>
      <c r="AU640">
        <v>1</v>
      </c>
      <c r="AV640" t="s">
        <v>273</v>
      </c>
      <c r="AY640" t="s">
        <v>273</v>
      </c>
      <c r="BB640">
        <v>0</v>
      </c>
      <c r="BC640">
        <v>0</v>
      </c>
      <c r="BD640">
        <v>0</v>
      </c>
      <c r="BE640">
        <v>0</v>
      </c>
      <c r="BF640" t="s">
        <v>1063</v>
      </c>
      <c r="BG640" t="s">
        <v>6924</v>
      </c>
      <c r="BH640">
        <v>19</v>
      </c>
      <c r="BI640" t="s">
        <v>7129</v>
      </c>
      <c r="BK640">
        <v>1859439</v>
      </c>
    </row>
    <row r="641" spans="1:63">
      <c r="A641" s="1">
        <f>HYPERLINK("https://lsnyc.legalserver.org/matter/dynamic-profile/view/1858909","18-1858909")</f>
        <v>0</v>
      </c>
      <c r="B641" t="s">
        <v>5577</v>
      </c>
      <c r="C641" t="s">
        <v>5625</v>
      </c>
      <c r="D641" t="s">
        <v>255</v>
      </c>
      <c r="E641" t="s">
        <v>3694</v>
      </c>
      <c r="F641" t="s">
        <v>274</v>
      </c>
      <c r="G641" t="s">
        <v>274</v>
      </c>
      <c r="H641">
        <v>160.1</v>
      </c>
      <c r="I641" t="s">
        <v>274</v>
      </c>
      <c r="K641" t="s">
        <v>1760</v>
      </c>
      <c r="O641" t="s">
        <v>275</v>
      </c>
      <c r="P641" t="s">
        <v>498</v>
      </c>
      <c r="Q641" t="s">
        <v>501</v>
      </c>
      <c r="S641" t="s">
        <v>503</v>
      </c>
      <c r="T641" t="s">
        <v>507</v>
      </c>
      <c r="U641" t="s">
        <v>511</v>
      </c>
      <c r="V641">
        <v>10039</v>
      </c>
      <c r="W641" t="s">
        <v>525</v>
      </c>
      <c r="X641" t="s">
        <v>549</v>
      </c>
      <c r="Y641" t="s">
        <v>275</v>
      </c>
      <c r="Z641" t="s">
        <v>6023</v>
      </c>
      <c r="AA641" t="s">
        <v>6416</v>
      </c>
      <c r="AB641" t="s">
        <v>902</v>
      </c>
      <c r="AC641" t="s">
        <v>904</v>
      </c>
      <c r="AF641" t="s">
        <v>923</v>
      </c>
      <c r="AI641">
        <v>2.2</v>
      </c>
      <c r="AJ641" t="s">
        <v>558</v>
      </c>
      <c r="AK641" t="s">
        <v>3262</v>
      </c>
      <c r="AT641">
        <v>0</v>
      </c>
      <c r="AU641">
        <v>2</v>
      </c>
      <c r="AV641" t="s">
        <v>273</v>
      </c>
      <c r="AY641" t="s">
        <v>273</v>
      </c>
      <c r="BB641">
        <v>0</v>
      </c>
      <c r="BC641">
        <v>0</v>
      </c>
      <c r="BD641">
        <v>0</v>
      </c>
      <c r="BE641">
        <v>0</v>
      </c>
      <c r="BF641" t="s">
        <v>1063</v>
      </c>
      <c r="BG641" t="s">
        <v>6925</v>
      </c>
      <c r="BH641">
        <v>40</v>
      </c>
      <c r="BI641" t="s">
        <v>1279</v>
      </c>
      <c r="BK641">
        <v>1859483</v>
      </c>
    </row>
    <row r="642" spans="1:63">
      <c r="A642" s="1">
        <f>HYPERLINK("https://lsnyc.legalserver.org/matter/dynamic-profile/view/1858995","18-1858995")</f>
        <v>0</v>
      </c>
      <c r="B642" t="s">
        <v>5508</v>
      </c>
      <c r="C642" t="s">
        <v>5625</v>
      </c>
      <c r="D642" t="s">
        <v>253</v>
      </c>
      <c r="E642" t="s">
        <v>3694</v>
      </c>
      <c r="F642" t="s">
        <v>274</v>
      </c>
      <c r="G642" t="s">
        <v>274</v>
      </c>
      <c r="H642">
        <v>128.5</v>
      </c>
      <c r="I642" t="s">
        <v>274</v>
      </c>
      <c r="K642" t="s">
        <v>1760</v>
      </c>
      <c r="P642" t="s">
        <v>493</v>
      </c>
      <c r="Q642" t="s">
        <v>501</v>
      </c>
      <c r="S642" t="s">
        <v>503</v>
      </c>
      <c r="T642" t="s">
        <v>508</v>
      </c>
      <c r="U642" t="s">
        <v>511</v>
      </c>
      <c r="V642">
        <v>11422</v>
      </c>
      <c r="W642" t="s">
        <v>516</v>
      </c>
      <c r="X642" t="s">
        <v>554</v>
      </c>
      <c r="Z642" t="s">
        <v>5970</v>
      </c>
      <c r="AA642" t="s">
        <v>6372</v>
      </c>
      <c r="AB642" t="s">
        <v>902</v>
      </c>
      <c r="AC642" t="s">
        <v>905</v>
      </c>
      <c r="AF642" t="s">
        <v>923</v>
      </c>
      <c r="AI642">
        <v>14.35</v>
      </c>
      <c r="AJ642" t="s">
        <v>558</v>
      </c>
      <c r="AK642" t="s">
        <v>937</v>
      </c>
      <c r="AS642" t="s">
        <v>1061</v>
      </c>
      <c r="AT642">
        <v>0</v>
      </c>
      <c r="AU642">
        <v>1</v>
      </c>
      <c r="AV642" t="s">
        <v>273</v>
      </c>
      <c r="AY642" t="s">
        <v>273</v>
      </c>
      <c r="BB642">
        <v>0</v>
      </c>
      <c r="BC642">
        <v>0</v>
      </c>
      <c r="BD642">
        <v>0</v>
      </c>
      <c r="BE642">
        <v>0</v>
      </c>
      <c r="BF642" t="s">
        <v>1063</v>
      </c>
      <c r="BG642" t="s">
        <v>6859</v>
      </c>
      <c r="BH642">
        <v>32</v>
      </c>
      <c r="BI642" t="s">
        <v>1270</v>
      </c>
      <c r="BK642">
        <v>1843007</v>
      </c>
    </row>
    <row r="643" spans="1:63">
      <c r="A643" s="1">
        <f>HYPERLINK("https://lsnyc.legalserver.org/matter/dynamic-profile/view/1858676","18-1858676")</f>
        <v>0</v>
      </c>
      <c r="B643" t="s">
        <v>5352</v>
      </c>
      <c r="C643" t="s">
        <v>5625</v>
      </c>
      <c r="D643" t="s">
        <v>252</v>
      </c>
      <c r="E643" t="s">
        <v>3694</v>
      </c>
      <c r="F643" t="s">
        <v>274</v>
      </c>
      <c r="G643" t="s">
        <v>274</v>
      </c>
      <c r="H643">
        <v>129.35</v>
      </c>
      <c r="I643" t="s">
        <v>274</v>
      </c>
      <c r="K643" t="s">
        <v>5652</v>
      </c>
      <c r="O643" t="s">
        <v>275</v>
      </c>
      <c r="P643" t="s">
        <v>498</v>
      </c>
      <c r="Q643" t="s">
        <v>501</v>
      </c>
      <c r="S643" t="s">
        <v>503</v>
      </c>
      <c r="T643" t="s">
        <v>508</v>
      </c>
      <c r="U643" t="s">
        <v>511</v>
      </c>
      <c r="V643">
        <v>11206</v>
      </c>
      <c r="W643" t="s">
        <v>544</v>
      </c>
      <c r="X643" t="s">
        <v>549</v>
      </c>
      <c r="Z643" t="s">
        <v>2085</v>
      </c>
      <c r="AA643" t="s">
        <v>4779</v>
      </c>
      <c r="AB643" t="s">
        <v>902</v>
      </c>
      <c r="AC643" t="s">
        <v>905</v>
      </c>
      <c r="AF643" t="s">
        <v>923</v>
      </c>
      <c r="AI643">
        <v>3.95</v>
      </c>
      <c r="AK643" t="s">
        <v>6452</v>
      </c>
      <c r="AT643">
        <v>0</v>
      </c>
      <c r="AU643">
        <v>1</v>
      </c>
      <c r="AV643" t="s">
        <v>273</v>
      </c>
      <c r="AY643" t="s">
        <v>273</v>
      </c>
      <c r="BB643">
        <v>0</v>
      </c>
      <c r="BC643">
        <v>0</v>
      </c>
      <c r="BD643">
        <v>0</v>
      </c>
      <c r="BE643">
        <v>0</v>
      </c>
      <c r="BF643" t="s">
        <v>1063</v>
      </c>
      <c r="BG643" t="s">
        <v>6858</v>
      </c>
      <c r="BH643">
        <v>33</v>
      </c>
      <c r="BI643" t="s">
        <v>1270</v>
      </c>
      <c r="BK643">
        <v>1859250</v>
      </c>
    </row>
    <row r="644" spans="1:63">
      <c r="A644" s="1">
        <f>HYPERLINK("https://lsnyc.legalserver.org/matter/dynamic-profile/view/1858684","18-1858684")</f>
        <v>0</v>
      </c>
      <c r="B644" t="s">
        <v>5352</v>
      </c>
      <c r="C644" t="s">
        <v>5625</v>
      </c>
      <c r="D644" t="s">
        <v>252</v>
      </c>
      <c r="E644" t="s">
        <v>3694</v>
      </c>
      <c r="F644" t="s">
        <v>274</v>
      </c>
      <c r="G644" t="s">
        <v>274</v>
      </c>
      <c r="H644">
        <v>129.35</v>
      </c>
      <c r="I644" t="s">
        <v>274</v>
      </c>
      <c r="K644" t="s">
        <v>5652</v>
      </c>
      <c r="O644" t="s">
        <v>275</v>
      </c>
      <c r="P644" t="s">
        <v>499</v>
      </c>
      <c r="Q644" t="s">
        <v>501</v>
      </c>
      <c r="S644" t="s">
        <v>503</v>
      </c>
      <c r="T644" t="s">
        <v>508</v>
      </c>
      <c r="U644" t="s">
        <v>511</v>
      </c>
      <c r="V644">
        <v>11206</v>
      </c>
      <c r="W644" t="s">
        <v>536</v>
      </c>
      <c r="X644" t="s">
        <v>549</v>
      </c>
      <c r="Y644" t="s">
        <v>275</v>
      </c>
      <c r="Z644" t="s">
        <v>2085</v>
      </c>
      <c r="AA644" t="s">
        <v>4779</v>
      </c>
      <c r="AB644" t="s">
        <v>902</v>
      </c>
      <c r="AC644" t="s">
        <v>905</v>
      </c>
      <c r="AD644" t="s">
        <v>916</v>
      </c>
      <c r="AF644" t="s">
        <v>923</v>
      </c>
      <c r="AI644">
        <v>7.3</v>
      </c>
      <c r="AJ644" t="s">
        <v>558</v>
      </c>
      <c r="AK644" t="s">
        <v>6452</v>
      </c>
      <c r="AQ644" t="s">
        <v>1034</v>
      </c>
      <c r="AR644" t="s">
        <v>1052</v>
      </c>
      <c r="AT644">
        <v>0</v>
      </c>
      <c r="AU644">
        <v>1</v>
      </c>
      <c r="AV644" t="s">
        <v>273</v>
      </c>
      <c r="AY644" t="s">
        <v>273</v>
      </c>
      <c r="BB644">
        <v>0</v>
      </c>
      <c r="BC644">
        <v>0</v>
      </c>
      <c r="BD644">
        <v>0</v>
      </c>
      <c r="BE644">
        <v>0</v>
      </c>
      <c r="BF644" t="s">
        <v>1063</v>
      </c>
      <c r="BG644" t="s">
        <v>6858</v>
      </c>
      <c r="BH644">
        <v>33</v>
      </c>
      <c r="BI644" t="s">
        <v>1270</v>
      </c>
      <c r="BK644">
        <v>1859250</v>
      </c>
    </row>
    <row r="645" spans="1:63">
      <c r="A645" s="1">
        <f>HYPERLINK("https://lsnyc.legalserver.org/matter/dynamic-profile/view/1858696","18-1858696")</f>
        <v>0</v>
      </c>
      <c r="B645" t="s">
        <v>5328</v>
      </c>
      <c r="C645" t="s">
        <v>5625</v>
      </c>
      <c r="D645" t="s">
        <v>253</v>
      </c>
      <c r="E645" t="s">
        <v>3694</v>
      </c>
      <c r="F645" t="s">
        <v>274</v>
      </c>
      <c r="G645" t="s">
        <v>274</v>
      </c>
      <c r="H645">
        <v>56</v>
      </c>
      <c r="I645" t="s">
        <v>274</v>
      </c>
      <c r="K645" t="s">
        <v>5652</v>
      </c>
      <c r="O645" t="s">
        <v>275</v>
      </c>
      <c r="Q645" t="s">
        <v>501</v>
      </c>
      <c r="S645" t="s">
        <v>503</v>
      </c>
      <c r="T645" t="s">
        <v>507</v>
      </c>
      <c r="U645" t="s">
        <v>511</v>
      </c>
      <c r="V645">
        <v>11355</v>
      </c>
      <c r="W645" t="s">
        <v>532</v>
      </c>
      <c r="X645" t="s">
        <v>548</v>
      </c>
      <c r="Z645" t="s">
        <v>5853</v>
      </c>
      <c r="AA645" t="s">
        <v>6241</v>
      </c>
      <c r="AB645" t="s">
        <v>902</v>
      </c>
      <c r="AC645" t="s">
        <v>906</v>
      </c>
      <c r="AF645" t="s">
        <v>923</v>
      </c>
      <c r="AI645">
        <v>8.800000000000001</v>
      </c>
      <c r="AJ645" t="s">
        <v>558</v>
      </c>
      <c r="AK645" t="s">
        <v>949</v>
      </c>
      <c r="AL645" t="s">
        <v>274</v>
      </c>
      <c r="AT645">
        <v>5</v>
      </c>
      <c r="AU645">
        <v>2</v>
      </c>
      <c r="AV645" t="s">
        <v>273</v>
      </c>
      <c r="AY645" t="s">
        <v>273</v>
      </c>
      <c r="BB645">
        <v>0</v>
      </c>
      <c r="BC645">
        <v>0</v>
      </c>
      <c r="BD645">
        <v>0</v>
      </c>
      <c r="BE645">
        <v>0</v>
      </c>
      <c r="BF645" t="s">
        <v>1063</v>
      </c>
      <c r="BG645" t="s">
        <v>6697</v>
      </c>
      <c r="BH645">
        <v>35</v>
      </c>
      <c r="BI645" t="s">
        <v>1261</v>
      </c>
      <c r="BJ645" t="s">
        <v>2394</v>
      </c>
      <c r="BK645">
        <v>1859270</v>
      </c>
    </row>
    <row r="646" spans="1:63">
      <c r="A646" s="1">
        <f>HYPERLINK("https://lsnyc.legalserver.org/matter/dynamic-profile/view/1858753","18-1858753")</f>
        <v>0</v>
      </c>
      <c r="B646" t="s">
        <v>5578</v>
      </c>
      <c r="C646" t="s">
        <v>5625</v>
      </c>
      <c r="D646" t="s">
        <v>255</v>
      </c>
      <c r="E646" t="s">
        <v>3694</v>
      </c>
      <c r="F646" t="s">
        <v>274</v>
      </c>
      <c r="G646" t="s">
        <v>274</v>
      </c>
      <c r="H646">
        <v>109.22</v>
      </c>
      <c r="I646" t="s">
        <v>274</v>
      </c>
      <c r="K646" t="s">
        <v>5652</v>
      </c>
      <c r="O646" t="s">
        <v>274</v>
      </c>
      <c r="P646" t="s">
        <v>498</v>
      </c>
      <c r="Q646" t="s">
        <v>501</v>
      </c>
      <c r="S646" t="s">
        <v>503</v>
      </c>
      <c r="T646" t="s">
        <v>508</v>
      </c>
      <c r="U646" t="s">
        <v>511</v>
      </c>
      <c r="V646">
        <v>10036</v>
      </c>
      <c r="W646" t="s">
        <v>517</v>
      </c>
      <c r="X646" t="s">
        <v>1839</v>
      </c>
      <c r="Y646" t="s">
        <v>275</v>
      </c>
      <c r="Z646" t="s">
        <v>6024</v>
      </c>
      <c r="AA646" t="s">
        <v>6417</v>
      </c>
      <c r="AB646" t="s">
        <v>902</v>
      </c>
      <c r="AC646" t="s">
        <v>904</v>
      </c>
      <c r="AF646" t="s">
        <v>923</v>
      </c>
      <c r="AI646">
        <v>2.4</v>
      </c>
      <c r="AK646" t="s">
        <v>3253</v>
      </c>
      <c r="AT646">
        <v>4</v>
      </c>
      <c r="AU646">
        <v>2</v>
      </c>
      <c r="AV646" t="s">
        <v>273</v>
      </c>
      <c r="AY646" t="s">
        <v>273</v>
      </c>
      <c r="BB646">
        <v>0</v>
      </c>
      <c r="BC646">
        <v>0</v>
      </c>
      <c r="BD646">
        <v>0</v>
      </c>
      <c r="BE646">
        <v>0</v>
      </c>
      <c r="BF646" t="s">
        <v>1063</v>
      </c>
      <c r="BG646" t="s">
        <v>6926</v>
      </c>
      <c r="BH646">
        <v>34</v>
      </c>
      <c r="BI646" t="s">
        <v>2748</v>
      </c>
      <c r="BK646">
        <v>1859327</v>
      </c>
    </row>
    <row r="647" spans="1:63">
      <c r="A647" s="1">
        <f>HYPERLINK("https://lsnyc.legalserver.org/matter/dynamic-profile/view/1858260","18-1858260")</f>
        <v>0</v>
      </c>
      <c r="B647" t="s">
        <v>5579</v>
      </c>
      <c r="C647" t="s">
        <v>5625</v>
      </c>
      <c r="D647" t="s">
        <v>254</v>
      </c>
      <c r="E647" t="s">
        <v>3694</v>
      </c>
      <c r="F647" t="s">
        <v>274</v>
      </c>
      <c r="G647" t="s">
        <v>274</v>
      </c>
      <c r="H647">
        <v>0</v>
      </c>
      <c r="I647" t="s">
        <v>275</v>
      </c>
      <c r="K647" t="s">
        <v>3719</v>
      </c>
      <c r="O647" t="s">
        <v>275</v>
      </c>
      <c r="P647" t="s">
        <v>492</v>
      </c>
      <c r="Q647" t="s">
        <v>501</v>
      </c>
      <c r="S647" t="s">
        <v>503</v>
      </c>
      <c r="T647" t="s">
        <v>508</v>
      </c>
      <c r="U647" t="s">
        <v>511</v>
      </c>
      <c r="V647">
        <v>10304</v>
      </c>
      <c r="W647" t="s">
        <v>528</v>
      </c>
      <c r="X647" t="s">
        <v>548</v>
      </c>
      <c r="Y647" t="s">
        <v>275</v>
      </c>
      <c r="Z647" t="s">
        <v>2038</v>
      </c>
      <c r="AA647" t="s">
        <v>6418</v>
      </c>
      <c r="AB647" t="s">
        <v>902</v>
      </c>
      <c r="AC647" t="s">
        <v>905</v>
      </c>
      <c r="AF647" t="s">
        <v>923</v>
      </c>
      <c r="AI647">
        <v>0.45</v>
      </c>
      <c r="AJ647" t="s">
        <v>558</v>
      </c>
      <c r="AK647" t="s">
        <v>933</v>
      </c>
      <c r="AM647" t="s">
        <v>973</v>
      </c>
      <c r="AN647" t="s">
        <v>1751</v>
      </c>
      <c r="AT647">
        <v>3</v>
      </c>
      <c r="AU647">
        <v>2</v>
      </c>
      <c r="AV647" t="s">
        <v>274</v>
      </c>
      <c r="AW647" t="s">
        <v>3713</v>
      </c>
      <c r="AX647">
        <v>3459</v>
      </c>
      <c r="AY647" t="s">
        <v>273</v>
      </c>
      <c r="BB647">
        <v>0</v>
      </c>
      <c r="BC647">
        <v>0</v>
      </c>
      <c r="BD647">
        <v>0</v>
      </c>
      <c r="BE647">
        <v>0</v>
      </c>
      <c r="BF647" t="s">
        <v>1063</v>
      </c>
      <c r="BG647" t="s">
        <v>6927</v>
      </c>
      <c r="BH647">
        <v>25</v>
      </c>
      <c r="BI647" t="s">
        <v>1247</v>
      </c>
      <c r="BK647">
        <v>822988</v>
      </c>
    </row>
    <row r="648" spans="1:63">
      <c r="A648" s="1">
        <f>HYPERLINK("https://lsnyc.legalserver.org/matter/dynamic-profile/view/1858414","18-1858414")</f>
        <v>0</v>
      </c>
      <c r="B648" t="s">
        <v>5580</v>
      </c>
      <c r="C648" t="s">
        <v>5625</v>
      </c>
      <c r="D648" t="s">
        <v>254</v>
      </c>
      <c r="E648" t="s">
        <v>3694</v>
      </c>
      <c r="F648" t="s">
        <v>274</v>
      </c>
      <c r="G648" t="s">
        <v>274</v>
      </c>
      <c r="H648">
        <v>134.15</v>
      </c>
      <c r="I648" t="s">
        <v>274</v>
      </c>
      <c r="K648" t="s">
        <v>1761</v>
      </c>
      <c r="L648" t="s">
        <v>1004</v>
      </c>
      <c r="O648" t="s">
        <v>274</v>
      </c>
      <c r="P648" t="s">
        <v>498</v>
      </c>
      <c r="Q648" t="s">
        <v>501</v>
      </c>
      <c r="S648" t="s">
        <v>503</v>
      </c>
      <c r="T648" t="s">
        <v>508</v>
      </c>
      <c r="U648" t="s">
        <v>511</v>
      </c>
      <c r="V648">
        <v>10314</v>
      </c>
      <c r="W648" t="s">
        <v>517</v>
      </c>
      <c r="X648" t="s">
        <v>1839</v>
      </c>
      <c r="Y648" t="s">
        <v>275</v>
      </c>
      <c r="Z648" t="s">
        <v>6025</v>
      </c>
      <c r="AA648" t="s">
        <v>6419</v>
      </c>
      <c r="AB648" t="s">
        <v>902</v>
      </c>
      <c r="AC648" t="s">
        <v>904</v>
      </c>
      <c r="AD648" t="s">
        <v>275</v>
      </c>
      <c r="AE648" t="s">
        <v>919</v>
      </c>
      <c r="AF648" t="s">
        <v>923</v>
      </c>
      <c r="AI648">
        <v>2.8</v>
      </c>
      <c r="AJ648" t="s">
        <v>558</v>
      </c>
      <c r="AK648" t="s">
        <v>954</v>
      </c>
      <c r="AQ648" t="s">
        <v>1042</v>
      </c>
      <c r="AR648" t="s">
        <v>1051</v>
      </c>
      <c r="AT648">
        <v>1</v>
      </c>
      <c r="AU648">
        <v>3</v>
      </c>
      <c r="AV648" t="s">
        <v>273</v>
      </c>
      <c r="AY648" t="s">
        <v>273</v>
      </c>
      <c r="BB648">
        <v>0</v>
      </c>
      <c r="BC648">
        <v>0</v>
      </c>
      <c r="BD648">
        <v>0</v>
      </c>
      <c r="BE648">
        <v>0</v>
      </c>
      <c r="BF648" t="s">
        <v>493</v>
      </c>
      <c r="BG648" t="s">
        <v>6928</v>
      </c>
      <c r="BH648">
        <v>44</v>
      </c>
      <c r="BI648" t="s">
        <v>1277</v>
      </c>
      <c r="BK648">
        <v>1858984</v>
      </c>
    </row>
    <row r="649" spans="1:63">
      <c r="A649" s="1">
        <f>HYPERLINK("https://lsnyc.legalserver.org/matter/dynamic-profile/view/1858398","18-1858398")</f>
        <v>0</v>
      </c>
      <c r="B649" t="s">
        <v>5516</v>
      </c>
      <c r="C649" t="s">
        <v>5625</v>
      </c>
      <c r="D649" t="s">
        <v>253</v>
      </c>
      <c r="E649" t="s">
        <v>3694</v>
      </c>
      <c r="F649" t="s">
        <v>274</v>
      </c>
      <c r="G649" t="s">
        <v>274</v>
      </c>
      <c r="H649">
        <v>94.61</v>
      </c>
      <c r="I649" t="s">
        <v>274</v>
      </c>
      <c r="K649" t="s">
        <v>1761</v>
      </c>
      <c r="P649" t="s">
        <v>492</v>
      </c>
      <c r="Q649" t="s">
        <v>501</v>
      </c>
      <c r="S649" t="s">
        <v>503</v>
      </c>
      <c r="T649" t="s">
        <v>508</v>
      </c>
      <c r="U649" t="s">
        <v>511</v>
      </c>
      <c r="V649">
        <v>11433</v>
      </c>
      <c r="W649" t="s">
        <v>517</v>
      </c>
      <c r="X649" t="s">
        <v>549</v>
      </c>
      <c r="Y649" t="s">
        <v>275</v>
      </c>
      <c r="Z649" t="s">
        <v>2081</v>
      </c>
      <c r="AA649" t="s">
        <v>6379</v>
      </c>
      <c r="AB649" t="s">
        <v>902</v>
      </c>
      <c r="AC649" t="s">
        <v>904</v>
      </c>
      <c r="AF649" t="s">
        <v>923</v>
      </c>
      <c r="AI649">
        <v>4.31</v>
      </c>
      <c r="AJ649" t="s">
        <v>558</v>
      </c>
      <c r="AK649" t="s">
        <v>939</v>
      </c>
      <c r="AT649">
        <v>1</v>
      </c>
      <c r="AU649">
        <v>2</v>
      </c>
      <c r="AV649" t="s">
        <v>273</v>
      </c>
      <c r="AY649" t="s">
        <v>273</v>
      </c>
      <c r="BB649">
        <v>0</v>
      </c>
      <c r="BC649">
        <v>0</v>
      </c>
      <c r="BD649">
        <v>0</v>
      </c>
      <c r="BE649">
        <v>0</v>
      </c>
      <c r="BF649" t="s">
        <v>1063</v>
      </c>
      <c r="BG649" t="s">
        <v>6867</v>
      </c>
      <c r="BH649">
        <v>47</v>
      </c>
      <c r="BI649" t="s">
        <v>7108</v>
      </c>
      <c r="BK649">
        <v>1858968</v>
      </c>
    </row>
    <row r="650" spans="1:63">
      <c r="A650" s="1">
        <f>HYPERLINK("https://lsnyc.legalserver.org/matter/dynamic-profile/view/1858404","18-1858404")</f>
        <v>0</v>
      </c>
      <c r="B650" t="s">
        <v>5515</v>
      </c>
      <c r="C650" t="s">
        <v>5625</v>
      </c>
      <c r="D650" t="s">
        <v>253</v>
      </c>
      <c r="E650" t="s">
        <v>3694</v>
      </c>
      <c r="F650" t="s">
        <v>274</v>
      </c>
      <c r="G650" t="s">
        <v>274</v>
      </c>
      <c r="H650">
        <v>107.79</v>
      </c>
      <c r="I650" t="s">
        <v>274</v>
      </c>
      <c r="K650" t="s">
        <v>1761</v>
      </c>
      <c r="P650" t="s">
        <v>492</v>
      </c>
      <c r="Q650" t="s">
        <v>501</v>
      </c>
      <c r="S650" t="s">
        <v>503</v>
      </c>
      <c r="T650" t="s">
        <v>508</v>
      </c>
      <c r="U650" t="s">
        <v>511</v>
      </c>
      <c r="V650">
        <v>11102</v>
      </c>
      <c r="W650" t="s">
        <v>517</v>
      </c>
      <c r="X650" t="s">
        <v>548</v>
      </c>
      <c r="Y650" t="s">
        <v>275</v>
      </c>
      <c r="Z650" t="s">
        <v>5975</v>
      </c>
      <c r="AA650" t="s">
        <v>6378</v>
      </c>
      <c r="AB650" t="s">
        <v>902</v>
      </c>
      <c r="AC650" t="s">
        <v>904</v>
      </c>
      <c r="AF650" t="s">
        <v>923</v>
      </c>
      <c r="AI650">
        <v>5.15</v>
      </c>
      <c r="AJ650" t="s">
        <v>558</v>
      </c>
      <c r="AK650" t="s">
        <v>950</v>
      </c>
      <c r="AM650" t="s">
        <v>973</v>
      </c>
      <c r="AN650" t="s">
        <v>1747</v>
      </c>
      <c r="AT650">
        <v>0</v>
      </c>
      <c r="AU650">
        <v>1</v>
      </c>
      <c r="AV650" t="s">
        <v>273</v>
      </c>
      <c r="AY650" t="s">
        <v>273</v>
      </c>
      <c r="BB650">
        <v>0</v>
      </c>
      <c r="BC650">
        <v>0</v>
      </c>
      <c r="BD650">
        <v>0</v>
      </c>
      <c r="BE650">
        <v>0</v>
      </c>
      <c r="BF650" t="s">
        <v>1063</v>
      </c>
      <c r="BG650" t="s">
        <v>6866</v>
      </c>
      <c r="BH650">
        <v>25</v>
      </c>
      <c r="BI650" t="s">
        <v>1264</v>
      </c>
      <c r="BK650">
        <v>784438</v>
      </c>
    </row>
    <row r="651" spans="1:63">
      <c r="A651" s="1">
        <f>HYPERLINK("https://lsnyc.legalserver.org/matter/dynamic-profile/view/1857989","18-1857989")</f>
        <v>0</v>
      </c>
      <c r="B651" t="s">
        <v>5539</v>
      </c>
      <c r="C651" t="s">
        <v>5625</v>
      </c>
      <c r="D651" t="s">
        <v>257</v>
      </c>
      <c r="E651" t="s">
        <v>3694</v>
      </c>
      <c r="F651" t="s">
        <v>274</v>
      </c>
      <c r="G651" t="s">
        <v>274</v>
      </c>
      <c r="H651">
        <v>50.93</v>
      </c>
      <c r="I651" t="s">
        <v>274</v>
      </c>
      <c r="K651" t="s">
        <v>5653</v>
      </c>
      <c r="O651" t="s">
        <v>274</v>
      </c>
      <c r="Q651" t="s">
        <v>501</v>
      </c>
      <c r="S651" t="s">
        <v>503</v>
      </c>
      <c r="T651" t="s">
        <v>508</v>
      </c>
      <c r="U651" t="s">
        <v>511</v>
      </c>
      <c r="V651">
        <v>10456</v>
      </c>
      <c r="W651" t="s">
        <v>517</v>
      </c>
      <c r="X651" t="s">
        <v>548</v>
      </c>
      <c r="Y651" t="s">
        <v>274</v>
      </c>
      <c r="Z651" t="s">
        <v>5992</v>
      </c>
      <c r="AA651" t="s">
        <v>6393</v>
      </c>
      <c r="AB651" t="s">
        <v>902</v>
      </c>
      <c r="AC651" t="s">
        <v>904</v>
      </c>
      <c r="AF651" t="s">
        <v>923</v>
      </c>
      <c r="AI651">
        <v>1.05</v>
      </c>
      <c r="AJ651" t="s">
        <v>558</v>
      </c>
      <c r="AK651" t="s">
        <v>933</v>
      </c>
      <c r="AT651">
        <v>2</v>
      </c>
      <c r="AU651">
        <v>1</v>
      </c>
      <c r="AV651" t="s">
        <v>273</v>
      </c>
      <c r="AY651" t="s">
        <v>273</v>
      </c>
      <c r="BB651">
        <v>0</v>
      </c>
      <c r="BC651">
        <v>0</v>
      </c>
      <c r="BD651">
        <v>0</v>
      </c>
      <c r="BE651">
        <v>0</v>
      </c>
      <c r="BF651" t="s">
        <v>1063</v>
      </c>
      <c r="BG651" t="s">
        <v>6888</v>
      </c>
      <c r="BH651">
        <v>22</v>
      </c>
      <c r="BI651" t="s">
        <v>1301</v>
      </c>
      <c r="BK651">
        <v>1858558</v>
      </c>
    </row>
    <row r="652" spans="1:63">
      <c r="A652" s="1">
        <f>HYPERLINK("https://lsnyc.legalserver.org/matter/dynamic-profile/view/1857830","18-1857830")</f>
        <v>0</v>
      </c>
      <c r="B652" t="s">
        <v>5581</v>
      </c>
      <c r="C652" t="s">
        <v>5625</v>
      </c>
      <c r="D652" t="s">
        <v>255</v>
      </c>
      <c r="E652" t="s">
        <v>3694</v>
      </c>
      <c r="F652" t="s">
        <v>274</v>
      </c>
      <c r="G652" t="s">
        <v>274</v>
      </c>
      <c r="H652">
        <v>0</v>
      </c>
      <c r="I652" t="s">
        <v>274</v>
      </c>
      <c r="K652" t="s">
        <v>411</v>
      </c>
      <c r="O652" t="s">
        <v>275</v>
      </c>
      <c r="P652" t="s">
        <v>499</v>
      </c>
      <c r="Q652" t="s">
        <v>501</v>
      </c>
      <c r="S652" t="s">
        <v>503</v>
      </c>
      <c r="T652" t="s">
        <v>507</v>
      </c>
      <c r="U652" t="s">
        <v>511</v>
      </c>
      <c r="V652">
        <v>11230</v>
      </c>
      <c r="W652" t="s">
        <v>521</v>
      </c>
      <c r="X652" t="s">
        <v>553</v>
      </c>
      <c r="Y652" t="s">
        <v>275</v>
      </c>
      <c r="Z652" t="s">
        <v>6026</v>
      </c>
      <c r="AA652" t="s">
        <v>6420</v>
      </c>
      <c r="AB652" t="s">
        <v>902</v>
      </c>
      <c r="AC652" t="s">
        <v>905</v>
      </c>
      <c r="AF652" t="s">
        <v>923</v>
      </c>
      <c r="AI652">
        <v>2.46</v>
      </c>
      <c r="AJ652" t="s">
        <v>558</v>
      </c>
      <c r="AK652" t="s">
        <v>948</v>
      </c>
      <c r="AT652">
        <v>0</v>
      </c>
      <c r="AU652">
        <v>1</v>
      </c>
      <c r="AV652" t="s">
        <v>273</v>
      </c>
      <c r="AY652" t="s">
        <v>273</v>
      </c>
      <c r="BB652">
        <v>0</v>
      </c>
      <c r="BC652">
        <v>0</v>
      </c>
      <c r="BD652">
        <v>0</v>
      </c>
      <c r="BE652">
        <v>0</v>
      </c>
      <c r="BF652" t="s">
        <v>1063</v>
      </c>
      <c r="BG652" t="s">
        <v>6929</v>
      </c>
      <c r="BH652">
        <v>26</v>
      </c>
      <c r="BI652" t="s">
        <v>1247</v>
      </c>
      <c r="BK652">
        <v>1858398</v>
      </c>
    </row>
    <row r="653" spans="1:63">
      <c r="A653" s="1">
        <f>HYPERLINK("https://lsnyc.legalserver.org/matter/dynamic-profile/view/1857597","18-1857597")</f>
        <v>0</v>
      </c>
      <c r="B653" t="s">
        <v>5538</v>
      </c>
      <c r="C653" t="s">
        <v>5625</v>
      </c>
      <c r="D653" t="s">
        <v>252</v>
      </c>
      <c r="E653" t="s">
        <v>3694</v>
      </c>
      <c r="F653" t="s">
        <v>274</v>
      </c>
      <c r="G653" t="s">
        <v>274</v>
      </c>
      <c r="H653">
        <v>249.75</v>
      </c>
      <c r="I653" t="s">
        <v>274</v>
      </c>
      <c r="K653" t="s">
        <v>412</v>
      </c>
      <c r="O653" t="s">
        <v>274</v>
      </c>
      <c r="Q653" t="s">
        <v>501</v>
      </c>
      <c r="S653" t="s">
        <v>503</v>
      </c>
      <c r="T653" t="s">
        <v>508</v>
      </c>
      <c r="U653" t="s">
        <v>511</v>
      </c>
      <c r="V653">
        <v>11208</v>
      </c>
      <c r="W653" t="s">
        <v>517</v>
      </c>
      <c r="X653" t="s">
        <v>549</v>
      </c>
      <c r="Y653" t="s">
        <v>275</v>
      </c>
      <c r="Z653" t="s">
        <v>2086</v>
      </c>
      <c r="AA653" t="s">
        <v>4655</v>
      </c>
      <c r="AB653" t="s">
        <v>902</v>
      </c>
      <c r="AC653" t="s">
        <v>904</v>
      </c>
      <c r="AF653" t="s">
        <v>923</v>
      </c>
      <c r="AI653">
        <v>1.35</v>
      </c>
      <c r="AJ653" t="s">
        <v>558</v>
      </c>
      <c r="AK653" t="s">
        <v>939</v>
      </c>
      <c r="AT653">
        <v>1</v>
      </c>
      <c r="AU653">
        <v>1</v>
      </c>
      <c r="AV653" t="s">
        <v>273</v>
      </c>
      <c r="AY653" t="s">
        <v>273</v>
      </c>
      <c r="BB653">
        <v>0</v>
      </c>
      <c r="BC653">
        <v>0</v>
      </c>
      <c r="BD653">
        <v>0</v>
      </c>
      <c r="BE653">
        <v>0</v>
      </c>
      <c r="BF653" t="s">
        <v>1063</v>
      </c>
      <c r="BG653" t="s">
        <v>6887</v>
      </c>
      <c r="BH653">
        <v>62</v>
      </c>
      <c r="BI653" t="s">
        <v>7116</v>
      </c>
      <c r="BK653">
        <v>1858163</v>
      </c>
    </row>
    <row r="654" spans="1:63">
      <c r="A654" s="1">
        <f>HYPERLINK("https://lsnyc.legalserver.org/matter/dynamic-profile/view/1857721","18-1857721")</f>
        <v>0</v>
      </c>
      <c r="B654" t="s">
        <v>5582</v>
      </c>
      <c r="C654" t="s">
        <v>5625</v>
      </c>
      <c r="D654" t="s">
        <v>253</v>
      </c>
      <c r="E654" t="s">
        <v>3694</v>
      </c>
      <c r="F654" t="s">
        <v>274</v>
      </c>
      <c r="G654" t="s">
        <v>274</v>
      </c>
      <c r="H654">
        <v>75.06999999999999</v>
      </c>
      <c r="I654" t="s">
        <v>274</v>
      </c>
      <c r="K654" t="s">
        <v>412</v>
      </c>
      <c r="P654" t="s">
        <v>492</v>
      </c>
      <c r="Q654" t="s">
        <v>501</v>
      </c>
      <c r="S654" t="s">
        <v>503</v>
      </c>
      <c r="T654" t="s">
        <v>508</v>
      </c>
      <c r="U654" t="s">
        <v>511</v>
      </c>
      <c r="V654">
        <v>11377</v>
      </c>
      <c r="W654" t="s">
        <v>532</v>
      </c>
      <c r="X654" t="s">
        <v>548</v>
      </c>
      <c r="Z654" t="s">
        <v>606</v>
      </c>
      <c r="AA654" t="s">
        <v>6421</v>
      </c>
      <c r="AB654" t="s">
        <v>902</v>
      </c>
      <c r="AC654" t="s">
        <v>906</v>
      </c>
      <c r="AF654" t="s">
        <v>923</v>
      </c>
      <c r="AI654">
        <v>2.65</v>
      </c>
      <c r="AJ654" t="s">
        <v>558</v>
      </c>
      <c r="AK654" t="s">
        <v>949</v>
      </c>
      <c r="AL654" t="s">
        <v>274</v>
      </c>
      <c r="AS654" t="s">
        <v>1061</v>
      </c>
      <c r="AT654">
        <v>2</v>
      </c>
      <c r="AU654">
        <v>1</v>
      </c>
      <c r="AV654" t="s">
        <v>273</v>
      </c>
      <c r="AY654" t="s">
        <v>273</v>
      </c>
      <c r="BB654">
        <v>0</v>
      </c>
      <c r="BC654">
        <v>0</v>
      </c>
      <c r="BD654">
        <v>0</v>
      </c>
      <c r="BE654">
        <v>0</v>
      </c>
      <c r="BF654" t="s">
        <v>1063</v>
      </c>
      <c r="BG654" t="s">
        <v>6930</v>
      </c>
      <c r="BH654">
        <v>34</v>
      </c>
      <c r="BI654" t="s">
        <v>1270</v>
      </c>
      <c r="BK654">
        <v>1858289</v>
      </c>
    </row>
    <row r="655" spans="1:63">
      <c r="A655" s="1">
        <f>HYPERLINK("https://lsnyc.legalserver.org/matter/dynamic-profile/view/1856912","18-1856912")</f>
        <v>0</v>
      </c>
      <c r="B655" t="s">
        <v>5583</v>
      </c>
      <c r="C655" t="s">
        <v>5625</v>
      </c>
      <c r="D655" t="s">
        <v>252</v>
      </c>
      <c r="E655" t="s">
        <v>3694</v>
      </c>
      <c r="F655" t="s">
        <v>274</v>
      </c>
      <c r="G655" t="s">
        <v>274</v>
      </c>
      <c r="H655">
        <v>63.41</v>
      </c>
      <c r="I655" t="s">
        <v>275</v>
      </c>
      <c r="K655" t="s">
        <v>1764</v>
      </c>
      <c r="O655" t="s">
        <v>274</v>
      </c>
      <c r="Q655" t="s">
        <v>501</v>
      </c>
      <c r="S655" t="s">
        <v>503</v>
      </c>
      <c r="T655" t="s">
        <v>508</v>
      </c>
      <c r="U655" t="s">
        <v>511</v>
      </c>
      <c r="V655">
        <v>11210</v>
      </c>
      <c r="W655" t="s">
        <v>517</v>
      </c>
      <c r="X655" t="s">
        <v>554</v>
      </c>
      <c r="Z655" t="s">
        <v>6027</v>
      </c>
      <c r="AA655" t="s">
        <v>6422</v>
      </c>
      <c r="AB655" t="s">
        <v>902</v>
      </c>
      <c r="AC655" t="s">
        <v>904</v>
      </c>
      <c r="AF655" t="s">
        <v>923</v>
      </c>
      <c r="AI655">
        <v>4.81</v>
      </c>
      <c r="AK655" t="s">
        <v>937</v>
      </c>
      <c r="AL655" t="s">
        <v>275</v>
      </c>
      <c r="AT655">
        <v>0</v>
      </c>
      <c r="AU655">
        <v>4</v>
      </c>
      <c r="AV655" t="s">
        <v>273</v>
      </c>
      <c r="AY655" t="s">
        <v>273</v>
      </c>
      <c r="BB655">
        <v>0</v>
      </c>
      <c r="BC655">
        <v>0</v>
      </c>
      <c r="BD655">
        <v>0</v>
      </c>
      <c r="BE655">
        <v>0</v>
      </c>
      <c r="BF655" t="s">
        <v>1063</v>
      </c>
      <c r="BG655" t="s">
        <v>6931</v>
      </c>
      <c r="BH655">
        <v>81</v>
      </c>
      <c r="BI655" t="s">
        <v>1270</v>
      </c>
      <c r="BK655">
        <v>1857478</v>
      </c>
    </row>
    <row r="656" spans="1:63">
      <c r="A656" s="1">
        <f>HYPERLINK("https://lsnyc.legalserver.org/matter/dynamic-profile/view/1857541","18-1857541")</f>
        <v>0</v>
      </c>
      <c r="B656" t="s">
        <v>5584</v>
      </c>
      <c r="C656" t="s">
        <v>5625</v>
      </c>
      <c r="D656" t="s">
        <v>257</v>
      </c>
      <c r="E656" t="s">
        <v>3694</v>
      </c>
      <c r="F656" t="s">
        <v>274</v>
      </c>
      <c r="G656" t="s">
        <v>274</v>
      </c>
      <c r="H656">
        <v>187.68</v>
      </c>
      <c r="I656" t="s">
        <v>274</v>
      </c>
      <c r="K656" t="s">
        <v>1764</v>
      </c>
      <c r="O656" t="s">
        <v>274</v>
      </c>
      <c r="P656" t="s">
        <v>494</v>
      </c>
      <c r="Q656" t="s">
        <v>501</v>
      </c>
      <c r="S656" t="s">
        <v>503</v>
      </c>
      <c r="T656" t="s">
        <v>508</v>
      </c>
      <c r="U656" t="s">
        <v>511</v>
      </c>
      <c r="V656">
        <v>10472</v>
      </c>
      <c r="W656" t="s">
        <v>517</v>
      </c>
      <c r="X656" t="s">
        <v>548</v>
      </c>
      <c r="Z656" t="s">
        <v>6028</v>
      </c>
      <c r="AA656" t="s">
        <v>6423</v>
      </c>
      <c r="AB656" t="s">
        <v>902</v>
      </c>
      <c r="AC656" t="s">
        <v>904</v>
      </c>
      <c r="AF656" t="s">
        <v>923</v>
      </c>
      <c r="AI656">
        <v>2.15</v>
      </c>
      <c r="AK656" t="s">
        <v>950</v>
      </c>
      <c r="AT656">
        <v>2</v>
      </c>
      <c r="AU656">
        <v>1</v>
      </c>
      <c r="AV656" t="s">
        <v>273</v>
      </c>
      <c r="AY656" t="s">
        <v>273</v>
      </c>
      <c r="BB656">
        <v>0</v>
      </c>
      <c r="BC656">
        <v>0</v>
      </c>
      <c r="BD656">
        <v>0</v>
      </c>
      <c r="BE656">
        <v>0</v>
      </c>
      <c r="BF656" t="s">
        <v>1063</v>
      </c>
      <c r="BG656" t="s">
        <v>6932</v>
      </c>
      <c r="BH656">
        <v>41</v>
      </c>
      <c r="BI656" t="s">
        <v>1273</v>
      </c>
      <c r="BK656">
        <v>1858107</v>
      </c>
    </row>
    <row r="657" spans="1:63">
      <c r="A657" s="1">
        <f>HYPERLINK("https://lsnyc.legalserver.org/matter/dynamic-profile/view/1857328","18-1857328")</f>
        <v>0</v>
      </c>
      <c r="B657" t="s">
        <v>5249</v>
      </c>
      <c r="C657" t="s">
        <v>5625</v>
      </c>
      <c r="D657" t="s">
        <v>253</v>
      </c>
      <c r="E657" t="s">
        <v>3694</v>
      </c>
      <c r="F657" t="s">
        <v>274</v>
      </c>
      <c r="G657" t="s">
        <v>274</v>
      </c>
      <c r="H657">
        <v>57.37</v>
      </c>
      <c r="I657" t="s">
        <v>274</v>
      </c>
      <c r="K657" t="s">
        <v>4519</v>
      </c>
      <c r="O657" t="s">
        <v>275</v>
      </c>
      <c r="Q657" t="s">
        <v>501</v>
      </c>
      <c r="S657" t="s">
        <v>503</v>
      </c>
      <c r="T657" t="s">
        <v>507</v>
      </c>
      <c r="U657" t="s">
        <v>511</v>
      </c>
      <c r="V657">
        <v>11692</v>
      </c>
      <c r="W657" t="s">
        <v>521</v>
      </c>
      <c r="X657" t="s">
        <v>549</v>
      </c>
      <c r="Z657" t="s">
        <v>5754</v>
      </c>
      <c r="AA657" t="s">
        <v>6183</v>
      </c>
      <c r="AB657" t="s">
        <v>902</v>
      </c>
      <c r="AC657" t="s">
        <v>905</v>
      </c>
      <c r="AD657" t="s">
        <v>275</v>
      </c>
      <c r="AF657" t="s">
        <v>923</v>
      </c>
      <c r="AI657">
        <v>6.3</v>
      </c>
      <c r="AJ657" t="s">
        <v>558</v>
      </c>
      <c r="AK657" t="s">
        <v>939</v>
      </c>
      <c r="AL657" t="s">
        <v>274</v>
      </c>
      <c r="AQ657" t="s">
        <v>1034</v>
      </c>
      <c r="AR657" t="s">
        <v>1052</v>
      </c>
      <c r="AT657">
        <v>1</v>
      </c>
      <c r="AU657">
        <v>3</v>
      </c>
      <c r="AV657" t="s">
        <v>273</v>
      </c>
      <c r="AY657" t="s">
        <v>273</v>
      </c>
      <c r="BB657">
        <v>0</v>
      </c>
      <c r="BC657">
        <v>0</v>
      </c>
      <c r="BD657">
        <v>0</v>
      </c>
      <c r="BE657">
        <v>0</v>
      </c>
      <c r="BF657" t="s">
        <v>1063</v>
      </c>
      <c r="BG657" t="s">
        <v>6623</v>
      </c>
      <c r="BH657">
        <v>19</v>
      </c>
      <c r="BI657" t="s">
        <v>1253</v>
      </c>
      <c r="BJ657" t="s">
        <v>5636</v>
      </c>
      <c r="BK657">
        <v>1857894</v>
      </c>
    </row>
    <row r="658" spans="1:63">
      <c r="A658" s="1">
        <f>HYPERLINK("https://lsnyc.legalserver.org/matter/dynamic-profile/view/1856963","18-1856963")</f>
        <v>0</v>
      </c>
      <c r="B658" t="s">
        <v>5585</v>
      </c>
      <c r="C658" t="s">
        <v>5625</v>
      </c>
      <c r="D658" t="s">
        <v>254</v>
      </c>
      <c r="E658" t="s">
        <v>3694</v>
      </c>
      <c r="F658" t="s">
        <v>274</v>
      </c>
      <c r="G658" t="s">
        <v>274</v>
      </c>
      <c r="H658">
        <v>194.41</v>
      </c>
      <c r="I658" t="s">
        <v>274</v>
      </c>
      <c r="K658" t="s">
        <v>1019</v>
      </c>
      <c r="O658" t="s">
        <v>274</v>
      </c>
      <c r="P658" t="s">
        <v>495</v>
      </c>
      <c r="Q658" t="s">
        <v>501</v>
      </c>
      <c r="S658" t="s">
        <v>503</v>
      </c>
      <c r="T658" t="s">
        <v>508</v>
      </c>
      <c r="U658" t="s">
        <v>511</v>
      </c>
      <c r="V658">
        <v>10304</v>
      </c>
      <c r="W658" t="s">
        <v>517</v>
      </c>
      <c r="X658" t="s">
        <v>548</v>
      </c>
      <c r="Y658" t="s">
        <v>275</v>
      </c>
      <c r="Z658" t="s">
        <v>593</v>
      </c>
      <c r="AA658" t="s">
        <v>2354</v>
      </c>
      <c r="AB658" t="s">
        <v>902</v>
      </c>
      <c r="AC658" t="s">
        <v>904</v>
      </c>
      <c r="AF658" t="s">
        <v>923</v>
      </c>
      <c r="AI658">
        <v>4.95</v>
      </c>
      <c r="AJ658" t="s">
        <v>558</v>
      </c>
      <c r="AK658" t="s">
        <v>959</v>
      </c>
      <c r="AL658" t="s">
        <v>274</v>
      </c>
      <c r="AT658">
        <v>0</v>
      </c>
      <c r="AU658">
        <v>2</v>
      </c>
      <c r="AV658" t="s">
        <v>273</v>
      </c>
      <c r="AY658" t="s">
        <v>273</v>
      </c>
      <c r="BB658">
        <v>0</v>
      </c>
      <c r="BC658">
        <v>0</v>
      </c>
      <c r="BD658">
        <v>0</v>
      </c>
      <c r="BE658">
        <v>0</v>
      </c>
      <c r="BF658" t="s">
        <v>1063</v>
      </c>
      <c r="BG658" t="s">
        <v>6933</v>
      </c>
      <c r="BH658">
        <v>51</v>
      </c>
      <c r="BI658" t="s">
        <v>3465</v>
      </c>
      <c r="BJ658" t="s">
        <v>2993</v>
      </c>
      <c r="BK658">
        <v>783071</v>
      </c>
    </row>
    <row r="659" spans="1:63">
      <c r="A659" s="1">
        <f>HYPERLINK("https://lsnyc.legalserver.org/matter/dynamic-profile/view/1856628","18-1856628")</f>
        <v>0</v>
      </c>
      <c r="B659" t="s">
        <v>5586</v>
      </c>
      <c r="C659" t="s">
        <v>5625</v>
      </c>
      <c r="D659" t="s">
        <v>257</v>
      </c>
      <c r="E659" t="s">
        <v>3694</v>
      </c>
      <c r="F659" t="s">
        <v>274</v>
      </c>
      <c r="G659" t="s">
        <v>274</v>
      </c>
      <c r="H659">
        <v>93.73</v>
      </c>
      <c r="I659" t="s">
        <v>274</v>
      </c>
      <c r="K659" t="s">
        <v>4842</v>
      </c>
      <c r="O659" t="s">
        <v>274</v>
      </c>
      <c r="P659" t="s">
        <v>498</v>
      </c>
      <c r="Q659" t="s">
        <v>501</v>
      </c>
      <c r="S659" t="s">
        <v>503</v>
      </c>
      <c r="T659" t="s">
        <v>507</v>
      </c>
      <c r="U659" t="s">
        <v>511</v>
      </c>
      <c r="V659">
        <v>10467</v>
      </c>
      <c r="W659" t="s">
        <v>517</v>
      </c>
      <c r="X659" t="s">
        <v>549</v>
      </c>
      <c r="Y659" t="s">
        <v>274</v>
      </c>
      <c r="Z659" t="s">
        <v>2051</v>
      </c>
      <c r="AA659" t="s">
        <v>6424</v>
      </c>
      <c r="AB659" t="s">
        <v>902</v>
      </c>
      <c r="AC659" t="s">
        <v>904</v>
      </c>
      <c r="AF659" t="s">
        <v>923</v>
      </c>
      <c r="AI659">
        <v>7.21</v>
      </c>
      <c r="AJ659" t="s">
        <v>558</v>
      </c>
      <c r="AK659" t="s">
        <v>939</v>
      </c>
      <c r="AT659">
        <v>0</v>
      </c>
      <c r="AU659">
        <v>1</v>
      </c>
      <c r="AV659" t="s">
        <v>273</v>
      </c>
      <c r="AY659" t="s">
        <v>273</v>
      </c>
      <c r="BB659">
        <v>0</v>
      </c>
      <c r="BC659">
        <v>0</v>
      </c>
      <c r="BD659">
        <v>0</v>
      </c>
      <c r="BE659">
        <v>0</v>
      </c>
      <c r="BF659" t="s">
        <v>1063</v>
      </c>
      <c r="BG659" t="s">
        <v>6934</v>
      </c>
      <c r="BH659">
        <v>39</v>
      </c>
      <c r="BI659" t="s">
        <v>7130</v>
      </c>
      <c r="BK659">
        <v>1857191</v>
      </c>
    </row>
    <row r="660" spans="1:63">
      <c r="A660" s="1">
        <f>HYPERLINK("https://lsnyc.legalserver.org/matter/dynamic-profile/view/1856545","18-1856545")</f>
        <v>0</v>
      </c>
      <c r="B660" t="s">
        <v>5587</v>
      </c>
      <c r="C660" t="s">
        <v>5625</v>
      </c>
      <c r="D660" t="s">
        <v>257</v>
      </c>
      <c r="E660" t="s">
        <v>5630</v>
      </c>
      <c r="F660" t="s">
        <v>274</v>
      </c>
      <c r="G660" t="s">
        <v>274</v>
      </c>
      <c r="H660">
        <v>57.68</v>
      </c>
      <c r="I660" t="s">
        <v>274</v>
      </c>
      <c r="K660" t="s">
        <v>414</v>
      </c>
      <c r="O660" t="s">
        <v>274</v>
      </c>
      <c r="Q660" t="s">
        <v>501</v>
      </c>
      <c r="R660" t="s">
        <v>501</v>
      </c>
      <c r="S660" t="s">
        <v>503</v>
      </c>
      <c r="T660" t="s">
        <v>508</v>
      </c>
      <c r="U660" t="s">
        <v>511</v>
      </c>
      <c r="V660">
        <v>10456</v>
      </c>
      <c r="W660" t="s">
        <v>1831</v>
      </c>
      <c r="X660" t="s">
        <v>548</v>
      </c>
      <c r="Y660" t="s">
        <v>274</v>
      </c>
      <c r="Z660" t="s">
        <v>3861</v>
      </c>
      <c r="AA660" t="s">
        <v>6425</v>
      </c>
      <c r="AB660" t="s">
        <v>902</v>
      </c>
      <c r="AC660" t="s">
        <v>904</v>
      </c>
      <c r="AF660" t="s">
        <v>923</v>
      </c>
      <c r="AI660">
        <v>8</v>
      </c>
      <c r="AJ660" t="s">
        <v>558</v>
      </c>
      <c r="AK660" t="s">
        <v>950</v>
      </c>
      <c r="AL660" t="s">
        <v>274</v>
      </c>
      <c r="AM660" t="s">
        <v>973</v>
      </c>
      <c r="AN660" t="s">
        <v>322</v>
      </c>
      <c r="AT660">
        <v>0</v>
      </c>
      <c r="AU660">
        <v>2</v>
      </c>
      <c r="AV660" t="s">
        <v>273</v>
      </c>
      <c r="AY660" t="s">
        <v>273</v>
      </c>
      <c r="BB660">
        <v>0</v>
      </c>
      <c r="BC660">
        <v>0</v>
      </c>
      <c r="BD660">
        <v>0</v>
      </c>
      <c r="BE660">
        <v>0</v>
      </c>
      <c r="BF660" t="s">
        <v>1063</v>
      </c>
      <c r="BG660" t="s">
        <v>6935</v>
      </c>
      <c r="BH660">
        <v>56</v>
      </c>
      <c r="BI660" t="s">
        <v>7131</v>
      </c>
      <c r="BJ660" t="s">
        <v>1724</v>
      </c>
      <c r="BK660">
        <v>815770</v>
      </c>
    </row>
    <row r="661" spans="1:63">
      <c r="A661" s="1">
        <f>HYPERLINK("https://lsnyc.legalserver.org/matter/dynamic-profile/view/1856077","18-1856077")</f>
        <v>0</v>
      </c>
      <c r="B661" t="s">
        <v>5588</v>
      </c>
      <c r="C661" t="s">
        <v>5625</v>
      </c>
      <c r="D661" t="s">
        <v>252</v>
      </c>
      <c r="E661" t="s">
        <v>3694</v>
      </c>
      <c r="F661" t="s">
        <v>274</v>
      </c>
      <c r="G661" t="s">
        <v>274</v>
      </c>
      <c r="H661">
        <v>197.35</v>
      </c>
      <c r="I661" t="s">
        <v>274</v>
      </c>
      <c r="K661" t="s">
        <v>2401</v>
      </c>
      <c r="O661" t="s">
        <v>274</v>
      </c>
      <c r="P661" t="s">
        <v>498</v>
      </c>
      <c r="Q661" t="s">
        <v>501</v>
      </c>
      <c r="S661" t="s">
        <v>503</v>
      </c>
      <c r="T661" t="s">
        <v>508</v>
      </c>
      <c r="U661" t="s">
        <v>511</v>
      </c>
      <c r="V661">
        <v>11212</v>
      </c>
      <c r="W661" t="s">
        <v>517</v>
      </c>
      <c r="X661" t="s">
        <v>549</v>
      </c>
      <c r="Y661" t="s">
        <v>275</v>
      </c>
      <c r="Z661" t="s">
        <v>6029</v>
      </c>
      <c r="AA661" t="s">
        <v>6426</v>
      </c>
      <c r="AB661" t="s">
        <v>902</v>
      </c>
      <c r="AC661" t="s">
        <v>904</v>
      </c>
      <c r="AF661" t="s">
        <v>923</v>
      </c>
      <c r="AI661">
        <v>1.75</v>
      </c>
      <c r="AJ661" t="s">
        <v>558</v>
      </c>
      <c r="AK661" t="s">
        <v>939</v>
      </c>
      <c r="AM661" t="s">
        <v>973</v>
      </c>
      <c r="AT661">
        <v>0</v>
      </c>
      <c r="AU661">
        <v>1</v>
      </c>
      <c r="AV661" t="s">
        <v>273</v>
      </c>
      <c r="AY661" t="s">
        <v>273</v>
      </c>
      <c r="BB661">
        <v>0</v>
      </c>
      <c r="BC661">
        <v>0</v>
      </c>
      <c r="BD661">
        <v>0</v>
      </c>
      <c r="BE661">
        <v>0</v>
      </c>
      <c r="BF661" t="s">
        <v>1063</v>
      </c>
      <c r="BG661" t="s">
        <v>6936</v>
      </c>
      <c r="BH661">
        <v>71</v>
      </c>
      <c r="BI661" t="s">
        <v>7132</v>
      </c>
      <c r="BK661">
        <v>1856640</v>
      </c>
    </row>
    <row r="662" spans="1:63">
      <c r="A662" s="1">
        <f>HYPERLINK("https://lsnyc.legalserver.org/matter/dynamic-profile/view/1855689","18-1855689")</f>
        <v>0</v>
      </c>
      <c r="B662" t="s">
        <v>5589</v>
      </c>
      <c r="C662" t="s">
        <v>5625</v>
      </c>
      <c r="D662" t="s">
        <v>257</v>
      </c>
      <c r="E662" t="s">
        <v>3694</v>
      </c>
      <c r="F662" t="s">
        <v>274</v>
      </c>
      <c r="G662" t="s">
        <v>274</v>
      </c>
      <c r="H662">
        <v>192.12</v>
      </c>
      <c r="I662" t="s">
        <v>274</v>
      </c>
      <c r="K662" t="s">
        <v>3721</v>
      </c>
      <c r="O662" t="s">
        <v>274</v>
      </c>
      <c r="Q662" t="s">
        <v>501</v>
      </c>
      <c r="S662" t="s">
        <v>503</v>
      </c>
      <c r="T662" t="s">
        <v>508</v>
      </c>
      <c r="U662" t="s">
        <v>511</v>
      </c>
      <c r="V662">
        <v>10456</v>
      </c>
      <c r="W662" t="s">
        <v>517</v>
      </c>
      <c r="X662" t="s">
        <v>548</v>
      </c>
      <c r="Y662" t="s">
        <v>274</v>
      </c>
      <c r="Z662" t="s">
        <v>6030</v>
      </c>
      <c r="AA662" t="s">
        <v>6427</v>
      </c>
      <c r="AB662" t="s">
        <v>902</v>
      </c>
      <c r="AC662" t="s">
        <v>904</v>
      </c>
      <c r="AF662" t="s">
        <v>923</v>
      </c>
      <c r="AI662">
        <v>2.85</v>
      </c>
      <c r="AJ662" t="s">
        <v>558</v>
      </c>
      <c r="AK662" t="s">
        <v>950</v>
      </c>
      <c r="AT662">
        <v>0</v>
      </c>
      <c r="AU662">
        <v>2</v>
      </c>
      <c r="AV662" t="s">
        <v>273</v>
      </c>
      <c r="AY662" t="s">
        <v>273</v>
      </c>
      <c r="BB662">
        <v>0</v>
      </c>
      <c r="BC662">
        <v>0</v>
      </c>
      <c r="BD662">
        <v>0</v>
      </c>
      <c r="BE662">
        <v>0</v>
      </c>
      <c r="BF662" t="s">
        <v>1063</v>
      </c>
      <c r="BG662" t="s">
        <v>6937</v>
      </c>
      <c r="BH662">
        <v>25</v>
      </c>
      <c r="BI662" t="s">
        <v>1254</v>
      </c>
      <c r="BK662">
        <v>1856252</v>
      </c>
    </row>
    <row r="663" spans="1:63">
      <c r="A663" s="1">
        <f>HYPERLINK("https://lsnyc.legalserver.org/matter/dynamic-profile/view/1855513","18-1855513")</f>
        <v>0</v>
      </c>
      <c r="B663" t="s">
        <v>5590</v>
      </c>
      <c r="C663" t="s">
        <v>5625</v>
      </c>
      <c r="D663" t="s">
        <v>253</v>
      </c>
      <c r="E663" t="s">
        <v>3694</v>
      </c>
      <c r="F663" t="s">
        <v>274</v>
      </c>
      <c r="G663" t="s">
        <v>274</v>
      </c>
      <c r="H663">
        <v>150.91</v>
      </c>
      <c r="I663" t="s">
        <v>274</v>
      </c>
      <c r="K663" t="s">
        <v>5654</v>
      </c>
      <c r="O663" t="s">
        <v>275</v>
      </c>
      <c r="P663" t="s">
        <v>498</v>
      </c>
      <c r="Q663" t="s">
        <v>501</v>
      </c>
      <c r="S663" t="s">
        <v>503</v>
      </c>
      <c r="T663" t="s">
        <v>507</v>
      </c>
      <c r="U663" t="s">
        <v>511</v>
      </c>
      <c r="V663">
        <v>11372</v>
      </c>
      <c r="W663" t="s">
        <v>521</v>
      </c>
      <c r="X663" t="s">
        <v>548</v>
      </c>
      <c r="Z663" t="s">
        <v>682</v>
      </c>
      <c r="AA663" t="s">
        <v>2350</v>
      </c>
      <c r="AB663" t="s">
        <v>902</v>
      </c>
      <c r="AC663" t="s">
        <v>905</v>
      </c>
      <c r="AF663" t="s">
        <v>923</v>
      </c>
      <c r="AI663">
        <v>9.85</v>
      </c>
      <c r="AJ663" t="s">
        <v>558</v>
      </c>
      <c r="AK663" t="s">
        <v>945</v>
      </c>
      <c r="AT663">
        <v>0</v>
      </c>
      <c r="AU663">
        <v>1</v>
      </c>
      <c r="AV663" t="s">
        <v>273</v>
      </c>
      <c r="AY663" t="s">
        <v>273</v>
      </c>
      <c r="BB663">
        <v>0</v>
      </c>
      <c r="BC663">
        <v>0</v>
      </c>
      <c r="BD663">
        <v>0</v>
      </c>
      <c r="BE663">
        <v>0</v>
      </c>
      <c r="BF663" t="s">
        <v>1063</v>
      </c>
      <c r="BG663" t="s">
        <v>6938</v>
      </c>
      <c r="BH663">
        <v>54</v>
      </c>
      <c r="BI663" t="s">
        <v>1260</v>
      </c>
      <c r="BK663">
        <v>1856076</v>
      </c>
    </row>
    <row r="664" spans="1:63">
      <c r="A664" s="1">
        <f>HYPERLINK("https://lsnyc.legalserver.org/matter/dynamic-profile/view/1855543","18-1855543")</f>
        <v>0</v>
      </c>
      <c r="B664" t="s">
        <v>5591</v>
      </c>
      <c r="C664" t="s">
        <v>5625</v>
      </c>
      <c r="D664" t="s">
        <v>255</v>
      </c>
      <c r="E664" t="s">
        <v>3694</v>
      </c>
      <c r="F664" t="s">
        <v>274</v>
      </c>
      <c r="G664" t="s">
        <v>274</v>
      </c>
      <c r="H664">
        <v>0</v>
      </c>
      <c r="I664" t="s">
        <v>275</v>
      </c>
      <c r="K664" t="s">
        <v>5654</v>
      </c>
      <c r="O664" t="s">
        <v>275</v>
      </c>
      <c r="Q664" t="s">
        <v>501</v>
      </c>
      <c r="S664" t="s">
        <v>503</v>
      </c>
      <c r="T664" t="s">
        <v>508</v>
      </c>
      <c r="U664" t="s">
        <v>511</v>
      </c>
      <c r="V664">
        <v>10026</v>
      </c>
      <c r="W664" t="s">
        <v>1831</v>
      </c>
      <c r="X664" t="s">
        <v>549</v>
      </c>
      <c r="Z664" t="s">
        <v>6031</v>
      </c>
      <c r="AA664" t="s">
        <v>2302</v>
      </c>
      <c r="AB664" t="s">
        <v>902</v>
      </c>
      <c r="AC664" t="s">
        <v>904</v>
      </c>
      <c r="AF664" t="s">
        <v>923</v>
      </c>
      <c r="AI664">
        <v>3.85</v>
      </c>
      <c r="AK664" t="s">
        <v>939</v>
      </c>
      <c r="AT664">
        <v>1</v>
      </c>
      <c r="AU664">
        <v>1</v>
      </c>
      <c r="AV664" t="s">
        <v>273</v>
      </c>
      <c r="AY664" t="s">
        <v>273</v>
      </c>
      <c r="BB664">
        <v>0</v>
      </c>
      <c r="BC664">
        <v>0</v>
      </c>
      <c r="BD664">
        <v>0</v>
      </c>
      <c r="BE664">
        <v>0</v>
      </c>
      <c r="BF664" t="s">
        <v>1063</v>
      </c>
      <c r="BG664" t="s">
        <v>6939</v>
      </c>
      <c r="BH664">
        <v>35</v>
      </c>
      <c r="BI664" t="s">
        <v>1247</v>
      </c>
      <c r="BK664">
        <v>1856106</v>
      </c>
    </row>
    <row r="665" spans="1:63">
      <c r="A665" s="1">
        <f>HYPERLINK("https://lsnyc.legalserver.org/matter/dynamic-profile/view/1855605","18-1855605")</f>
        <v>0</v>
      </c>
      <c r="B665" t="s">
        <v>5323</v>
      </c>
      <c r="C665" t="s">
        <v>5625</v>
      </c>
      <c r="D665" t="s">
        <v>254</v>
      </c>
      <c r="E665" t="s">
        <v>3694</v>
      </c>
      <c r="F665" t="s">
        <v>274</v>
      </c>
      <c r="G665" t="s">
        <v>274</v>
      </c>
      <c r="H665">
        <v>122.43</v>
      </c>
      <c r="I665" t="s">
        <v>274</v>
      </c>
      <c r="K665" t="s">
        <v>5654</v>
      </c>
      <c r="O665" t="s">
        <v>275</v>
      </c>
      <c r="Q665" t="s">
        <v>501</v>
      </c>
      <c r="S665" t="s">
        <v>503</v>
      </c>
      <c r="T665" t="s">
        <v>508</v>
      </c>
      <c r="U665" t="s">
        <v>511</v>
      </c>
      <c r="V665">
        <v>10304</v>
      </c>
      <c r="W665" t="s">
        <v>1831</v>
      </c>
      <c r="X665" t="s">
        <v>549</v>
      </c>
      <c r="Y665" t="s">
        <v>274</v>
      </c>
      <c r="Z665" t="s">
        <v>5850</v>
      </c>
      <c r="AA665" t="s">
        <v>6240</v>
      </c>
      <c r="AB665" t="s">
        <v>902</v>
      </c>
      <c r="AC665" t="s">
        <v>904</v>
      </c>
      <c r="AF665" t="s">
        <v>923</v>
      </c>
      <c r="AI665">
        <v>6.1</v>
      </c>
      <c r="AJ665" t="s">
        <v>558</v>
      </c>
      <c r="AK665" t="s">
        <v>3268</v>
      </c>
      <c r="AL665" t="s">
        <v>274</v>
      </c>
      <c r="AT665">
        <v>0</v>
      </c>
      <c r="AU665">
        <v>3</v>
      </c>
      <c r="AV665" t="s">
        <v>273</v>
      </c>
      <c r="AY665" t="s">
        <v>273</v>
      </c>
      <c r="BB665">
        <v>0</v>
      </c>
      <c r="BC665">
        <v>0</v>
      </c>
      <c r="BD665">
        <v>0</v>
      </c>
      <c r="BE665">
        <v>0</v>
      </c>
      <c r="BF665" t="s">
        <v>1063</v>
      </c>
      <c r="BG665" t="s">
        <v>6692</v>
      </c>
      <c r="BH665">
        <v>25</v>
      </c>
      <c r="BI665" t="s">
        <v>1274</v>
      </c>
      <c r="BJ665" t="s">
        <v>1736</v>
      </c>
      <c r="BK665">
        <v>73465</v>
      </c>
    </row>
    <row r="666" spans="1:63">
      <c r="A666" s="1">
        <f>HYPERLINK("https://lsnyc.legalserver.org/matter/dynamic-profile/view/1852725","17-1852725")</f>
        <v>0</v>
      </c>
      <c r="B666" t="s">
        <v>5400</v>
      </c>
      <c r="C666" t="s">
        <v>5625</v>
      </c>
      <c r="D666" t="s">
        <v>254</v>
      </c>
      <c r="E666" t="s">
        <v>3694</v>
      </c>
      <c r="F666" t="s">
        <v>274</v>
      </c>
      <c r="G666" t="s">
        <v>274</v>
      </c>
      <c r="H666">
        <v>63.24</v>
      </c>
      <c r="I666" t="s">
        <v>274</v>
      </c>
      <c r="K666" t="s">
        <v>4522</v>
      </c>
      <c r="O666" t="s">
        <v>275</v>
      </c>
      <c r="P666" t="s">
        <v>498</v>
      </c>
      <c r="Q666" t="s">
        <v>501</v>
      </c>
      <c r="S666" t="s">
        <v>503</v>
      </c>
      <c r="T666" t="s">
        <v>507</v>
      </c>
      <c r="U666" t="s">
        <v>511</v>
      </c>
      <c r="V666">
        <v>10303</v>
      </c>
      <c r="W666" t="s">
        <v>517</v>
      </c>
      <c r="X666" t="s">
        <v>548</v>
      </c>
      <c r="Y666" t="s">
        <v>274</v>
      </c>
      <c r="Z666" t="s">
        <v>5897</v>
      </c>
      <c r="AA666" t="s">
        <v>815</v>
      </c>
      <c r="AB666" t="s">
        <v>902</v>
      </c>
      <c r="AC666" t="s">
        <v>904</v>
      </c>
      <c r="AF666" t="s">
        <v>923</v>
      </c>
      <c r="AI666">
        <v>3.7</v>
      </c>
      <c r="AJ666" t="s">
        <v>558</v>
      </c>
      <c r="AK666" t="s">
        <v>933</v>
      </c>
      <c r="AT666">
        <v>3</v>
      </c>
      <c r="AU666">
        <v>2</v>
      </c>
      <c r="AV666" t="s">
        <v>273</v>
      </c>
      <c r="AY666" t="s">
        <v>273</v>
      </c>
      <c r="BB666">
        <v>0</v>
      </c>
      <c r="BC666">
        <v>0</v>
      </c>
      <c r="BD666">
        <v>0</v>
      </c>
      <c r="BE666">
        <v>0</v>
      </c>
      <c r="BF666" t="s">
        <v>1063</v>
      </c>
      <c r="BG666" t="s">
        <v>2709</v>
      </c>
      <c r="BH666">
        <v>44</v>
      </c>
      <c r="BI666" t="s">
        <v>1260</v>
      </c>
      <c r="BK666">
        <v>1853269</v>
      </c>
    </row>
    <row r="667" spans="1:63">
      <c r="A667" s="1">
        <f>HYPERLINK("https://lsnyc.legalserver.org/matter/dynamic-profile/view/1855379","18-1855379")</f>
        <v>0</v>
      </c>
      <c r="B667" t="s">
        <v>5592</v>
      </c>
      <c r="C667" t="s">
        <v>5625</v>
      </c>
      <c r="D667" t="s">
        <v>253</v>
      </c>
      <c r="E667" t="s">
        <v>3694</v>
      </c>
      <c r="F667" t="s">
        <v>274</v>
      </c>
      <c r="G667" t="s">
        <v>274</v>
      </c>
      <c r="H667">
        <v>0</v>
      </c>
      <c r="I667" t="s">
        <v>274</v>
      </c>
      <c r="K667" t="s">
        <v>4522</v>
      </c>
      <c r="O667" t="s">
        <v>275</v>
      </c>
      <c r="P667" t="s">
        <v>498</v>
      </c>
      <c r="Q667" t="s">
        <v>501</v>
      </c>
      <c r="S667" t="s">
        <v>503</v>
      </c>
      <c r="T667" t="s">
        <v>507</v>
      </c>
      <c r="U667" t="s">
        <v>511</v>
      </c>
      <c r="V667">
        <v>11423</v>
      </c>
      <c r="W667" t="s">
        <v>521</v>
      </c>
      <c r="X667" t="s">
        <v>549</v>
      </c>
      <c r="Z667" t="s">
        <v>6032</v>
      </c>
      <c r="AA667" t="s">
        <v>3163</v>
      </c>
      <c r="AB667" t="s">
        <v>902</v>
      </c>
      <c r="AC667" t="s">
        <v>906</v>
      </c>
      <c r="AF667" t="s">
        <v>923</v>
      </c>
      <c r="AI667">
        <v>9</v>
      </c>
      <c r="AJ667" t="s">
        <v>558</v>
      </c>
      <c r="AK667" t="s">
        <v>939</v>
      </c>
      <c r="AT667">
        <v>0</v>
      </c>
      <c r="AU667">
        <v>1</v>
      </c>
      <c r="AV667" t="s">
        <v>273</v>
      </c>
      <c r="AY667" t="s">
        <v>273</v>
      </c>
      <c r="BB667">
        <v>0</v>
      </c>
      <c r="BC667">
        <v>0</v>
      </c>
      <c r="BD667">
        <v>0</v>
      </c>
      <c r="BE667">
        <v>0</v>
      </c>
      <c r="BF667" t="s">
        <v>1063</v>
      </c>
      <c r="BG667" t="s">
        <v>6940</v>
      </c>
      <c r="BH667">
        <v>23</v>
      </c>
      <c r="BI667" t="s">
        <v>1247</v>
      </c>
      <c r="BK667">
        <v>1855942</v>
      </c>
    </row>
    <row r="668" spans="1:63">
      <c r="A668" s="1">
        <f>HYPERLINK("https://lsnyc.legalserver.org/matter/dynamic-profile/view/1854936","18-1854936")</f>
        <v>0</v>
      </c>
      <c r="B668" t="s">
        <v>5472</v>
      </c>
      <c r="C668" t="s">
        <v>5625</v>
      </c>
      <c r="D668" t="s">
        <v>257</v>
      </c>
      <c r="E668" t="s">
        <v>3694</v>
      </c>
      <c r="F668" t="s">
        <v>274</v>
      </c>
      <c r="G668" t="s">
        <v>274</v>
      </c>
      <c r="H668">
        <v>150.91</v>
      </c>
      <c r="I668" t="s">
        <v>274</v>
      </c>
      <c r="K668" t="s">
        <v>416</v>
      </c>
      <c r="O668" t="s">
        <v>274</v>
      </c>
      <c r="P668" t="s">
        <v>497</v>
      </c>
      <c r="Q668" t="s">
        <v>501</v>
      </c>
      <c r="S668" t="s">
        <v>503</v>
      </c>
      <c r="T668" t="s">
        <v>507</v>
      </c>
      <c r="U668" t="s">
        <v>511</v>
      </c>
      <c r="V668">
        <v>10456</v>
      </c>
      <c r="W668" t="s">
        <v>517</v>
      </c>
      <c r="X668" t="s">
        <v>548</v>
      </c>
      <c r="Y668" t="s">
        <v>274</v>
      </c>
      <c r="Z668" t="s">
        <v>5947</v>
      </c>
      <c r="AA668" t="s">
        <v>4047</v>
      </c>
      <c r="AB668" t="s">
        <v>902</v>
      </c>
      <c r="AC668" t="s">
        <v>904</v>
      </c>
      <c r="AF668" t="s">
        <v>923</v>
      </c>
      <c r="AI668">
        <v>3.71</v>
      </c>
      <c r="AJ668" t="s">
        <v>558</v>
      </c>
      <c r="AK668" t="s">
        <v>933</v>
      </c>
      <c r="AM668" t="s">
        <v>973</v>
      </c>
      <c r="AT668">
        <v>0</v>
      </c>
      <c r="AU668">
        <v>1</v>
      </c>
      <c r="AV668" t="s">
        <v>273</v>
      </c>
      <c r="AY668" t="s">
        <v>273</v>
      </c>
      <c r="BB668">
        <v>0</v>
      </c>
      <c r="BC668">
        <v>0</v>
      </c>
      <c r="BD668">
        <v>0</v>
      </c>
      <c r="BE668">
        <v>0</v>
      </c>
      <c r="BF668" t="s">
        <v>1063</v>
      </c>
      <c r="BG668" t="s">
        <v>6825</v>
      </c>
      <c r="BH668">
        <v>58</v>
      </c>
      <c r="BI668" t="s">
        <v>1260</v>
      </c>
      <c r="BK668">
        <v>1855493</v>
      </c>
    </row>
    <row r="669" spans="1:63">
      <c r="A669" s="1">
        <f>HYPERLINK("https://lsnyc.legalserver.org/matter/dynamic-profile/view/1854155","17-1854155")</f>
        <v>0</v>
      </c>
      <c r="B669" t="s">
        <v>5324</v>
      </c>
      <c r="C669" t="s">
        <v>5625</v>
      </c>
      <c r="D669" t="s">
        <v>252</v>
      </c>
      <c r="E669" t="s">
        <v>3694</v>
      </c>
      <c r="F669" t="s">
        <v>274</v>
      </c>
      <c r="G669" t="s">
        <v>274</v>
      </c>
      <c r="H669">
        <v>0</v>
      </c>
      <c r="I669" t="s">
        <v>274</v>
      </c>
      <c r="K669" t="s">
        <v>2399</v>
      </c>
      <c r="O669" t="s">
        <v>274</v>
      </c>
      <c r="P669" t="s">
        <v>499</v>
      </c>
      <c r="Q669" t="s">
        <v>501</v>
      </c>
      <c r="S669" t="s">
        <v>503</v>
      </c>
      <c r="T669" t="s">
        <v>508</v>
      </c>
      <c r="U669" t="s">
        <v>511</v>
      </c>
      <c r="V669">
        <v>11210</v>
      </c>
      <c r="W669" t="s">
        <v>517</v>
      </c>
      <c r="X669" t="s">
        <v>549</v>
      </c>
      <c r="Y669" t="s">
        <v>275</v>
      </c>
      <c r="Z669" t="s">
        <v>5707</v>
      </c>
      <c r="AA669" t="s">
        <v>688</v>
      </c>
      <c r="AB669" t="s">
        <v>902</v>
      </c>
      <c r="AC669" t="s">
        <v>904</v>
      </c>
      <c r="AF669" t="s">
        <v>923</v>
      </c>
      <c r="AI669">
        <v>4.1</v>
      </c>
      <c r="AJ669" t="s">
        <v>558</v>
      </c>
      <c r="AK669" t="s">
        <v>939</v>
      </c>
      <c r="AL669" t="s">
        <v>274</v>
      </c>
      <c r="AT669">
        <v>0</v>
      </c>
      <c r="AU669">
        <v>1</v>
      </c>
      <c r="AV669" t="s">
        <v>273</v>
      </c>
      <c r="AY669" t="s">
        <v>273</v>
      </c>
      <c r="BB669">
        <v>0</v>
      </c>
      <c r="BC669">
        <v>0</v>
      </c>
      <c r="BD669">
        <v>0</v>
      </c>
      <c r="BE669">
        <v>0</v>
      </c>
      <c r="BF669" t="s">
        <v>1063</v>
      </c>
      <c r="BG669" t="s">
        <v>6693</v>
      </c>
      <c r="BH669">
        <v>50</v>
      </c>
      <c r="BI669" t="s">
        <v>1247</v>
      </c>
      <c r="BJ669" t="s">
        <v>1736</v>
      </c>
      <c r="BK669">
        <v>1854706</v>
      </c>
    </row>
    <row r="670" spans="1:63">
      <c r="A670" s="1">
        <f>HYPERLINK("https://lsnyc.legalserver.org/matter/dynamic-profile/view/1854195","17-1854195")</f>
        <v>0</v>
      </c>
      <c r="B670" t="s">
        <v>5540</v>
      </c>
      <c r="C670" t="s">
        <v>5625</v>
      </c>
      <c r="D670" t="s">
        <v>252</v>
      </c>
      <c r="E670" t="s">
        <v>3694</v>
      </c>
      <c r="F670" t="s">
        <v>274</v>
      </c>
      <c r="G670" t="s">
        <v>274</v>
      </c>
      <c r="H670">
        <v>8.26</v>
      </c>
      <c r="I670" t="s">
        <v>274</v>
      </c>
      <c r="K670" t="s">
        <v>2399</v>
      </c>
      <c r="O670" t="s">
        <v>274</v>
      </c>
      <c r="P670" t="s">
        <v>498</v>
      </c>
      <c r="Q670" t="s">
        <v>501</v>
      </c>
      <c r="S670" t="s">
        <v>503</v>
      </c>
      <c r="T670" t="s">
        <v>508</v>
      </c>
      <c r="U670" t="s">
        <v>511</v>
      </c>
      <c r="V670">
        <v>11207</v>
      </c>
      <c r="W670" t="s">
        <v>517</v>
      </c>
      <c r="X670" t="s">
        <v>552</v>
      </c>
      <c r="Y670" t="s">
        <v>275</v>
      </c>
      <c r="Z670" t="s">
        <v>5993</v>
      </c>
      <c r="AA670" t="s">
        <v>6394</v>
      </c>
      <c r="AB670" t="s">
        <v>902</v>
      </c>
      <c r="AC670" t="s">
        <v>904</v>
      </c>
      <c r="AF670" t="s">
        <v>923</v>
      </c>
      <c r="AI670">
        <v>5.6</v>
      </c>
      <c r="AJ670" t="s">
        <v>558</v>
      </c>
      <c r="AK670" t="s">
        <v>937</v>
      </c>
      <c r="AT670">
        <v>0</v>
      </c>
      <c r="AU670">
        <v>1</v>
      </c>
      <c r="AV670" t="s">
        <v>273</v>
      </c>
      <c r="AY670" t="s">
        <v>273</v>
      </c>
      <c r="BB670">
        <v>0</v>
      </c>
      <c r="BC670">
        <v>0</v>
      </c>
      <c r="BD670">
        <v>0</v>
      </c>
      <c r="BE670">
        <v>0</v>
      </c>
      <c r="BF670" t="s">
        <v>1063</v>
      </c>
      <c r="BG670" t="s">
        <v>6889</v>
      </c>
      <c r="BH670">
        <v>62</v>
      </c>
      <c r="BI670" t="s">
        <v>7117</v>
      </c>
      <c r="BK670">
        <v>1854742</v>
      </c>
    </row>
    <row r="671" spans="1:63">
      <c r="A671" s="1">
        <f>HYPERLINK("https://lsnyc.legalserver.org/matter/dynamic-profile/view/1854006","17-1854006")</f>
        <v>0</v>
      </c>
      <c r="B671" t="s">
        <v>5593</v>
      </c>
      <c r="C671" t="s">
        <v>5625</v>
      </c>
      <c r="D671" t="s">
        <v>252</v>
      </c>
      <c r="E671" t="s">
        <v>3694</v>
      </c>
      <c r="F671" t="s">
        <v>274</v>
      </c>
      <c r="G671" t="s">
        <v>274</v>
      </c>
      <c r="H671">
        <v>0</v>
      </c>
      <c r="I671" t="s">
        <v>274</v>
      </c>
      <c r="K671" t="s">
        <v>417</v>
      </c>
      <c r="O671" t="s">
        <v>275</v>
      </c>
      <c r="P671" t="s">
        <v>499</v>
      </c>
      <c r="Q671" t="s">
        <v>501</v>
      </c>
      <c r="S671" t="s">
        <v>503</v>
      </c>
      <c r="T671" t="s">
        <v>507</v>
      </c>
      <c r="U671" t="s">
        <v>511</v>
      </c>
      <c r="V671">
        <v>11209</v>
      </c>
      <c r="W671" t="s">
        <v>521</v>
      </c>
      <c r="X671" t="s">
        <v>553</v>
      </c>
      <c r="Y671" t="s">
        <v>275</v>
      </c>
      <c r="Z671" t="s">
        <v>6033</v>
      </c>
      <c r="AA671" t="s">
        <v>6428</v>
      </c>
      <c r="AB671" t="s">
        <v>902</v>
      </c>
      <c r="AC671" t="s">
        <v>906</v>
      </c>
      <c r="AF671" t="s">
        <v>923</v>
      </c>
      <c r="AI671">
        <v>8.800000000000001</v>
      </c>
      <c r="AJ671" t="s">
        <v>558</v>
      </c>
      <c r="AK671" t="s">
        <v>948</v>
      </c>
      <c r="AT671">
        <v>0</v>
      </c>
      <c r="AU671">
        <v>1</v>
      </c>
      <c r="AV671" t="s">
        <v>273</v>
      </c>
      <c r="AY671" t="s">
        <v>273</v>
      </c>
      <c r="BB671">
        <v>0</v>
      </c>
      <c r="BC671">
        <v>0</v>
      </c>
      <c r="BD671">
        <v>0</v>
      </c>
      <c r="BE671">
        <v>0</v>
      </c>
      <c r="BF671" t="s">
        <v>1063</v>
      </c>
      <c r="BG671" t="s">
        <v>6941</v>
      </c>
      <c r="BH671">
        <v>26</v>
      </c>
      <c r="BI671" t="s">
        <v>1247</v>
      </c>
      <c r="BK671">
        <v>1854555</v>
      </c>
    </row>
    <row r="672" spans="1:63">
      <c r="A672" s="1">
        <f>HYPERLINK("https://lsnyc.legalserver.org/matter/dynamic-profile/view/1853948","17-1853948")</f>
        <v>0</v>
      </c>
      <c r="B672" t="s">
        <v>5594</v>
      </c>
      <c r="C672" t="s">
        <v>5625</v>
      </c>
      <c r="D672" t="s">
        <v>257</v>
      </c>
      <c r="E672" t="s">
        <v>3694</v>
      </c>
      <c r="F672" t="s">
        <v>274</v>
      </c>
      <c r="G672" t="s">
        <v>274</v>
      </c>
      <c r="H672">
        <v>2.49</v>
      </c>
      <c r="I672" t="s">
        <v>274</v>
      </c>
      <c r="K672" t="s">
        <v>5655</v>
      </c>
      <c r="O672" t="s">
        <v>275</v>
      </c>
      <c r="Q672" t="s">
        <v>501</v>
      </c>
      <c r="R672" t="s">
        <v>501</v>
      </c>
      <c r="S672" t="s">
        <v>503</v>
      </c>
      <c r="T672" t="s">
        <v>508</v>
      </c>
      <c r="U672" t="s">
        <v>511</v>
      </c>
      <c r="V672">
        <v>10467</v>
      </c>
      <c r="W672" t="s">
        <v>521</v>
      </c>
      <c r="X672" t="s">
        <v>549</v>
      </c>
      <c r="Z672" t="s">
        <v>6034</v>
      </c>
      <c r="AA672" t="s">
        <v>6398</v>
      </c>
      <c r="AB672" t="s">
        <v>902</v>
      </c>
      <c r="AC672" t="s">
        <v>905</v>
      </c>
      <c r="AF672" t="s">
        <v>923</v>
      </c>
      <c r="AI672">
        <v>3.15</v>
      </c>
      <c r="AJ672" t="s">
        <v>558</v>
      </c>
      <c r="AK672" t="s">
        <v>939</v>
      </c>
      <c r="AT672">
        <v>0</v>
      </c>
      <c r="AU672">
        <v>1</v>
      </c>
      <c r="AV672" t="s">
        <v>273</v>
      </c>
      <c r="AY672" t="s">
        <v>273</v>
      </c>
      <c r="BB672">
        <v>0</v>
      </c>
      <c r="BC672">
        <v>0</v>
      </c>
      <c r="BD672">
        <v>0</v>
      </c>
      <c r="BE672">
        <v>0</v>
      </c>
      <c r="BF672" t="s">
        <v>1063</v>
      </c>
      <c r="BG672" t="s">
        <v>6942</v>
      </c>
      <c r="BH672">
        <v>27</v>
      </c>
      <c r="BI672" t="s">
        <v>7133</v>
      </c>
      <c r="BK672">
        <v>1854497</v>
      </c>
    </row>
    <row r="673" spans="1:63">
      <c r="A673" s="1">
        <f>HYPERLINK("https://lsnyc.legalserver.org/matter/dynamic-profile/view/1853828","17-1853828")</f>
        <v>0</v>
      </c>
      <c r="B673" t="s">
        <v>5595</v>
      </c>
      <c r="C673" t="s">
        <v>5625</v>
      </c>
      <c r="D673" t="s">
        <v>255</v>
      </c>
      <c r="E673" t="s">
        <v>3694</v>
      </c>
      <c r="F673" t="s">
        <v>274</v>
      </c>
      <c r="G673" t="s">
        <v>274</v>
      </c>
      <c r="H673">
        <v>48.03</v>
      </c>
      <c r="I673" t="s">
        <v>274</v>
      </c>
      <c r="K673" t="s">
        <v>3008</v>
      </c>
      <c r="O673" t="s">
        <v>275</v>
      </c>
      <c r="Q673" t="s">
        <v>501</v>
      </c>
      <c r="S673" t="s">
        <v>503</v>
      </c>
      <c r="T673" t="s">
        <v>508</v>
      </c>
      <c r="U673" t="s">
        <v>511</v>
      </c>
      <c r="V673">
        <v>10011</v>
      </c>
      <c r="W673" t="s">
        <v>521</v>
      </c>
      <c r="X673" t="s">
        <v>553</v>
      </c>
      <c r="Z673" t="s">
        <v>6035</v>
      </c>
      <c r="AA673" t="s">
        <v>6429</v>
      </c>
      <c r="AB673" t="s">
        <v>902</v>
      </c>
      <c r="AC673" t="s">
        <v>905</v>
      </c>
      <c r="AF673" t="s">
        <v>923</v>
      </c>
      <c r="AI673">
        <v>7.9</v>
      </c>
      <c r="AJ673" t="s">
        <v>558</v>
      </c>
      <c r="AK673" t="s">
        <v>948</v>
      </c>
      <c r="AT673">
        <v>0</v>
      </c>
      <c r="AU673">
        <v>2</v>
      </c>
      <c r="AV673" t="s">
        <v>273</v>
      </c>
      <c r="AY673" t="s">
        <v>273</v>
      </c>
      <c r="BB673">
        <v>0</v>
      </c>
      <c r="BC673">
        <v>0</v>
      </c>
      <c r="BD673">
        <v>0</v>
      </c>
      <c r="BE673">
        <v>0</v>
      </c>
      <c r="BF673" t="s">
        <v>1063</v>
      </c>
      <c r="BG673" t="s">
        <v>6943</v>
      </c>
      <c r="BH673">
        <v>42</v>
      </c>
      <c r="BI673" t="s">
        <v>2771</v>
      </c>
      <c r="BK673">
        <v>1854377</v>
      </c>
    </row>
    <row r="674" spans="1:63">
      <c r="A674" s="1">
        <f>HYPERLINK("https://lsnyc.legalserver.org/matter/dynamic-profile/view/1853837","17-1853837")</f>
        <v>0</v>
      </c>
      <c r="B674" t="s">
        <v>5596</v>
      </c>
      <c r="C674" t="s">
        <v>5625</v>
      </c>
      <c r="D674" t="s">
        <v>255</v>
      </c>
      <c r="E674" t="s">
        <v>3694</v>
      </c>
      <c r="F674" t="s">
        <v>274</v>
      </c>
      <c r="G674" t="s">
        <v>274</v>
      </c>
      <c r="H674">
        <v>48.03</v>
      </c>
      <c r="I674" t="s">
        <v>274</v>
      </c>
      <c r="K674" t="s">
        <v>3008</v>
      </c>
      <c r="O674" t="s">
        <v>275</v>
      </c>
      <c r="P674" t="s">
        <v>497</v>
      </c>
      <c r="Q674" t="s">
        <v>501</v>
      </c>
      <c r="S674" t="s">
        <v>503</v>
      </c>
      <c r="T674" t="s">
        <v>507</v>
      </c>
      <c r="U674" t="s">
        <v>511</v>
      </c>
      <c r="V674">
        <v>10011</v>
      </c>
      <c r="W674" t="s">
        <v>521</v>
      </c>
      <c r="X674" t="s">
        <v>553</v>
      </c>
      <c r="Z674" t="s">
        <v>726</v>
      </c>
      <c r="AA674" t="s">
        <v>6430</v>
      </c>
      <c r="AB674" t="s">
        <v>902</v>
      </c>
      <c r="AC674" t="s">
        <v>905</v>
      </c>
      <c r="AF674" t="s">
        <v>923</v>
      </c>
      <c r="AI674">
        <v>4.35</v>
      </c>
      <c r="AJ674" t="s">
        <v>558</v>
      </c>
      <c r="AK674" t="s">
        <v>948</v>
      </c>
      <c r="AT674">
        <v>0</v>
      </c>
      <c r="AU674">
        <v>2</v>
      </c>
      <c r="AV674" t="s">
        <v>273</v>
      </c>
      <c r="AY674" t="s">
        <v>273</v>
      </c>
      <c r="BB674">
        <v>0</v>
      </c>
      <c r="BC674">
        <v>0</v>
      </c>
      <c r="BD674">
        <v>0</v>
      </c>
      <c r="BE674">
        <v>0</v>
      </c>
      <c r="BF674" t="s">
        <v>1063</v>
      </c>
      <c r="BG674" t="s">
        <v>6944</v>
      </c>
      <c r="BH674">
        <v>34</v>
      </c>
      <c r="BI674" t="s">
        <v>1270</v>
      </c>
      <c r="BK674">
        <v>1854377</v>
      </c>
    </row>
    <row r="675" spans="1:63">
      <c r="A675" s="1">
        <f>HYPERLINK("https://lsnyc.legalserver.org/matter/dynamic-profile/view/1852559","17-1852559")</f>
        <v>0</v>
      </c>
      <c r="B675" t="s">
        <v>5597</v>
      </c>
      <c r="C675" t="s">
        <v>5625</v>
      </c>
      <c r="D675" t="s">
        <v>253</v>
      </c>
      <c r="E675" t="s">
        <v>3694</v>
      </c>
      <c r="F675" t="s">
        <v>274</v>
      </c>
      <c r="G675" t="s">
        <v>274</v>
      </c>
      <c r="H675">
        <v>0</v>
      </c>
      <c r="I675" t="s">
        <v>274</v>
      </c>
      <c r="K675" t="s">
        <v>3726</v>
      </c>
      <c r="O675" t="s">
        <v>275</v>
      </c>
      <c r="Q675" t="s">
        <v>501</v>
      </c>
      <c r="S675" t="s">
        <v>503</v>
      </c>
      <c r="T675" t="s">
        <v>507</v>
      </c>
      <c r="U675" t="s">
        <v>511</v>
      </c>
      <c r="V675">
        <v>11435</v>
      </c>
      <c r="W675" t="s">
        <v>518</v>
      </c>
      <c r="X675" t="s">
        <v>549</v>
      </c>
      <c r="Y675" t="s">
        <v>274</v>
      </c>
      <c r="Z675" t="s">
        <v>6036</v>
      </c>
      <c r="AA675" t="s">
        <v>727</v>
      </c>
      <c r="AB675" t="s">
        <v>902</v>
      </c>
      <c r="AC675" t="s">
        <v>905</v>
      </c>
      <c r="AF675" t="s">
        <v>923</v>
      </c>
      <c r="AI675">
        <v>4.4</v>
      </c>
      <c r="AJ675" t="s">
        <v>558</v>
      </c>
      <c r="AK675" t="s">
        <v>939</v>
      </c>
      <c r="AT675">
        <v>0</v>
      </c>
      <c r="AU675">
        <v>1</v>
      </c>
      <c r="AV675" t="s">
        <v>273</v>
      </c>
      <c r="AY675" t="s">
        <v>273</v>
      </c>
      <c r="BB675">
        <v>0</v>
      </c>
      <c r="BC675">
        <v>0</v>
      </c>
      <c r="BD675">
        <v>0</v>
      </c>
      <c r="BE675">
        <v>0</v>
      </c>
      <c r="BF675" t="s">
        <v>1063</v>
      </c>
      <c r="BG675" t="s">
        <v>6945</v>
      </c>
      <c r="BH675">
        <v>27</v>
      </c>
      <c r="BI675" t="s">
        <v>1247</v>
      </c>
      <c r="BK675">
        <v>1853103</v>
      </c>
    </row>
    <row r="676" spans="1:63">
      <c r="A676" s="1">
        <f>HYPERLINK("https://lsnyc.legalserver.org/matter/dynamic-profile/view/1853173","17-1853173")</f>
        <v>0</v>
      </c>
      <c r="B676" t="s">
        <v>5511</v>
      </c>
      <c r="C676" t="s">
        <v>5625</v>
      </c>
      <c r="D676" t="s">
        <v>253</v>
      </c>
      <c r="E676" t="s">
        <v>3694</v>
      </c>
      <c r="F676" t="s">
        <v>274</v>
      </c>
      <c r="G676" t="s">
        <v>274</v>
      </c>
      <c r="H676">
        <v>19.9</v>
      </c>
      <c r="I676" t="s">
        <v>274</v>
      </c>
      <c r="K676" t="s">
        <v>1769</v>
      </c>
      <c r="O676" t="s">
        <v>274</v>
      </c>
      <c r="P676" t="s">
        <v>492</v>
      </c>
      <c r="Q676" t="s">
        <v>501</v>
      </c>
      <c r="S676" t="s">
        <v>503</v>
      </c>
      <c r="T676" t="s">
        <v>508</v>
      </c>
      <c r="U676" t="s">
        <v>511</v>
      </c>
      <c r="V676">
        <v>11104</v>
      </c>
      <c r="W676" t="s">
        <v>516</v>
      </c>
      <c r="X676" t="s">
        <v>3027</v>
      </c>
      <c r="Y676" t="s">
        <v>275</v>
      </c>
      <c r="Z676" t="s">
        <v>5972</v>
      </c>
      <c r="AA676" t="s">
        <v>6375</v>
      </c>
      <c r="AB676" t="s">
        <v>902</v>
      </c>
      <c r="AC676" t="s">
        <v>904</v>
      </c>
      <c r="AF676" t="s">
        <v>923</v>
      </c>
      <c r="AI676">
        <v>11.8</v>
      </c>
      <c r="AJ676" t="s">
        <v>558</v>
      </c>
      <c r="AK676" t="s">
        <v>6462</v>
      </c>
      <c r="AS676" t="s">
        <v>1061</v>
      </c>
      <c r="AT676">
        <v>0</v>
      </c>
      <c r="AU676">
        <v>1</v>
      </c>
      <c r="AV676" t="s">
        <v>273</v>
      </c>
      <c r="AY676" t="s">
        <v>273</v>
      </c>
      <c r="BB676">
        <v>0</v>
      </c>
      <c r="BC676">
        <v>0</v>
      </c>
      <c r="BD676">
        <v>0</v>
      </c>
      <c r="BE676">
        <v>0</v>
      </c>
      <c r="BF676" t="s">
        <v>1063</v>
      </c>
      <c r="BG676" t="s">
        <v>6862</v>
      </c>
      <c r="BH676">
        <v>53</v>
      </c>
      <c r="BI676" t="s">
        <v>1291</v>
      </c>
      <c r="BK676">
        <v>1853717</v>
      </c>
    </row>
    <row r="677" spans="1:63">
      <c r="A677" s="1">
        <f>HYPERLINK("https://lsnyc.legalserver.org/matter/dynamic-profile/view/1852061","17-1852061")</f>
        <v>0</v>
      </c>
      <c r="B677" t="s">
        <v>5598</v>
      </c>
      <c r="C677" t="s">
        <v>5625</v>
      </c>
      <c r="D677" t="s">
        <v>255</v>
      </c>
      <c r="E677" t="s">
        <v>3694</v>
      </c>
      <c r="F677" t="s">
        <v>274</v>
      </c>
      <c r="G677" t="s">
        <v>274</v>
      </c>
      <c r="H677">
        <v>258.71</v>
      </c>
      <c r="I677" t="s">
        <v>275</v>
      </c>
      <c r="J677" t="s">
        <v>5632</v>
      </c>
      <c r="K677" t="s">
        <v>1770</v>
      </c>
      <c r="O677" t="s">
        <v>275</v>
      </c>
      <c r="Q677" t="s">
        <v>501</v>
      </c>
      <c r="S677" t="s">
        <v>503</v>
      </c>
      <c r="T677" t="s">
        <v>507</v>
      </c>
      <c r="U677" t="s">
        <v>511</v>
      </c>
      <c r="V677">
        <v>10014</v>
      </c>
      <c r="W677" t="s">
        <v>521</v>
      </c>
      <c r="X677" t="s">
        <v>553</v>
      </c>
      <c r="Y677" t="s">
        <v>275</v>
      </c>
      <c r="Z677" t="s">
        <v>5685</v>
      </c>
      <c r="AA677" t="s">
        <v>6431</v>
      </c>
      <c r="AB677" t="s">
        <v>902</v>
      </c>
      <c r="AC677" t="s">
        <v>905</v>
      </c>
      <c r="AF677" t="s">
        <v>923</v>
      </c>
      <c r="AI677">
        <v>8</v>
      </c>
      <c r="AJ677" t="s">
        <v>558</v>
      </c>
      <c r="AK677" t="s">
        <v>948</v>
      </c>
      <c r="AT677">
        <v>0</v>
      </c>
      <c r="AU677">
        <v>1</v>
      </c>
      <c r="AV677" t="s">
        <v>273</v>
      </c>
      <c r="AY677" t="s">
        <v>273</v>
      </c>
      <c r="BB677">
        <v>0</v>
      </c>
      <c r="BC677">
        <v>0</v>
      </c>
      <c r="BD677">
        <v>0</v>
      </c>
      <c r="BE677">
        <v>0</v>
      </c>
      <c r="BF677" t="s">
        <v>1063</v>
      </c>
      <c r="BG677" t="s">
        <v>6946</v>
      </c>
      <c r="BH677">
        <v>26</v>
      </c>
      <c r="BI677" t="s">
        <v>1254</v>
      </c>
      <c r="BK677">
        <v>1852603</v>
      </c>
    </row>
    <row r="678" spans="1:63">
      <c r="A678" s="1">
        <f>HYPERLINK("https://lsnyc.legalserver.org/matter/dynamic-profile/view/1852062","17-1852062")</f>
        <v>0</v>
      </c>
      <c r="B678" t="s">
        <v>5559</v>
      </c>
      <c r="C678" t="s">
        <v>5625</v>
      </c>
      <c r="D678" t="s">
        <v>253</v>
      </c>
      <c r="E678" t="s">
        <v>3694</v>
      </c>
      <c r="F678" t="s">
        <v>274</v>
      </c>
      <c r="G678" t="s">
        <v>274</v>
      </c>
      <c r="H678">
        <v>0</v>
      </c>
      <c r="I678" t="s">
        <v>274</v>
      </c>
      <c r="K678" t="s">
        <v>1770</v>
      </c>
      <c r="Q678" t="s">
        <v>501</v>
      </c>
      <c r="S678" t="s">
        <v>503</v>
      </c>
      <c r="T678" t="s">
        <v>508</v>
      </c>
      <c r="U678" t="s">
        <v>511</v>
      </c>
      <c r="V678">
        <v>11433</v>
      </c>
      <c r="W678" t="s">
        <v>532</v>
      </c>
      <c r="X678" t="s">
        <v>548</v>
      </c>
      <c r="Z678" t="s">
        <v>6009</v>
      </c>
      <c r="AA678" t="s">
        <v>6405</v>
      </c>
      <c r="AB678" t="s">
        <v>902</v>
      </c>
      <c r="AC678" t="s">
        <v>905</v>
      </c>
      <c r="AF678" t="s">
        <v>923</v>
      </c>
      <c r="AI678">
        <v>31.3</v>
      </c>
      <c r="AJ678" t="s">
        <v>558</v>
      </c>
      <c r="AK678" t="s">
        <v>934</v>
      </c>
      <c r="AL678" t="s">
        <v>274</v>
      </c>
      <c r="AS678" t="s">
        <v>1061</v>
      </c>
      <c r="AT678">
        <v>1</v>
      </c>
      <c r="AU678">
        <v>1</v>
      </c>
      <c r="AV678" t="s">
        <v>273</v>
      </c>
      <c r="AY678" t="s">
        <v>273</v>
      </c>
      <c r="BB678">
        <v>0</v>
      </c>
      <c r="BC678">
        <v>0</v>
      </c>
      <c r="BD678">
        <v>0</v>
      </c>
      <c r="BE678">
        <v>0</v>
      </c>
      <c r="BF678" t="s">
        <v>1063</v>
      </c>
      <c r="BG678" t="s">
        <v>6908</v>
      </c>
      <c r="BH678">
        <v>30</v>
      </c>
      <c r="BI678" t="s">
        <v>1247</v>
      </c>
      <c r="BK678">
        <v>1852604</v>
      </c>
    </row>
    <row r="679" spans="1:63">
      <c r="A679" s="1">
        <f>HYPERLINK("https://lsnyc.legalserver.org/matter/dynamic-profile/view/1851855","17-1851855")</f>
        <v>0</v>
      </c>
      <c r="B679" t="s">
        <v>5599</v>
      </c>
      <c r="C679" t="s">
        <v>5625</v>
      </c>
      <c r="D679" t="s">
        <v>252</v>
      </c>
      <c r="E679" t="s">
        <v>1650</v>
      </c>
      <c r="F679" t="s">
        <v>274</v>
      </c>
      <c r="G679" t="s">
        <v>274</v>
      </c>
      <c r="H679">
        <v>49.72</v>
      </c>
      <c r="K679" t="s">
        <v>3727</v>
      </c>
      <c r="O679" t="s">
        <v>274</v>
      </c>
      <c r="Q679" t="s">
        <v>501</v>
      </c>
      <c r="S679" t="s">
        <v>503</v>
      </c>
      <c r="T679" t="s">
        <v>508</v>
      </c>
      <c r="U679" t="s">
        <v>511</v>
      </c>
      <c r="V679">
        <v>11208</v>
      </c>
      <c r="W679" t="s">
        <v>517</v>
      </c>
      <c r="X679" t="s">
        <v>548</v>
      </c>
      <c r="Y679" t="s">
        <v>275</v>
      </c>
      <c r="Z679" t="s">
        <v>6037</v>
      </c>
      <c r="AA679" t="s">
        <v>2346</v>
      </c>
      <c r="AB679" t="s">
        <v>902</v>
      </c>
      <c r="AC679" t="s">
        <v>904</v>
      </c>
      <c r="AD679" t="s">
        <v>916</v>
      </c>
      <c r="AF679" t="s">
        <v>923</v>
      </c>
      <c r="AI679">
        <v>8.65</v>
      </c>
      <c r="AJ679" t="s">
        <v>558</v>
      </c>
      <c r="AK679" t="s">
        <v>950</v>
      </c>
      <c r="AQ679" t="s">
        <v>1033</v>
      </c>
      <c r="AR679" t="s">
        <v>1052</v>
      </c>
      <c r="AT679">
        <v>1</v>
      </c>
      <c r="AU679">
        <v>2</v>
      </c>
      <c r="AV679" t="s">
        <v>273</v>
      </c>
      <c r="AY679" t="s">
        <v>273</v>
      </c>
      <c r="BB679">
        <v>0</v>
      </c>
      <c r="BC679">
        <v>0</v>
      </c>
      <c r="BD679">
        <v>0</v>
      </c>
      <c r="BE679">
        <v>0</v>
      </c>
      <c r="BF679" t="s">
        <v>1063</v>
      </c>
      <c r="BG679" t="s">
        <v>6947</v>
      </c>
      <c r="BH679">
        <v>51</v>
      </c>
      <c r="BI679" t="s">
        <v>7134</v>
      </c>
      <c r="BK679">
        <v>1852395</v>
      </c>
    </row>
    <row r="680" spans="1:63">
      <c r="A680" s="1">
        <f>HYPERLINK("https://lsnyc.legalserver.org/matter/dynamic-profile/view/1851452","17-1851452")</f>
        <v>0</v>
      </c>
      <c r="B680" t="s">
        <v>5600</v>
      </c>
      <c r="C680" t="s">
        <v>5625</v>
      </c>
      <c r="D680" t="s">
        <v>253</v>
      </c>
      <c r="E680" t="s">
        <v>3694</v>
      </c>
      <c r="F680" t="s">
        <v>274</v>
      </c>
      <c r="G680" t="s">
        <v>274</v>
      </c>
      <c r="H680">
        <v>0</v>
      </c>
      <c r="I680" t="s">
        <v>274</v>
      </c>
      <c r="K680" t="s">
        <v>1773</v>
      </c>
      <c r="O680" t="s">
        <v>275</v>
      </c>
      <c r="Q680" t="s">
        <v>501</v>
      </c>
      <c r="S680" t="s">
        <v>503</v>
      </c>
      <c r="T680" t="s">
        <v>507</v>
      </c>
      <c r="U680" t="s">
        <v>511</v>
      </c>
      <c r="V680">
        <v>11691</v>
      </c>
      <c r="W680" t="s">
        <v>521</v>
      </c>
      <c r="X680" t="s">
        <v>549</v>
      </c>
      <c r="Y680" t="s">
        <v>275</v>
      </c>
      <c r="Z680" t="s">
        <v>2043</v>
      </c>
      <c r="AA680" t="s">
        <v>6432</v>
      </c>
      <c r="AB680" t="s">
        <v>902</v>
      </c>
      <c r="AC680" t="s">
        <v>905</v>
      </c>
      <c r="AF680" t="s">
        <v>923</v>
      </c>
      <c r="AI680">
        <v>6.8</v>
      </c>
      <c r="AJ680" t="s">
        <v>558</v>
      </c>
      <c r="AK680" t="s">
        <v>939</v>
      </c>
      <c r="AT680">
        <v>0</v>
      </c>
      <c r="AU680">
        <v>1</v>
      </c>
      <c r="AV680" t="s">
        <v>273</v>
      </c>
      <c r="AY680" t="s">
        <v>273</v>
      </c>
      <c r="BB680">
        <v>0</v>
      </c>
      <c r="BC680">
        <v>0</v>
      </c>
      <c r="BD680">
        <v>0</v>
      </c>
      <c r="BE680">
        <v>0</v>
      </c>
      <c r="BF680" t="s">
        <v>1063</v>
      </c>
      <c r="BG680" t="s">
        <v>6948</v>
      </c>
      <c r="BH680">
        <v>39</v>
      </c>
      <c r="BI680" t="s">
        <v>1247</v>
      </c>
      <c r="BK680">
        <v>1851990</v>
      </c>
    </row>
    <row r="681" spans="1:63">
      <c r="A681" s="1">
        <f>HYPERLINK("https://lsnyc.legalserver.org/matter/dynamic-profile/view/1851338","17-1851338")</f>
        <v>0</v>
      </c>
      <c r="B681" t="s">
        <v>5556</v>
      </c>
      <c r="C681" t="s">
        <v>5625</v>
      </c>
      <c r="D681" t="s">
        <v>257</v>
      </c>
      <c r="E681" t="s">
        <v>3694</v>
      </c>
      <c r="F681" t="s">
        <v>274</v>
      </c>
      <c r="G681" t="s">
        <v>274</v>
      </c>
      <c r="H681">
        <v>19.5</v>
      </c>
      <c r="I681" t="s">
        <v>274</v>
      </c>
      <c r="K681" t="s">
        <v>5656</v>
      </c>
      <c r="O681" t="s">
        <v>274</v>
      </c>
      <c r="Q681" t="s">
        <v>501</v>
      </c>
      <c r="S681" t="s">
        <v>503</v>
      </c>
      <c r="T681" t="s">
        <v>508</v>
      </c>
      <c r="U681" t="s">
        <v>511</v>
      </c>
      <c r="V681">
        <v>10459</v>
      </c>
      <c r="W681" t="s">
        <v>517</v>
      </c>
      <c r="X681" t="s">
        <v>549</v>
      </c>
      <c r="Y681" t="s">
        <v>275</v>
      </c>
      <c r="Z681" t="s">
        <v>6006</v>
      </c>
      <c r="AA681" t="s">
        <v>656</v>
      </c>
      <c r="AB681" t="s">
        <v>902</v>
      </c>
      <c r="AC681" t="s">
        <v>904</v>
      </c>
      <c r="AF681" t="s">
        <v>923</v>
      </c>
      <c r="AI681">
        <v>2.81</v>
      </c>
      <c r="AJ681" t="s">
        <v>558</v>
      </c>
      <c r="AK681" t="s">
        <v>2365</v>
      </c>
      <c r="AM681" t="s">
        <v>973</v>
      </c>
      <c r="AN681" t="s">
        <v>1754</v>
      </c>
      <c r="AT681">
        <v>0</v>
      </c>
      <c r="AU681">
        <v>1</v>
      </c>
      <c r="AV681" t="s">
        <v>273</v>
      </c>
      <c r="AY681" t="s">
        <v>273</v>
      </c>
      <c r="BB681">
        <v>0</v>
      </c>
      <c r="BC681">
        <v>0</v>
      </c>
      <c r="BD681">
        <v>0</v>
      </c>
      <c r="BE681">
        <v>0</v>
      </c>
      <c r="BF681" t="s">
        <v>1063</v>
      </c>
      <c r="BG681" t="s">
        <v>6905</v>
      </c>
      <c r="BH681">
        <v>61</v>
      </c>
      <c r="BI681" t="s">
        <v>7122</v>
      </c>
      <c r="BK681">
        <v>1851876</v>
      </c>
    </row>
    <row r="682" spans="1:63">
      <c r="A682" s="1">
        <f>HYPERLINK("https://lsnyc.legalserver.org/matter/dynamic-profile/view/1851340","17-1851340")</f>
        <v>0</v>
      </c>
      <c r="B682" t="s">
        <v>5601</v>
      </c>
      <c r="C682" t="s">
        <v>5625</v>
      </c>
      <c r="D682" t="s">
        <v>252</v>
      </c>
      <c r="E682" t="s">
        <v>5630</v>
      </c>
      <c r="F682" t="s">
        <v>274</v>
      </c>
      <c r="G682" t="s">
        <v>274</v>
      </c>
      <c r="H682">
        <v>73.89</v>
      </c>
      <c r="I682" t="s">
        <v>274</v>
      </c>
      <c r="K682" t="s">
        <v>5656</v>
      </c>
      <c r="O682" t="s">
        <v>274</v>
      </c>
      <c r="P682" t="s">
        <v>498</v>
      </c>
      <c r="Q682" t="s">
        <v>501</v>
      </c>
      <c r="S682" t="s">
        <v>503</v>
      </c>
      <c r="T682" t="s">
        <v>508</v>
      </c>
      <c r="U682" t="s">
        <v>511</v>
      </c>
      <c r="V682">
        <v>11212</v>
      </c>
      <c r="W682" t="s">
        <v>1831</v>
      </c>
      <c r="X682" t="s">
        <v>549</v>
      </c>
      <c r="Y682" t="s">
        <v>274</v>
      </c>
      <c r="Z682" t="s">
        <v>6038</v>
      </c>
      <c r="AA682" t="s">
        <v>6433</v>
      </c>
      <c r="AB682" t="s">
        <v>902</v>
      </c>
      <c r="AC682" t="s">
        <v>904</v>
      </c>
      <c r="AF682" t="s">
        <v>923</v>
      </c>
      <c r="AI682">
        <v>12</v>
      </c>
      <c r="AJ682" t="s">
        <v>558</v>
      </c>
      <c r="AK682" t="s">
        <v>939</v>
      </c>
      <c r="AL682" t="s">
        <v>274</v>
      </c>
      <c r="AM682" t="s">
        <v>973</v>
      </c>
      <c r="AN682" t="s">
        <v>1667</v>
      </c>
      <c r="AT682">
        <v>1</v>
      </c>
      <c r="AU682">
        <v>1</v>
      </c>
      <c r="AV682" t="s">
        <v>273</v>
      </c>
      <c r="AY682" t="s">
        <v>273</v>
      </c>
      <c r="BB682">
        <v>0</v>
      </c>
      <c r="BC682">
        <v>0</v>
      </c>
      <c r="BD682">
        <v>0</v>
      </c>
      <c r="BE682">
        <v>0</v>
      </c>
      <c r="BF682" t="s">
        <v>1063</v>
      </c>
      <c r="BG682" t="s">
        <v>6949</v>
      </c>
      <c r="BH682">
        <v>50</v>
      </c>
      <c r="BI682" t="s">
        <v>1267</v>
      </c>
      <c r="BJ682" t="s">
        <v>382</v>
      </c>
      <c r="BK682">
        <v>1851878</v>
      </c>
    </row>
    <row r="683" spans="1:63">
      <c r="A683" s="1">
        <f>HYPERLINK("https://lsnyc.legalserver.org/matter/dynamic-profile/view/1851269","17-1851269")</f>
        <v>0</v>
      </c>
      <c r="B683" t="s">
        <v>5557</v>
      </c>
      <c r="C683" t="s">
        <v>5625</v>
      </c>
      <c r="D683" t="s">
        <v>253</v>
      </c>
      <c r="E683" t="s">
        <v>3694</v>
      </c>
      <c r="F683" t="s">
        <v>274</v>
      </c>
      <c r="G683" t="s">
        <v>274</v>
      </c>
      <c r="H683">
        <v>79.59999999999999</v>
      </c>
      <c r="I683" t="s">
        <v>275</v>
      </c>
      <c r="K683" t="s">
        <v>1774</v>
      </c>
      <c r="P683" t="s">
        <v>492</v>
      </c>
      <c r="Q683" t="s">
        <v>501</v>
      </c>
      <c r="S683" t="s">
        <v>503</v>
      </c>
      <c r="T683" t="s">
        <v>508</v>
      </c>
      <c r="U683" t="s">
        <v>511</v>
      </c>
      <c r="V683">
        <v>11435</v>
      </c>
      <c r="W683" t="s">
        <v>516</v>
      </c>
      <c r="X683" t="s">
        <v>548</v>
      </c>
      <c r="Z683" t="s">
        <v>6007</v>
      </c>
      <c r="AA683" t="s">
        <v>6403</v>
      </c>
      <c r="AB683" t="s">
        <v>902</v>
      </c>
      <c r="AC683" t="s">
        <v>905</v>
      </c>
      <c r="AF683" t="s">
        <v>923</v>
      </c>
      <c r="AI683">
        <v>4.4</v>
      </c>
      <c r="AK683" t="s">
        <v>939</v>
      </c>
      <c r="AS683" t="s">
        <v>1061</v>
      </c>
      <c r="AT683">
        <v>0</v>
      </c>
      <c r="AU683">
        <v>1</v>
      </c>
      <c r="AV683" t="s">
        <v>273</v>
      </c>
      <c r="AY683" t="s">
        <v>273</v>
      </c>
      <c r="BB683">
        <v>0</v>
      </c>
      <c r="BC683">
        <v>0</v>
      </c>
      <c r="BD683">
        <v>0</v>
      </c>
      <c r="BE683">
        <v>0</v>
      </c>
      <c r="BF683" t="s">
        <v>1063</v>
      </c>
      <c r="BG683" t="s">
        <v>6906</v>
      </c>
      <c r="BH683">
        <v>60</v>
      </c>
      <c r="BI683" t="s">
        <v>1280</v>
      </c>
      <c r="BK683">
        <v>1851807</v>
      </c>
    </row>
    <row r="684" spans="1:63">
      <c r="A684" s="1">
        <f>HYPERLINK("https://lsnyc.legalserver.org/matter/dynamic-profile/view/1849352","17-1849352")</f>
        <v>0</v>
      </c>
      <c r="B684" t="s">
        <v>5602</v>
      </c>
      <c r="C684" t="s">
        <v>5625</v>
      </c>
      <c r="D684" t="s">
        <v>252</v>
      </c>
      <c r="E684" t="s">
        <v>1646</v>
      </c>
      <c r="F684" t="s">
        <v>274</v>
      </c>
      <c r="G684" t="s">
        <v>274</v>
      </c>
      <c r="H684">
        <v>47.01</v>
      </c>
      <c r="K684" t="s">
        <v>4841</v>
      </c>
      <c r="O684" t="s">
        <v>275</v>
      </c>
      <c r="P684" t="s">
        <v>497</v>
      </c>
      <c r="Q684" t="s">
        <v>501</v>
      </c>
      <c r="S684" t="s">
        <v>503</v>
      </c>
      <c r="T684" t="s">
        <v>507</v>
      </c>
      <c r="U684" t="s">
        <v>511</v>
      </c>
      <c r="V684">
        <v>11203</v>
      </c>
      <c r="W684" t="s">
        <v>1831</v>
      </c>
      <c r="X684" t="s">
        <v>549</v>
      </c>
      <c r="Z684" t="s">
        <v>6039</v>
      </c>
      <c r="AA684" t="s">
        <v>6434</v>
      </c>
      <c r="AB684" t="s">
        <v>902</v>
      </c>
      <c r="AC684" t="s">
        <v>904</v>
      </c>
      <c r="AF684" t="s">
        <v>925</v>
      </c>
      <c r="AI684">
        <v>11.7</v>
      </c>
      <c r="AT684">
        <v>2</v>
      </c>
      <c r="AU684">
        <v>1</v>
      </c>
      <c r="AV684" t="s">
        <v>273</v>
      </c>
      <c r="AY684" t="s">
        <v>273</v>
      </c>
      <c r="BB684">
        <v>0</v>
      </c>
      <c r="BC684">
        <v>0</v>
      </c>
      <c r="BD684">
        <v>0</v>
      </c>
      <c r="BE684">
        <v>0</v>
      </c>
      <c r="BF684" t="s">
        <v>1063</v>
      </c>
      <c r="BG684" t="s">
        <v>6950</v>
      </c>
      <c r="BH684">
        <v>29</v>
      </c>
      <c r="BI684" t="s">
        <v>1280</v>
      </c>
      <c r="BK684">
        <v>1849881</v>
      </c>
    </row>
    <row r="685" spans="1:63">
      <c r="A685" s="1">
        <f>HYPERLINK("https://lsnyc.legalserver.org/matter/dynamic-profile/view/1850788","17-1850788")</f>
        <v>0</v>
      </c>
      <c r="B685" t="s">
        <v>5541</v>
      </c>
      <c r="C685" t="s">
        <v>5625</v>
      </c>
      <c r="D685" t="s">
        <v>257</v>
      </c>
      <c r="E685" t="s">
        <v>3694</v>
      </c>
      <c r="F685" t="s">
        <v>274</v>
      </c>
      <c r="G685" t="s">
        <v>274</v>
      </c>
      <c r="H685">
        <v>110.84</v>
      </c>
      <c r="I685" t="s">
        <v>274</v>
      </c>
      <c r="K685" t="s">
        <v>5657</v>
      </c>
      <c r="O685" t="s">
        <v>274</v>
      </c>
      <c r="P685" t="s">
        <v>497</v>
      </c>
      <c r="Q685" t="s">
        <v>501</v>
      </c>
      <c r="S685" t="s">
        <v>503</v>
      </c>
      <c r="T685" t="s">
        <v>508</v>
      </c>
      <c r="U685" t="s">
        <v>511</v>
      </c>
      <c r="V685">
        <v>10455</v>
      </c>
      <c r="W685" t="s">
        <v>517</v>
      </c>
      <c r="X685" t="s">
        <v>549</v>
      </c>
      <c r="Y685" t="s">
        <v>275</v>
      </c>
      <c r="Z685" t="s">
        <v>5994</v>
      </c>
      <c r="AA685" t="s">
        <v>6395</v>
      </c>
      <c r="AB685" t="s">
        <v>902</v>
      </c>
      <c r="AC685" t="s">
        <v>904</v>
      </c>
      <c r="AF685" t="s">
        <v>923</v>
      </c>
      <c r="AI685">
        <v>3.41</v>
      </c>
      <c r="AJ685" t="s">
        <v>558</v>
      </c>
      <c r="AK685" t="s">
        <v>6461</v>
      </c>
      <c r="AM685" t="s">
        <v>973</v>
      </c>
      <c r="AN685" t="s">
        <v>1745</v>
      </c>
      <c r="AT685">
        <v>1</v>
      </c>
      <c r="AU685">
        <v>1</v>
      </c>
      <c r="AV685" t="s">
        <v>273</v>
      </c>
      <c r="AY685" t="s">
        <v>273</v>
      </c>
      <c r="BB685">
        <v>0</v>
      </c>
      <c r="BC685">
        <v>0</v>
      </c>
      <c r="BD685">
        <v>0</v>
      </c>
      <c r="BE685">
        <v>0</v>
      </c>
      <c r="BF685" t="s">
        <v>1063</v>
      </c>
      <c r="BG685" t="s">
        <v>6890</v>
      </c>
      <c r="BH685">
        <v>29</v>
      </c>
      <c r="BI685" t="s">
        <v>1289</v>
      </c>
      <c r="BK685">
        <v>1851326</v>
      </c>
    </row>
    <row r="686" spans="1:63">
      <c r="A686" s="1">
        <f>HYPERLINK("https://lsnyc.legalserver.org/matter/dynamic-profile/view/1850659","17-1850659")</f>
        <v>0</v>
      </c>
      <c r="B686" t="s">
        <v>5454</v>
      </c>
      <c r="C686" t="s">
        <v>5625</v>
      </c>
      <c r="D686" t="s">
        <v>253</v>
      </c>
      <c r="E686" t="s">
        <v>3694</v>
      </c>
      <c r="F686" t="s">
        <v>274</v>
      </c>
      <c r="G686" t="s">
        <v>274</v>
      </c>
      <c r="H686">
        <v>178.26</v>
      </c>
      <c r="I686" t="s">
        <v>274</v>
      </c>
      <c r="K686" t="s">
        <v>5658</v>
      </c>
      <c r="P686" t="s">
        <v>492</v>
      </c>
      <c r="Q686" t="s">
        <v>501</v>
      </c>
      <c r="S686" t="s">
        <v>503</v>
      </c>
      <c r="T686" t="s">
        <v>508</v>
      </c>
      <c r="U686" t="s">
        <v>511</v>
      </c>
      <c r="V686">
        <v>11377</v>
      </c>
      <c r="W686" t="s">
        <v>532</v>
      </c>
      <c r="X686" t="s">
        <v>548</v>
      </c>
      <c r="Z686" t="s">
        <v>1922</v>
      </c>
      <c r="AA686" t="s">
        <v>6335</v>
      </c>
      <c r="AB686" t="s">
        <v>902</v>
      </c>
      <c r="AC686" t="s">
        <v>906</v>
      </c>
      <c r="AF686" t="s">
        <v>923</v>
      </c>
      <c r="AI686">
        <v>6.7</v>
      </c>
      <c r="AJ686" t="s">
        <v>558</v>
      </c>
      <c r="AK686" t="s">
        <v>936</v>
      </c>
      <c r="AT686">
        <v>1</v>
      </c>
      <c r="AU686">
        <v>2</v>
      </c>
      <c r="AV686" t="s">
        <v>273</v>
      </c>
      <c r="AY686" t="s">
        <v>273</v>
      </c>
      <c r="BB686">
        <v>0</v>
      </c>
      <c r="BC686">
        <v>0</v>
      </c>
      <c r="BD686">
        <v>0</v>
      </c>
      <c r="BE686">
        <v>0</v>
      </c>
      <c r="BF686" t="s">
        <v>1063</v>
      </c>
      <c r="BG686" t="s">
        <v>6810</v>
      </c>
      <c r="BH686">
        <v>27</v>
      </c>
      <c r="BI686" t="s">
        <v>1317</v>
      </c>
      <c r="BK686">
        <v>815275</v>
      </c>
    </row>
    <row r="687" spans="1:63">
      <c r="A687" s="1">
        <f>HYPERLINK("https://lsnyc.legalserver.org/matter/dynamic-profile/view/1850691","17-1850691")</f>
        <v>0</v>
      </c>
      <c r="B687" t="s">
        <v>5232</v>
      </c>
      <c r="C687" t="s">
        <v>5625</v>
      </c>
      <c r="D687" t="s">
        <v>257</v>
      </c>
      <c r="E687" t="s">
        <v>5630</v>
      </c>
      <c r="F687" t="s">
        <v>274</v>
      </c>
      <c r="G687" t="s">
        <v>274</v>
      </c>
      <c r="H687">
        <v>116.86</v>
      </c>
      <c r="I687" t="s">
        <v>274</v>
      </c>
      <c r="K687" t="s">
        <v>5658</v>
      </c>
      <c r="O687" t="s">
        <v>274</v>
      </c>
      <c r="Q687" t="s">
        <v>501</v>
      </c>
      <c r="S687" t="s">
        <v>503</v>
      </c>
      <c r="T687" t="s">
        <v>507</v>
      </c>
      <c r="U687" t="s">
        <v>511</v>
      </c>
      <c r="V687">
        <v>10456</v>
      </c>
      <c r="W687" t="s">
        <v>517</v>
      </c>
      <c r="X687" t="s">
        <v>549</v>
      </c>
      <c r="Z687" t="s">
        <v>5791</v>
      </c>
      <c r="AA687" t="s">
        <v>6170</v>
      </c>
      <c r="AB687" t="s">
        <v>902</v>
      </c>
      <c r="AC687" t="s">
        <v>904</v>
      </c>
      <c r="AF687" t="s">
        <v>923</v>
      </c>
      <c r="AI687">
        <v>5.45</v>
      </c>
      <c r="AJ687" t="s">
        <v>558</v>
      </c>
      <c r="AK687" t="s">
        <v>6457</v>
      </c>
      <c r="AL687" t="s">
        <v>274</v>
      </c>
      <c r="AT687">
        <v>4</v>
      </c>
      <c r="AU687">
        <v>3</v>
      </c>
      <c r="AV687" t="s">
        <v>273</v>
      </c>
      <c r="AY687" t="s">
        <v>273</v>
      </c>
      <c r="BB687">
        <v>0</v>
      </c>
      <c r="BC687">
        <v>0</v>
      </c>
      <c r="BD687">
        <v>0</v>
      </c>
      <c r="BE687">
        <v>0</v>
      </c>
      <c r="BF687" t="s">
        <v>1063</v>
      </c>
      <c r="BG687" t="s">
        <v>6607</v>
      </c>
      <c r="BH687">
        <v>54</v>
      </c>
      <c r="BI687" t="s">
        <v>3473</v>
      </c>
      <c r="BJ687" t="s">
        <v>381</v>
      </c>
      <c r="BK687">
        <v>786497</v>
      </c>
    </row>
    <row r="688" spans="1:63">
      <c r="A688" s="1">
        <f>HYPERLINK("https://lsnyc.legalserver.org/matter/dynamic-profile/view/1850246","17-1850246")</f>
        <v>0</v>
      </c>
      <c r="B688" t="s">
        <v>5537</v>
      </c>
      <c r="C688" t="s">
        <v>5625</v>
      </c>
      <c r="D688" t="s">
        <v>254</v>
      </c>
      <c r="E688" t="s">
        <v>3694</v>
      </c>
      <c r="F688" t="s">
        <v>274</v>
      </c>
      <c r="G688" t="s">
        <v>274</v>
      </c>
      <c r="H688">
        <v>0</v>
      </c>
      <c r="I688" t="s">
        <v>274</v>
      </c>
      <c r="K688" t="s">
        <v>4528</v>
      </c>
      <c r="O688" t="s">
        <v>274</v>
      </c>
      <c r="P688" t="s">
        <v>498</v>
      </c>
      <c r="Q688" t="s">
        <v>501</v>
      </c>
      <c r="S688" t="s">
        <v>503</v>
      </c>
      <c r="T688" t="s">
        <v>508</v>
      </c>
      <c r="U688" t="s">
        <v>511</v>
      </c>
      <c r="V688">
        <v>10305</v>
      </c>
      <c r="W688" t="s">
        <v>517</v>
      </c>
      <c r="X688" t="s">
        <v>549</v>
      </c>
      <c r="Y688" t="s">
        <v>275</v>
      </c>
      <c r="Z688" t="s">
        <v>5991</v>
      </c>
      <c r="AA688" t="s">
        <v>6287</v>
      </c>
      <c r="AB688" t="s">
        <v>902</v>
      </c>
      <c r="AC688" t="s">
        <v>904</v>
      </c>
      <c r="AF688" t="s">
        <v>923</v>
      </c>
      <c r="AI688">
        <v>1.4</v>
      </c>
      <c r="AJ688" t="s">
        <v>558</v>
      </c>
      <c r="AK688" t="s">
        <v>950</v>
      </c>
      <c r="AM688" t="s">
        <v>973</v>
      </c>
      <c r="AT688">
        <v>0</v>
      </c>
      <c r="AU688">
        <v>1</v>
      </c>
      <c r="AV688" t="s">
        <v>273</v>
      </c>
      <c r="AY688" t="s">
        <v>273</v>
      </c>
      <c r="BB688">
        <v>0</v>
      </c>
      <c r="BC688">
        <v>0</v>
      </c>
      <c r="BD688">
        <v>0</v>
      </c>
      <c r="BE688">
        <v>0</v>
      </c>
      <c r="BF688" t="s">
        <v>1063</v>
      </c>
      <c r="BG688" t="s">
        <v>6886</v>
      </c>
      <c r="BH688">
        <v>23</v>
      </c>
      <c r="BI688" t="s">
        <v>1247</v>
      </c>
      <c r="BK688">
        <v>1850782</v>
      </c>
    </row>
    <row r="689" spans="1:63">
      <c r="A689" s="1">
        <f>HYPERLINK("https://lsnyc.legalserver.org/matter/dynamic-profile/view/1849635","17-1849635")</f>
        <v>0</v>
      </c>
      <c r="B689" t="s">
        <v>5484</v>
      </c>
      <c r="C689" t="s">
        <v>5625</v>
      </c>
      <c r="D689" t="s">
        <v>257</v>
      </c>
      <c r="E689" t="s">
        <v>3694</v>
      </c>
      <c r="F689" t="s">
        <v>274</v>
      </c>
      <c r="G689" t="s">
        <v>274</v>
      </c>
      <c r="H689">
        <v>142.29</v>
      </c>
      <c r="I689" t="s">
        <v>274</v>
      </c>
      <c r="K689" t="s">
        <v>1778</v>
      </c>
      <c r="O689" t="s">
        <v>275</v>
      </c>
      <c r="Q689" t="s">
        <v>501</v>
      </c>
      <c r="S689" t="s">
        <v>503</v>
      </c>
      <c r="T689" t="s">
        <v>508</v>
      </c>
      <c r="U689" t="s">
        <v>511</v>
      </c>
      <c r="V689">
        <v>10455</v>
      </c>
      <c r="W689" t="s">
        <v>517</v>
      </c>
      <c r="X689" t="s">
        <v>549</v>
      </c>
      <c r="Y689" t="s">
        <v>274</v>
      </c>
      <c r="Z689" t="s">
        <v>3070</v>
      </c>
      <c r="AA689" t="s">
        <v>6355</v>
      </c>
      <c r="AB689" t="s">
        <v>902</v>
      </c>
      <c r="AC689" t="s">
        <v>904</v>
      </c>
      <c r="AF689" t="s">
        <v>923</v>
      </c>
      <c r="AI689">
        <v>1.05</v>
      </c>
      <c r="AJ689" t="s">
        <v>558</v>
      </c>
      <c r="AK689" t="s">
        <v>2368</v>
      </c>
      <c r="AM689" t="s">
        <v>973</v>
      </c>
      <c r="AN689" t="s">
        <v>406</v>
      </c>
      <c r="AT689">
        <v>0</v>
      </c>
      <c r="AU689">
        <v>1</v>
      </c>
      <c r="AV689" t="s">
        <v>273</v>
      </c>
      <c r="AY689" t="s">
        <v>273</v>
      </c>
      <c r="BB689">
        <v>0</v>
      </c>
      <c r="BC689">
        <v>0</v>
      </c>
      <c r="BD689">
        <v>0</v>
      </c>
      <c r="BE689">
        <v>0</v>
      </c>
      <c r="BF689" t="s">
        <v>1063</v>
      </c>
      <c r="BG689" t="s">
        <v>6836</v>
      </c>
      <c r="BH689">
        <v>38</v>
      </c>
      <c r="BI689" t="s">
        <v>7100</v>
      </c>
      <c r="BK689">
        <v>1850168</v>
      </c>
    </row>
    <row r="690" spans="1:63">
      <c r="A690" s="1">
        <f>HYPERLINK("https://lsnyc.legalserver.org/matter/dynamic-profile/view/1849293","17-1849293")</f>
        <v>0</v>
      </c>
      <c r="B690" t="s">
        <v>5535</v>
      </c>
      <c r="C690" t="s">
        <v>5625</v>
      </c>
      <c r="D690" t="s">
        <v>257</v>
      </c>
      <c r="E690" t="s">
        <v>3694</v>
      </c>
      <c r="F690" t="s">
        <v>274</v>
      </c>
      <c r="G690" t="s">
        <v>274</v>
      </c>
      <c r="H690">
        <v>51.74</v>
      </c>
      <c r="I690" t="s">
        <v>274</v>
      </c>
      <c r="K690" t="s">
        <v>5659</v>
      </c>
      <c r="O690" t="s">
        <v>274</v>
      </c>
      <c r="P690" t="s">
        <v>498</v>
      </c>
      <c r="Q690" t="s">
        <v>501</v>
      </c>
      <c r="S690" t="s">
        <v>503</v>
      </c>
      <c r="T690" t="s">
        <v>508</v>
      </c>
      <c r="U690" t="s">
        <v>511</v>
      </c>
      <c r="V690">
        <v>10452</v>
      </c>
      <c r="W690" t="s">
        <v>517</v>
      </c>
      <c r="X690" t="s">
        <v>548</v>
      </c>
      <c r="Y690" t="s">
        <v>275</v>
      </c>
      <c r="Z690" t="s">
        <v>1985</v>
      </c>
      <c r="AA690" t="s">
        <v>6384</v>
      </c>
      <c r="AB690" t="s">
        <v>902</v>
      </c>
      <c r="AC690" t="s">
        <v>904</v>
      </c>
      <c r="AF690" t="s">
        <v>923</v>
      </c>
      <c r="AI690">
        <v>1.3</v>
      </c>
      <c r="AJ690" t="s">
        <v>558</v>
      </c>
      <c r="AK690" t="s">
        <v>950</v>
      </c>
      <c r="AT690">
        <v>0</v>
      </c>
      <c r="AU690">
        <v>1</v>
      </c>
      <c r="AV690" t="s">
        <v>273</v>
      </c>
      <c r="AY690" t="s">
        <v>273</v>
      </c>
      <c r="BB690">
        <v>0</v>
      </c>
      <c r="BC690">
        <v>0</v>
      </c>
      <c r="BD690">
        <v>0</v>
      </c>
      <c r="BE690">
        <v>0</v>
      </c>
      <c r="BF690" t="s">
        <v>1063</v>
      </c>
      <c r="BG690" t="s">
        <v>6884</v>
      </c>
      <c r="BH690">
        <v>49</v>
      </c>
      <c r="BI690" t="s">
        <v>1305</v>
      </c>
      <c r="BK690">
        <v>1849822</v>
      </c>
    </row>
    <row r="691" spans="1:63">
      <c r="A691" s="1">
        <f>HYPERLINK("https://lsnyc.legalserver.org/matter/dynamic-profile/view/1848725","17-1848725")</f>
        <v>0</v>
      </c>
      <c r="B691" t="s">
        <v>5603</v>
      </c>
      <c r="C691" t="s">
        <v>5625</v>
      </c>
      <c r="D691" t="s">
        <v>252</v>
      </c>
      <c r="E691" t="s">
        <v>3694</v>
      </c>
      <c r="F691" t="s">
        <v>274</v>
      </c>
      <c r="G691" t="s">
        <v>274</v>
      </c>
      <c r="H691">
        <v>172.47</v>
      </c>
      <c r="I691" t="s">
        <v>274</v>
      </c>
      <c r="K691" t="s">
        <v>5660</v>
      </c>
      <c r="O691" t="s">
        <v>274</v>
      </c>
      <c r="P691" t="s">
        <v>499</v>
      </c>
      <c r="Q691" t="s">
        <v>501</v>
      </c>
      <c r="S691" t="s">
        <v>503</v>
      </c>
      <c r="T691" t="s">
        <v>508</v>
      </c>
      <c r="U691" t="s">
        <v>511</v>
      </c>
      <c r="V691">
        <v>11213</v>
      </c>
      <c r="W691" t="s">
        <v>517</v>
      </c>
      <c r="X691" t="s">
        <v>549</v>
      </c>
      <c r="Y691" t="s">
        <v>275</v>
      </c>
      <c r="Z691" t="s">
        <v>6040</v>
      </c>
      <c r="AA691" t="s">
        <v>6435</v>
      </c>
      <c r="AB691" t="s">
        <v>902</v>
      </c>
      <c r="AC691" t="s">
        <v>904</v>
      </c>
      <c r="AF691" t="s">
        <v>923</v>
      </c>
      <c r="AI691">
        <v>11.31</v>
      </c>
      <c r="AJ691" t="s">
        <v>558</v>
      </c>
      <c r="AK691" t="s">
        <v>2382</v>
      </c>
      <c r="AT691">
        <v>0</v>
      </c>
      <c r="AU691">
        <v>1</v>
      </c>
      <c r="AV691" t="s">
        <v>273</v>
      </c>
      <c r="AY691" t="s">
        <v>273</v>
      </c>
      <c r="BB691">
        <v>0</v>
      </c>
      <c r="BC691">
        <v>0</v>
      </c>
      <c r="BD691">
        <v>0</v>
      </c>
      <c r="BE691">
        <v>0</v>
      </c>
      <c r="BF691" t="s">
        <v>1063</v>
      </c>
      <c r="BG691" t="s">
        <v>6951</v>
      </c>
      <c r="BH691">
        <v>44</v>
      </c>
      <c r="BI691" t="s">
        <v>1261</v>
      </c>
      <c r="BK691">
        <v>1849252</v>
      </c>
    </row>
    <row r="692" spans="1:63">
      <c r="A692" s="1">
        <f>HYPERLINK("https://lsnyc.legalserver.org/matter/dynamic-profile/view/1848726","17-1848726")</f>
        <v>0</v>
      </c>
      <c r="B692" t="s">
        <v>5604</v>
      </c>
      <c r="C692" t="s">
        <v>5625</v>
      </c>
      <c r="D692" t="s">
        <v>257</v>
      </c>
      <c r="E692" t="s">
        <v>3694</v>
      </c>
      <c r="F692" t="s">
        <v>274</v>
      </c>
      <c r="G692" t="s">
        <v>274</v>
      </c>
      <c r="H692">
        <v>20.5</v>
      </c>
      <c r="I692" t="s">
        <v>274</v>
      </c>
      <c r="K692" t="s">
        <v>5660</v>
      </c>
      <c r="O692" t="s">
        <v>274</v>
      </c>
      <c r="P692" t="s">
        <v>498</v>
      </c>
      <c r="Q692" t="s">
        <v>501</v>
      </c>
      <c r="S692" t="s">
        <v>503</v>
      </c>
      <c r="T692" t="s">
        <v>507</v>
      </c>
      <c r="U692" t="s">
        <v>511</v>
      </c>
      <c r="V692">
        <v>10452</v>
      </c>
      <c r="W692" t="s">
        <v>517</v>
      </c>
      <c r="X692" t="s">
        <v>548</v>
      </c>
      <c r="Y692" t="s">
        <v>275</v>
      </c>
      <c r="Z692" t="s">
        <v>6041</v>
      </c>
      <c r="AA692" t="s">
        <v>2350</v>
      </c>
      <c r="AB692" t="s">
        <v>902</v>
      </c>
      <c r="AC692" t="s">
        <v>904</v>
      </c>
      <c r="AF692" t="s">
        <v>923</v>
      </c>
      <c r="AI692">
        <v>1.81</v>
      </c>
      <c r="AJ692" t="s">
        <v>558</v>
      </c>
      <c r="AK692" t="s">
        <v>950</v>
      </c>
      <c r="AT692">
        <v>2</v>
      </c>
      <c r="AU692">
        <v>2</v>
      </c>
      <c r="AV692" t="s">
        <v>273</v>
      </c>
      <c r="AY692" t="s">
        <v>273</v>
      </c>
      <c r="BB692">
        <v>0</v>
      </c>
      <c r="BC692">
        <v>0</v>
      </c>
      <c r="BD692">
        <v>0</v>
      </c>
      <c r="BE692">
        <v>0</v>
      </c>
      <c r="BF692" t="s">
        <v>1063</v>
      </c>
      <c r="BG692" t="s">
        <v>6952</v>
      </c>
      <c r="BH692">
        <v>34</v>
      </c>
      <c r="BI692" t="s">
        <v>7135</v>
      </c>
      <c r="BK692">
        <v>1849253</v>
      </c>
    </row>
    <row r="693" spans="1:63">
      <c r="A693" s="1">
        <f>HYPERLINK("https://lsnyc.legalserver.org/matter/dynamic-profile/view/1848142","17-1848142")</f>
        <v>0</v>
      </c>
      <c r="B693" t="s">
        <v>5471</v>
      </c>
      <c r="C693" t="s">
        <v>5625</v>
      </c>
      <c r="D693" t="s">
        <v>255</v>
      </c>
      <c r="E693" t="s">
        <v>3694</v>
      </c>
      <c r="F693" t="s">
        <v>274</v>
      </c>
      <c r="G693" t="s">
        <v>274</v>
      </c>
      <c r="H693">
        <v>153.94</v>
      </c>
      <c r="I693" t="s">
        <v>274</v>
      </c>
      <c r="K693" t="s">
        <v>1782</v>
      </c>
      <c r="O693" t="s">
        <v>274</v>
      </c>
      <c r="Q693" t="s">
        <v>501</v>
      </c>
      <c r="S693" t="s">
        <v>503</v>
      </c>
      <c r="T693" t="s">
        <v>507</v>
      </c>
      <c r="U693" t="s">
        <v>511</v>
      </c>
      <c r="V693">
        <v>10027</v>
      </c>
      <c r="W693" t="s">
        <v>517</v>
      </c>
      <c r="X693" t="s">
        <v>548</v>
      </c>
      <c r="Y693" t="s">
        <v>275</v>
      </c>
      <c r="Z693" t="s">
        <v>5947</v>
      </c>
      <c r="AA693" t="s">
        <v>6346</v>
      </c>
      <c r="AB693" t="s">
        <v>902</v>
      </c>
      <c r="AC693" t="s">
        <v>904</v>
      </c>
      <c r="AF693" t="s">
        <v>923</v>
      </c>
      <c r="AI693">
        <v>2.5</v>
      </c>
      <c r="AJ693" t="s">
        <v>558</v>
      </c>
      <c r="AK693" t="s">
        <v>933</v>
      </c>
      <c r="AT693">
        <v>0</v>
      </c>
      <c r="AU693">
        <v>2</v>
      </c>
      <c r="AV693" t="s">
        <v>273</v>
      </c>
      <c r="AY693" t="s">
        <v>273</v>
      </c>
      <c r="BB693">
        <v>0</v>
      </c>
      <c r="BC693">
        <v>0</v>
      </c>
      <c r="BD693">
        <v>0</v>
      </c>
      <c r="BE693">
        <v>0</v>
      </c>
      <c r="BF693" t="s">
        <v>1063</v>
      </c>
      <c r="BG693" t="s">
        <v>6824</v>
      </c>
      <c r="BH693">
        <v>59</v>
      </c>
      <c r="BI693" t="s">
        <v>1274</v>
      </c>
      <c r="BK693">
        <v>1848667</v>
      </c>
    </row>
    <row r="694" spans="1:63">
      <c r="A694" s="1">
        <f>HYPERLINK("https://lsnyc.legalserver.org/matter/dynamic-profile/view/1848182","17-1848182")</f>
        <v>0</v>
      </c>
      <c r="B694" t="s">
        <v>5536</v>
      </c>
      <c r="C694" t="s">
        <v>5625</v>
      </c>
      <c r="D694" t="s">
        <v>257</v>
      </c>
      <c r="E694" t="s">
        <v>3694</v>
      </c>
      <c r="F694" t="s">
        <v>274</v>
      </c>
      <c r="G694" t="s">
        <v>274</v>
      </c>
      <c r="H694">
        <v>129.35</v>
      </c>
      <c r="I694" t="s">
        <v>274</v>
      </c>
      <c r="K694" t="s">
        <v>1782</v>
      </c>
      <c r="O694" t="s">
        <v>274</v>
      </c>
      <c r="Q694" t="s">
        <v>501</v>
      </c>
      <c r="S694" t="s">
        <v>503</v>
      </c>
      <c r="T694" t="s">
        <v>508</v>
      </c>
      <c r="U694" t="s">
        <v>511</v>
      </c>
      <c r="V694">
        <v>10455</v>
      </c>
      <c r="W694" t="s">
        <v>517</v>
      </c>
      <c r="X694" t="s">
        <v>549</v>
      </c>
      <c r="Y694" t="s">
        <v>275</v>
      </c>
      <c r="Z694" t="s">
        <v>5990</v>
      </c>
      <c r="AA694" t="s">
        <v>6392</v>
      </c>
      <c r="AB694" t="s">
        <v>902</v>
      </c>
      <c r="AC694" t="s">
        <v>904</v>
      </c>
      <c r="AF694" t="s">
        <v>923</v>
      </c>
      <c r="AI694">
        <v>5.51</v>
      </c>
      <c r="AJ694" t="s">
        <v>558</v>
      </c>
      <c r="AK694" t="s">
        <v>950</v>
      </c>
      <c r="AT694">
        <v>0</v>
      </c>
      <c r="AU694">
        <v>1</v>
      </c>
      <c r="AV694" t="s">
        <v>273</v>
      </c>
      <c r="AY694" t="s">
        <v>273</v>
      </c>
      <c r="BB694">
        <v>0</v>
      </c>
      <c r="BC694">
        <v>0</v>
      </c>
      <c r="BD694">
        <v>0</v>
      </c>
      <c r="BE694">
        <v>0</v>
      </c>
      <c r="BF694" t="s">
        <v>1063</v>
      </c>
      <c r="BG694" t="s">
        <v>6885</v>
      </c>
      <c r="BH694">
        <v>24</v>
      </c>
      <c r="BI694" t="s">
        <v>1270</v>
      </c>
      <c r="BK694">
        <v>1848707</v>
      </c>
    </row>
    <row r="695" spans="1:63">
      <c r="A695" s="1">
        <f>HYPERLINK("https://lsnyc.legalserver.org/matter/dynamic-profile/view/1847948","17-1847948")</f>
        <v>0</v>
      </c>
      <c r="B695" t="s">
        <v>5605</v>
      </c>
      <c r="C695" t="s">
        <v>5625</v>
      </c>
      <c r="D695" t="s">
        <v>252</v>
      </c>
      <c r="E695" t="s">
        <v>3694</v>
      </c>
      <c r="F695" t="s">
        <v>274</v>
      </c>
      <c r="G695" t="s">
        <v>274</v>
      </c>
      <c r="H695">
        <v>46.31</v>
      </c>
      <c r="I695" t="s">
        <v>274</v>
      </c>
      <c r="K695" t="s">
        <v>4530</v>
      </c>
      <c r="L695" t="s">
        <v>457</v>
      </c>
      <c r="O695" t="s">
        <v>274</v>
      </c>
      <c r="P695" t="s">
        <v>498</v>
      </c>
      <c r="Q695" t="s">
        <v>501</v>
      </c>
      <c r="S695" t="s">
        <v>503</v>
      </c>
      <c r="T695" t="s">
        <v>507</v>
      </c>
      <c r="U695" t="s">
        <v>511</v>
      </c>
      <c r="V695">
        <v>11226</v>
      </c>
      <c r="W695" t="s">
        <v>517</v>
      </c>
      <c r="X695" t="s">
        <v>548</v>
      </c>
      <c r="Y695" t="s">
        <v>274</v>
      </c>
      <c r="Z695" t="s">
        <v>2079</v>
      </c>
      <c r="AA695" t="s">
        <v>6436</v>
      </c>
      <c r="AB695" t="s">
        <v>902</v>
      </c>
      <c r="AC695" t="s">
        <v>904</v>
      </c>
      <c r="AD695" t="s">
        <v>275</v>
      </c>
      <c r="AE695" t="s">
        <v>919</v>
      </c>
      <c r="AF695" t="s">
        <v>923</v>
      </c>
      <c r="AI695">
        <v>5.3</v>
      </c>
      <c r="AJ695" t="s">
        <v>558</v>
      </c>
      <c r="AK695" t="s">
        <v>949</v>
      </c>
      <c r="AQ695" t="s">
        <v>1042</v>
      </c>
      <c r="AR695" t="s">
        <v>1051</v>
      </c>
      <c r="AT695">
        <v>1</v>
      </c>
      <c r="AU695">
        <v>2</v>
      </c>
      <c r="AV695" t="s">
        <v>273</v>
      </c>
      <c r="AY695" t="s">
        <v>273</v>
      </c>
      <c r="BB695">
        <v>0</v>
      </c>
      <c r="BC695">
        <v>0</v>
      </c>
      <c r="BD695">
        <v>0</v>
      </c>
      <c r="BE695">
        <v>0</v>
      </c>
      <c r="BF695" t="s">
        <v>493</v>
      </c>
      <c r="BG695" t="s">
        <v>6953</v>
      </c>
      <c r="BH695">
        <v>21</v>
      </c>
      <c r="BI695" t="s">
        <v>7136</v>
      </c>
      <c r="BK695">
        <v>1848471</v>
      </c>
    </row>
    <row r="696" spans="1:63">
      <c r="A696" s="1">
        <f>HYPERLINK("https://lsnyc.legalserver.org/matter/dynamic-profile/view/1847965","17-1847965")</f>
        <v>0</v>
      </c>
      <c r="B696" t="s">
        <v>5189</v>
      </c>
      <c r="C696" t="s">
        <v>5625</v>
      </c>
      <c r="D696" t="s">
        <v>252</v>
      </c>
      <c r="E696" t="s">
        <v>5630</v>
      </c>
      <c r="F696" t="s">
        <v>274</v>
      </c>
      <c r="G696" t="s">
        <v>274</v>
      </c>
      <c r="H696">
        <v>213.98</v>
      </c>
      <c r="I696" t="s">
        <v>274</v>
      </c>
      <c r="K696" t="s">
        <v>4530</v>
      </c>
      <c r="O696" t="s">
        <v>274</v>
      </c>
      <c r="Q696" t="s">
        <v>501</v>
      </c>
      <c r="S696" t="s">
        <v>503</v>
      </c>
      <c r="T696" t="s">
        <v>507</v>
      </c>
      <c r="U696" t="s">
        <v>511</v>
      </c>
      <c r="V696">
        <v>11226</v>
      </c>
      <c r="W696" t="s">
        <v>517</v>
      </c>
      <c r="X696" t="s">
        <v>548</v>
      </c>
      <c r="Z696" t="s">
        <v>3839</v>
      </c>
      <c r="AA696" t="s">
        <v>6143</v>
      </c>
      <c r="AB696" t="s">
        <v>902</v>
      </c>
      <c r="AC696" t="s">
        <v>904</v>
      </c>
      <c r="AD696" t="s">
        <v>275</v>
      </c>
      <c r="AF696" t="s">
        <v>923</v>
      </c>
      <c r="AI696">
        <v>3.55</v>
      </c>
      <c r="AJ696" t="s">
        <v>558</v>
      </c>
      <c r="AK696" t="s">
        <v>949</v>
      </c>
      <c r="AL696" t="s">
        <v>274</v>
      </c>
      <c r="AQ696" t="s">
        <v>1033</v>
      </c>
      <c r="AR696" t="s">
        <v>1052</v>
      </c>
      <c r="AT696">
        <v>0</v>
      </c>
      <c r="AU696">
        <v>4</v>
      </c>
      <c r="AV696" t="s">
        <v>273</v>
      </c>
      <c r="AY696" t="s">
        <v>273</v>
      </c>
      <c r="BB696">
        <v>0</v>
      </c>
      <c r="BC696">
        <v>0</v>
      </c>
      <c r="BD696">
        <v>0</v>
      </c>
      <c r="BE696">
        <v>0</v>
      </c>
      <c r="BF696" t="s">
        <v>1063</v>
      </c>
      <c r="BG696" t="s">
        <v>6570</v>
      </c>
      <c r="BH696">
        <v>47</v>
      </c>
      <c r="BI696" t="s">
        <v>7137</v>
      </c>
      <c r="BJ696" t="s">
        <v>1723</v>
      </c>
      <c r="BK696">
        <v>1848488</v>
      </c>
    </row>
    <row r="697" spans="1:63">
      <c r="A697" s="1">
        <f>HYPERLINK("https://lsnyc.legalserver.org/matter/dynamic-profile/view/1848003","17-1848003")</f>
        <v>0</v>
      </c>
      <c r="B697" t="s">
        <v>5606</v>
      </c>
      <c r="C697" t="s">
        <v>5625</v>
      </c>
      <c r="D697" t="s">
        <v>252</v>
      </c>
      <c r="E697" t="s">
        <v>3694</v>
      </c>
      <c r="F697" t="s">
        <v>274</v>
      </c>
      <c r="G697" t="s">
        <v>274</v>
      </c>
      <c r="H697">
        <v>107.79</v>
      </c>
      <c r="I697" t="s">
        <v>274</v>
      </c>
      <c r="K697" t="s">
        <v>4530</v>
      </c>
      <c r="O697" t="s">
        <v>274</v>
      </c>
      <c r="P697" t="s">
        <v>497</v>
      </c>
      <c r="Q697" t="s">
        <v>501</v>
      </c>
      <c r="S697" t="s">
        <v>503</v>
      </c>
      <c r="T697" t="s">
        <v>508</v>
      </c>
      <c r="U697" t="s">
        <v>511</v>
      </c>
      <c r="V697">
        <v>11216</v>
      </c>
      <c r="W697" t="s">
        <v>517</v>
      </c>
      <c r="X697" t="s">
        <v>549</v>
      </c>
      <c r="Y697" t="s">
        <v>275</v>
      </c>
      <c r="Z697" t="s">
        <v>6042</v>
      </c>
      <c r="AA697" t="s">
        <v>6437</v>
      </c>
      <c r="AB697" t="s">
        <v>902</v>
      </c>
      <c r="AC697" t="s">
        <v>904</v>
      </c>
      <c r="AF697" t="s">
        <v>923</v>
      </c>
      <c r="AI697">
        <v>3.38</v>
      </c>
      <c r="AJ697" t="s">
        <v>558</v>
      </c>
      <c r="AK697" t="s">
        <v>6464</v>
      </c>
      <c r="AM697" t="s">
        <v>973</v>
      </c>
      <c r="AN697" t="s">
        <v>3719</v>
      </c>
      <c r="AT697">
        <v>0</v>
      </c>
      <c r="AU697">
        <v>1</v>
      </c>
      <c r="AV697" t="s">
        <v>273</v>
      </c>
      <c r="AY697" t="s">
        <v>273</v>
      </c>
      <c r="BB697">
        <v>0</v>
      </c>
      <c r="BC697">
        <v>0</v>
      </c>
      <c r="BD697">
        <v>0</v>
      </c>
      <c r="BE697">
        <v>0</v>
      </c>
      <c r="BF697" t="s">
        <v>1063</v>
      </c>
      <c r="BG697" t="s">
        <v>4156</v>
      </c>
      <c r="BH697">
        <v>35</v>
      </c>
      <c r="BI697" t="s">
        <v>1264</v>
      </c>
      <c r="BK697">
        <v>1848526</v>
      </c>
    </row>
    <row r="698" spans="1:63">
      <c r="A698" s="1">
        <f>HYPERLINK("https://lsnyc.legalserver.org/matter/dynamic-profile/view/1848049","17-1848049")</f>
        <v>0</v>
      </c>
      <c r="B698" t="s">
        <v>5607</v>
      </c>
      <c r="C698" t="s">
        <v>5625</v>
      </c>
      <c r="D698" t="s">
        <v>257</v>
      </c>
      <c r="E698" t="s">
        <v>3694</v>
      </c>
      <c r="F698" t="s">
        <v>274</v>
      </c>
      <c r="G698" t="s">
        <v>274</v>
      </c>
      <c r="H698">
        <v>24.51</v>
      </c>
      <c r="I698" t="s">
        <v>274</v>
      </c>
      <c r="K698" t="s">
        <v>4530</v>
      </c>
      <c r="O698" t="s">
        <v>274</v>
      </c>
      <c r="Q698" t="s">
        <v>501</v>
      </c>
      <c r="S698" t="s">
        <v>503</v>
      </c>
      <c r="T698" t="s">
        <v>508</v>
      </c>
      <c r="U698" t="s">
        <v>511</v>
      </c>
      <c r="V698">
        <v>10451</v>
      </c>
      <c r="W698" t="s">
        <v>1831</v>
      </c>
      <c r="X698" t="s">
        <v>548</v>
      </c>
      <c r="Z698" t="s">
        <v>6043</v>
      </c>
      <c r="AA698" t="s">
        <v>6438</v>
      </c>
      <c r="AB698" t="s">
        <v>902</v>
      </c>
      <c r="AC698" t="s">
        <v>904</v>
      </c>
      <c r="AF698" t="s">
        <v>923</v>
      </c>
      <c r="AI698">
        <v>4.55</v>
      </c>
      <c r="AK698" t="s">
        <v>950</v>
      </c>
      <c r="AT698">
        <v>2</v>
      </c>
      <c r="AU698">
        <v>1</v>
      </c>
      <c r="AV698" t="s">
        <v>273</v>
      </c>
      <c r="AY698" t="s">
        <v>273</v>
      </c>
      <c r="BB698">
        <v>0</v>
      </c>
      <c r="BC698">
        <v>0</v>
      </c>
      <c r="BD698">
        <v>0</v>
      </c>
      <c r="BE698">
        <v>0</v>
      </c>
      <c r="BF698" t="s">
        <v>1063</v>
      </c>
      <c r="BG698" t="s">
        <v>6564</v>
      </c>
      <c r="BH698">
        <v>16</v>
      </c>
      <c r="BI698" t="s">
        <v>7138</v>
      </c>
      <c r="BK698">
        <v>775745</v>
      </c>
    </row>
    <row r="699" spans="1:63">
      <c r="A699" s="1">
        <f>HYPERLINK("https://lsnyc.legalserver.org/matter/dynamic-profile/view/1846559","17-1846559")</f>
        <v>0</v>
      </c>
      <c r="B699" t="s">
        <v>5517</v>
      </c>
      <c r="C699" t="s">
        <v>5625</v>
      </c>
      <c r="D699" t="s">
        <v>257</v>
      </c>
      <c r="E699" t="s">
        <v>3694</v>
      </c>
      <c r="F699" t="s">
        <v>274</v>
      </c>
      <c r="G699" t="s">
        <v>274</v>
      </c>
      <c r="H699">
        <v>70.44</v>
      </c>
      <c r="I699" t="s">
        <v>274</v>
      </c>
      <c r="K699" t="s">
        <v>5661</v>
      </c>
      <c r="O699" t="s">
        <v>274</v>
      </c>
      <c r="P699" t="s">
        <v>497</v>
      </c>
      <c r="Q699" t="s">
        <v>501</v>
      </c>
      <c r="S699" t="s">
        <v>503</v>
      </c>
      <c r="T699" t="s">
        <v>508</v>
      </c>
      <c r="U699" t="s">
        <v>511</v>
      </c>
      <c r="V699">
        <v>10451</v>
      </c>
      <c r="W699" t="s">
        <v>517</v>
      </c>
      <c r="X699" t="s">
        <v>548</v>
      </c>
      <c r="Y699" t="s">
        <v>275</v>
      </c>
      <c r="Z699" t="s">
        <v>5976</v>
      </c>
      <c r="AA699" t="s">
        <v>6380</v>
      </c>
      <c r="AB699" t="s">
        <v>902</v>
      </c>
      <c r="AC699" t="s">
        <v>904</v>
      </c>
      <c r="AF699" t="s">
        <v>923</v>
      </c>
      <c r="AI699">
        <v>1.66</v>
      </c>
      <c r="AJ699" t="s">
        <v>558</v>
      </c>
      <c r="AK699" t="s">
        <v>949</v>
      </c>
      <c r="AT699">
        <v>0</v>
      </c>
      <c r="AU699">
        <v>2</v>
      </c>
      <c r="AV699" t="s">
        <v>273</v>
      </c>
      <c r="AY699" t="s">
        <v>273</v>
      </c>
      <c r="BB699">
        <v>0</v>
      </c>
      <c r="BC699">
        <v>0</v>
      </c>
      <c r="BD699">
        <v>0</v>
      </c>
      <c r="BE699">
        <v>0</v>
      </c>
      <c r="BF699" t="s">
        <v>1063</v>
      </c>
      <c r="BG699" t="s">
        <v>6868</v>
      </c>
      <c r="BH699">
        <v>70</v>
      </c>
      <c r="BI699" t="s">
        <v>2772</v>
      </c>
      <c r="BK699">
        <v>1847081</v>
      </c>
    </row>
    <row r="700" spans="1:63">
      <c r="A700" s="1">
        <f>HYPERLINK("https://lsnyc.legalserver.org/matter/dynamic-profile/view/1846496","17-1846496")</f>
        <v>0</v>
      </c>
      <c r="B700" t="s">
        <v>5220</v>
      </c>
      <c r="C700" t="s">
        <v>5625</v>
      </c>
      <c r="D700" t="s">
        <v>253</v>
      </c>
      <c r="E700" t="s">
        <v>3694</v>
      </c>
      <c r="F700" t="s">
        <v>274</v>
      </c>
      <c r="G700" t="s">
        <v>274</v>
      </c>
      <c r="H700">
        <v>84.43000000000001</v>
      </c>
      <c r="I700" t="s">
        <v>274</v>
      </c>
      <c r="K700" t="s">
        <v>3730</v>
      </c>
      <c r="Q700" t="s">
        <v>501</v>
      </c>
      <c r="R700" t="s">
        <v>5681</v>
      </c>
      <c r="S700" t="s">
        <v>503</v>
      </c>
      <c r="T700" t="s">
        <v>508</v>
      </c>
      <c r="U700" t="s">
        <v>511</v>
      </c>
      <c r="V700">
        <v>11368</v>
      </c>
      <c r="W700" t="s">
        <v>532</v>
      </c>
      <c r="X700" t="s">
        <v>548</v>
      </c>
      <c r="Z700" t="s">
        <v>5782</v>
      </c>
      <c r="AA700" t="s">
        <v>6161</v>
      </c>
      <c r="AB700" t="s">
        <v>902</v>
      </c>
      <c r="AC700" t="s">
        <v>906</v>
      </c>
      <c r="AF700" t="s">
        <v>923</v>
      </c>
      <c r="AI700">
        <v>8.92</v>
      </c>
      <c r="AJ700" t="s">
        <v>558</v>
      </c>
      <c r="AK700" t="s">
        <v>933</v>
      </c>
      <c r="AL700" t="s">
        <v>274</v>
      </c>
      <c r="AS700" t="s">
        <v>558</v>
      </c>
      <c r="AT700">
        <v>5</v>
      </c>
      <c r="AU700">
        <v>1</v>
      </c>
      <c r="AV700" t="s">
        <v>273</v>
      </c>
      <c r="AY700" t="s">
        <v>273</v>
      </c>
      <c r="BB700">
        <v>0</v>
      </c>
      <c r="BC700">
        <v>0</v>
      </c>
      <c r="BD700">
        <v>0</v>
      </c>
      <c r="BE700">
        <v>0</v>
      </c>
      <c r="BF700" t="s">
        <v>1063</v>
      </c>
      <c r="BG700" t="s">
        <v>6596</v>
      </c>
      <c r="BH700">
        <v>34</v>
      </c>
      <c r="BI700" t="s">
        <v>7023</v>
      </c>
      <c r="BJ700" t="s">
        <v>3704</v>
      </c>
      <c r="BK700">
        <v>824956</v>
      </c>
    </row>
    <row r="701" spans="1:63">
      <c r="A701" s="1">
        <f>HYPERLINK("https://lsnyc.legalserver.org/matter/dynamic-profile/view/1846371","17-1846371")</f>
        <v>0</v>
      </c>
      <c r="B701" t="s">
        <v>5223</v>
      </c>
      <c r="C701" t="s">
        <v>5625</v>
      </c>
      <c r="D701" t="s">
        <v>257</v>
      </c>
      <c r="E701" t="s">
        <v>5630</v>
      </c>
      <c r="F701" t="s">
        <v>274</v>
      </c>
      <c r="G701" t="s">
        <v>274</v>
      </c>
      <c r="H701">
        <v>191.21</v>
      </c>
      <c r="I701" t="s">
        <v>274</v>
      </c>
      <c r="K701" t="s">
        <v>5662</v>
      </c>
      <c r="O701" t="s">
        <v>274</v>
      </c>
      <c r="P701" t="s">
        <v>498</v>
      </c>
      <c r="Q701" t="s">
        <v>501</v>
      </c>
      <c r="S701" t="s">
        <v>503</v>
      </c>
      <c r="T701" t="s">
        <v>508</v>
      </c>
      <c r="U701" t="s">
        <v>511</v>
      </c>
      <c r="V701">
        <v>10452</v>
      </c>
      <c r="W701" t="s">
        <v>517</v>
      </c>
      <c r="X701" t="s">
        <v>548</v>
      </c>
      <c r="Z701" t="s">
        <v>5785</v>
      </c>
      <c r="AA701" t="s">
        <v>4726</v>
      </c>
      <c r="AB701" t="s">
        <v>902</v>
      </c>
      <c r="AC701" t="s">
        <v>904</v>
      </c>
      <c r="AF701" t="s">
        <v>923</v>
      </c>
      <c r="AI701">
        <v>3.19</v>
      </c>
      <c r="AJ701" t="s">
        <v>558</v>
      </c>
      <c r="AK701" t="s">
        <v>934</v>
      </c>
      <c r="AL701" t="s">
        <v>274</v>
      </c>
      <c r="AT701">
        <v>0</v>
      </c>
      <c r="AU701">
        <v>1</v>
      </c>
      <c r="AV701" t="s">
        <v>273</v>
      </c>
      <c r="AY701" t="s">
        <v>273</v>
      </c>
      <c r="BB701">
        <v>0</v>
      </c>
      <c r="BC701">
        <v>0</v>
      </c>
      <c r="BD701">
        <v>0</v>
      </c>
      <c r="BE701">
        <v>0</v>
      </c>
      <c r="BF701" t="s">
        <v>1063</v>
      </c>
      <c r="BG701" t="s">
        <v>6599</v>
      </c>
      <c r="BH701">
        <v>53</v>
      </c>
      <c r="BI701" t="s">
        <v>7024</v>
      </c>
      <c r="BJ701" t="s">
        <v>381</v>
      </c>
      <c r="BK701">
        <v>419773</v>
      </c>
    </row>
    <row r="702" spans="1:63">
      <c r="A702" s="1">
        <f>HYPERLINK("https://lsnyc.legalserver.org/matter/dynamic-profile/view/1846376","17-1846376")</f>
        <v>0</v>
      </c>
      <c r="B702" t="s">
        <v>2910</v>
      </c>
      <c r="C702" t="s">
        <v>5625</v>
      </c>
      <c r="D702" t="s">
        <v>253</v>
      </c>
      <c r="E702" t="s">
        <v>3694</v>
      </c>
      <c r="F702" t="s">
        <v>274</v>
      </c>
      <c r="G702" t="s">
        <v>274</v>
      </c>
      <c r="H702">
        <v>117.53</v>
      </c>
      <c r="I702" t="s">
        <v>274</v>
      </c>
      <c r="K702" t="s">
        <v>5662</v>
      </c>
      <c r="O702" t="s">
        <v>274</v>
      </c>
      <c r="P702" t="s">
        <v>492</v>
      </c>
      <c r="Q702" t="s">
        <v>501</v>
      </c>
      <c r="S702" t="s">
        <v>503</v>
      </c>
      <c r="T702" t="s">
        <v>508</v>
      </c>
      <c r="U702" t="s">
        <v>511</v>
      </c>
      <c r="V702">
        <v>11368</v>
      </c>
      <c r="W702" t="s">
        <v>532</v>
      </c>
      <c r="X702" t="s">
        <v>548</v>
      </c>
      <c r="Z702" t="s">
        <v>2015</v>
      </c>
      <c r="AA702" t="s">
        <v>2111</v>
      </c>
      <c r="AB702" t="s">
        <v>902</v>
      </c>
      <c r="AC702" t="s">
        <v>906</v>
      </c>
      <c r="AF702" t="s">
        <v>923</v>
      </c>
      <c r="AI702">
        <v>4.15</v>
      </c>
      <c r="AJ702" t="s">
        <v>558</v>
      </c>
      <c r="AK702" t="s">
        <v>933</v>
      </c>
      <c r="AS702" t="s">
        <v>1061</v>
      </c>
      <c r="AT702">
        <v>2</v>
      </c>
      <c r="AU702">
        <v>1</v>
      </c>
      <c r="AV702" t="s">
        <v>273</v>
      </c>
      <c r="AY702" t="s">
        <v>273</v>
      </c>
      <c r="BB702">
        <v>0</v>
      </c>
      <c r="BC702">
        <v>0</v>
      </c>
      <c r="BD702">
        <v>0</v>
      </c>
      <c r="BE702">
        <v>0</v>
      </c>
      <c r="BF702" t="s">
        <v>1063</v>
      </c>
      <c r="BG702" t="s">
        <v>6750</v>
      </c>
      <c r="BH702">
        <v>38</v>
      </c>
      <c r="BI702" t="s">
        <v>1259</v>
      </c>
      <c r="BK702">
        <v>805722</v>
      </c>
    </row>
    <row r="703" spans="1:63">
      <c r="A703" s="1">
        <f>HYPERLINK("https://lsnyc.legalserver.org/matter/dynamic-profile/view/1845877","17-1845877")</f>
        <v>0</v>
      </c>
      <c r="B703" t="s">
        <v>5608</v>
      </c>
      <c r="C703" t="s">
        <v>5625</v>
      </c>
      <c r="D703" t="s">
        <v>252</v>
      </c>
      <c r="E703" t="s">
        <v>1650</v>
      </c>
      <c r="F703" t="s">
        <v>274</v>
      </c>
      <c r="G703" t="s">
        <v>274</v>
      </c>
      <c r="H703">
        <v>47.29</v>
      </c>
      <c r="I703" t="s">
        <v>274</v>
      </c>
      <c r="K703" t="s">
        <v>5663</v>
      </c>
      <c r="O703" t="s">
        <v>274</v>
      </c>
      <c r="P703" t="s">
        <v>499</v>
      </c>
      <c r="Q703" t="s">
        <v>501</v>
      </c>
      <c r="S703" t="s">
        <v>503</v>
      </c>
      <c r="T703" t="s">
        <v>508</v>
      </c>
      <c r="U703" t="s">
        <v>511</v>
      </c>
      <c r="V703">
        <v>11203</v>
      </c>
      <c r="W703" t="s">
        <v>517</v>
      </c>
      <c r="X703" t="s">
        <v>549</v>
      </c>
      <c r="Y703" t="s">
        <v>274</v>
      </c>
      <c r="Z703" t="s">
        <v>6044</v>
      </c>
      <c r="AA703" t="s">
        <v>6439</v>
      </c>
      <c r="AB703" t="s">
        <v>902</v>
      </c>
      <c r="AC703" t="s">
        <v>904</v>
      </c>
      <c r="AF703" t="s">
        <v>923</v>
      </c>
      <c r="AI703">
        <v>4.85</v>
      </c>
      <c r="AJ703" t="s">
        <v>558</v>
      </c>
      <c r="AK703" t="s">
        <v>939</v>
      </c>
      <c r="AT703">
        <v>2</v>
      </c>
      <c r="AU703">
        <v>1</v>
      </c>
      <c r="AV703" t="s">
        <v>273</v>
      </c>
      <c r="AY703" t="s">
        <v>273</v>
      </c>
      <c r="BB703">
        <v>0</v>
      </c>
      <c r="BC703">
        <v>0</v>
      </c>
      <c r="BD703">
        <v>0</v>
      </c>
      <c r="BE703">
        <v>0</v>
      </c>
      <c r="BF703" t="s">
        <v>1063</v>
      </c>
      <c r="BG703" t="s">
        <v>6954</v>
      </c>
      <c r="BH703">
        <v>39</v>
      </c>
      <c r="BI703" t="s">
        <v>7139</v>
      </c>
      <c r="BK703">
        <v>1846397</v>
      </c>
    </row>
    <row r="704" spans="1:63">
      <c r="A704" s="1">
        <f>HYPERLINK("https://lsnyc.legalserver.org/matter/dynamic-profile/view/1845156","17-1845156")</f>
        <v>0</v>
      </c>
      <c r="B704" t="s">
        <v>5609</v>
      </c>
      <c r="C704" t="s">
        <v>5625</v>
      </c>
      <c r="D704" t="s">
        <v>255</v>
      </c>
      <c r="E704" t="s">
        <v>3694</v>
      </c>
      <c r="F704" t="s">
        <v>274</v>
      </c>
      <c r="G704" t="s">
        <v>274</v>
      </c>
      <c r="H704">
        <v>194.03</v>
      </c>
      <c r="I704" t="s">
        <v>274</v>
      </c>
      <c r="K704" t="s">
        <v>1789</v>
      </c>
      <c r="O704" t="s">
        <v>274</v>
      </c>
      <c r="P704" t="s">
        <v>498</v>
      </c>
      <c r="Q704" t="s">
        <v>501</v>
      </c>
      <c r="S704" t="s">
        <v>503</v>
      </c>
      <c r="T704" t="s">
        <v>507</v>
      </c>
      <c r="U704" t="s">
        <v>511</v>
      </c>
      <c r="V704">
        <v>10040</v>
      </c>
      <c r="W704" t="s">
        <v>517</v>
      </c>
      <c r="X704" t="s">
        <v>549</v>
      </c>
      <c r="Y704" t="s">
        <v>274</v>
      </c>
      <c r="Z704" t="s">
        <v>6045</v>
      </c>
      <c r="AA704" t="s">
        <v>6069</v>
      </c>
      <c r="AB704" t="s">
        <v>902</v>
      </c>
      <c r="AC704" t="s">
        <v>904</v>
      </c>
      <c r="AF704" t="s">
        <v>923</v>
      </c>
      <c r="AI704">
        <v>7.85</v>
      </c>
      <c r="AJ704" t="s">
        <v>558</v>
      </c>
      <c r="AK704" t="s">
        <v>3258</v>
      </c>
      <c r="AT704">
        <v>0</v>
      </c>
      <c r="AU704">
        <v>1</v>
      </c>
      <c r="AV704" t="s">
        <v>273</v>
      </c>
      <c r="AY704" t="s">
        <v>273</v>
      </c>
      <c r="BB704">
        <v>0</v>
      </c>
      <c r="BC704">
        <v>0</v>
      </c>
      <c r="BD704">
        <v>0</v>
      </c>
      <c r="BE704">
        <v>0</v>
      </c>
      <c r="BF704" t="s">
        <v>1063</v>
      </c>
      <c r="BG704" t="s">
        <v>6955</v>
      </c>
      <c r="BH704">
        <v>41</v>
      </c>
      <c r="BI704" t="s">
        <v>1248</v>
      </c>
      <c r="BK704">
        <v>1845668</v>
      </c>
    </row>
    <row r="705" spans="1:63">
      <c r="A705" s="1">
        <f>HYPERLINK("https://lsnyc.legalserver.org/matter/dynamic-profile/view/1844510","17-1844510")</f>
        <v>0</v>
      </c>
      <c r="B705" t="s">
        <v>5513</v>
      </c>
      <c r="C705" t="s">
        <v>5625</v>
      </c>
      <c r="D705" t="s">
        <v>257</v>
      </c>
      <c r="E705" t="s">
        <v>3694</v>
      </c>
      <c r="F705" t="s">
        <v>274</v>
      </c>
      <c r="G705" t="s">
        <v>274</v>
      </c>
      <c r="H705">
        <v>120.73</v>
      </c>
      <c r="I705" t="s">
        <v>274</v>
      </c>
      <c r="K705" t="s">
        <v>5664</v>
      </c>
      <c r="O705" t="s">
        <v>274</v>
      </c>
      <c r="P705" t="s">
        <v>498</v>
      </c>
      <c r="Q705" t="s">
        <v>501</v>
      </c>
      <c r="S705" t="s">
        <v>503</v>
      </c>
      <c r="T705" t="s">
        <v>508</v>
      </c>
      <c r="U705" t="s">
        <v>511</v>
      </c>
      <c r="V705">
        <v>10456</v>
      </c>
      <c r="W705" t="s">
        <v>517</v>
      </c>
      <c r="X705" t="s">
        <v>548</v>
      </c>
      <c r="Y705" t="s">
        <v>274</v>
      </c>
      <c r="Z705" t="s">
        <v>5974</v>
      </c>
      <c r="AA705" t="s">
        <v>2320</v>
      </c>
      <c r="AB705" t="s">
        <v>902</v>
      </c>
      <c r="AC705" t="s">
        <v>904</v>
      </c>
      <c r="AF705" t="s">
        <v>923</v>
      </c>
      <c r="AI705">
        <v>1.51</v>
      </c>
      <c r="AJ705" t="s">
        <v>558</v>
      </c>
      <c r="AK705" t="s">
        <v>950</v>
      </c>
      <c r="AT705">
        <v>0</v>
      </c>
      <c r="AU705">
        <v>1</v>
      </c>
      <c r="AV705" t="s">
        <v>273</v>
      </c>
      <c r="AY705" t="s">
        <v>273</v>
      </c>
      <c r="BB705">
        <v>0</v>
      </c>
      <c r="BC705">
        <v>0</v>
      </c>
      <c r="BD705">
        <v>0</v>
      </c>
      <c r="BE705">
        <v>0</v>
      </c>
      <c r="BF705" t="s">
        <v>1063</v>
      </c>
      <c r="BG705" t="s">
        <v>6864</v>
      </c>
      <c r="BH705">
        <v>54</v>
      </c>
      <c r="BI705" t="s">
        <v>2719</v>
      </c>
      <c r="BK705">
        <v>1845022</v>
      </c>
    </row>
    <row r="706" spans="1:63">
      <c r="A706" s="1">
        <f>HYPERLINK("https://lsnyc.legalserver.org/matter/dynamic-profile/view/1844402","17-1844402")</f>
        <v>0</v>
      </c>
      <c r="B706" t="s">
        <v>5610</v>
      </c>
      <c r="C706" t="s">
        <v>5625</v>
      </c>
      <c r="D706" t="s">
        <v>252</v>
      </c>
      <c r="E706" t="s">
        <v>5630</v>
      </c>
      <c r="F706" t="s">
        <v>274</v>
      </c>
      <c r="G706" t="s">
        <v>274</v>
      </c>
      <c r="H706">
        <v>79.59999999999999</v>
      </c>
      <c r="I706" t="s">
        <v>274</v>
      </c>
      <c r="K706" t="s">
        <v>5665</v>
      </c>
      <c r="L706" t="s">
        <v>1660</v>
      </c>
      <c r="M706" t="s">
        <v>471</v>
      </c>
      <c r="N706" t="s">
        <v>1664</v>
      </c>
      <c r="O706" t="s">
        <v>274</v>
      </c>
      <c r="P706" t="s">
        <v>498</v>
      </c>
      <c r="Q706" t="s">
        <v>501</v>
      </c>
      <c r="S706" t="s">
        <v>503</v>
      </c>
      <c r="T706" t="s">
        <v>508</v>
      </c>
      <c r="U706" t="s">
        <v>511</v>
      </c>
      <c r="V706">
        <v>11217</v>
      </c>
      <c r="W706" t="s">
        <v>517</v>
      </c>
      <c r="X706" t="s">
        <v>549</v>
      </c>
      <c r="Y706" t="s">
        <v>275</v>
      </c>
      <c r="Z706" t="s">
        <v>6046</v>
      </c>
      <c r="AA706" t="s">
        <v>2262</v>
      </c>
      <c r="AB706" t="s">
        <v>902</v>
      </c>
      <c r="AC706" t="s">
        <v>904</v>
      </c>
      <c r="AD706" t="s">
        <v>275</v>
      </c>
      <c r="AE706" t="s">
        <v>919</v>
      </c>
      <c r="AF706" t="s">
        <v>923</v>
      </c>
      <c r="AI706">
        <v>6.4</v>
      </c>
      <c r="AJ706" t="s">
        <v>558</v>
      </c>
      <c r="AK706" t="s">
        <v>957</v>
      </c>
      <c r="AL706" t="s">
        <v>274</v>
      </c>
      <c r="AM706" t="s">
        <v>973</v>
      </c>
      <c r="AN706" t="s">
        <v>1705</v>
      </c>
      <c r="AO706" t="s">
        <v>976</v>
      </c>
      <c r="AP706" t="s">
        <v>1664</v>
      </c>
      <c r="AQ706" t="s">
        <v>1042</v>
      </c>
      <c r="AR706" t="s">
        <v>1051</v>
      </c>
      <c r="AT706">
        <v>0</v>
      </c>
      <c r="AU706">
        <v>1</v>
      </c>
      <c r="AV706" t="s">
        <v>273</v>
      </c>
      <c r="AY706" t="s">
        <v>273</v>
      </c>
      <c r="BB706">
        <v>0</v>
      </c>
      <c r="BC706">
        <v>0</v>
      </c>
      <c r="BD706">
        <v>0</v>
      </c>
      <c r="BE706">
        <v>0</v>
      </c>
      <c r="BF706" t="s">
        <v>493</v>
      </c>
      <c r="BG706" t="s">
        <v>6956</v>
      </c>
      <c r="BH706">
        <v>65</v>
      </c>
      <c r="BI706" t="s">
        <v>1280</v>
      </c>
      <c r="BJ706" t="s">
        <v>3703</v>
      </c>
      <c r="BK706">
        <v>1844914</v>
      </c>
    </row>
    <row r="707" spans="1:63">
      <c r="A707" s="1">
        <f>HYPERLINK("https://lsnyc.legalserver.org/matter/dynamic-profile/view/1844163","17-1844163")</f>
        <v>0</v>
      </c>
      <c r="B707" t="s">
        <v>5611</v>
      </c>
      <c r="C707" t="s">
        <v>5625</v>
      </c>
      <c r="D707" t="s">
        <v>257</v>
      </c>
      <c r="E707" t="s">
        <v>3694</v>
      </c>
      <c r="F707" t="s">
        <v>274</v>
      </c>
      <c r="G707" t="s">
        <v>274</v>
      </c>
      <c r="H707">
        <v>75.89</v>
      </c>
      <c r="I707" t="s">
        <v>274</v>
      </c>
      <c r="K707" t="s">
        <v>5666</v>
      </c>
      <c r="O707" t="s">
        <v>274</v>
      </c>
      <c r="Q707" t="s">
        <v>501</v>
      </c>
      <c r="S707" t="s">
        <v>503</v>
      </c>
      <c r="T707" t="s">
        <v>507</v>
      </c>
      <c r="U707" t="s">
        <v>511</v>
      </c>
      <c r="V707">
        <v>10457</v>
      </c>
      <c r="W707" t="s">
        <v>517</v>
      </c>
      <c r="X707" t="s">
        <v>549</v>
      </c>
      <c r="Y707" t="s">
        <v>275</v>
      </c>
      <c r="Z707" t="s">
        <v>1989</v>
      </c>
      <c r="AA707" t="s">
        <v>6440</v>
      </c>
      <c r="AB707" t="s">
        <v>902</v>
      </c>
      <c r="AC707" t="s">
        <v>904</v>
      </c>
      <c r="AF707" t="s">
        <v>923</v>
      </c>
      <c r="AI707">
        <v>2.4</v>
      </c>
      <c r="AJ707" t="s">
        <v>558</v>
      </c>
      <c r="AK707" t="s">
        <v>950</v>
      </c>
      <c r="AT707">
        <v>1</v>
      </c>
      <c r="AU707">
        <v>4</v>
      </c>
      <c r="AV707" t="s">
        <v>273</v>
      </c>
      <c r="AY707" t="s">
        <v>273</v>
      </c>
      <c r="BB707">
        <v>0</v>
      </c>
      <c r="BC707">
        <v>0</v>
      </c>
      <c r="BD707">
        <v>0</v>
      </c>
      <c r="BE707">
        <v>0</v>
      </c>
      <c r="BF707" t="s">
        <v>1063</v>
      </c>
      <c r="BG707" t="s">
        <v>6957</v>
      </c>
      <c r="BH707">
        <v>21</v>
      </c>
      <c r="BI707" t="s">
        <v>4271</v>
      </c>
      <c r="BK707">
        <v>1844675</v>
      </c>
    </row>
    <row r="708" spans="1:63">
      <c r="A708" s="1">
        <f>HYPERLINK("https://lsnyc.legalserver.org/matter/dynamic-profile/view/1843740","17-1843740")</f>
        <v>0</v>
      </c>
      <c r="B708" t="s">
        <v>5310</v>
      </c>
      <c r="C708" t="s">
        <v>5625</v>
      </c>
      <c r="D708" t="s">
        <v>255</v>
      </c>
      <c r="E708" t="s">
        <v>3694</v>
      </c>
      <c r="F708" t="s">
        <v>274</v>
      </c>
      <c r="G708" t="s">
        <v>274</v>
      </c>
      <c r="H708">
        <v>199</v>
      </c>
      <c r="I708" t="s">
        <v>274</v>
      </c>
      <c r="K708" t="s">
        <v>5667</v>
      </c>
      <c r="O708" t="s">
        <v>275</v>
      </c>
      <c r="P708" t="s">
        <v>498</v>
      </c>
      <c r="Q708" t="s">
        <v>501</v>
      </c>
      <c r="S708" t="s">
        <v>503</v>
      </c>
      <c r="T708" t="s">
        <v>507</v>
      </c>
      <c r="U708" t="s">
        <v>511</v>
      </c>
      <c r="V708">
        <v>10033</v>
      </c>
      <c r="W708" t="s">
        <v>517</v>
      </c>
      <c r="X708" t="s">
        <v>548</v>
      </c>
      <c r="Z708" t="s">
        <v>1877</v>
      </c>
      <c r="AA708" t="s">
        <v>6229</v>
      </c>
      <c r="AB708" t="s">
        <v>902</v>
      </c>
      <c r="AC708" t="s">
        <v>904</v>
      </c>
      <c r="AF708" t="s">
        <v>923</v>
      </c>
      <c r="AI708">
        <v>6.4</v>
      </c>
      <c r="AJ708" t="s">
        <v>558</v>
      </c>
      <c r="AK708" t="s">
        <v>950</v>
      </c>
      <c r="AL708" t="s">
        <v>274</v>
      </c>
      <c r="AT708">
        <v>0</v>
      </c>
      <c r="AU708">
        <v>1</v>
      </c>
      <c r="AV708" t="s">
        <v>273</v>
      </c>
      <c r="AY708" t="s">
        <v>273</v>
      </c>
      <c r="BB708">
        <v>0</v>
      </c>
      <c r="BC708">
        <v>0</v>
      </c>
      <c r="BD708">
        <v>0</v>
      </c>
      <c r="BE708">
        <v>0</v>
      </c>
      <c r="BF708" t="s">
        <v>1063</v>
      </c>
      <c r="BG708" t="s">
        <v>6680</v>
      </c>
      <c r="BH708">
        <v>39</v>
      </c>
      <c r="BI708" t="s">
        <v>1259</v>
      </c>
      <c r="BJ708" t="s">
        <v>3709</v>
      </c>
      <c r="BK708">
        <v>1844250</v>
      </c>
    </row>
    <row r="709" spans="1:63">
      <c r="A709" s="1">
        <f>HYPERLINK("https://lsnyc.legalserver.org/matter/dynamic-profile/view/1843218","17-1843218")</f>
        <v>0</v>
      </c>
      <c r="B709" t="s">
        <v>5612</v>
      </c>
      <c r="C709" t="s">
        <v>5625</v>
      </c>
      <c r="D709" t="s">
        <v>255</v>
      </c>
      <c r="E709" t="s">
        <v>5630</v>
      </c>
      <c r="F709" t="s">
        <v>274</v>
      </c>
      <c r="G709" t="s">
        <v>274</v>
      </c>
      <c r="H709">
        <v>66.33</v>
      </c>
      <c r="I709" t="s">
        <v>274</v>
      </c>
      <c r="K709" t="s">
        <v>5668</v>
      </c>
      <c r="O709" t="s">
        <v>275</v>
      </c>
      <c r="Q709" t="s">
        <v>501</v>
      </c>
      <c r="S709" t="s">
        <v>503</v>
      </c>
      <c r="T709" t="s">
        <v>507</v>
      </c>
      <c r="U709" t="s">
        <v>511</v>
      </c>
      <c r="V709">
        <v>10025</v>
      </c>
      <c r="W709" t="s">
        <v>517</v>
      </c>
      <c r="X709" t="s">
        <v>548</v>
      </c>
      <c r="Y709" t="s">
        <v>275</v>
      </c>
      <c r="Z709" t="s">
        <v>564</v>
      </c>
      <c r="AA709" t="s">
        <v>4012</v>
      </c>
      <c r="AB709" t="s">
        <v>902</v>
      </c>
      <c r="AC709" t="s">
        <v>904</v>
      </c>
      <c r="AF709" t="s">
        <v>923</v>
      </c>
      <c r="AI709">
        <v>4.85</v>
      </c>
      <c r="AJ709" t="s">
        <v>558</v>
      </c>
      <c r="AK709" t="s">
        <v>950</v>
      </c>
      <c r="AL709" t="s">
        <v>274</v>
      </c>
      <c r="AM709" t="s">
        <v>973</v>
      </c>
      <c r="AN709" t="s">
        <v>1707</v>
      </c>
      <c r="AT709">
        <v>0</v>
      </c>
      <c r="AU709">
        <v>1</v>
      </c>
      <c r="AV709" t="s">
        <v>273</v>
      </c>
      <c r="AY709" t="s">
        <v>273</v>
      </c>
      <c r="BB709">
        <v>0</v>
      </c>
      <c r="BC709">
        <v>0</v>
      </c>
      <c r="BD709">
        <v>0</v>
      </c>
      <c r="BE709">
        <v>0</v>
      </c>
      <c r="BF709" t="s">
        <v>1063</v>
      </c>
      <c r="BG709" t="s">
        <v>6958</v>
      </c>
      <c r="BH709">
        <v>60</v>
      </c>
      <c r="BI709" t="s">
        <v>2758</v>
      </c>
      <c r="BJ709" t="s">
        <v>2996</v>
      </c>
      <c r="BK709">
        <v>1843727</v>
      </c>
    </row>
    <row r="710" spans="1:63">
      <c r="A710" s="1">
        <f>HYPERLINK("https://lsnyc.legalserver.org/matter/dynamic-profile/view/1843235","17-1843235")</f>
        <v>0</v>
      </c>
      <c r="B710" t="s">
        <v>5613</v>
      </c>
      <c r="C710" t="s">
        <v>5625</v>
      </c>
      <c r="D710" t="s">
        <v>257</v>
      </c>
      <c r="E710" t="s">
        <v>3694</v>
      </c>
      <c r="F710" t="s">
        <v>274</v>
      </c>
      <c r="G710" t="s">
        <v>274</v>
      </c>
      <c r="H710">
        <v>91.17</v>
      </c>
      <c r="I710" t="s">
        <v>274</v>
      </c>
      <c r="K710" t="s">
        <v>5668</v>
      </c>
      <c r="O710" t="s">
        <v>275</v>
      </c>
      <c r="Q710" t="s">
        <v>501</v>
      </c>
      <c r="S710" t="s">
        <v>503</v>
      </c>
      <c r="T710" t="s">
        <v>508</v>
      </c>
      <c r="U710" t="s">
        <v>511</v>
      </c>
      <c r="V710">
        <v>10472</v>
      </c>
      <c r="W710" t="s">
        <v>517</v>
      </c>
      <c r="X710" t="s">
        <v>548</v>
      </c>
      <c r="Z710" t="s">
        <v>6047</v>
      </c>
      <c r="AA710" t="s">
        <v>6441</v>
      </c>
      <c r="AB710" t="s">
        <v>902</v>
      </c>
      <c r="AC710" t="s">
        <v>904</v>
      </c>
      <c r="AF710" t="s">
        <v>923</v>
      </c>
      <c r="AI710">
        <v>3.52</v>
      </c>
      <c r="AK710" t="s">
        <v>934</v>
      </c>
      <c r="AT710">
        <v>1</v>
      </c>
      <c r="AU710">
        <v>2</v>
      </c>
      <c r="AV710" t="s">
        <v>273</v>
      </c>
      <c r="AY710" t="s">
        <v>273</v>
      </c>
      <c r="BB710">
        <v>0</v>
      </c>
      <c r="BC710">
        <v>0</v>
      </c>
      <c r="BD710">
        <v>0</v>
      </c>
      <c r="BE710">
        <v>0</v>
      </c>
      <c r="BF710" t="s">
        <v>1063</v>
      </c>
      <c r="BG710" t="s">
        <v>6959</v>
      </c>
      <c r="BH710">
        <v>35</v>
      </c>
      <c r="BI710" t="s">
        <v>7140</v>
      </c>
      <c r="BK710">
        <v>1843744</v>
      </c>
    </row>
    <row r="711" spans="1:63">
      <c r="A711" s="1">
        <f>HYPERLINK("https://lsnyc.legalserver.org/matter/dynamic-profile/view/1843141","17-1843141")</f>
        <v>0</v>
      </c>
      <c r="B711" t="s">
        <v>5614</v>
      </c>
      <c r="C711" t="s">
        <v>5625</v>
      </c>
      <c r="D711" t="s">
        <v>5627</v>
      </c>
      <c r="E711" t="s">
        <v>264</v>
      </c>
      <c r="F711" t="s">
        <v>273</v>
      </c>
      <c r="G711" t="s">
        <v>275</v>
      </c>
      <c r="H711">
        <v>0</v>
      </c>
      <c r="I711" t="s">
        <v>274</v>
      </c>
      <c r="K711" t="s">
        <v>425</v>
      </c>
      <c r="L711" t="s">
        <v>297</v>
      </c>
      <c r="O711" t="s">
        <v>275</v>
      </c>
      <c r="Q711" t="s">
        <v>501</v>
      </c>
      <c r="S711" t="s">
        <v>503</v>
      </c>
      <c r="T711" t="s">
        <v>508</v>
      </c>
      <c r="U711" t="s">
        <v>511</v>
      </c>
      <c r="V711">
        <v>11207</v>
      </c>
      <c r="W711" t="s">
        <v>517</v>
      </c>
      <c r="X711" t="s">
        <v>548</v>
      </c>
      <c r="Y711" t="s">
        <v>275</v>
      </c>
      <c r="Z711" t="s">
        <v>1887</v>
      </c>
      <c r="AA711" t="s">
        <v>6442</v>
      </c>
      <c r="AB711" t="s">
        <v>902</v>
      </c>
      <c r="AC711" t="s">
        <v>904</v>
      </c>
      <c r="AD711" t="s">
        <v>275</v>
      </c>
      <c r="AE711" t="s">
        <v>918</v>
      </c>
      <c r="AF711" t="s">
        <v>927</v>
      </c>
      <c r="AI711">
        <v>12.8</v>
      </c>
      <c r="AJ711" t="s">
        <v>558</v>
      </c>
      <c r="AK711" t="s">
        <v>950</v>
      </c>
      <c r="AL711" t="s">
        <v>274</v>
      </c>
      <c r="AQ711" t="s">
        <v>1033</v>
      </c>
      <c r="AR711" t="s">
        <v>1053</v>
      </c>
      <c r="AT711">
        <v>0</v>
      </c>
      <c r="AU711">
        <v>1</v>
      </c>
      <c r="AV711" t="s">
        <v>273</v>
      </c>
      <c r="AY711" t="s">
        <v>273</v>
      </c>
      <c r="BB711">
        <v>0</v>
      </c>
      <c r="BC711">
        <v>0</v>
      </c>
      <c r="BD711">
        <v>0</v>
      </c>
      <c r="BE711">
        <v>0</v>
      </c>
      <c r="BF711" t="s">
        <v>493</v>
      </c>
      <c r="BG711" t="s">
        <v>6960</v>
      </c>
      <c r="BH711">
        <v>52</v>
      </c>
      <c r="BI711" t="s">
        <v>1247</v>
      </c>
      <c r="BK711">
        <v>1843650</v>
      </c>
    </row>
    <row r="712" spans="1:63">
      <c r="A712" s="1">
        <f>HYPERLINK("https://lsnyc.legalserver.org/matter/dynamic-profile/view/1843038","17-1843038")</f>
        <v>0</v>
      </c>
      <c r="B712" t="s">
        <v>5615</v>
      </c>
      <c r="C712" t="s">
        <v>5625</v>
      </c>
      <c r="D712" t="s">
        <v>257</v>
      </c>
      <c r="E712" t="s">
        <v>5630</v>
      </c>
      <c r="F712" t="s">
        <v>274</v>
      </c>
      <c r="G712" t="s">
        <v>274</v>
      </c>
      <c r="H712">
        <v>160.1</v>
      </c>
      <c r="I712" t="s">
        <v>275</v>
      </c>
      <c r="K712" t="s">
        <v>5669</v>
      </c>
      <c r="O712" t="s">
        <v>275</v>
      </c>
      <c r="Q712" t="s">
        <v>501</v>
      </c>
      <c r="S712" t="s">
        <v>503</v>
      </c>
      <c r="T712" t="s">
        <v>507</v>
      </c>
      <c r="U712" t="s">
        <v>511</v>
      </c>
      <c r="V712">
        <v>10453</v>
      </c>
      <c r="W712" t="s">
        <v>517</v>
      </c>
      <c r="X712" t="s">
        <v>548</v>
      </c>
      <c r="Z712" t="s">
        <v>6048</v>
      </c>
      <c r="AA712" t="s">
        <v>6443</v>
      </c>
      <c r="AB712" t="s">
        <v>902</v>
      </c>
      <c r="AC712" t="s">
        <v>904</v>
      </c>
      <c r="AF712" t="s">
        <v>923</v>
      </c>
      <c r="AI712">
        <v>5.35</v>
      </c>
      <c r="AK712" t="s">
        <v>950</v>
      </c>
      <c r="AL712" t="s">
        <v>275</v>
      </c>
      <c r="AT712">
        <v>1</v>
      </c>
      <c r="AU712">
        <v>1</v>
      </c>
      <c r="AV712" t="s">
        <v>273</v>
      </c>
      <c r="AY712" t="s">
        <v>273</v>
      </c>
      <c r="BB712">
        <v>0</v>
      </c>
      <c r="BC712">
        <v>0</v>
      </c>
      <c r="BD712">
        <v>0</v>
      </c>
      <c r="BE712">
        <v>0</v>
      </c>
      <c r="BF712" t="s">
        <v>1063</v>
      </c>
      <c r="BG712" t="s">
        <v>6961</v>
      </c>
      <c r="BH712">
        <v>44</v>
      </c>
      <c r="BI712" t="s">
        <v>1279</v>
      </c>
      <c r="BK712">
        <v>1843547</v>
      </c>
    </row>
    <row r="713" spans="1:63">
      <c r="A713" s="1">
        <f>HYPERLINK("https://lsnyc.legalserver.org/matter/dynamic-profile/view/1842737","17-1842737")</f>
        <v>0</v>
      </c>
      <c r="B713" t="s">
        <v>5533</v>
      </c>
      <c r="C713" t="s">
        <v>5625</v>
      </c>
      <c r="D713" t="s">
        <v>255</v>
      </c>
      <c r="E713" t="s">
        <v>3694</v>
      </c>
      <c r="F713" t="s">
        <v>274</v>
      </c>
      <c r="G713" t="s">
        <v>274</v>
      </c>
      <c r="H713">
        <v>163.82</v>
      </c>
      <c r="I713" t="s">
        <v>274</v>
      </c>
      <c r="K713" t="s">
        <v>1024</v>
      </c>
      <c r="O713" t="s">
        <v>275</v>
      </c>
      <c r="P713" t="s">
        <v>498</v>
      </c>
      <c r="Q713" t="s">
        <v>501</v>
      </c>
      <c r="S713" t="s">
        <v>503</v>
      </c>
      <c r="T713" t="s">
        <v>508</v>
      </c>
      <c r="U713" t="s">
        <v>511</v>
      </c>
      <c r="V713">
        <v>10032</v>
      </c>
      <c r="W713" t="s">
        <v>517</v>
      </c>
      <c r="X713" t="s">
        <v>548</v>
      </c>
      <c r="Y713" t="s">
        <v>275</v>
      </c>
      <c r="Z713" t="s">
        <v>1881</v>
      </c>
      <c r="AA713" t="s">
        <v>824</v>
      </c>
      <c r="AB713" t="s">
        <v>902</v>
      </c>
      <c r="AC713" t="s">
        <v>904</v>
      </c>
      <c r="AF713" t="s">
        <v>923</v>
      </c>
      <c r="AI713">
        <v>3.85</v>
      </c>
      <c r="AJ713" t="s">
        <v>558</v>
      </c>
      <c r="AK713" t="s">
        <v>949</v>
      </c>
      <c r="AT713">
        <v>2</v>
      </c>
      <c r="AU713">
        <v>2</v>
      </c>
      <c r="AV713" t="s">
        <v>273</v>
      </c>
      <c r="AY713" t="s">
        <v>273</v>
      </c>
      <c r="BB713">
        <v>0</v>
      </c>
      <c r="BC713">
        <v>0</v>
      </c>
      <c r="BD713">
        <v>0</v>
      </c>
      <c r="BE713">
        <v>0</v>
      </c>
      <c r="BF713" t="s">
        <v>1063</v>
      </c>
      <c r="BG713" t="s">
        <v>6882</v>
      </c>
      <c r="BH713">
        <v>46</v>
      </c>
      <c r="BI713" t="s">
        <v>7114</v>
      </c>
      <c r="BK713">
        <v>1843246</v>
      </c>
    </row>
    <row r="714" spans="1:63">
      <c r="A714" s="1">
        <f>HYPERLINK("https://lsnyc.legalserver.org/matter/dynamic-profile/view/1842744","17-1842744")</f>
        <v>0</v>
      </c>
      <c r="B714" t="s">
        <v>5532</v>
      </c>
      <c r="C714" t="s">
        <v>5625</v>
      </c>
      <c r="D714" t="s">
        <v>255</v>
      </c>
      <c r="E714" t="s">
        <v>3694</v>
      </c>
      <c r="F714" t="s">
        <v>274</v>
      </c>
      <c r="G714" t="s">
        <v>274</v>
      </c>
      <c r="H714">
        <v>163.82</v>
      </c>
      <c r="I714" t="s">
        <v>274</v>
      </c>
      <c r="K714" t="s">
        <v>1024</v>
      </c>
      <c r="O714" t="s">
        <v>275</v>
      </c>
      <c r="P714" t="s">
        <v>498</v>
      </c>
      <c r="Q714" t="s">
        <v>501</v>
      </c>
      <c r="R714" t="s">
        <v>501</v>
      </c>
      <c r="S714" t="s">
        <v>503</v>
      </c>
      <c r="T714" t="s">
        <v>507</v>
      </c>
      <c r="U714" t="s">
        <v>511</v>
      </c>
      <c r="V714">
        <v>10032</v>
      </c>
      <c r="W714" t="s">
        <v>517</v>
      </c>
      <c r="X714" t="s">
        <v>548</v>
      </c>
      <c r="Y714" t="s">
        <v>275</v>
      </c>
      <c r="Z714" t="s">
        <v>5989</v>
      </c>
      <c r="AA714" t="s">
        <v>824</v>
      </c>
      <c r="AB714" t="s">
        <v>902</v>
      </c>
      <c r="AC714" t="s">
        <v>904</v>
      </c>
      <c r="AF714" t="s">
        <v>923</v>
      </c>
      <c r="AI714">
        <v>5.8</v>
      </c>
      <c r="AJ714" t="s">
        <v>558</v>
      </c>
      <c r="AK714" t="s">
        <v>949</v>
      </c>
      <c r="AT714">
        <v>2</v>
      </c>
      <c r="AU714">
        <v>2</v>
      </c>
      <c r="AV714" t="s">
        <v>273</v>
      </c>
      <c r="AY714" t="s">
        <v>273</v>
      </c>
      <c r="BB714">
        <v>0</v>
      </c>
      <c r="BC714">
        <v>0</v>
      </c>
      <c r="BD714">
        <v>0</v>
      </c>
      <c r="BE714">
        <v>0</v>
      </c>
      <c r="BF714" t="s">
        <v>1063</v>
      </c>
      <c r="BG714" t="s">
        <v>6881</v>
      </c>
      <c r="BH714">
        <v>51</v>
      </c>
      <c r="BI714" t="s">
        <v>7114</v>
      </c>
      <c r="BK714">
        <v>1843246</v>
      </c>
    </row>
    <row r="715" spans="1:63">
      <c r="A715" s="1">
        <f>HYPERLINK("https://lsnyc.legalserver.org/matter/dynamic-profile/view/1842579","17-1842579")</f>
        <v>0</v>
      </c>
      <c r="B715" t="s">
        <v>5228</v>
      </c>
      <c r="C715" t="s">
        <v>5625</v>
      </c>
      <c r="D715" t="s">
        <v>257</v>
      </c>
      <c r="E715" t="s">
        <v>5630</v>
      </c>
      <c r="F715" t="s">
        <v>274</v>
      </c>
      <c r="G715" t="s">
        <v>274</v>
      </c>
      <c r="H715">
        <v>182.42</v>
      </c>
      <c r="I715" t="s">
        <v>274</v>
      </c>
      <c r="K715" t="s">
        <v>426</v>
      </c>
      <c r="O715" t="s">
        <v>275</v>
      </c>
      <c r="Q715" t="s">
        <v>501</v>
      </c>
      <c r="S715" t="s">
        <v>503</v>
      </c>
      <c r="T715" t="s">
        <v>507</v>
      </c>
      <c r="U715" t="s">
        <v>511</v>
      </c>
      <c r="V715">
        <v>10462</v>
      </c>
      <c r="W715" t="s">
        <v>517</v>
      </c>
      <c r="X715" t="s">
        <v>548</v>
      </c>
      <c r="Y715" t="s">
        <v>274</v>
      </c>
      <c r="Z715" t="s">
        <v>1883</v>
      </c>
      <c r="AA715" t="s">
        <v>6168</v>
      </c>
      <c r="AB715" t="s">
        <v>902</v>
      </c>
      <c r="AC715" t="s">
        <v>904</v>
      </c>
      <c r="AD715" t="s">
        <v>275</v>
      </c>
      <c r="AF715" t="s">
        <v>923</v>
      </c>
      <c r="AI715">
        <v>9.800000000000001</v>
      </c>
      <c r="AJ715" t="s">
        <v>558</v>
      </c>
      <c r="AK715" t="s">
        <v>950</v>
      </c>
      <c r="AL715" t="s">
        <v>274</v>
      </c>
      <c r="AM715" t="s">
        <v>973</v>
      </c>
      <c r="AN715" t="s">
        <v>485</v>
      </c>
      <c r="AQ715" t="s">
        <v>1048</v>
      </c>
      <c r="AR715" t="s">
        <v>1054</v>
      </c>
      <c r="AT715">
        <v>0</v>
      </c>
      <c r="AU715">
        <v>1</v>
      </c>
      <c r="AV715" t="s">
        <v>273</v>
      </c>
      <c r="AY715" t="s">
        <v>273</v>
      </c>
      <c r="BB715">
        <v>0</v>
      </c>
      <c r="BC715">
        <v>0</v>
      </c>
      <c r="BD715">
        <v>0</v>
      </c>
      <c r="BE715">
        <v>0</v>
      </c>
      <c r="BF715" t="s">
        <v>1063</v>
      </c>
      <c r="BG715" t="s">
        <v>6603</v>
      </c>
      <c r="BH715">
        <v>56</v>
      </c>
      <c r="BI715" t="s">
        <v>2738</v>
      </c>
      <c r="BJ715" t="s">
        <v>1733</v>
      </c>
      <c r="BK715">
        <v>1843088</v>
      </c>
    </row>
    <row r="716" spans="1:63">
      <c r="A716" s="1">
        <f>HYPERLINK("https://lsnyc.legalserver.org/matter/dynamic-profile/view/1840274","17-1840274")</f>
        <v>0</v>
      </c>
      <c r="B716" t="s">
        <v>5616</v>
      </c>
      <c r="C716" t="s">
        <v>5625</v>
      </c>
      <c r="D716" t="s">
        <v>252</v>
      </c>
      <c r="E716" t="s">
        <v>3694</v>
      </c>
      <c r="F716" t="s">
        <v>274</v>
      </c>
      <c r="G716" t="s">
        <v>274</v>
      </c>
      <c r="H716">
        <v>128.08</v>
      </c>
      <c r="I716" t="s">
        <v>274</v>
      </c>
      <c r="K716" t="s">
        <v>5670</v>
      </c>
      <c r="O716" t="s">
        <v>275</v>
      </c>
      <c r="Q716" t="s">
        <v>501</v>
      </c>
      <c r="R716" t="s">
        <v>501</v>
      </c>
      <c r="S716" t="s">
        <v>503</v>
      </c>
      <c r="T716" t="s">
        <v>508</v>
      </c>
      <c r="U716" t="s">
        <v>511</v>
      </c>
      <c r="V716">
        <v>11231</v>
      </c>
      <c r="W716" t="s">
        <v>517</v>
      </c>
      <c r="X716" t="s">
        <v>548</v>
      </c>
      <c r="Y716" t="s">
        <v>275</v>
      </c>
      <c r="Z716" t="s">
        <v>6049</v>
      </c>
      <c r="AA716" t="s">
        <v>6444</v>
      </c>
      <c r="AB716" t="s">
        <v>902</v>
      </c>
      <c r="AC716" t="s">
        <v>904</v>
      </c>
      <c r="AF716" t="s">
        <v>923</v>
      </c>
      <c r="AI716">
        <v>5.9</v>
      </c>
      <c r="AJ716" t="s">
        <v>558</v>
      </c>
      <c r="AK716" t="s">
        <v>950</v>
      </c>
      <c r="AT716">
        <v>0</v>
      </c>
      <c r="AU716">
        <v>2</v>
      </c>
      <c r="AV716" t="s">
        <v>273</v>
      </c>
      <c r="AY716" t="s">
        <v>273</v>
      </c>
      <c r="BB716">
        <v>0</v>
      </c>
      <c r="BC716">
        <v>0</v>
      </c>
      <c r="BD716">
        <v>0</v>
      </c>
      <c r="BE716">
        <v>0</v>
      </c>
      <c r="BF716" t="s">
        <v>1063</v>
      </c>
      <c r="BG716" t="s">
        <v>6962</v>
      </c>
      <c r="BH716">
        <v>55</v>
      </c>
      <c r="BI716" t="s">
        <v>1261</v>
      </c>
      <c r="BK716">
        <v>1840779</v>
      </c>
    </row>
    <row r="717" spans="1:63">
      <c r="A717" s="1">
        <f>HYPERLINK("https://lsnyc.legalserver.org/matter/dynamic-profile/view/1839963","17-1839963")</f>
        <v>0</v>
      </c>
      <c r="B717" t="s">
        <v>5617</v>
      </c>
      <c r="C717" t="s">
        <v>5625</v>
      </c>
      <c r="D717" t="s">
        <v>257</v>
      </c>
      <c r="E717" t="s">
        <v>3694</v>
      </c>
      <c r="F717" t="s">
        <v>274</v>
      </c>
      <c r="G717" t="s">
        <v>274</v>
      </c>
      <c r="H717">
        <v>195</v>
      </c>
      <c r="I717" t="s">
        <v>274</v>
      </c>
      <c r="K717" t="s">
        <v>3732</v>
      </c>
      <c r="O717" t="s">
        <v>275</v>
      </c>
      <c r="P717" t="s">
        <v>498</v>
      </c>
      <c r="Q717" t="s">
        <v>501</v>
      </c>
      <c r="S717" t="s">
        <v>503</v>
      </c>
      <c r="T717" t="s">
        <v>507</v>
      </c>
      <c r="U717" t="s">
        <v>511</v>
      </c>
      <c r="V717">
        <v>10473</v>
      </c>
      <c r="W717" t="s">
        <v>517</v>
      </c>
      <c r="X717" t="s">
        <v>548</v>
      </c>
      <c r="Y717" t="s">
        <v>275</v>
      </c>
      <c r="Z717" t="s">
        <v>602</v>
      </c>
      <c r="AA717" t="s">
        <v>6445</v>
      </c>
      <c r="AB717" t="s">
        <v>902</v>
      </c>
      <c r="AC717" t="s">
        <v>904</v>
      </c>
      <c r="AF717" t="s">
        <v>923</v>
      </c>
      <c r="AI717">
        <v>5.98</v>
      </c>
      <c r="AJ717" t="s">
        <v>558</v>
      </c>
      <c r="AK717" t="s">
        <v>933</v>
      </c>
      <c r="AT717">
        <v>0</v>
      </c>
      <c r="AU717">
        <v>2</v>
      </c>
      <c r="AV717" t="s">
        <v>273</v>
      </c>
      <c r="AY717" t="s">
        <v>273</v>
      </c>
      <c r="BB717">
        <v>0</v>
      </c>
      <c r="BC717">
        <v>0</v>
      </c>
      <c r="BD717">
        <v>0</v>
      </c>
      <c r="BE717">
        <v>0</v>
      </c>
      <c r="BF717" t="s">
        <v>1063</v>
      </c>
      <c r="BG717" t="s">
        <v>6963</v>
      </c>
      <c r="BH717">
        <v>58</v>
      </c>
      <c r="BI717" t="s">
        <v>7141</v>
      </c>
      <c r="BK717">
        <v>1840463</v>
      </c>
    </row>
    <row r="718" spans="1:63">
      <c r="A718" s="1">
        <f>HYPERLINK("https://lsnyc.legalserver.org/matter/dynamic-profile/view/1840039","17-1840039")</f>
        <v>0</v>
      </c>
      <c r="B718" t="s">
        <v>5342</v>
      </c>
      <c r="C718" t="s">
        <v>5625</v>
      </c>
      <c r="D718" t="s">
        <v>253</v>
      </c>
      <c r="E718" t="s">
        <v>5630</v>
      </c>
      <c r="F718" t="s">
        <v>274</v>
      </c>
      <c r="G718" t="s">
        <v>274</v>
      </c>
      <c r="H718">
        <v>162.6</v>
      </c>
      <c r="I718" t="s">
        <v>274</v>
      </c>
      <c r="K718" t="s">
        <v>3732</v>
      </c>
      <c r="O718" t="s">
        <v>275</v>
      </c>
      <c r="P718" t="s">
        <v>498</v>
      </c>
      <c r="Q718" t="s">
        <v>501</v>
      </c>
      <c r="S718" t="s">
        <v>503</v>
      </c>
      <c r="T718" t="s">
        <v>507</v>
      </c>
      <c r="U718" t="s">
        <v>511</v>
      </c>
      <c r="V718">
        <v>11418</v>
      </c>
      <c r="W718" t="s">
        <v>517</v>
      </c>
      <c r="X718" t="s">
        <v>549</v>
      </c>
      <c r="Y718" t="s">
        <v>275</v>
      </c>
      <c r="Z718" t="s">
        <v>5865</v>
      </c>
      <c r="AA718" t="s">
        <v>2230</v>
      </c>
      <c r="AB718" t="s">
        <v>902</v>
      </c>
      <c r="AC718" t="s">
        <v>904</v>
      </c>
      <c r="AF718" t="s">
        <v>923</v>
      </c>
      <c r="AI718">
        <v>3.15</v>
      </c>
      <c r="AJ718" t="s">
        <v>558</v>
      </c>
      <c r="AK718" t="s">
        <v>965</v>
      </c>
      <c r="AL718" t="s">
        <v>274</v>
      </c>
      <c r="AM718" t="s">
        <v>973</v>
      </c>
      <c r="AN718" t="s">
        <v>1688</v>
      </c>
      <c r="AT718">
        <v>2</v>
      </c>
      <c r="AU718">
        <v>2</v>
      </c>
      <c r="AV718" t="s">
        <v>273</v>
      </c>
      <c r="AY718" t="s">
        <v>273</v>
      </c>
      <c r="BB718">
        <v>0</v>
      </c>
      <c r="BC718">
        <v>0</v>
      </c>
      <c r="BD718">
        <v>0</v>
      </c>
      <c r="BE718">
        <v>0</v>
      </c>
      <c r="BF718" t="s">
        <v>1063</v>
      </c>
      <c r="BG718" t="s">
        <v>6707</v>
      </c>
      <c r="BH718">
        <v>51</v>
      </c>
      <c r="BI718" t="s">
        <v>2725</v>
      </c>
      <c r="BJ718" t="s">
        <v>377</v>
      </c>
      <c r="BK718">
        <v>1840541</v>
      </c>
    </row>
    <row r="719" spans="1:63">
      <c r="A719" s="1">
        <f>HYPERLINK("https://lsnyc.legalserver.org/matter/dynamic-profile/view/1839379","17-1839379")</f>
        <v>0</v>
      </c>
      <c r="B719" t="s">
        <v>5618</v>
      </c>
      <c r="C719" t="s">
        <v>5625</v>
      </c>
      <c r="D719" t="s">
        <v>252</v>
      </c>
      <c r="E719" t="s">
        <v>3694</v>
      </c>
      <c r="F719" t="s">
        <v>274</v>
      </c>
      <c r="G719" t="s">
        <v>274</v>
      </c>
      <c r="H719">
        <v>74.93000000000001</v>
      </c>
      <c r="K719" t="s">
        <v>1794</v>
      </c>
      <c r="O719" t="s">
        <v>275</v>
      </c>
      <c r="P719" t="s">
        <v>498</v>
      </c>
      <c r="Q719" t="s">
        <v>501</v>
      </c>
      <c r="S719" t="s">
        <v>503</v>
      </c>
      <c r="T719" t="s">
        <v>508</v>
      </c>
      <c r="U719" t="s">
        <v>511</v>
      </c>
      <c r="V719">
        <v>11212</v>
      </c>
      <c r="W719" t="s">
        <v>517</v>
      </c>
      <c r="X719" t="s">
        <v>549</v>
      </c>
      <c r="Y719" t="s">
        <v>275</v>
      </c>
      <c r="Z719" t="s">
        <v>6050</v>
      </c>
      <c r="AA719" t="s">
        <v>6446</v>
      </c>
      <c r="AB719" t="s">
        <v>902</v>
      </c>
      <c r="AC719" t="s">
        <v>904</v>
      </c>
      <c r="AF719" t="s">
        <v>923</v>
      </c>
      <c r="AI719">
        <v>11.25</v>
      </c>
      <c r="AJ719" t="s">
        <v>558</v>
      </c>
      <c r="AK719" t="s">
        <v>953</v>
      </c>
      <c r="AT719">
        <v>0</v>
      </c>
      <c r="AU719">
        <v>1</v>
      </c>
      <c r="AV719" t="s">
        <v>273</v>
      </c>
      <c r="AY719" t="s">
        <v>273</v>
      </c>
      <c r="BB719">
        <v>0</v>
      </c>
      <c r="BC719">
        <v>0</v>
      </c>
      <c r="BD719">
        <v>0</v>
      </c>
      <c r="BE719">
        <v>0</v>
      </c>
      <c r="BF719" t="s">
        <v>1063</v>
      </c>
      <c r="BG719" t="s">
        <v>6964</v>
      </c>
      <c r="BH719">
        <v>51</v>
      </c>
      <c r="BI719" t="s">
        <v>7142</v>
      </c>
      <c r="BK719">
        <v>1839878</v>
      </c>
    </row>
    <row r="720" spans="1:63">
      <c r="A720" s="1">
        <f>HYPERLINK("https://lsnyc.legalserver.org/matter/dynamic-profile/view/1838858","17-1838858")</f>
        <v>0</v>
      </c>
      <c r="B720" t="s">
        <v>5619</v>
      </c>
      <c r="C720" t="s">
        <v>5625</v>
      </c>
      <c r="D720" t="s">
        <v>5627</v>
      </c>
      <c r="E720" t="s">
        <v>3694</v>
      </c>
      <c r="F720" t="s">
        <v>274</v>
      </c>
      <c r="G720" t="s">
        <v>274</v>
      </c>
      <c r="H720">
        <v>84.61</v>
      </c>
      <c r="I720" t="s">
        <v>274</v>
      </c>
      <c r="K720" t="s">
        <v>5671</v>
      </c>
      <c r="L720" t="s">
        <v>1669</v>
      </c>
      <c r="O720" t="s">
        <v>275</v>
      </c>
      <c r="P720" t="s">
        <v>493</v>
      </c>
      <c r="Q720" t="s">
        <v>501</v>
      </c>
      <c r="S720" t="s">
        <v>503</v>
      </c>
      <c r="T720" t="s">
        <v>508</v>
      </c>
      <c r="U720" t="s">
        <v>511</v>
      </c>
      <c r="V720">
        <v>11216</v>
      </c>
      <c r="W720" t="s">
        <v>517</v>
      </c>
      <c r="X720" t="s">
        <v>548</v>
      </c>
      <c r="Y720" t="s">
        <v>275</v>
      </c>
      <c r="Z720" t="s">
        <v>6051</v>
      </c>
      <c r="AA720" t="s">
        <v>876</v>
      </c>
      <c r="AB720" t="s">
        <v>902</v>
      </c>
      <c r="AC720" t="s">
        <v>904</v>
      </c>
      <c r="AD720" t="s">
        <v>275</v>
      </c>
      <c r="AE720" t="s">
        <v>919</v>
      </c>
      <c r="AF720" t="s">
        <v>923</v>
      </c>
      <c r="AI720">
        <v>11.55</v>
      </c>
      <c r="AJ720" t="s">
        <v>558</v>
      </c>
      <c r="AK720" t="s">
        <v>950</v>
      </c>
      <c r="AL720" t="s">
        <v>274</v>
      </c>
      <c r="AQ720" t="s">
        <v>1042</v>
      </c>
      <c r="AR720" t="s">
        <v>1051</v>
      </c>
      <c r="AT720">
        <v>0</v>
      </c>
      <c r="AU720">
        <v>2</v>
      </c>
      <c r="AV720" t="s">
        <v>273</v>
      </c>
      <c r="AY720" t="s">
        <v>273</v>
      </c>
      <c r="BB720">
        <v>0</v>
      </c>
      <c r="BC720">
        <v>0</v>
      </c>
      <c r="BD720">
        <v>0</v>
      </c>
      <c r="BE720">
        <v>0</v>
      </c>
      <c r="BF720" t="s">
        <v>493</v>
      </c>
      <c r="BG720" t="s">
        <v>6965</v>
      </c>
      <c r="BH720">
        <v>80</v>
      </c>
      <c r="BI720" t="s">
        <v>7143</v>
      </c>
      <c r="BJ720" t="s">
        <v>375</v>
      </c>
      <c r="BK720">
        <v>1839355</v>
      </c>
    </row>
    <row r="721" spans="1:63">
      <c r="A721" s="1">
        <f>HYPERLINK("https://lsnyc.legalserver.org/matter/dynamic-profile/view/1838730","17-1838730")</f>
        <v>0</v>
      </c>
      <c r="B721" t="s">
        <v>5620</v>
      </c>
      <c r="C721" t="s">
        <v>5625</v>
      </c>
      <c r="D721" t="s">
        <v>253</v>
      </c>
      <c r="E721" t="s">
        <v>3694</v>
      </c>
      <c r="F721" t="s">
        <v>274</v>
      </c>
      <c r="G721" t="s">
        <v>274</v>
      </c>
      <c r="H721">
        <v>15.82</v>
      </c>
      <c r="I721" t="s">
        <v>274</v>
      </c>
      <c r="K721" t="s">
        <v>1796</v>
      </c>
      <c r="O721" t="s">
        <v>275</v>
      </c>
      <c r="P721" t="s">
        <v>497</v>
      </c>
      <c r="Q721" t="s">
        <v>501</v>
      </c>
      <c r="S721" t="s">
        <v>503</v>
      </c>
      <c r="T721" t="s">
        <v>507</v>
      </c>
      <c r="U721" t="s">
        <v>511</v>
      </c>
      <c r="V721">
        <v>11421</v>
      </c>
      <c r="W721" t="s">
        <v>517</v>
      </c>
      <c r="X721" t="s">
        <v>548</v>
      </c>
      <c r="Y721" t="s">
        <v>275</v>
      </c>
      <c r="Z721" t="s">
        <v>6052</v>
      </c>
      <c r="AA721" t="s">
        <v>6447</v>
      </c>
      <c r="AB721" t="s">
        <v>902</v>
      </c>
      <c r="AC721" t="s">
        <v>904</v>
      </c>
      <c r="AF721" t="s">
        <v>923</v>
      </c>
      <c r="AI721">
        <v>3.51</v>
      </c>
      <c r="AJ721" t="s">
        <v>558</v>
      </c>
      <c r="AK721" t="s">
        <v>950</v>
      </c>
      <c r="AT721">
        <v>2</v>
      </c>
      <c r="AU721">
        <v>7</v>
      </c>
      <c r="AV721" t="s">
        <v>273</v>
      </c>
      <c r="AY721" t="s">
        <v>273</v>
      </c>
      <c r="BB721">
        <v>0</v>
      </c>
      <c r="BC721">
        <v>0</v>
      </c>
      <c r="BD721">
        <v>0</v>
      </c>
      <c r="BE721">
        <v>0</v>
      </c>
      <c r="BF721" t="s">
        <v>1063</v>
      </c>
      <c r="BG721" t="s">
        <v>6966</v>
      </c>
      <c r="BH721">
        <v>54</v>
      </c>
      <c r="BI721" t="s">
        <v>2810</v>
      </c>
      <c r="BK721">
        <v>1839227</v>
      </c>
    </row>
    <row r="722" spans="1:63">
      <c r="A722" s="1">
        <f>HYPERLINK("https://lsnyc.legalserver.org/matter/dynamic-profile/view/1838001","17-1838001")</f>
        <v>0</v>
      </c>
      <c r="B722" t="s">
        <v>5222</v>
      </c>
      <c r="C722" t="s">
        <v>5625</v>
      </c>
      <c r="D722" t="s">
        <v>255</v>
      </c>
      <c r="E722" t="s">
        <v>5630</v>
      </c>
      <c r="F722" t="s">
        <v>274</v>
      </c>
      <c r="G722" t="s">
        <v>274</v>
      </c>
      <c r="H722">
        <v>97.94</v>
      </c>
      <c r="I722" t="s">
        <v>274</v>
      </c>
      <c r="K722" t="s">
        <v>5672</v>
      </c>
      <c r="L722" t="s">
        <v>282</v>
      </c>
      <c r="O722" t="s">
        <v>274</v>
      </c>
      <c r="P722" t="s">
        <v>493</v>
      </c>
      <c r="Q722" t="s">
        <v>501</v>
      </c>
      <c r="S722" t="s">
        <v>503</v>
      </c>
      <c r="T722" t="s">
        <v>508</v>
      </c>
      <c r="U722" t="s">
        <v>511</v>
      </c>
      <c r="V722">
        <v>10029</v>
      </c>
      <c r="W722" t="s">
        <v>1831</v>
      </c>
      <c r="X722" t="s">
        <v>549</v>
      </c>
      <c r="Y722" t="s">
        <v>274</v>
      </c>
      <c r="Z722" t="s">
        <v>5784</v>
      </c>
      <c r="AA722" t="s">
        <v>6163</v>
      </c>
      <c r="AB722" t="s">
        <v>902</v>
      </c>
      <c r="AC722" t="s">
        <v>904</v>
      </c>
      <c r="AD722" t="s">
        <v>275</v>
      </c>
      <c r="AE722" t="s">
        <v>920</v>
      </c>
      <c r="AF722" t="s">
        <v>923</v>
      </c>
      <c r="AI722">
        <v>7.13</v>
      </c>
      <c r="AJ722" t="s">
        <v>558</v>
      </c>
      <c r="AK722" t="s">
        <v>965</v>
      </c>
      <c r="AL722" t="s">
        <v>274</v>
      </c>
      <c r="AQ722" t="s">
        <v>1033</v>
      </c>
      <c r="AR722" t="s">
        <v>1052</v>
      </c>
      <c r="AT722">
        <v>0</v>
      </c>
      <c r="AU722">
        <v>3</v>
      </c>
      <c r="AV722" t="s">
        <v>273</v>
      </c>
      <c r="AY722" t="s">
        <v>273</v>
      </c>
      <c r="BB722">
        <v>0</v>
      </c>
      <c r="BC722">
        <v>0</v>
      </c>
      <c r="BD722">
        <v>0</v>
      </c>
      <c r="BE722">
        <v>0</v>
      </c>
      <c r="BF722" t="s">
        <v>493</v>
      </c>
      <c r="BG722" t="s">
        <v>6598</v>
      </c>
      <c r="BH722">
        <v>31</v>
      </c>
      <c r="BI722" t="s">
        <v>1251</v>
      </c>
      <c r="BJ722" t="s">
        <v>4838</v>
      </c>
      <c r="BK722">
        <v>1838498</v>
      </c>
    </row>
    <row r="723" spans="1:63">
      <c r="A723" s="1">
        <f>HYPERLINK("https://lsnyc.legalserver.org/matter/dynamic-profile/view/1835785","17-1835785")</f>
        <v>0</v>
      </c>
      <c r="B723" t="s">
        <v>5215</v>
      </c>
      <c r="C723" t="s">
        <v>5625</v>
      </c>
      <c r="D723" t="s">
        <v>252</v>
      </c>
      <c r="E723" t="s">
        <v>5630</v>
      </c>
      <c r="F723" t="s">
        <v>274</v>
      </c>
      <c r="G723" t="s">
        <v>274</v>
      </c>
      <c r="H723">
        <v>7.39</v>
      </c>
      <c r="I723" t="s">
        <v>274</v>
      </c>
      <c r="K723" t="s">
        <v>430</v>
      </c>
      <c r="O723" t="s">
        <v>275</v>
      </c>
      <c r="P723" t="s">
        <v>498</v>
      </c>
      <c r="Q723" t="s">
        <v>501</v>
      </c>
      <c r="S723" t="s">
        <v>503</v>
      </c>
      <c r="T723" t="s">
        <v>508</v>
      </c>
      <c r="U723" t="s">
        <v>511</v>
      </c>
      <c r="V723">
        <v>11235</v>
      </c>
      <c r="W723" t="s">
        <v>517</v>
      </c>
      <c r="X723" t="s">
        <v>549</v>
      </c>
      <c r="Z723" t="s">
        <v>5780</v>
      </c>
      <c r="AA723" t="s">
        <v>6159</v>
      </c>
      <c r="AB723" t="s">
        <v>902</v>
      </c>
      <c r="AC723" t="s">
        <v>904</v>
      </c>
      <c r="AF723" t="s">
        <v>923</v>
      </c>
      <c r="AI723">
        <v>12.4</v>
      </c>
      <c r="AJ723" t="s">
        <v>558</v>
      </c>
      <c r="AK723" t="s">
        <v>948</v>
      </c>
      <c r="AL723" t="s">
        <v>274</v>
      </c>
      <c r="AM723" t="s">
        <v>973</v>
      </c>
      <c r="AN723" t="s">
        <v>297</v>
      </c>
      <c r="AT723">
        <v>1</v>
      </c>
      <c r="AU723">
        <v>1</v>
      </c>
      <c r="AV723" t="s">
        <v>273</v>
      </c>
      <c r="AY723" t="s">
        <v>273</v>
      </c>
      <c r="BB723">
        <v>0</v>
      </c>
      <c r="BC723">
        <v>0</v>
      </c>
      <c r="BD723">
        <v>0</v>
      </c>
      <c r="BE723">
        <v>0</v>
      </c>
      <c r="BF723" t="s">
        <v>1063</v>
      </c>
      <c r="BG723" t="s">
        <v>6592</v>
      </c>
      <c r="BH723">
        <v>27</v>
      </c>
      <c r="BI723" t="s">
        <v>1295</v>
      </c>
      <c r="BJ723" t="s">
        <v>2389</v>
      </c>
      <c r="BK723">
        <v>1836274</v>
      </c>
    </row>
    <row r="724" spans="1:63">
      <c r="A724" s="1">
        <f>HYPERLINK("https://lsnyc.legalserver.org/matter/dynamic-profile/view/1835315","17-1835315")</f>
        <v>0</v>
      </c>
      <c r="B724" t="s">
        <v>5621</v>
      </c>
      <c r="C724" t="s">
        <v>5625</v>
      </c>
      <c r="D724" t="s">
        <v>252</v>
      </c>
      <c r="E724" t="s">
        <v>5630</v>
      </c>
      <c r="F724" t="s">
        <v>274</v>
      </c>
      <c r="G724" t="s">
        <v>274</v>
      </c>
      <c r="H724">
        <v>86.23999999999999</v>
      </c>
      <c r="I724" t="s">
        <v>274</v>
      </c>
      <c r="K724" t="s">
        <v>5673</v>
      </c>
      <c r="O724" t="s">
        <v>275</v>
      </c>
      <c r="Q724" t="s">
        <v>501</v>
      </c>
      <c r="S724" t="s">
        <v>503</v>
      </c>
      <c r="T724" t="s">
        <v>508</v>
      </c>
      <c r="U724" t="s">
        <v>511</v>
      </c>
      <c r="V724">
        <v>11208</v>
      </c>
      <c r="W724" t="s">
        <v>517</v>
      </c>
      <c r="X724" t="s">
        <v>549</v>
      </c>
      <c r="Z724" t="s">
        <v>6053</v>
      </c>
      <c r="AA724" t="s">
        <v>6448</v>
      </c>
      <c r="AB724" t="s">
        <v>902</v>
      </c>
      <c r="AC724" t="s">
        <v>904</v>
      </c>
      <c r="AF724" t="s">
        <v>923</v>
      </c>
      <c r="AI724">
        <v>4.75</v>
      </c>
      <c r="AJ724" t="s">
        <v>558</v>
      </c>
      <c r="AK724" t="s">
        <v>965</v>
      </c>
      <c r="AL724" t="s">
        <v>274</v>
      </c>
      <c r="AM724" t="s">
        <v>973</v>
      </c>
      <c r="AN724" t="s">
        <v>304</v>
      </c>
      <c r="AT724">
        <v>0</v>
      </c>
      <c r="AU724">
        <v>1</v>
      </c>
      <c r="AV724" t="s">
        <v>273</v>
      </c>
      <c r="AY724" t="s">
        <v>273</v>
      </c>
      <c r="BB724">
        <v>0</v>
      </c>
      <c r="BC724">
        <v>0</v>
      </c>
      <c r="BD724">
        <v>0</v>
      </c>
      <c r="BE724">
        <v>0</v>
      </c>
      <c r="BF724" t="s">
        <v>1063</v>
      </c>
      <c r="BG724" t="s">
        <v>6967</v>
      </c>
      <c r="BH724">
        <v>50</v>
      </c>
      <c r="BI724" t="s">
        <v>1301</v>
      </c>
      <c r="BK724">
        <v>1835801</v>
      </c>
    </row>
    <row r="725" spans="1:63">
      <c r="A725" s="1">
        <f>HYPERLINK("https://lsnyc.legalserver.org/matter/dynamic-profile/view/1834807","17-1834807")</f>
        <v>0</v>
      </c>
      <c r="B725" t="s">
        <v>5543</v>
      </c>
      <c r="C725" t="s">
        <v>5625</v>
      </c>
      <c r="D725" t="s">
        <v>257</v>
      </c>
      <c r="E725" t="s">
        <v>3694</v>
      </c>
      <c r="F725" t="s">
        <v>274</v>
      </c>
      <c r="G725" t="s">
        <v>274</v>
      </c>
      <c r="H725">
        <v>152.79</v>
      </c>
      <c r="I725" t="s">
        <v>274</v>
      </c>
      <c r="K725" t="s">
        <v>5674</v>
      </c>
      <c r="O725" t="s">
        <v>275</v>
      </c>
      <c r="P725" t="s">
        <v>497</v>
      </c>
      <c r="Q725" t="s">
        <v>501</v>
      </c>
      <c r="S725" t="s">
        <v>503</v>
      </c>
      <c r="T725" t="s">
        <v>508</v>
      </c>
      <c r="U725" t="s">
        <v>511</v>
      </c>
      <c r="V725">
        <v>10466</v>
      </c>
      <c r="W725" t="s">
        <v>1831</v>
      </c>
      <c r="X725" t="s">
        <v>549</v>
      </c>
      <c r="Y725" t="s">
        <v>275</v>
      </c>
      <c r="Z725" t="s">
        <v>5996</v>
      </c>
      <c r="AA725" t="s">
        <v>6396</v>
      </c>
      <c r="AB725" t="s">
        <v>902</v>
      </c>
      <c r="AC725" t="s">
        <v>904</v>
      </c>
      <c r="AF725" t="s">
        <v>923</v>
      </c>
      <c r="AI725">
        <v>3.3</v>
      </c>
      <c r="AJ725" t="s">
        <v>558</v>
      </c>
      <c r="AK725" t="s">
        <v>944</v>
      </c>
      <c r="AT725">
        <v>1</v>
      </c>
      <c r="AU725">
        <v>2</v>
      </c>
      <c r="AV725" t="s">
        <v>273</v>
      </c>
      <c r="AY725" t="s">
        <v>273</v>
      </c>
      <c r="BB725">
        <v>0</v>
      </c>
      <c r="BC725">
        <v>0</v>
      </c>
      <c r="BD725">
        <v>0</v>
      </c>
      <c r="BE725">
        <v>0</v>
      </c>
      <c r="BF725" t="s">
        <v>1063</v>
      </c>
      <c r="BG725" t="s">
        <v>6892</v>
      </c>
      <c r="BH725">
        <v>19</v>
      </c>
      <c r="BI725" t="s">
        <v>1254</v>
      </c>
      <c r="BK725">
        <v>1835293</v>
      </c>
    </row>
    <row r="726" spans="1:63">
      <c r="A726" s="1">
        <f>HYPERLINK("https://lsnyc.legalserver.org/matter/dynamic-profile/view/1834727","17-1834727")</f>
        <v>0</v>
      </c>
      <c r="B726" t="s">
        <v>5622</v>
      </c>
      <c r="C726" t="s">
        <v>5625</v>
      </c>
      <c r="D726" t="s">
        <v>257</v>
      </c>
      <c r="E726" t="s">
        <v>1646</v>
      </c>
      <c r="F726" t="s">
        <v>274</v>
      </c>
      <c r="G726" t="s">
        <v>274</v>
      </c>
      <c r="H726">
        <v>235.77</v>
      </c>
      <c r="K726" t="s">
        <v>1799</v>
      </c>
      <c r="O726" t="s">
        <v>275</v>
      </c>
      <c r="P726" t="s">
        <v>497</v>
      </c>
      <c r="Q726" t="s">
        <v>501</v>
      </c>
      <c r="S726" t="s">
        <v>503</v>
      </c>
      <c r="T726" t="s">
        <v>508</v>
      </c>
      <c r="U726" t="s">
        <v>511</v>
      </c>
      <c r="V726">
        <v>10468</v>
      </c>
      <c r="W726" t="s">
        <v>517</v>
      </c>
      <c r="X726" t="s">
        <v>548</v>
      </c>
      <c r="Z726" t="s">
        <v>6054</v>
      </c>
      <c r="AA726" t="s">
        <v>6449</v>
      </c>
      <c r="AB726" t="s">
        <v>902</v>
      </c>
      <c r="AC726" t="s">
        <v>904</v>
      </c>
      <c r="AF726" t="s">
        <v>925</v>
      </c>
      <c r="AI726">
        <v>9.75</v>
      </c>
      <c r="AT726">
        <v>0</v>
      </c>
      <c r="AU726">
        <v>4</v>
      </c>
      <c r="AV726" t="s">
        <v>273</v>
      </c>
      <c r="AY726" t="s">
        <v>273</v>
      </c>
      <c r="BB726">
        <v>0</v>
      </c>
      <c r="BC726">
        <v>0</v>
      </c>
      <c r="BD726">
        <v>0</v>
      </c>
      <c r="BE726">
        <v>0</v>
      </c>
      <c r="BF726" t="s">
        <v>1063</v>
      </c>
      <c r="BG726" t="s">
        <v>6968</v>
      </c>
      <c r="BH726">
        <v>52</v>
      </c>
      <c r="BI726" t="s">
        <v>7144</v>
      </c>
      <c r="BK726">
        <v>809867</v>
      </c>
    </row>
    <row r="727" spans="1:63">
      <c r="A727" s="1">
        <f>HYPERLINK("https://lsnyc.legalserver.org/matter/dynamic-profile/view/0832847","17-0832847")</f>
        <v>0</v>
      </c>
      <c r="B727" t="s">
        <v>5534</v>
      </c>
      <c r="C727" t="s">
        <v>5625</v>
      </c>
      <c r="D727" t="s">
        <v>252</v>
      </c>
      <c r="E727" t="s">
        <v>3694</v>
      </c>
      <c r="F727" t="s">
        <v>274</v>
      </c>
      <c r="G727" t="s">
        <v>274</v>
      </c>
      <c r="H727">
        <v>162.66</v>
      </c>
      <c r="I727" t="s">
        <v>274</v>
      </c>
      <c r="K727" t="s">
        <v>5675</v>
      </c>
      <c r="O727" t="s">
        <v>275</v>
      </c>
      <c r="Q727" t="s">
        <v>501</v>
      </c>
      <c r="S727" t="s">
        <v>503</v>
      </c>
      <c r="T727" t="s">
        <v>508</v>
      </c>
      <c r="U727" t="s">
        <v>511</v>
      </c>
      <c r="V727">
        <v>11213</v>
      </c>
      <c r="W727" t="s">
        <v>517</v>
      </c>
      <c r="X727" t="s">
        <v>549</v>
      </c>
      <c r="Y727" t="s">
        <v>274</v>
      </c>
      <c r="Z727" t="s">
        <v>5803</v>
      </c>
      <c r="AA727" t="s">
        <v>6391</v>
      </c>
      <c r="AB727" t="s">
        <v>902</v>
      </c>
      <c r="AC727" t="s">
        <v>904</v>
      </c>
      <c r="AF727" t="s">
        <v>923</v>
      </c>
      <c r="AI727">
        <v>3.65</v>
      </c>
      <c r="AJ727" t="s">
        <v>558</v>
      </c>
      <c r="AK727" t="s">
        <v>2365</v>
      </c>
      <c r="AT727">
        <v>0</v>
      </c>
      <c r="AU727">
        <v>2</v>
      </c>
      <c r="AV727" t="s">
        <v>273</v>
      </c>
      <c r="AY727" t="s">
        <v>273</v>
      </c>
      <c r="BB727">
        <v>0</v>
      </c>
      <c r="BC727">
        <v>0</v>
      </c>
      <c r="BD727">
        <v>0</v>
      </c>
      <c r="BE727">
        <v>0</v>
      </c>
      <c r="BF727" t="s">
        <v>1063</v>
      </c>
      <c r="BG727" t="s">
        <v>6883</v>
      </c>
      <c r="BH727">
        <v>51</v>
      </c>
      <c r="BI727" t="s">
        <v>7115</v>
      </c>
      <c r="BK727">
        <v>833331</v>
      </c>
    </row>
    <row r="728" spans="1:63">
      <c r="A728" s="1">
        <f>HYPERLINK("https://lsnyc.legalserver.org/matter/dynamic-profile/view/0831317","17-0831317")</f>
        <v>0</v>
      </c>
      <c r="B728" t="s">
        <v>5623</v>
      </c>
      <c r="C728" t="s">
        <v>5625</v>
      </c>
      <c r="D728" t="s">
        <v>255</v>
      </c>
      <c r="E728" t="s">
        <v>3694</v>
      </c>
      <c r="F728" t="s">
        <v>274</v>
      </c>
      <c r="G728" t="s">
        <v>274</v>
      </c>
      <c r="H728">
        <v>16.72</v>
      </c>
      <c r="I728" t="s">
        <v>274</v>
      </c>
      <c r="K728" t="s">
        <v>5676</v>
      </c>
      <c r="O728" t="s">
        <v>275</v>
      </c>
      <c r="P728" t="s">
        <v>498</v>
      </c>
      <c r="Q728" t="s">
        <v>501</v>
      </c>
      <c r="S728" t="s">
        <v>503</v>
      </c>
      <c r="T728" t="s">
        <v>508</v>
      </c>
      <c r="U728" t="s">
        <v>511</v>
      </c>
      <c r="V728">
        <v>10025</v>
      </c>
      <c r="W728" t="s">
        <v>517</v>
      </c>
      <c r="X728" t="s">
        <v>549</v>
      </c>
      <c r="Y728" t="s">
        <v>274</v>
      </c>
      <c r="Z728" t="s">
        <v>6055</v>
      </c>
      <c r="AA728" t="s">
        <v>6450</v>
      </c>
      <c r="AB728" t="s">
        <v>902</v>
      </c>
      <c r="AC728" t="s">
        <v>904</v>
      </c>
      <c r="AF728" t="s">
        <v>923</v>
      </c>
      <c r="AI728">
        <v>8.85</v>
      </c>
      <c r="AJ728" t="s">
        <v>558</v>
      </c>
      <c r="AK728" t="s">
        <v>950</v>
      </c>
      <c r="AT728">
        <v>0</v>
      </c>
      <c r="AU728">
        <v>1</v>
      </c>
      <c r="AV728" t="s">
        <v>273</v>
      </c>
      <c r="AY728" t="s">
        <v>273</v>
      </c>
      <c r="BB728">
        <v>0</v>
      </c>
      <c r="BC728">
        <v>0</v>
      </c>
      <c r="BD728">
        <v>0</v>
      </c>
      <c r="BE728">
        <v>0</v>
      </c>
      <c r="BF728" t="s">
        <v>1063</v>
      </c>
      <c r="BG728" t="s">
        <v>6969</v>
      </c>
      <c r="BH728">
        <v>26</v>
      </c>
      <c r="BI728" t="s">
        <v>7145</v>
      </c>
      <c r="BK728">
        <v>831770</v>
      </c>
    </row>
    <row r="729" spans="1:63">
      <c r="A729" s="1">
        <f>HYPERLINK("https://lsnyc.legalserver.org/matter/dynamic-profile/view/0827997","17-0827997")</f>
        <v>0</v>
      </c>
      <c r="B729" t="s">
        <v>5546</v>
      </c>
      <c r="C729" t="s">
        <v>5625</v>
      </c>
      <c r="D729" t="s">
        <v>253</v>
      </c>
      <c r="E729" t="s">
        <v>3694</v>
      </c>
      <c r="F729" t="s">
        <v>274</v>
      </c>
      <c r="G729" t="s">
        <v>274</v>
      </c>
      <c r="H729">
        <v>0</v>
      </c>
      <c r="I729" t="s">
        <v>274</v>
      </c>
      <c r="K729" t="s">
        <v>1802</v>
      </c>
      <c r="P729" t="s">
        <v>492</v>
      </c>
      <c r="Q729" t="s">
        <v>501</v>
      </c>
      <c r="S729" t="s">
        <v>503</v>
      </c>
      <c r="T729" t="s">
        <v>508</v>
      </c>
      <c r="U729" t="s">
        <v>511</v>
      </c>
      <c r="V729">
        <v>11368</v>
      </c>
      <c r="W729" t="s">
        <v>532</v>
      </c>
      <c r="X729" t="s">
        <v>548</v>
      </c>
      <c r="Y729" t="s">
        <v>275</v>
      </c>
      <c r="Z729" t="s">
        <v>5998</v>
      </c>
      <c r="AA729" t="s">
        <v>2348</v>
      </c>
      <c r="AB729" t="s">
        <v>902</v>
      </c>
      <c r="AC729" t="s">
        <v>905</v>
      </c>
      <c r="AF729" t="s">
        <v>923</v>
      </c>
      <c r="AI729">
        <v>3.7</v>
      </c>
      <c r="AJ729" t="s">
        <v>558</v>
      </c>
      <c r="AK729" t="s">
        <v>933</v>
      </c>
      <c r="AT729">
        <v>3</v>
      </c>
      <c r="AU729">
        <v>1</v>
      </c>
      <c r="AV729" t="s">
        <v>273</v>
      </c>
      <c r="AY729" t="s">
        <v>273</v>
      </c>
      <c r="BB729">
        <v>0</v>
      </c>
      <c r="BC729">
        <v>0</v>
      </c>
      <c r="BD729">
        <v>0</v>
      </c>
      <c r="BE729">
        <v>0</v>
      </c>
      <c r="BF729" t="s">
        <v>1063</v>
      </c>
      <c r="BG729" t="s">
        <v>6895</v>
      </c>
      <c r="BH729">
        <v>42</v>
      </c>
      <c r="BI729" t="s">
        <v>1247</v>
      </c>
      <c r="BK729">
        <v>828472</v>
      </c>
    </row>
    <row r="730" spans="1:63">
      <c r="A730" s="1">
        <f>HYPERLINK("https://lsnyc.legalserver.org/matter/dynamic-profile/view/0827203","17-0827203")</f>
        <v>0</v>
      </c>
      <c r="B730" t="s">
        <v>5500</v>
      </c>
      <c r="C730" t="s">
        <v>5625</v>
      </c>
      <c r="D730" t="s">
        <v>253</v>
      </c>
      <c r="E730" t="s">
        <v>3694</v>
      </c>
      <c r="F730" t="s">
        <v>274</v>
      </c>
      <c r="G730" t="s">
        <v>274</v>
      </c>
      <c r="H730">
        <v>126.48</v>
      </c>
      <c r="I730" t="s">
        <v>274</v>
      </c>
      <c r="K730" t="s">
        <v>5677</v>
      </c>
      <c r="Q730" t="s">
        <v>501</v>
      </c>
      <c r="R730" t="s">
        <v>1816</v>
      </c>
      <c r="S730" t="s">
        <v>503</v>
      </c>
      <c r="T730" t="s">
        <v>508</v>
      </c>
      <c r="U730" t="s">
        <v>511</v>
      </c>
      <c r="V730">
        <v>7047</v>
      </c>
      <c r="W730" t="s">
        <v>532</v>
      </c>
      <c r="X730" t="s">
        <v>548</v>
      </c>
      <c r="Z730" t="s">
        <v>5866</v>
      </c>
      <c r="AA730" t="s">
        <v>6192</v>
      </c>
      <c r="AB730" t="s">
        <v>902</v>
      </c>
      <c r="AC730" t="s">
        <v>905</v>
      </c>
      <c r="AF730" t="s">
        <v>923</v>
      </c>
      <c r="AI730">
        <v>13</v>
      </c>
      <c r="AJ730" t="s">
        <v>558</v>
      </c>
      <c r="AK730" t="s">
        <v>933</v>
      </c>
      <c r="AS730" t="s">
        <v>1061</v>
      </c>
      <c r="AT730">
        <v>3</v>
      </c>
      <c r="AU730">
        <v>2</v>
      </c>
      <c r="AV730" t="s">
        <v>273</v>
      </c>
      <c r="AY730" t="s">
        <v>273</v>
      </c>
      <c r="BB730">
        <v>0</v>
      </c>
      <c r="BC730">
        <v>0</v>
      </c>
      <c r="BD730">
        <v>0</v>
      </c>
      <c r="BE730">
        <v>0</v>
      </c>
      <c r="BF730" t="s">
        <v>1063</v>
      </c>
      <c r="BG730" t="s">
        <v>6851</v>
      </c>
      <c r="BH730">
        <v>35</v>
      </c>
      <c r="BI730" t="s">
        <v>1317</v>
      </c>
      <c r="BK730">
        <v>1868154</v>
      </c>
    </row>
    <row r="731" spans="1:63">
      <c r="A731" s="1">
        <f>HYPERLINK("https://lsnyc.legalserver.org/matter/dynamic-profile/view/0826134","17-0826134")</f>
        <v>0</v>
      </c>
      <c r="B731" t="s">
        <v>5198</v>
      </c>
      <c r="C731" t="s">
        <v>5625</v>
      </c>
      <c r="D731" t="s">
        <v>252</v>
      </c>
      <c r="E731" t="s">
        <v>5630</v>
      </c>
      <c r="F731" t="s">
        <v>274</v>
      </c>
      <c r="G731" t="s">
        <v>274</v>
      </c>
      <c r="H731">
        <v>142.28</v>
      </c>
      <c r="I731" t="s">
        <v>274</v>
      </c>
      <c r="K731" t="s">
        <v>5678</v>
      </c>
      <c r="O731" t="s">
        <v>275</v>
      </c>
      <c r="P731" t="s">
        <v>500</v>
      </c>
      <c r="Q731" t="s">
        <v>501</v>
      </c>
      <c r="S731" t="s">
        <v>503</v>
      </c>
      <c r="T731" t="s">
        <v>507</v>
      </c>
      <c r="U731" t="s">
        <v>511</v>
      </c>
      <c r="V731">
        <v>11215</v>
      </c>
      <c r="W731" t="s">
        <v>517</v>
      </c>
      <c r="X731" t="s">
        <v>548</v>
      </c>
      <c r="Y731" t="s">
        <v>274</v>
      </c>
      <c r="Z731" t="s">
        <v>5767</v>
      </c>
      <c r="AA731" t="s">
        <v>6147</v>
      </c>
      <c r="AB731" t="s">
        <v>902</v>
      </c>
      <c r="AC731" t="s">
        <v>904</v>
      </c>
      <c r="AF731" t="s">
        <v>923</v>
      </c>
      <c r="AI731">
        <v>5.95</v>
      </c>
      <c r="AJ731" t="s">
        <v>558</v>
      </c>
      <c r="AK731" t="s">
        <v>933</v>
      </c>
      <c r="AL731" t="s">
        <v>274</v>
      </c>
      <c r="AT731">
        <v>1</v>
      </c>
      <c r="AU731">
        <v>3</v>
      </c>
      <c r="AV731" t="s">
        <v>273</v>
      </c>
      <c r="AY731" t="s">
        <v>273</v>
      </c>
      <c r="BB731">
        <v>0</v>
      </c>
      <c r="BC731">
        <v>0</v>
      </c>
      <c r="BD731">
        <v>0</v>
      </c>
      <c r="BE731">
        <v>0</v>
      </c>
      <c r="BF731" t="s">
        <v>1063</v>
      </c>
      <c r="BG731" t="s">
        <v>6578</v>
      </c>
      <c r="BH731">
        <v>45</v>
      </c>
      <c r="BI731" t="s">
        <v>2736</v>
      </c>
      <c r="BJ731" t="s">
        <v>2996</v>
      </c>
      <c r="BK731">
        <v>826591</v>
      </c>
    </row>
    <row r="732" spans="1:63">
      <c r="A732" s="1">
        <f>HYPERLINK("https://lsnyc.legalserver.org/matter/dynamic-profile/view/0822528","16-0822528")</f>
        <v>0</v>
      </c>
      <c r="B732" t="s">
        <v>5579</v>
      </c>
      <c r="C732" t="s">
        <v>5625</v>
      </c>
      <c r="D732" t="s">
        <v>5628</v>
      </c>
      <c r="E732" t="s">
        <v>3694</v>
      </c>
      <c r="F732" t="s">
        <v>274</v>
      </c>
      <c r="G732" t="s">
        <v>274</v>
      </c>
      <c r="H732">
        <v>0</v>
      </c>
      <c r="K732" t="s">
        <v>4852</v>
      </c>
      <c r="P732" t="s">
        <v>497</v>
      </c>
      <c r="Q732" t="s">
        <v>501</v>
      </c>
      <c r="S732" t="s">
        <v>503</v>
      </c>
      <c r="T732" t="s">
        <v>508</v>
      </c>
      <c r="U732" t="s">
        <v>511</v>
      </c>
      <c r="V732">
        <v>18702</v>
      </c>
      <c r="W732" t="s">
        <v>532</v>
      </c>
      <c r="X732" t="s">
        <v>548</v>
      </c>
      <c r="Z732" t="s">
        <v>2038</v>
      </c>
      <c r="AA732" t="s">
        <v>6418</v>
      </c>
      <c r="AB732" t="s">
        <v>902</v>
      </c>
      <c r="AC732" t="s">
        <v>905</v>
      </c>
      <c r="AF732" t="s">
        <v>923</v>
      </c>
      <c r="AI732">
        <v>12.35</v>
      </c>
      <c r="AJ732" t="s">
        <v>558</v>
      </c>
      <c r="AK732" t="s">
        <v>933</v>
      </c>
      <c r="AM732" t="s">
        <v>973</v>
      </c>
      <c r="AN732" t="s">
        <v>1751</v>
      </c>
      <c r="AT732">
        <v>3</v>
      </c>
      <c r="AU732">
        <v>2</v>
      </c>
      <c r="AV732" t="s">
        <v>274</v>
      </c>
      <c r="AW732" t="s">
        <v>3713</v>
      </c>
      <c r="AX732">
        <v>3459</v>
      </c>
      <c r="AY732" t="s">
        <v>273</v>
      </c>
      <c r="BB732">
        <v>0</v>
      </c>
      <c r="BC732">
        <v>0</v>
      </c>
      <c r="BD732">
        <v>0</v>
      </c>
      <c r="BE732">
        <v>0</v>
      </c>
      <c r="BF732" t="s">
        <v>1063</v>
      </c>
      <c r="BG732" t="s">
        <v>6927</v>
      </c>
      <c r="BH732">
        <v>24</v>
      </c>
      <c r="BI732" t="s">
        <v>1247</v>
      </c>
      <c r="BK732">
        <v>822988</v>
      </c>
    </row>
    <row r="733" spans="1:63">
      <c r="A733" s="1">
        <f>HYPERLINK("https://lsnyc.legalserver.org/matter/dynamic-profile/view/0793862","15-0793862")</f>
        <v>0</v>
      </c>
      <c r="B733" t="s">
        <v>5624</v>
      </c>
      <c r="C733" t="s">
        <v>5625</v>
      </c>
      <c r="D733" t="s">
        <v>253</v>
      </c>
      <c r="E733" t="s">
        <v>3694</v>
      </c>
      <c r="F733" t="s">
        <v>273</v>
      </c>
      <c r="G733" t="s">
        <v>275</v>
      </c>
      <c r="H733">
        <v>81.56</v>
      </c>
      <c r="K733" t="s">
        <v>5679</v>
      </c>
      <c r="P733" t="s">
        <v>500</v>
      </c>
      <c r="Q733" t="s">
        <v>501</v>
      </c>
      <c r="S733" t="s">
        <v>503</v>
      </c>
      <c r="T733" t="s">
        <v>507</v>
      </c>
      <c r="U733" t="s">
        <v>511</v>
      </c>
      <c r="V733">
        <v>11434</v>
      </c>
      <c r="W733" t="s">
        <v>519</v>
      </c>
      <c r="X733" t="s">
        <v>1842</v>
      </c>
      <c r="Y733" t="s">
        <v>275</v>
      </c>
      <c r="Z733" t="s">
        <v>627</v>
      </c>
      <c r="AA733" t="s">
        <v>6451</v>
      </c>
      <c r="AB733" t="s">
        <v>902</v>
      </c>
      <c r="AC733" t="s">
        <v>905</v>
      </c>
      <c r="AF733" t="s">
        <v>926</v>
      </c>
      <c r="AI733">
        <v>41.23</v>
      </c>
      <c r="AJ733" t="s">
        <v>558</v>
      </c>
      <c r="AK733" t="s">
        <v>2375</v>
      </c>
      <c r="AT733">
        <v>0</v>
      </c>
      <c r="AU733">
        <v>1</v>
      </c>
      <c r="AV733" t="s">
        <v>273</v>
      </c>
      <c r="AY733" t="s">
        <v>273</v>
      </c>
      <c r="BB733">
        <v>0</v>
      </c>
      <c r="BC733">
        <v>0</v>
      </c>
      <c r="BD733">
        <v>0</v>
      </c>
      <c r="BE733">
        <v>0</v>
      </c>
      <c r="BF733" t="s">
        <v>1063</v>
      </c>
      <c r="BG733" t="s">
        <v>6970</v>
      </c>
      <c r="BH733">
        <v>52</v>
      </c>
      <c r="BI733" t="s">
        <v>1280</v>
      </c>
      <c r="BK733">
        <v>794250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Brooklyn</vt:lpstr>
      <vt:lpstr>Queens</vt:lpstr>
      <vt:lpstr>Manhattan</vt:lpstr>
      <vt:lpstr>Bronx</vt:lpstr>
      <vt:lpstr>Staten Island</vt:lpstr>
      <vt:lpstr>LSU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2019-12-19T20:10:00Z</dcterms:created>
  <dcterms:modified xsi:type="dcterms:W3CDTF">2019-12-19T20:10:00Z</dcterms:modified>
</cp:coreProperties>
</file>