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nts Management IOI Employmen" sheetId="1" r:id="rId1"/>
  </sheets>
  <calcPr calcId="124519" fullCalcOnLoad="1"/>
</workbook>
</file>

<file path=xl/sharedStrings.xml><?xml version="1.0" encoding="utf-8"?>
<sst xmlns="http://schemas.openxmlformats.org/spreadsheetml/2006/main" count="12577" uniqueCount="2531">
  <si>
    <t>Hyperlinked Case #</t>
  </si>
  <si>
    <t>Full Person/Group Name (Last First)</t>
  </si>
  <si>
    <t>Assigned Branch/CC</t>
  </si>
  <si>
    <t>County of Residence</t>
  </si>
  <si>
    <t>Primary Advocate</t>
  </si>
  <si>
    <t>PAI Case?</t>
  </si>
  <si>
    <t>Matter has current Pro Bono involvement</t>
  </si>
  <si>
    <t>Percentage of Poverty</t>
  </si>
  <si>
    <t>Date Opened</t>
  </si>
  <si>
    <t>Date Closed</t>
  </si>
  <si>
    <t>Intake - Did You Provide Legal Advice?</t>
  </si>
  <si>
    <t>Primary Funding Codes</t>
  </si>
  <si>
    <t>Secondary Funding Codes</t>
  </si>
  <si>
    <t>Legal Problem Code Category</t>
  </si>
  <si>
    <t>Gender</t>
  </si>
  <si>
    <t>Legal Problem Code</t>
  </si>
  <si>
    <t>Zip Code</t>
  </si>
  <si>
    <t>Special Legal Problem Code</t>
  </si>
  <si>
    <t>Language</t>
  </si>
  <si>
    <t>Client First Name</t>
  </si>
  <si>
    <t>Client Last Name</t>
  </si>
  <si>
    <t>Close Reason</t>
  </si>
  <si>
    <t>Level of Service</t>
  </si>
  <si>
    <t>Total Time For Case</t>
  </si>
  <si>
    <t>Number of People under 18</t>
  </si>
  <si>
    <t>Number of People 18 and Over</t>
  </si>
  <si>
    <t>Case Disposition</t>
  </si>
  <si>
    <t>Date of Birth</t>
  </si>
  <si>
    <t>Age at Intake</t>
  </si>
  <si>
    <t xml:space="preserve">Total Annual Income </t>
  </si>
  <si>
    <t>HRA IOI Employment Law Income Waiver Date</t>
  </si>
  <si>
    <t>HRA IOI Employment Law Special Waiver Date</t>
  </si>
  <si>
    <t>HRA IOI Employment Law UIB Hearing Date</t>
  </si>
  <si>
    <t>HRA IOI Employment Law HRA Outcome Date:</t>
  </si>
  <si>
    <t>HRA IOI Employment Law DHCI Form?</t>
  </si>
  <si>
    <t>HRA IOI Employment Law HRA Consent?</t>
  </si>
  <si>
    <t>HRA IOI Employment Law HRA Outcome:</t>
  </si>
  <si>
    <t>HRA IOI Employment Law Retainer?</t>
  </si>
  <si>
    <t>HRA IOI Employment Law IOI Employment Tier Category:</t>
  </si>
  <si>
    <t>HRA IOI Employment Law Special Waiver Obtained?</t>
  </si>
  <si>
    <t>HRA IOI Employment Law UIB Hearing Outcome</t>
  </si>
  <si>
    <t>HRA IOI Employment Law If Client is Over 200% of FPL, Did you seek a waiver from HRA?</t>
  </si>
  <si>
    <t>IOI HRA Effective Date (optional) (IOI 2)</t>
  </si>
  <si>
    <t>Client</t>
  </si>
  <si>
    <t>DeJesus, Maria</t>
  </si>
  <si>
    <t>Kirkland, Starr</t>
  </si>
  <si>
    <t>Cayetano, Ramon</t>
  </si>
  <si>
    <t>Bundy, Cornell A</t>
  </si>
  <si>
    <t>Yasmin, Ferzana</t>
  </si>
  <si>
    <t>Kourouma, Odia</t>
  </si>
  <si>
    <t>Thompkins, Catarlton</t>
  </si>
  <si>
    <t>Hayes, Pamela</t>
  </si>
  <si>
    <t>Demming, Nathanael</t>
  </si>
  <si>
    <t>Hernandez, Hilario</t>
  </si>
  <si>
    <t>Ellerbe, Andre</t>
  </si>
  <si>
    <t>Marinez, Fredy</t>
  </si>
  <si>
    <t>Khavina, Regina</t>
  </si>
  <si>
    <t>Burgos, Casimiro</t>
  </si>
  <si>
    <t>Mouzon, Eboney</t>
  </si>
  <si>
    <t>McGraw, Daniel</t>
  </si>
  <si>
    <t>Richardson, Halana</t>
  </si>
  <si>
    <t>Montes, Sheila</t>
  </si>
  <si>
    <t>Mvunga, Teresa</t>
  </si>
  <si>
    <t>Higgins, Gary</t>
  </si>
  <si>
    <t>Reboredo, Gabriel</t>
  </si>
  <si>
    <t>Smalls, Rameses</t>
  </si>
  <si>
    <t>Romanelli, Kathy</t>
  </si>
  <si>
    <t>Walker, Arkies</t>
  </si>
  <si>
    <t>Lugo, William A</t>
  </si>
  <si>
    <t>ROSS, RONALD</t>
  </si>
  <si>
    <t>Johnson, Sonya</t>
  </si>
  <si>
    <t>Shala, Malinda</t>
  </si>
  <si>
    <t>Chiloloma, Precious M</t>
  </si>
  <si>
    <t>McCray, Michael</t>
  </si>
  <si>
    <t>Crocco, Marie</t>
  </si>
  <si>
    <t>McCarthy, Coleen</t>
  </si>
  <si>
    <t>Vargas, Massiel</t>
  </si>
  <si>
    <t>Figueroa, Luceilinn</t>
  </si>
  <si>
    <t>Nunez, Jose</t>
  </si>
  <si>
    <t>Smith, Trevel</t>
  </si>
  <si>
    <t>Sylla, Mahamadou</t>
  </si>
  <si>
    <t>Chang, Peter</t>
  </si>
  <si>
    <t>Campillo, Lydia</t>
  </si>
  <si>
    <t>Elumeze, Anthony</t>
  </si>
  <si>
    <t>Martinez, Wanda</t>
  </si>
  <si>
    <t>Cauchi, Michel</t>
  </si>
  <si>
    <t>Forster, David</t>
  </si>
  <si>
    <t>Riaz, Sadia</t>
  </si>
  <si>
    <t>Ahmed, Zabe</t>
  </si>
  <si>
    <t>Oreilly, Kenson</t>
  </si>
  <si>
    <t>Nkombe, Ginette</t>
  </si>
  <si>
    <t>Moore, Isaiah</t>
  </si>
  <si>
    <t>Gonzalez, Sonia</t>
  </si>
  <si>
    <t>Caban, Madeline</t>
  </si>
  <si>
    <t>Billups, Paula</t>
  </si>
  <si>
    <t>Robbins, Dawn</t>
  </si>
  <si>
    <t>Vera, Laura</t>
  </si>
  <si>
    <t>Perez, Jefferson</t>
  </si>
  <si>
    <t>Hamani, Amina</t>
  </si>
  <si>
    <t>Garcia, Maria</t>
  </si>
  <si>
    <t>Dadwah, Ronson</t>
  </si>
  <si>
    <t>Singh-Ramkisson, Sunardaye</t>
  </si>
  <si>
    <t>Sanchez, Joshua A</t>
  </si>
  <si>
    <t>Nunez Andino, Cynthia</t>
  </si>
  <si>
    <t>Hyland, DAniel</t>
  </si>
  <si>
    <t>Bernes, Millard</t>
  </si>
  <si>
    <t>Brady, Shaina</t>
  </si>
  <si>
    <t>Torres, Christian</t>
  </si>
  <si>
    <t>Meade, Katherine</t>
  </si>
  <si>
    <t>Sukhnanan, Janet</t>
  </si>
  <si>
    <t>Elaktaa, Aesha</t>
  </si>
  <si>
    <t>Akram, Amirah</t>
  </si>
  <si>
    <t>Alvarado, Keila</t>
  </si>
  <si>
    <t>Lugo, Marisol</t>
  </si>
  <si>
    <t>Sanchez, Alma</t>
  </si>
  <si>
    <t>Castillo, Idalis</t>
  </si>
  <si>
    <t>Akhtab, Mageedah</t>
  </si>
  <si>
    <t>Blackwood, Mesha</t>
  </si>
  <si>
    <t>Ahmed, Misbah</t>
  </si>
  <si>
    <t>Evans, Liz</t>
  </si>
  <si>
    <t>King, Ebony</t>
  </si>
  <si>
    <t>St. Phard, Medgine J</t>
  </si>
  <si>
    <t>Rivera, Andre</t>
  </si>
  <si>
    <t>Singh, Himat</t>
  </si>
  <si>
    <t>Ayinde, Afeez</t>
  </si>
  <si>
    <t>Flores, Veronica</t>
  </si>
  <si>
    <t>Roberts, Claudine</t>
  </si>
  <si>
    <t>Lyubarova, Surayyo</t>
  </si>
  <si>
    <t>Shelly, Denise</t>
  </si>
  <si>
    <t>Osby, Kenneth</t>
  </si>
  <si>
    <t>Sanchez, Jose</t>
  </si>
  <si>
    <t>Taveras, Freddy</t>
  </si>
  <si>
    <t>Sayles, Monique</t>
  </si>
  <si>
    <t>JENKINS, ANGELLA</t>
  </si>
  <si>
    <t>Barton, Megan</t>
  </si>
  <si>
    <t>Crawford, Natasha</t>
  </si>
  <si>
    <t>Siri, Eustaquio</t>
  </si>
  <si>
    <t>Situ, David</t>
  </si>
  <si>
    <t>Sastre, Selina</t>
  </si>
  <si>
    <t>Galan-Batista, David</t>
  </si>
  <si>
    <t>Stewart, Lynda</t>
  </si>
  <si>
    <t>De Las Salas, Jovanna</t>
  </si>
  <si>
    <t>Rich, Michael</t>
  </si>
  <si>
    <t>Chacon, Mauricio</t>
  </si>
  <si>
    <t>Michaud, Merab L</t>
  </si>
  <si>
    <t>Lewis, Steffon</t>
  </si>
  <si>
    <t>Prowell, Adiyemi</t>
  </si>
  <si>
    <t>Marquez, Daniel</t>
  </si>
  <si>
    <t>Davidov, Susan</t>
  </si>
  <si>
    <t>Ortega, Carlos</t>
  </si>
  <si>
    <t>Anthony, Lesley</t>
  </si>
  <si>
    <t>Sewell, Megan</t>
  </si>
  <si>
    <t>Parker, Ashanti C</t>
  </si>
  <si>
    <t>Perez, David</t>
  </si>
  <si>
    <t>Johnson, Shakena</t>
  </si>
  <si>
    <t>Kalinik, Mikhail</t>
  </si>
  <si>
    <t>Shine, Towanda</t>
  </si>
  <si>
    <t>Dhaheri, Sami</t>
  </si>
  <si>
    <t>Hernandez, Herbert M</t>
  </si>
  <si>
    <t>Herring, Naquan</t>
  </si>
  <si>
    <t>Pettiway, Barbara</t>
  </si>
  <si>
    <t>Fonseca, Omari</t>
  </si>
  <si>
    <t>Reed, Ryheem</t>
  </si>
  <si>
    <t>Priestley, Ulani</t>
  </si>
  <si>
    <t>Amazan, Dieudila</t>
  </si>
  <si>
    <t>Lewis, Melika</t>
  </si>
  <si>
    <t>Arocho, Mary</t>
  </si>
  <si>
    <t>Best, Tyhesia</t>
  </si>
  <si>
    <t>Gordon, Mark</t>
  </si>
  <si>
    <t>Roman, Leisha</t>
  </si>
  <si>
    <t>Smith, Brandon</t>
  </si>
  <si>
    <t>Zapata, Raul I</t>
  </si>
  <si>
    <t>Gontijo-Davis, Marina</t>
  </si>
  <si>
    <t>Valencia, Jeannie</t>
  </si>
  <si>
    <t>Scott, Justin</t>
  </si>
  <si>
    <t>Williams, Michael Wayne</t>
  </si>
  <si>
    <t>Jackson, Crystal</t>
  </si>
  <si>
    <t>Machado, Michael</t>
  </si>
  <si>
    <t>Angel, Spencer</t>
  </si>
  <si>
    <t>Walker, Denise V</t>
  </si>
  <si>
    <t>Vidals, Alberto</t>
  </si>
  <si>
    <t>Lopez, Gonzalo</t>
  </si>
  <si>
    <t>Rivera, Ivonne</t>
  </si>
  <si>
    <t>Cuellar, Erik</t>
  </si>
  <si>
    <t>Kimba, Kailou</t>
  </si>
  <si>
    <t>Fernandez, Anaise</t>
  </si>
  <si>
    <t>Goold, Morgan J</t>
  </si>
  <si>
    <t>Coriglino, Diane</t>
  </si>
  <si>
    <t>Moran, Kelly</t>
  </si>
  <si>
    <t>Davis, Bruce</t>
  </si>
  <si>
    <t>Williams, Eugene</t>
  </si>
  <si>
    <t>Orr, Jonathan</t>
  </si>
  <si>
    <t>Sibblies, Meckann</t>
  </si>
  <si>
    <t>Shah, Pankil</t>
  </si>
  <si>
    <t>Germain, Claire</t>
  </si>
  <si>
    <t>Feliz, Maxi</t>
  </si>
  <si>
    <t>Pineiro, Jason</t>
  </si>
  <si>
    <t>Saar, Angela</t>
  </si>
  <si>
    <t>Gueorguiev, Wendi</t>
  </si>
  <si>
    <t>Oppenhenier, Paul</t>
  </si>
  <si>
    <t>Mahario-Keene, Desrine</t>
  </si>
  <si>
    <t>Walker, Melisa</t>
  </si>
  <si>
    <t>Zioba, Raymond</t>
  </si>
  <si>
    <t>Thomas, Andre</t>
  </si>
  <si>
    <t>Altamirano, Rosemonde</t>
  </si>
  <si>
    <t>Mun, Seung</t>
  </si>
  <si>
    <t>Zimba, Pamela M</t>
  </si>
  <si>
    <t>Mangual, Omayra</t>
  </si>
  <si>
    <t>Quian, Tesha</t>
  </si>
  <si>
    <t>Perez, Julio</t>
  </si>
  <si>
    <t>Davis, David A</t>
  </si>
  <si>
    <t>Dixon, Carmen M</t>
  </si>
  <si>
    <t>Hippner-Wasilewski, Hanna</t>
  </si>
  <si>
    <t>Martinez, Dominga</t>
  </si>
  <si>
    <t>Barnes, James</t>
  </si>
  <si>
    <t>Osei-Tutu, Nana</t>
  </si>
  <si>
    <t>John, Lakeish</t>
  </si>
  <si>
    <t>Meza, Michael</t>
  </si>
  <si>
    <t>St. Remy, Emmanuel</t>
  </si>
  <si>
    <t>Funaro, Michael</t>
  </si>
  <si>
    <t>Gonzalez, Victor M</t>
  </si>
  <si>
    <t>Diagne, Papa O</t>
  </si>
  <si>
    <t>Sessoms, Linda</t>
  </si>
  <si>
    <t>Williams, Lisa J</t>
  </si>
  <si>
    <t>Dinardo, Rocco</t>
  </si>
  <si>
    <t>DeJesus, Anna</t>
  </si>
  <si>
    <t>Fata, Annette</t>
  </si>
  <si>
    <t>Reyes Olmeda, Jose</t>
  </si>
  <si>
    <t>Shen, Yunli</t>
  </si>
  <si>
    <t>Carim Jr, Don Michael</t>
  </si>
  <si>
    <t>Gomez, Wendy</t>
  </si>
  <si>
    <t>Turner, Michael</t>
  </si>
  <si>
    <t>Maynard, Shomari N</t>
  </si>
  <si>
    <t>Jimenez, Leocadio</t>
  </si>
  <si>
    <t>Mcewan, Triton</t>
  </si>
  <si>
    <t>Abdurakhmanov, Sobirjon</t>
  </si>
  <si>
    <t>Ackerman, Michael J</t>
  </si>
  <si>
    <t>Reed, Stefen</t>
  </si>
  <si>
    <t>Alleyne, Cordell</t>
  </si>
  <si>
    <t>Machado, Evelyn</t>
  </si>
  <si>
    <t>Blackman, Delcita</t>
  </si>
  <si>
    <t>Mayomi, David</t>
  </si>
  <si>
    <t>Jones, Kiesha</t>
  </si>
  <si>
    <t>Grant, Katrina</t>
  </si>
  <si>
    <t>Caraballo, Angel</t>
  </si>
  <si>
    <t>Flores, Diana</t>
  </si>
  <si>
    <t>Hoo, Julia</t>
  </si>
  <si>
    <t>Lovelace, Bejahda</t>
  </si>
  <si>
    <t>Sobers, Michael</t>
  </si>
  <si>
    <t>Mcindoo, Maria</t>
  </si>
  <si>
    <t>Cortes, Carmelita</t>
  </si>
  <si>
    <t>Webb, Jinell A</t>
  </si>
  <si>
    <t>Romero, Humberto</t>
  </si>
  <si>
    <t>Hodge, Warren</t>
  </si>
  <si>
    <t>Vasquez, Julia</t>
  </si>
  <si>
    <t>Smith, Sharnay</t>
  </si>
  <si>
    <t>Coard, Elijah</t>
  </si>
  <si>
    <t>Vega, Humberto</t>
  </si>
  <si>
    <t>Perez, Gabrielle</t>
  </si>
  <si>
    <t>Korets, Oksana</t>
  </si>
  <si>
    <t>Burger, Shawna</t>
  </si>
  <si>
    <t>Paredes, Ana D.</t>
  </si>
  <si>
    <t>Tavarez, Ramon</t>
  </si>
  <si>
    <t>Pierre Louis, Sophonia</t>
  </si>
  <si>
    <t>Ashley, Weston</t>
  </si>
  <si>
    <t>Oddo, Lorraine</t>
  </si>
  <si>
    <t>Komar, Sondia</t>
  </si>
  <si>
    <t>Strobel, Fay</t>
  </si>
  <si>
    <t>Irby, Gladys</t>
  </si>
  <si>
    <t>Jones, Trammel</t>
  </si>
  <si>
    <t>Lliguichusca, Veronica</t>
  </si>
  <si>
    <t>Cowsh, Walter</t>
  </si>
  <si>
    <t>Jimenez, Leopoldo</t>
  </si>
  <si>
    <t>Pekovitch, Sarah</t>
  </si>
  <si>
    <t>Dasilva, Asberth</t>
  </si>
  <si>
    <t>Doman, Linda</t>
  </si>
  <si>
    <t>Santos, Nolberto</t>
  </si>
  <si>
    <t>Keddy, Carol A</t>
  </si>
  <si>
    <t>Rosa, Moraima</t>
  </si>
  <si>
    <t>Chen, Yue Ming</t>
  </si>
  <si>
    <t>Arena, Giovanni</t>
  </si>
  <si>
    <t>Gawinowska, Elzbieta</t>
  </si>
  <si>
    <t>Langerholc, Boris</t>
  </si>
  <si>
    <t>Leandro, Ana</t>
  </si>
  <si>
    <t>Jameson, Linda</t>
  </si>
  <si>
    <t>Mohan, Vednandre</t>
  </si>
  <si>
    <t>Lavington, Vance A</t>
  </si>
  <si>
    <t>McFarlene, Janice</t>
  </si>
  <si>
    <t>Yeinstein, Hadassaa</t>
  </si>
  <si>
    <t>City, Martha</t>
  </si>
  <si>
    <t>Small, Alison</t>
  </si>
  <si>
    <t>Galley, Stephen</t>
  </si>
  <si>
    <t>Epole, Noelle</t>
  </si>
  <si>
    <t>Pagan, Janine</t>
  </si>
  <si>
    <t>Endres, Alexandra</t>
  </si>
  <si>
    <t>Fanfair, Lattasha</t>
  </si>
  <si>
    <t>Jimenez, Jennifer</t>
  </si>
  <si>
    <t>Mayfield, Elizabeth</t>
  </si>
  <si>
    <t>Chen, Zhen</t>
  </si>
  <si>
    <t>Johnson, Philip</t>
  </si>
  <si>
    <t>Estremera, Josiah​ A</t>
  </si>
  <si>
    <t>Ramirez, Nohemi</t>
  </si>
  <si>
    <t>Martin, Monique</t>
  </si>
  <si>
    <t>Tang, Mei Su</t>
  </si>
  <si>
    <t>Jones, Samantha M</t>
  </si>
  <si>
    <t>Johnson, Gregory</t>
  </si>
  <si>
    <t>Maksumova, Bella</t>
  </si>
  <si>
    <t>Hagley, Michelle</t>
  </si>
  <si>
    <t>Herrera, Argentina</t>
  </si>
  <si>
    <t>Ramirez, Denia</t>
  </si>
  <si>
    <t>Noel, Katiana</t>
  </si>
  <si>
    <t>Reyes, Luis</t>
  </si>
  <si>
    <t>Connerney, Erica</t>
  </si>
  <si>
    <t>Khan-Ali, Rafiah</t>
  </si>
  <si>
    <t>Jerome, Clifford</t>
  </si>
  <si>
    <t>Victor-Garrido, Charlina</t>
  </si>
  <si>
    <t>Payne, Wayne</t>
  </si>
  <si>
    <t>Ficklin, Denise</t>
  </si>
  <si>
    <t>Torres, Elizabeth</t>
  </si>
  <si>
    <t>Agafonova, Tatiana</t>
  </si>
  <si>
    <t>Gonzalez, Diana</t>
  </si>
  <si>
    <t>Moya, Rafael</t>
  </si>
  <si>
    <t>Mclen, Warren</t>
  </si>
  <si>
    <t>Zanova, Zulfiya</t>
  </si>
  <si>
    <t>McCants, Nicole</t>
  </si>
  <si>
    <t>Donohue jr, Vincent T</t>
  </si>
  <si>
    <t>Leake, Federica Viola</t>
  </si>
  <si>
    <t>Green, Morris</t>
  </si>
  <si>
    <t>Barnes, Sashawni</t>
  </si>
  <si>
    <t>Sofer, Kobi</t>
  </si>
  <si>
    <t>Ara, Dilshad</t>
  </si>
  <si>
    <t>Van Cooten, Ariella</t>
  </si>
  <si>
    <t>Castillo, Jennifer</t>
  </si>
  <si>
    <t>Williams, Danielle E</t>
  </si>
  <si>
    <t>Roswell, Juneka</t>
  </si>
  <si>
    <t>Dojillo, Julie</t>
  </si>
  <si>
    <t>Suarez, Patricia</t>
  </si>
  <si>
    <t>Salcedo, Juan F</t>
  </si>
  <si>
    <t>Best, Timothy</t>
  </si>
  <si>
    <t>Pierre, Mallie</t>
  </si>
  <si>
    <t>Abreu, Erminio</t>
  </si>
  <si>
    <t>Torres, Angel</t>
  </si>
  <si>
    <t>Nettles, Donte</t>
  </si>
  <si>
    <t>Lovett, Stephanie</t>
  </si>
  <si>
    <t>Bond, Douglas</t>
  </si>
  <si>
    <t>Marte, Reimy</t>
  </si>
  <si>
    <t>Acosta, Juan</t>
  </si>
  <si>
    <t>Royal, Evadney</t>
  </si>
  <si>
    <t>Liu, Wei Long</t>
  </si>
  <si>
    <t>Roach, Dara</t>
  </si>
  <si>
    <t>Aybar, Angela</t>
  </si>
  <si>
    <t>Fulcinelli, Elena</t>
  </si>
  <si>
    <t>Bhuiyan, Sajada</t>
  </si>
  <si>
    <t>Cordero, Patricia</t>
  </si>
  <si>
    <t>Bautista, Racio</t>
  </si>
  <si>
    <t>Lewis, David</t>
  </si>
  <si>
    <t>Perez, Yamileth</t>
  </si>
  <si>
    <t>Rodriguez, Renato</t>
  </si>
  <si>
    <t>Delva, Eric</t>
  </si>
  <si>
    <t>Venture, Leslie</t>
  </si>
  <si>
    <t>Saleh, Keroles</t>
  </si>
  <si>
    <t>Ramos, Olga</t>
  </si>
  <si>
    <t>Santamaria, Nelson</t>
  </si>
  <si>
    <t>Michel, Wideling</t>
  </si>
  <si>
    <t>Medley, Shanee</t>
  </si>
  <si>
    <t>Pierre, Kieram</t>
  </si>
  <si>
    <t>Belizaire, Adiles</t>
  </si>
  <si>
    <t>Gaviola, Grilie</t>
  </si>
  <si>
    <t>Lee Sin, Stace-Ann</t>
  </si>
  <si>
    <t>Gonzalez, Aida</t>
  </si>
  <si>
    <t>Abdul-Hakim, Tamela</t>
  </si>
  <si>
    <t>Smith, Randy</t>
  </si>
  <si>
    <t>Wiggins, Sheena</t>
  </si>
  <si>
    <t>Hernandez, Teodoro</t>
  </si>
  <si>
    <t>Carr, Elwood</t>
  </si>
  <si>
    <t>Martinez, Maribel</t>
  </si>
  <si>
    <t>Bagu, Julie</t>
  </si>
  <si>
    <t>Lee, Edward</t>
  </si>
  <si>
    <t>Adams, Necilynn</t>
  </si>
  <si>
    <t>Forbes, Angela Gordon</t>
  </si>
  <si>
    <t>Zverev, Evgeny</t>
  </si>
  <si>
    <t>Schiavone, Joseph</t>
  </si>
  <si>
    <t>Reyes, Robert</t>
  </si>
  <si>
    <t>Ricks, Wilbert</t>
  </si>
  <si>
    <t>Rhanes, Lavette</t>
  </si>
  <si>
    <t>Westbrook, Arthur</t>
  </si>
  <si>
    <t>Mendez, Estenio</t>
  </si>
  <si>
    <t>Clayton, Carl</t>
  </si>
  <si>
    <t>Wright, Janegila</t>
  </si>
  <si>
    <t>Cooper, Garrick</t>
  </si>
  <si>
    <t>Mitchell, Chanel</t>
  </si>
  <si>
    <t>Miles, George</t>
  </si>
  <si>
    <t>Mino, Marcel</t>
  </si>
  <si>
    <t>Gordon, Novlin</t>
  </si>
  <si>
    <t>Thompson, Martin</t>
  </si>
  <si>
    <t>Niniyokindi, Ella</t>
  </si>
  <si>
    <t>Blevins, Peter</t>
  </si>
  <si>
    <t>Gonzalez, James</t>
  </si>
  <si>
    <t>Soto, Jose</t>
  </si>
  <si>
    <t>Gunnip, Shannon</t>
  </si>
  <si>
    <t>Dorcilhomme, Myrtho</t>
  </si>
  <si>
    <t>Eastman, Colin S</t>
  </si>
  <si>
    <t>Hendre, Jaya N</t>
  </si>
  <si>
    <t>Odigie, Stephanie</t>
  </si>
  <si>
    <t>Suarez, Aldolfo</t>
  </si>
  <si>
    <t>Pierre, Yvane</t>
  </si>
  <si>
    <t>Black, Anthony</t>
  </si>
  <si>
    <t>Osborne, Bruce</t>
  </si>
  <si>
    <t>Gagliardi, Gerard</t>
  </si>
  <si>
    <t>Tyler, Sheila</t>
  </si>
  <si>
    <t>Anaya Jr., Charles</t>
  </si>
  <si>
    <t>Montgomery, Byron</t>
  </si>
  <si>
    <t>Schafer, Ozden</t>
  </si>
  <si>
    <t>Rosemond, Loubine</t>
  </si>
  <si>
    <t>Live, Nyeisha</t>
  </si>
  <si>
    <t>Williams, Gem</t>
  </si>
  <si>
    <t>Rivera, Stephen</t>
  </si>
  <si>
    <t>Gonzalez, Roberto</t>
  </si>
  <si>
    <t>Perez, Alina</t>
  </si>
  <si>
    <t>Chappel, Jasmine</t>
  </si>
  <si>
    <t>Bernardez, Sheyleth</t>
  </si>
  <si>
    <t>Arsoc, Mile</t>
  </si>
  <si>
    <t>Murillo, Billy</t>
  </si>
  <si>
    <t>Capetillo, Georgina</t>
  </si>
  <si>
    <t>Roman, Ruben</t>
  </si>
  <si>
    <t>Carter, Tobias</t>
  </si>
  <si>
    <t>Barrera, Mauricio</t>
  </si>
  <si>
    <t>Burns, Alicia</t>
  </si>
  <si>
    <t>Shimonov, Uriel</t>
  </si>
  <si>
    <t>Liu, Elaine</t>
  </si>
  <si>
    <t>Cifres, Jeanfran</t>
  </si>
  <si>
    <t>Jenga, Jade</t>
  </si>
  <si>
    <t>Johnson, Dwight</t>
  </si>
  <si>
    <t>Delossantos, Carlos</t>
  </si>
  <si>
    <t>Patent, Marina</t>
  </si>
  <si>
    <t>Espada, Angel A</t>
  </si>
  <si>
    <t>Scott, Octayvia</t>
  </si>
  <si>
    <t>Scott, Quincy</t>
  </si>
  <si>
    <t>Wallace, Patricia</t>
  </si>
  <si>
    <t>Gimenez, Menard</t>
  </si>
  <si>
    <t>Movshovich, Ruslan</t>
  </si>
  <si>
    <t>Leonimm, John</t>
  </si>
  <si>
    <t>Gordon, Shaunor</t>
  </si>
  <si>
    <t>Ali, Emel</t>
  </si>
  <si>
    <t>Sigin, Zhanna</t>
  </si>
  <si>
    <t>Castillo, Nelson</t>
  </si>
  <si>
    <t>Lanton, Paul</t>
  </si>
  <si>
    <t>Castillo, Emely</t>
  </si>
  <si>
    <t>Mushieva, Esther</t>
  </si>
  <si>
    <t>Sillah, Fatoumata</t>
  </si>
  <si>
    <t>Frenkel, Ludmila</t>
  </si>
  <si>
    <t>Lambacker, Elizabeth</t>
  </si>
  <si>
    <t>Kemp, Kecia</t>
  </si>
  <si>
    <t>Mitchell, Alicia</t>
  </si>
  <si>
    <t>Johnson, Pamela</t>
  </si>
  <si>
    <t>Stone, Rebecca</t>
  </si>
  <si>
    <t>Santiago, Brian</t>
  </si>
  <si>
    <t>Thompson, Keith</t>
  </si>
  <si>
    <t>McCoy, Keisha</t>
  </si>
  <si>
    <t>Zaman, Saad</t>
  </si>
  <si>
    <t>Bernal, John</t>
  </si>
  <si>
    <t>Rodjinske, Ryan</t>
  </si>
  <si>
    <t>Diaz, Guadalupe</t>
  </si>
  <si>
    <t>Garcia, Cassandra</t>
  </si>
  <si>
    <t>Mcklin, Richrad</t>
  </si>
  <si>
    <t>Gavaris, John</t>
  </si>
  <si>
    <t>Lind, Karim</t>
  </si>
  <si>
    <t>Moore, Derrick</t>
  </si>
  <si>
    <t>McConney-Bingham, Elizabeth</t>
  </si>
  <si>
    <t>Hood, Duane</t>
  </si>
  <si>
    <t>Antoine, Myrlene</t>
  </si>
  <si>
    <t>Balber, Kate V</t>
  </si>
  <si>
    <t>Grigg, Edwin</t>
  </si>
  <si>
    <t>Tupas, Jonathan</t>
  </si>
  <si>
    <t>Kim, Ted</t>
  </si>
  <si>
    <t>Fagundez Quiros, Juan</t>
  </si>
  <si>
    <t>Suarez, Josefa</t>
  </si>
  <si>
    <t>Galindo, Oneida</t>
  </si>
  <si>
    <t>Adekoya, Kevin</t>
  </si>
  <si>
    <t>Huggins, Dawnta</t>
  </si>
  <si>
    <t>Sultana, Sharmin</t>
  </si>
  <si>
    <t>Grey, Logan</t>
  </si>
  <si>
    <t>Talbert, Lamar</t>
  </si>
  <si>
    <t>David, Anthony</t>
  </si>
  <si>
    <t>Jones, Destiny</t>
  </si>
  <si>
    <t>Wraich, Sajid</t>
  </si>
  <si>
    <t>Twitty, Nigel</t>
  </si>
  <si>
    <t>Khoshab, Soheil</t>
  </si>
  <si>
    <t>Rivera, Bernadette</t>
  </si>
  <si>
    <t>Cruz, Luis R</t>
  </si>
  <si>
    <t>Torres, Jose</t>
  </si>
  <si>
    <t>Bennett, Patricia</t>
  </si>
  <si>
    <t>McHugh, Michael</t>
  </si>
  <si>
    <t>Armstrong, Antonie</t>
  </si>
  <si>
    <t>Christakis, Gregorios</t>
  </si>
  <si>
    <t>Reyes, Patricia</t>
  </si>
  <si>
    <t>Johnson, Cherise L</t>
  </si>
  <si>
    <t>Coleman, Arnold</t>
  </si>
  <si>
    <t>Schwartz, Howard</t>
  </si>
  <si>
    <t>Douglas, Delva</t>
  </si>
  <si>
    <t>Anderson, Marvin</t>
  </si>
  <si>
    <t>Kumari, Sangeeta</t>
  </si>
  <si>
    <t>Yournet, Rafael</t>
  </si>
  <si>
    <t>Guerrero Estrada, Alfredo</t>
  </si>
  <si>
    <t>Glover, Shontique</t>
  </si>
  <si>
    <t>Niamji, Damar S</t>
  </si>
  <si>
    <t>Sterling, Althea</t>
  </si>
  <si>
    <t>Williams, Gladwin B</t>
  </si>
  <si>
    <t>Rodriguez, Sandra</t>
  </si>
  <si>
    <t>Castillo-Jason, Josefina</t>
  </si>
  <si>
    <t>Jannat, Gul</t>
  </si>
  <si>
    <t>Kalman, Vincent</t>
  </si>
  <si>
    <t>Selsey, Thomas</t>
  </si>
  <si>
    <t>Williams, Nicole</t>
  </si>
  <si>
    <t>Gashi, Naim</t>
  </si>
  <si>
    <t>Haynes, Nakeda</t>
  </si>
  <si>
    <t>Purvis, Paulette</t>
  </si>
  <si>
    <t>Sterling, Jodi</t>
  </si>
  <si>
    <t>Murphy, Patricia</t>
  </si>
  <si>
    <t>Lopez, Ida</t>
  </si>
  <si>
    <t>Sanchez, Vincente M</t>
  </si>
  <si>
    <t>Castillo, Saira Y</t>
  </si>
  <si>
    <t>Blake, Michelle</t>
  </si>
  <si>
    <t>Perez, Nelson</t>
  </si>
  <si>
    <t>Mousavi, Mahnav</t>
  </si>
  <si>
    <t>Woychowski, Roxanne</t>
  </si>
  <si>
    <t>Quinones, Hilaria J</t>
  </si>
  <si>
    <t>Woods, Nashon</t>
  </si>
  <si>
    <t>Barralaga, Rodrigo</t>
  </si>
  <si>
    <t>Pataeham, Peter</t>
  </si>
  <si>
    <t>Vasquez, Jose</t>
  </si>
  <si>
    <t>Ramirez, Christopher</t>
  </si>
  <si>
    <t>Polanski, Cristina</t>
  </si>
  <si>
    <t>Alexis, Ayodel</t>
  </si>
  <si>
    <t>Santos, Cesar</t>
  </si>
  <si>
    <t>Manhattan Legal Services</t>
  </si>
  <si>
    <t>Brooklyn Legal Services</t>
  </si>
  <si>
    <t>Queens Legal Services</t>
  </si>
  <si>
    <t>Staten Island Legal Services</t>
  </si>
  <si>
    <t>Legal Support Unit</t>
  </si>
  <si>
    <t>Bronx Legal Services</t>
  </si>
  <si>
    <t>New York</t>
  </si>
  <si>
    <t>Richmond</t>
  </si>
  <si>
    <t>Bronx</t>
  </si>
  <si>
    <t>Kings</t>
  </si>
  <si>
    <t>Queens</t>
  </si>
  <si>
    <t>Passaic</t>
  </si>
  <si>
    <t>Middlesex</t>
  </si>
  <si>
    <t>Nassau</t>
  </si>
  <si>
    <t>Hudson</t>
  </si>
  <si>
    <t>Delaware</t>
  </si>
  <si>
    <t>Texas</t>
  </si>
  <si>
    <t>westchester</t>
  </si>
  <si>
    <t>Puerto Rico</t>
  </si>
  <si>
    <t>Cook</t>
  </si>
  <si>
    <t>ny</t>
  </si>
  <si>
    <t>Baltimore</t>
  </si>
  <si>
    <t>Essex</t>
  </si>
  <si>
    <t>Philadelphia</t>
  </si>
  <si>
    <t>Gaston</t>
  </si>
  <si>
    <t>Fairfield</t>
  </si>
  <si>
    <t>Brito, Victor</t>
  </si>
  <si>
    <t>Odoemene, Udoka</t>
  </si>
  <si>
    <t>Rosner, Julia</t>
  </si>
  <si>
    <t>Salk, Nicole</t>
  </si>
  <si>
    <t>Bedard, Nancy</t>
  </si>
  <si>
    <t>Wilkins, Amanda</t>
  </si>
  <si>
    <t>Dranoff, Sarah</t>
  </si>
  <si>
    <t>Lebron, Fernando</t>
  </si>
  <si>
    <t>Surette, Gibb</t>
  </si>
  <si>
    <t>Goldman, Caitlin</t>
  </si>
  <si>
    <t>Cook, Veronica</t>
  </si>
  <si>
    <t>Alba, Sarah</t>
  </si>
  <si>
    <t>Nacinovich, Anne</t>
  </si>
  <si>
    <t>Katz, Cindy</t>
  </si>
  <si>
    <t>Garcia, Alexandra</t>
  </si>
  <si>
    <t>Abrigo, Jose</t>
  </si>
  <si>
    <t>Elmore, Josh</t>
  </si>
  <si>
    <t>Schryver, Erik</t>
  </si>
  <si>
    <t>Bowman, Cathy</t>
  </si>
  <si>
    <t xml:space="preserve"> </t>
  </si>
  <si>
    <t>No</t>
  </si>
  <si>
    <t>Yes</t>
  </si>
  <si>
    <t>06/28/2019</t>
  </si>
  <si>
    <t>06/27/2019</t>
  </si>
  <si>
    <t>06/25/2019</t>
  </si>
  <si>
    <t>06/24/2019</t>
  </si>
  <si>
    <t>06/20/2019</t>
  </si>
  <si>
    <t>06/17/2019</t>
  </si>
  <si>
    <t>06/13/2019</t>
  </si>
  <si>
    <t>06/12/2019</t>
  </si>
  <si>
    <t>06/07/2019</t>
  </si>
  <si>
    <t>06/06/2019</t>
  </si>
  <si>
    <t>06/05/2019</t>
  </si>
  <si>
    <t>06/04/2019</t>
  </si>
  <si>
    <t>06/03/2019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</si>
  <si>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</si>
  <si>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</si>
  <si>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</si>
  <si>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</si>
  <si>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</si>
  <si>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</si>
  <si>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</si>
  <si>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</si>
  <si>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05/17/2019</t>
  </si>
  <si>
    <t>05/16/2019</t>
  </si>
  <si>
    <t>05/15/2019</t>
  </si>
  <si>
    <t>05/14/2019</t>
  </si>
  <si>
    <t>05/13/2019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</si>
  <si>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</si>
  <si>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</si>
  <si>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</si>
  <si>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</si>
  <si>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</si>
  <si>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</si>
  <si>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</si>
  <si>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</si>
  <si>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04/30/2019</t>
  </si>
  <si>
    <t>04/29/2019</t>
  </si>
  <si>
    <t>04/26/2019</t>
  </si>
  <si>
    <t>04/24/2019</t>
  </si>
  <si>
    <t>04/23/2019</t>
  </si>
  <si>
    <t>04/22/2019</t>
  </si>
  <si>
    <t>04/19/2019</t>
  </si>
  <si>
    <t>04/18/2019</t>
  </si>
  <si>
    <t>04/17/2019</t>
  </si>
  <si>
    <t>04/16/2019</t>
  </si>
  <si>
    <t>04/15/2019</t>
  </si>
  <si>
    <t>04/11/2019</t>
  </si>
  <si>
    <t>04/10/2019</t>
  </si>
  <si>
    <t>04/09/2019</t>
  </si>
  <si>
    <t>04/08/2019</t>
  </si>
  <si>
    <t>04/05/2019</t>
  </si>
  <si>
    <t>04/04/2019</t>
  </si>
  <si>
    <t>04/02/2019</t>
  </si>
  <si>
    <t>04/01/2019</t>
  </si>
  <si>
    <t>03/28/2019</t>
  </si>
  <si>
    <t>03/27/2019</t>
  </si>
  <si>
    <t>03/25/2019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</si>
  <si>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</si>
  <si>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</si>
  <si>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</si>
  <si>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</si>
  <si>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</si>
  <si>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</si>
  <si>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</si>
  <si>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03/12/2019</t>
  </si>
  <si>
    <t>03/11/2019</t>
  </si>
  <si>
    <t>03/08/2019</t>
  </si>
  <si>
    <t>03/07/2019</t>
  </si>
  <si>
    <t>03/06/2019</t>
  </si>
  <si>
    <t>03/05/2019</t>
  </si>
  <si>
    <t>03/04/2019</t>
  </si>
  <si>
    <t>03/01/2019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</si>
  <si>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</si>
  <si>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</si>
  <si>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</si>
  <si>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</si>
  <si>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</si>
  <si>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</si>
  <si>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</si>
  <si>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</si>
  <si>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</si>
  <si>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</si>
  <si>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02/11/2019</t>
  </si>
  <si>
    <t>02/08/2019</t>
  </si>
  <si>
    <t>02/07/2019</t>
  </si>
  <si>
    <t>02/06/2019</t>
  </si>
  <si>
    <t>02/05/2019</t>
  </si>
  <si>
    <t>02/04/2019</t>
  </si>
  <si>
    <t>02/01/2019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</si>
  <si>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</si>
  <si>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</si>
  <si>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</si>
  <si>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</si>
  <si>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</si>
  <si>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</si>
  <si>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</si>
  <si>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</si>
  <si>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</si>
  <si>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</si>
  <si>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</si>
  <si>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</si>
  <si>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</si>
  <si>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</si>
  <si>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</si>
  <si>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01/08/2019</t>
  </si>
  <si>
    <t>01/07/2019</t>
  </si>
  <si>
    <t>01/04/2019</t>
  </si>
  <si>
    <t>01/03/2019</t>
  </si>
  <si>
    <t>01/02/2019</t>
  </si>
  <si>
    <t>12/31/2018</t>
  </si>
  <si>
    <t>12/28/2018</t>
  </si>
  <si>
    <t>12/27/2018</t>
  </si>
  <si>
    <t>12/26/2018</t>
  </si>
  <si>
    <t>12/21/2018</t>
  </si>
  <si>
    <t>12/19/2018</t>
  </si>
  <si>
    <t>12/18/2018</t>
  </si>
  <si>
    <t>12/17/2018</t>
  </si>
  <si>
    <t>12/14/2018</t>
  </si>
  <si>
    <t>12/13/2018</t>
  </si>
  <si>
    <t>12/10/2018</t>
  </si>
  <si>
    <t>12/07/2018</t>
  </si>
  <si>
    <t>12/04/2018</t>
  </si>
  <si>
    <t>12/03/2018</t>
  </si>
  <si>
    <t>11/30/2018</t>
  </si>
  <si>
    <t>11/29/2018</t>
  </si>
  <si>
    <t>11/28/2018</t>
  </si>
  <si>
    <t>11/27/2018</t>
  </si>
  <si>
    <t>11/26/2018</t>
  </si>
  <si>
    <t>11/21/2018</t>
  </si>
  <si>
    <t>11/20/2018</t>
  </si>
  <si>
    <t>11/19/2018</t>
  </si>
  <si>
    <t>11/15/2018</t>
  </si>
  <si>
    <t>11/14/2018</t>
  </si>
  <si>
    <t>11/13/2018</t>
  </si>
  <si>
    <t>11/09/2018</t>
  </si>
  <si>
    <t>11/08/2018</t>
  </si>
  <si>
    <t>11/07/2018</t>
  </si>
  <si>
    <t>11/05/2018</t>
  </si>
  <si>
    <t>10/31/2018</t>
  </si>
  <si>
    <t>10/30/2018</t>
  </si>
  <si>
    <t>10/29/2018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</si>
  <si>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</si>
  <si>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</si>
  <si>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</si>
  <si>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</si>
  <si>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</si>
  <si>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</si>
  <si>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</si>
  <si>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</si>
  <si>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</si>
  <si>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10/12/2018</t>
  </si>
  <si>
    <t>10/11/2018</t>
  </si>
  <si>
    <t>10/05/2018</t>
  </si>
  <si>
    <t>10/04/2018</t>
  </si>
  <si>
    <t>10/03/2018</t>
  </si>
  <si>
    <t>10/02/2018</t>
  </si>
  <si>
    <t>09/28/2018</t>
  </si>
  <si>
    <t>09/27/2018</t>
  </si>
  <si>
    <t>09/25/2018</t>
  </si>
  <si>
    <t>09/24/2018</t>
  </si>
  <si>
    <t>09/21/2018</t>
  </si>
  <si>
    <t>09/20/2018</t>
  </si>
  <si>
    <t>09/19/2018</t>
  </si>
  <si>
    <t>09/17/2018</t>
  </si>
  <si>
    <t>09/14/2018</t>
  </si>
  <si>
    <t>09/13/2018</t>
  </si>
  <si>
    <t>09/12/2018</t>
  </si>
  <si>
    <t>09/11/2018</t>
  </si>
  <si>
    <t>09/10/2018</t>
  </si>
  <si>
    <t>09/07/2018</t>
  </si>
  <si>
    <t>09/06/2018</t>
  </si>
  <si>
    <t>09/05/2018</t>
  </si>
  <si>
    <t>08/31/2018</t>
  </si>
  <si>
    <t>08/30/2018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</si>
  <si>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</si>
  <si>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</si>
  <si>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</si>
  <si>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</si>
  <si>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</si>
  <si>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</si>
  <si>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</si>
  <si>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</si>
  <si>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</si>
  <si>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</si>
  <si>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</si>
  <si>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08/09/2018</t>
  </si>
  <si>
    <t>08/06/2018</t>
  </si>
  <si>
    <t>07/31/2018</t>
  </si>
  <si>
    <t>07/27/2018</t>
  </si>
  <si>
    <t>07/24/2018</t>
  </si>
  <si>
    <t>07/18/2018</t>
  </si>
  <si>
    <t>07/10/2018</t>
  </si>
  <si>
    <t>07/09/2018</t>
  </si>
  <si>
    <t>07/06/2018</t>
  </si>
  <si>
    <t>06/19/2018</t>
  </si>
  <si>
    <t>05/09/2018</t>
  </si>
  <si>
    <t>12/27/2017</t>
  </si>
  <si>
    <t>07/02/2019</t>
  </si>
  <si>
    <t>07/10/2019</t>
  </si>
  <si>
    <t>06/18/2019</t>
  </si>
  <si>
    <t>07/08/2019</t>
  </si>
  <si>
    <t>07/03/2019</t>
  </si>
  <si>
    <t>07/05/2019</t>
  </si>
  <si>
    <t>08/13/2019</t>
  </si>
  <si>
    <t>07/09/2019</t>
  </si>
  <si>
    <t>07/25/2019</t>
  </si>
  <si>
    <t>06/10/2019</t>
  </si>
  <si>
    <t>06/19/2019</t>
  </si>
  <si>
    <t>08/07/2019</t>
  </si>
  <si>
    <t>07/24/2019</t>
  </si>
  <si>
    <t>06/14/2019</t>
  </si>
  <si>
    <t>07/11/2019</t>
  </si>
  <si>
    <t>04/25/2019</t>
  </si>
  <si>
    <t>04/03/2019</t>
  </si>
  <si>
    <t>07/01/2019</t>
  </si>
  <si>
    <t>04/12/2019</t>
  </si>
  <si>
    <t>05/20/2019</t>
  </si>
  <si>
    <t>07/23/2019</t>
  </si>
  <si>
    <t>03/26/2019</t>
  </si>
  <si>
    <t>08/06/2019</t>
  </si>
  <si>
    <t>03/22/2019</t>
  </si>
  <si>
    <t>02/13/2019</t>
  </si>
  <si>
    <t>03/29/2019</t>
  </si>
  <si>
    <t>12/20/2018</t>
  </si>
  <si>
    <t>11/16/2018</t>
  </si>
  <si>
    <t>12/12/2018</t>
  </si>
  <si>
    <t>10/26/2018</t>
  </si>
  <si>
    <t>12/05/2018</t>
  </si>
  <si>
    <t>10/09/2018</t>
  </si>
  <si>
    <t>10/01/2018</t>
  </si>
  <si>
    <t>10/10/2018</t>
  </si>
  <si>
    <t>08/29/2018</t>
  </si>
  <si>
    <t>09/04/2018</t>
  </si>
  <si>
    <t>12/24/2018</t>
  </si>
  <si>
    <t>3474 IOI Employment</t>
  </si>
  <si>
    <t>2157 OCA-City-wide Civil Legal Services Grant</t>
  </si>
  <si>
    <t>5221 SSUSA-Single Stop USA</t>
  </si>
  <si>
    <t>3020 CLS-Civil Legal Services</t>
  </si>
  <si>
    <t>70-79 Income Maintenance</t>
  </si>
  <si>
    <t>20-29 Employment</t>
  </si>
  <si>
    <t>90-99 Misc</t>
  </si>
  <si>
    <t>80-89 Individual Rights</t>
  </si>
  <si>
    <t>Female</t>
  </si>
  <si>
    <t>Male</t>
  </si>
  <si>
    <t>Something Else</t>
  </si>
  <si>
    <t>Prefer Not To Say</t>
  </si>
  <si>
    <t>76 Unemployment Compensation</t>
  </si>
  <si>
    <t>22 Wage Claims and Other FLSA Issues</t>
  </si>
  <si>
    <t>29 Other Employment</t>
  </si>
  <si>
    <t>93 Licenses (Drivers, Occupational, and Others)</t>
  </si>
  <si>
    <t>25 Employee Rights</t>
  </si>
  <si>
    <t>21 Employment Discrimination</t>
  </si>
  <si>
    <t>85 Civil Rights</t>
  </si>
  <si>
    <t>760 Unemployment Compensation</t>
  </si>
  <si>
    <t>930 Licenses (Auto &amp; Other)</t>
  </si>
  <si>
    <t>29-1 Sick Days, 29-2 Other Employment</t>
  </si>
  <si>
    <t>22-1 Wage/Hour (Minimum Wage)</t>
  </si>
  <si>
    <t>29-4 NLRA</t>
  </si>
  <si>
    <t>29-2 Other Employment</t>
  </si>
  <si>
    <t>213 Disability Discrimination</t>
  </si>
  <si>
    <t>220 Wage/Hour Claims, 293 - Family Medical Leave Act</t>
  </si>
  <si>
    <t>21-13 Discrimination (Other)</t>
  </si>
  <si>
    <t>217 Religious Discrimination</t>
  </si>
  <si>
    <t>214 Age Discrimination</t>
  </si>
  <si>
    <t>294 Criminal History</t>
  </si>
  <si>
    <t>211 Race/Color Discrimination</t>
  </si>
  <si>
    <t>22-2 Wage/Hour (Overtime)</t>
  </si>
  <si>
    <t>220 Wage/Hour Claims</t>
  </si>
  <si>
    <t>215 National Origin Discrimination</t>
  </si>
  <si>
    <t>21-14 Retaliation (Discrimination)</t>
  </si>
  <si>
    <t>216 Marital Status Discrimination</t>
  </si>
  <si>
    <t>21-14 Retaliation (Discrimination), 214 Age Discrimination</t>
  </si>
  <si>
    <t>21-14 Retaliation (Discrimination), 212 Gender Discrimination</t>
  </si>
  <si>
    <t>291 Pensions/Benefits</t>
  </si>
  <si>
    <t>21-10 Discrimination (Gender Identity)</t>
  </si>
  <si>
    <t>29-1 Sick Days</t>
  </si>
  <si>
    <t>218 Sexual Harassment</t>
  </si>
  <si>
    <t>212 Gender Discrimination</t>
  </si>
  <si>
    <t>22-6 Misclassification</t>
  </si>
  <si>
    <t>English</t>
  </si>
  <si>
    <t>French</t>
  </si>
  <si>
    <t>Spanish</t>
  </si>
  <si>
    <t>Russian</t>
  </si>
  <si>
    <t>Italian</t>
  </si>
  <si>
    <t>Panjabi</t>
  </si>
  <si>
    <t>Dutch</t>
  </si>
  <si>
    <t>Mandarin</t>
  </si>
  <si>
    <t>Finnish</t>
  </si>
  <si>
    <t>Maria</t>
  </si>
  <si>
    <t>Starr</t>
  </si>
  <si>
    <t>Ramon</t>
  </si>
  <si>
    <t>Cornell</t>
  </si>
  <si>
    <t>Ferzana</t>
  </si>
  <si>
    <t>Odia</t>
  </si>
  <si>
    <t>Catarlton</t>
  </si>
  <si>
    <t>Pamela</t>
  </si>
  <si>
    <t>Nathanael</t>
  </si>
  <si>
    <t>Hilario</t>
  </si>
  <si>
    <t>Andre</t>
  </si>
  <si>
    <t>Fredy</t>
  </si>
  <si>
    <t>Regina</t>
  </si>
  <si>
    <t>Casimiro</t>
  </si>
  <si>
    <t>Eboney</t>
  </si>
  <si>
    <t>Daniel</t>
  </si>
  <si>
    <t>Halana</t>
  </si>
  <si>
    <t>Sheila</t>
  </si>
  <si>
    <t>Teresa</t>
  </si>
  <si>
    <t>Gary</t>
  </si>
  <si>
    <t>Gabriel</t>
  </si>
  <si>
    <t>Rameses</t>
  </si>
  <si>
    <t>Kathy</t>
  </si>
  <si>
    <t>Arkies</t>
  </si>
  <si>
    <t>William</t>
  </si>
  <si>
    <t>RONALD</t>
  </si>
  <si>
    <t>Sonya</t>
  </si>
  <si>
    <t>Malinda</t>
  </si>
  <si>
    <t>Precious</t>
  </si>
  <si>
    <t>Michael</t>
  </si>
  <si>
    <t>Marie</t>
  </si>
  <si>
    <t>Coleen</t>
  </si>
  <si>
    <t>Massiel</t>
  </si>
  <si>
    <t>Luceilinn</t>
  </si>
  <si>
    <t>Jose</t>
  </si>
  <si>
    <t>Trevel</t>
  </si>
  <si>
    <t>Mahamadou</t>
  </si>
  <si>
    <t>Peter</t>
  </si>
  <si>
    <t>Lydia</t>
  </si>
  <si>
    <t>Anthony</t>
  </si>
  <si>
    <t>Wanda</t>
  </si>
  <si>
    <t>Michel</t>
  </si>
  <si>
    <t>David</t>
  </si>
  <si>
    <t>Sadia</t>
  </si>
  <si>
    <t>Zabe</t>
  </si>
  <si>
    <t>Kenson</t>
  </si>
  <si>
    <t>Ginette</t>
  </si>
  <si>
    <t>Isaiah</t>
  </si>
  <si>
    <t>Sonia</t>
  </si>
  <si>
    <t>Madeline</t>
  </si>
  <si>
    <t>Paula</t>
  </si>
  <si>
    <t>Dawn</t>
  </si>
  <si>
    <t>Laura</t>
  </si>
  <si>
    <t>Jefferson</t>
  </si>
  <si>
    <t>Amina</t>
  </si>
  <si>
    <t>Ronson</t>
  </si>
  <si>
    <t>Sunardaye</t>
  </si>
  <si>
    <t>Joshua</t>
  </si>
  <si>
    <t>Cynthia</t>
  </si>
  <si>
    <t>DAniel</t>
  </si>
  <si>
    <t>Millard</t>
  </si>
  <si>
    <t>Shaina</t>
  </si>
  <si>
    <t>Christian</t>
  </si>
  <si>
    <t>Katherine</t>
  </si>
  <si>
    <t>Janet</t>
  </si>
  <si>
    <t>Aesha</t>
  </si>
  <si>
    <t>Amirah</t>
  </si>
  <si>
    <t>Keila</t>
  </si>
  <si>
    <t>Marisol</t>
  </si>
  <si>
    <t>Alma</t>
  </si>
  <si>
    <t>Idalis</t>
  </si>
  <si>
    <t>Mageedah</t>
  </si>
  <si>
    <t>Mesha</t>
  </si>
  <si>
    <t>Misbah</t>
  </si>
  <si>
    <t>Liz</t>
  </si>
  <si>
    <t>Ebony</t>
  </si>
  <si>
    <t>Medgine</t>
  </si>
  <si>
    <t>Himat</t>
  </si>
  <si>
    <t>Afeez</t>
  </si>
  <si>
    <t>Veronica</t>
  </si>
  <si>
    <t>Claudine</t>
  </si>
  <si>
    <t>Surayyo</t>
  </si>
  <si>
    <t>Denise</t>
  </si>
  <si>
    <t>Kenneth</t>
  </si>
  <si>
    <t>Freddy</t>
  </si>
  <si>
    <t>Monique</t>
  </si>
  <si>
    <t>ANGELLA</t>
  </si>
  <si>
    <t>Megan</t>
  </si>
  <si>
    <t>Natasha</t>
  </si>
  <si>
    <t>Eustaquio</t>
  </si>
  <si>
    <t>Selina</t>
  </si>
  <si>
    <t>Lynda</t>
  </si>
  <si>
    <t>Jovanna</t>
  </si>
  <si>
    <t>Mauricio</t>
  </si>
  <si>
    <t>Merab</t>
  </si>
  <si>
    <t>Steffon</t>
  </si>
  <si>
    <t>Adiyemi</t>
  </si>
  <si>
    <t>Susan</t>
  </si>
  <si>
    <t>Carlos</t>
  </si>
  <si>
    <t>Lesley</t>
  </si>
  <si>
    <t>Ashanti</t>
  </si>
  <si>
    <t>Shakena</t>
  </si>
  <si>
    <t>Mikhail</t>
  </si>
  <si>
    <t>Towanda</t>
  </si>
  <si>
    <t>Sami</t>
  </si>
  <si>
    <t>Herbert</t>
  </si>
  <si>
    <t>Naquan</t>
  </si>
  <si>
    <t>Barbara</t>
  </si>
  <si>
    <t>Omari</t>
  </si>
  <si>
    <t>Ryheem</t>
  </si>
  <si>
    <t>Ulani</t>
  </si>
  <si>
    <t>Dieudila</t>
  </si>
  <si>
    <t>Melika</t>
  </si>
  <si>
    <t>Mary</t>
  </si>
  <si>
    <t>Tyhesia</t>
  </si>
  <si>
    <t>Mark</t>
  </si>
  <si>
    <t>Leisha</t>
  </si>
  <si>
    <t>Brandon</t>
  </si>
  <si>
    <t>Raul</t>
  </si>
  <si>
    <t>Marina</t>
  </si>
  <si>
    <t>Jeannie</t>
  </si>
  <si>
    <t>Justin</t>
  </si>
  <si>
    <t>Crystal</t>
  </si>
  <si>
    <t>Spencer</t>
  </si>
  <si>
    <t>Alberto</t>
  </si>
  <si>
    <t>Gonzalo</t>
  </si>
  <si>
    <t>Ivonne</t>
  </si>
  <si>
    <t>Erik</t>
  </si>
  <si>
    <t>Kailou</t>
  </si>
  <si>
    <t>Anaise</t>
  </si>
  <si>
    <t>Morgan</t>
  </si>
  <si>
    <t>Diane</t>
  </si>
  <si>
    <t>Kelly</t>
  </si>
  <si>
    <t>Bruce</t>
  </si>
  <si>
    <t>Eugene</t>
  </si>
  <si>
    <t>Jonathan</t>
  </si>
  <si>
    <t>Meckann</t>
  </si>
  <si>
    <t>Pankil</t>
  </si>
  <si>
    <t>Claire</t>
  </si>
  <si>
    <t>Maxi</t>
  </si>
  <si>
    <t>Jason</t>
  </si>
  <si>
    <t>Angela</t>
  </si>
  <si>
    <t>Wendi</t>
  </si>
  <si>
    <t>Paul</t>
  </si>
  <si>
    <t>Desrine</t>
  </si>
  <si>
    <t>Melisa</t>
  </si>
  <si>
    <t>Raymond</t>
  </si>
  <si>
    <t>Rosemonde</t>
  </si>
  <si>
    <t>Seung</t>
  </si>
  <si>
    <t>Omayra</t>
  </si>
  <si>
    <t>Tesha</t>
  </si>
  <si>
    <t>Julio</t>
  </si>
  <si>
    <t>Carmen</t>
  </si>
  <si>
    <t>Hanna</t>
  </si>
  <si>
    <t>Dominga</t>
  </si>
  <si>
    <t>James</t>
  </si>
  <si>
    <t>Nana</t>
  </si>
  <si>
    <t>Lakeish</t>
  </si>
  <si>
    <t>Emmanuel</t>
  </si>
  <si>
    <t>Victor</t>
  </si>
  <si>
    <t>Papa</t>
  </si>
  <si>
    <t>Linda</t>
  </si>
  <si>
    <t>Lisa</t>
  </si>
  <si>
    <t>Rocco</t>
  </si>
  <si>
    <t>Anna</t>
  </si>
  <si>
    <t>Annette</t>
  </si>
  <si>
    <t>Yunli</t>
  </si>
  <si>
    <t>Don</t>
  </si>
  <si>
    <t>Wendy</t>
  </si>
  <si>
    <t>Shomari</t>
  </si>
  <si>
    <t>Leocadio</t>
  </si>
  <si>
    <t>Triton</t>
  </si>
  <si>
    <t>Sobirjon</t>
  </si>
  <si>
    <t>Stefen</t>
  </si>
  <si>
    <t>Cordell</t>
  </si>
  <si>
    <t>Evelyn</t>
  </si>
  <si>
    <t>Delcita</t>
  </si>
  <si>
    <t>Kiesha</t>
  </si>
  <si>
    <t>Katrina</t>
  </si>
  <si>
    <t>Angel</t>
  </si>
  <si>
    <t>Diana</t>
  </si>
  <si>
    <t>Julia</t>
  </si>
  <si>
    <t>Bejahda</t>
  </si>
  <si>
    <t>Carmelita</t>
  </si>
  <si>
    <t>Jinell</t>
  </si>
  <si>
    <t>Humberto</t>
  </si>
  <si>
    <t>Warren</t>
  </si>
  <si>
    <t>Sharnay</t>
  </si>
  <si>
    <t>Elijah</t>
  </si>
  <si>
    <t>Gabrielle</t>
  </si>
  <si>
    <t>Oksana</t>
  </si>
  <si>
    <t>Shawna</t>
  </si>
  <si>
    <t>Ana</t>
  </si>
  <si>
    <t>Sophonia</t>
  </si>
  <si>
    <t>Weston</t>
  </si>
  <si>
    <t>Lorraine</t>
  </si>
  <si>
    <t>Sondia</t>
  </si>
  <si>
    <t>Fay</t>
  </si>
  <si>
    <t>Gladys</t>
  </si>
  <si>
    <t>Trammel</t>
  </si>
  <si>
    <t>Walter</t>
  </si>
  <si>
    <t>Leopoldo</t>
  </si>
  <si>
    <t>Sarah</t>
  </si>
  <si>
    <t>Asberth</t>
  </si>
  <si>
    <t>Nolberto</t>
  </si>
  <si>
    <t>Carol</t>
  </si>
  <si>
    <t>Moraima</t>
  </si>
  <si>
    <t>Yue</t>
  </si>
  <si>
    <t>Giovanni</t>
  </si>
  <si>
    <t>Elzbieta</t>
  </si>
  <si>
    <t>Boris</t>
  </si>
  <si>
    <t>Vednandre</t>
  </si>
  <si>
    <t>Vance</t>
  </si>
  <si>
    <t>Janice</t>
  </si>
  <si>
    <t>Hadassaa</t>
  </si>
  <si>
    <t>Martha</t>
  </si>
  <si>
    <t>Alison</t>
  </si>
  <si>
    <t>Stephen</t>
  </si>
  <si>
    <t>Noelle</t>
  </si>
  <si>
    <t>Janine</t>
  </si>
  <si>
    <t>Alexandra</t>
  </si>
  <si>
    <t>Lattasha</t>
  </si>
  <si>
    <t>Jennifer</t>
  </si>
  <si>
    <t>Elizabeth</t>
  </si>
  <si>
    <t>Zhen</t>
  </si>
  <si>
    <t>Philip</t>
  </si>
  <si>
    <t>Josiah​</t>
  </si>
  <si>
    <t>Nohemi</t>
  </si>
  <si>
    <t>Mei</t>
  </si>
  <si>
    <t>Samantha</t>
  </si>
  <si>
    <t>Gregory</t>
  </si>
  <si>
    <t>Bella</t>
  </si>
  <si>
    <t>Michelle</t>
  </si>
  <si>
    <t>Argentina</t>
  </si>
  <si>
    <t>Denia</t>
  </si>
  <si>
    <t>Katiana</t>
  </si>
  <si>
    <t>Luis</t>
  </si>
  <si>
    <t>Erica</t>
  </si>
  <si>
    <t>Rafiah</t>
  </si>
  <si>
    <t>Clifford</t>
  </si>
  <si>
    <t>Charlina</t>
  </si>
  <si>
    <t>Wayne</t>
  </si>
  <si>
    <t>Tatiana</t>
  </si>
  <si>
    <t>Rafael</t>
  </si>
  <si>
    <t>Zulfiya</t>
  </si>
  <si>
    <t>Nicole</t>
  </si>
  <si>
    <t>Vincent</t>
  </si>
  <si>
    <t>Federica</t>
  </si>
  <si>
    <t>Morris</t>
  </si>
  <si>
    <t>Sashawni</t>
  </si>
  <si>
    <t>Kobi</t>
  </si>
  <si>
    <t>Dilshad</t>
  </si>
  <si>
    <t>Ariella</t>
  </si>
  <si>
    <t>Danielle</t>
  </si>
  <si>
    <t>Juneka</t>
  </si>
  <si>
    <t>Julie</t>
  </si>
  <si>
    <t>Patricia</t>
  </si>
  <si>
    <t>Juan</t>
  </si>
  <si>
    <t>Timothy</t>
  </si>
  <si>
    <t>Mallie</t>
  </si>
  <si>
    <t>Erminio</t>
  </si>
  <si>
    <t>Donte</t>
  </si>
  <si>
    <t>Stephanie</t>
  </si>
  <si>
    <t>Douglas</t>
  </si>
  <si>
    <t>Reimy</t>
  </si>
  <si>
    <t>Evadney</t>
  </si>
  <si>
    <t>Wei Long</t>
  </si>
  <si>
    <t>Dara</t>
  </si>
  <si>
    <t>Elena</t>
  </si>
  <si>
    <t>Sajada</t>
  </si>
  <si>
    <t>Racio</t>
  </si>
  <si>
    <t>Yamileth</t>
  </si>
  <si>
    <t>Renato</t>
  </si>
  <si>
    <t>Eric</t>
  </si>
  <si>
    <t>Leslie</t>
  </si>
  <si>
    <t>Keroles</t>
  </si>
  <si>
    <t>Olga</t>
  </si>
  <si>
    <t>Nelson</t>
  </si>
  <si>
    <t>Wideling</t>
  </si>
  <si>
    <t>Shanee</t>
  </si>
  <si>
    <t>Kieram</t>
  </si>
  <si>
    <t>Adiles</t>
  </si>
  <si>
    <t>Grilie</t>
  </si>
  <si>
    <t>Stace-Ann</t>
  </si>
  <si>
    <t>Aida</t>
  </si>
  <si>
    <t>Tamela</t>
  </si>
  <si>
    <t>Randy</t>
  </si>
  <si>
    <t>Sheena</t>
  </si>
  <si>
    <t>Teodoro</t>
  </si>
  <si>
    <t>Elwood</t>
  </si>
  <si>
    <t>Maribel</t>
  </si>
  <si>
    <t>Edward</t>
  </si>
  <si>
    <t>Necilynn</t>
  </si>
  <si>
    <t>Evgeny</t>
  </si>
  <si>
    <t>Joseph</t>
  </si>
  <si>
    <t>Robert</t>
  </si>
  <si>
    <t>Wilbert</t>
  </si>
  <si>
    <t>Lavette</t>
  </si>
  <si>
    <t>Arthur</t>
  </si>
  <si>
    <t>Estenio</t>
  </si>
  <si>
    <t>Carl</t>
  </si>
  <si>
    <t>Janegila</t>
  </si>
  <si>
    <t>Garrick</t>
  </si>
  <si>
    <t>Chanel</t>
  </si>
  <si>
    <t>George</t>
  </si>
  <si>
    <t>Marcel</t>
  </si>
  <si>
    <t>Novlin</t>
  </si>
  <si>
    <t>Martin</t>
  </si>
  <si>
    <t>Ella</t>
  </si>
  <si>
    <t>Shannon</t>
  </si>
  <si>
    <t>Myrtho</t>
  </si>
  <si>
    <t>Colin</t>
  </si>
  <si>
    <t>Jaya</t>
  </si>
  <si>
    <t>Aldolfo</t>
  </si>
  <si>
    <t>Yvane</t>
  </si>
  <si>
    <t>Gerard</t>
  </si>
  <si>
    <t>Charles</t>
  </si>
  <si>
    <t>Byron</t>
  </si>
  <si>
    <t>Ozden</t>
  </si>
  <si>
    <t>Loubine</t>
  </si>
  <si>
    <t>Nyeisha</t>
  </si>
  <si>
    <t>Gem</t>
  </si>
  <si>
    <t>Roberto</t>
  </si>
  <si>
    <t>Alina</t>
  </si>
  <si>
    <t>Jasmine</t>
  </si>
  <si>
    <t>Sheyleth</t>
  </si>
  <si>
    <t>Mile</t>
  </si>
  <si>
    <t>Billy</t>
  </si>
  <si>
    <t>Georgina</t>
  </si>
  <si>
    <t>Ruben</t>
  </si>
  <si>
    <t>Tobias</t>
  </si>
  <si>
    <t>Alicia</t>
  </si>
  <si>
    <t>Uriel</t>
  </si>
  <si>
    <t>Elaine</t>
  </si>
  <si>
    <t>Jeanfran</t>
  </si>
  <si>
    <t>Jade</t>
  </si>
  <si>
    <t>Dwight</t>
  </si>
  <si>
    <t>Octayvia</t>
  </si>
  <si>
    <t>Quincy</t>
  </si>
  <si>
    <t>Menard</t>
  </si>
  <si>
    <t>Ruslan</t>
  </si>
  <si>
    <t>John</t>
  </si>
  <si>
    <t>Shaunor</t>
  </si>
  <si>
    <t>Emel</t>
  </si>
  <si>
    <t>Zhanna</t>
  </si>
  <si>
    <t>Emely</t>
  </si>
  <si>
    <t>Esther</t>
  </si>
  <si>
    <t>Fatoumata</t>
  </si>
  <si>
    <t>Ludmila</t>
  </si>
  <si>
    <t>Kecia</t>
  </si>
  <si>
    <t>Rebecca</t>
  </si>
  <si>
    <t>Brian</t>
  </si>
  <si>
    <t>Keith</t>
  </si>
  <si>
    <t>Keisha</t>
  </si>
  <si>
    <t>Saad</t>
  </si>
  <si>
    <t>Ryan</t>
  </si>
  <si>
    <t>Guadalupe</t>
  </si>
  <si>
    <t>Cassandra</t>
  </si>
  <si>
    <t>Richrad</t>
  </si>
  <si>
    <t>Karim</t>
  </si>
  <si>
    <t>Derrick</t>
  </si>
  <si>
    <t>Duane</t>
  </si>
  <si>
    <t>Myrlene</t>
  </si>
  <si>
    <t>Kate</t>
  </si>
  <si>
    <t>Edwin</t>
  </si>
  <si>
    <t>Ted</t>
  </si>
  <si>
    <t>Josefa</t>
  </si>
  <si>
    <t>Oneida</t>
  </si>
  <si>
    <t>Kevin</t>
  </si>
  <si>
    <t>Dawnta</t>
  </si>
  <si>
    <t>Sharmin</t>
  </si>
  <si>
    <t>Logan</t>
  </si>
  <si>
    <t>Lamar</t>
  </si>
  <si>
    <t>Destiny</t>
  </si>
  <si>
    <t>Sajid</t>
  </si>
  <si>
    <t>Nigel</t>
  </si>
  <si>
    <t>Soheil</t>
  </si>
  <si>
    <t>Bernadette</t>
  </si>
  <si>
    <t>Antonie</t>
  </si>
  <si>
    <t>Gregorios</t>
  </si>
  <si>
    <t>Cherise</t>
  </si>
  <si>
    <t>Arnold</t>
  </si>
  <si>
    <t>Howard</t>
  </si>
  <si>
    <t>Delva</t>
  </si>
  <si>
    <t>Marvin</t>
  </si>
  <si>
    <t>Sangeeta</t>
  </si>
  <si>
    <t>Alfredo</t>
  </si>
  <si>
    <t>Shontique</t>
  </si>
  <si>
    <t>Damar</t>
  </si>
  <si>
    <t>Althea</t>
  </si>
  <si>
    <t>Gladwin</t>
  </si>
  <si>
    <t>Sandra</t>
  </si>
  <si>
    <t>Josefina</t>
  </si>
  <si>
    <t>Gul</t>
  </si>
  <si>
    <t>Thomas</t>
  </si>
  <si>
    <t>Naim</t>
  </si>
  <si>
    <t>Nakeda</t>
  </si>
  <si>
    <t>Paulette</t>
  </si>
  <si>
    <t>Jodi</t>
  </si>
  <si>
    <t>Ida</t>
  </si>
  <si>
    <t>Vincente</t>
  </si>
  <si>
    <t>Saira</t>
  </si>
  <si>
    <t>Mahnav</t>
  </si>
  <si>
    <t>Roxanne</t>
  </si>
  <si>
    <t>Hilaria</t>
  </si>
  <si>
    <t>Nashon</t>
  </si>
  <si>
    <t>Rodrigo</t>
  </si>
  <si>
    <t>Christopher</t>
  </si>
  <si>
    <t>Cristina</t>
  </si>
  <si>
    <t>Ayodel</t>
  </si>
  <si>
    <t>Cesar</t>
  </si>
  <si>
    <t>DeJesus</t>
  </si>
  <si>
    <t>Kirkland</t>
  </si>
  <si>
    <t>Cayetano</t>
  </si>
  <si>
    <t>Bundy</t>
  </si>
  <si>
    <t>Yasmin</t>
  </si>
  <si>
    <t>Kourouma</t>
  </si>
  <si>
    <t>Thompkins</t>
  </si>
  <si>
    <t>Hayes</t>
  </si>
  <si>
    <t>Demming</t>
  </si>
  <si>
    <t>Hernandez</t>
  </si>
  <si>
    <t>Ellerbe</t>
  </si>
  <si>
    <t>Marinez</t>
  </si>
  <si>
    <t>Khavina</t>
  </si>
  <si>
    <t>Burgos</t>
  </si>
  <si>
    <t>Mouzon</t>
  </si>
  <si>
    <t>McGraw</t>
  </si>
  <si>
    <t>Richardson</t>
  </si>
  <si>
    <t>Montes</t>
  </si>
  <si>
    <t>Mvunga</t>
  </si>
  <si>
    <t>Higgins</t>
  </si>
  <si>
    <t>Reboredo</t>
  </si>
  <si>
    <t>Smalls</t>
  </si>
  <si>
    <t>Romanelli</t>
  </si>
  <si>
    <t>Walker</t>
  </si>
  <si>
    <t>Lugo</t>
  </si>
  <si>
    <t>ROSS</t>
  </si>
  <si>
    <t>Johnson</t>
  </si>
  <si>
    <t>Shala</t>
  </si>
  <si>
    <t>Chiloloma</t>
  </si>
  <si>
    <t>McCray</t>
  </si>
  <si>
    <t>Crocco</t>
  </si>
  <si>
    <t>McCarthy</t>
  </si>
  <si>
    <t>Vargas</t>
  </si>
  <si>
    <t>Figueroa</t>
  </si>
  <si>
    <t>Nunez</t>
  </si>
  <si>
    <t>Smith</t>
  </si>
  <si>
    <t>Sylla</t>
  </si>
  <si>
    <t>Chang</t>
  </si>
  <si>
    <t>Campillo</t>
  </si>
  <si>
    <t>Elumeze</t>
  </si>
  <si>
    <t>Martinez</t>
  </si>
  <si>
    <t>Cauchi</t>
  </si>
  <si>
    <t>Forster</t>
  </si>
  <si>
    <t>Riaz</t>
  </si>
  <si>
    <t>Ahmed</t>
  </si>
  <si>
    <t>Oreilly</t>
  </si>
  <si>
    <t>Nkombe</t>
  </si>
  <si>
    <t>Moore</t>
  </si>
  <si>
    <t>Gonzalez</t>
  </si>
  <si>
    <t>Caban</t>
  </si>
  <si>
    <t>Billups</t>
  </si>
  <si>
    <t>Robbins</t>
  </si>
  <si>
    <t>Vera</t>
  </si>
  <si>
    <t>Perez</t>
  </si>
  <si>
    <t>Hamani</t>
  </si>
  <si>
    <t>Garcia</t>
  </si>
  <si>
    <t>Dadwah</t>
  </si>
  <si>
    <t>Singh-Ramkisson</t>
  </si>
  <si>
    <t>Sanchez</t>
  </si>
  <si>
    <t>Nunez Andino</t>
  </si>
  <si>
    <t>Hyland</t>
  </si>
  <si>
    <t>Bernes</t>
  </si>
  <si>
    <t>Brady</t>
  </si>
  <si>
    <t>Torres</t>
  </si>
  <si>
    <t>Meade</t>
  </si>
  <si>
    <t>Sukhnanan</t>
  </si>
  <si>
    <t>Elaktaa</t>
  </si>
  <si>
    <t>Akram</t>
  </si>
  <si>
    <t>Alvarado</t>
  </si>
  <si>
    <t>Castillo</t>
  </si>
  <si>
    <t>Akhtab</t>
  </si>
  <si>
    <t>Blackwood</t>
  </si>
  <si>
    <t>Evans</t>
  </si>
  <si>
    <t>King</t>
  </si>
  <si>
    <t>St. Phard</t>
  </si>
  <si>
    <t>Rivera</t>
  </si>
  <si>
    <t>Singh</t>
  </si>
  <si>
    <t>Ayinde</t>
  </si>
  <si>
    <t>Flores</t>
  </si>
  <si>
    <t>Roberts</t>
  </si>
  <si>
    <t>Lyubarova</t>
  </si>
  <si>
    <t>Shelly</t>
  </si>
  <si>
    <t>Osby</t>
  </si>
  <si>
    <t>Taveras</t>
  </si>
  <si>
    <t>Sayles</t>
  </si>
  <si>
    <t>JENKINS</t>
  </si>
  <si>
    <t>Barton</t>
  </si>
  <si>
    <t>Crawford</t>
  </si>
  <si>
    <t>Siri</t>
  </si>
  <si>
    <t>Situ</t>
  </si>
  <si>
    <t>Sastre</t>
  </si>
  <si>
    <t>Galan-Batista</t>
  </si>
  <si>
    <t>Stewart</t>
  </si>
  <si>
    <t>De Las Salas</t>
  </si>
  <si>
    <t>Rich</t>
  </si>
  <si>
    <t>Chacon</t>
  </si>
  <si>
    <t>Michaud</t>
  </si>
  <si>
    <t>Lewis</t>
  </si>
  <si>
    <t>Prowell</t>
  </si>
  <si>
    <t>Marquez</t>
  </si>
  <si>
    <t>Davidov</t>
  </si>
  <si>
    <t>Ortega</t>
  </si>
  <si>
    <t>Sewell</t>
  </si>
  <si>
    <t>Parker</t>
  </si>
  <si>
    <t>Kalinik</t>
  </si>
  <si>
    <t>Shine</t>
  </si>
  <si>
    <t>Dhaheri</t>
  </si>
  <si>
    <t>Herring</t>
  </si>
  <si>
    <t>Pettiway</t>
  </si>
  <si>
    <t>Fonseca</t>
  </si>
  <si>
    <t>Reed</t>
  </si>
  <si>
    <t>Priestley</t>
  </si>
  <si>
    <t>Amazan</t>
  </si>
  <si>
    <t>Arocho</t>
  </si>
  <si>
    <t>Best</t>
  </si>
  <si>
    <t>Gordon</t>
  </si>
  <si>
    <t>Roman</t>
  </si>
  <si>
    <t>Zapata</t>
  </si>
  <si>
    <t>Gontijo-Davis</t>
  </si>
  <si>
    <t>Valencia</t>
  </si>
  <si>
    <t>Scott</t>
  </si>
  <si>
    <t>Williams</t>
  </si>
  <si>
    <t>Jackson</t>
  </si>
  <si>
    <t>Machado</t>
  </si>
  <si>
    <t>Vidals</t>
  </si>
  <si>
    <t>Lopez</t>
  </si>
  <si>
    <t>Cuellar</t>
  </si>
  <si>
    <t>Kimba</t>
  </si>
  <si>
    <t>Fernandez</t>
  </si>
  <si>
    <t>Goold</t>
  </si>
  <si>
    <t>Coriglino</t>
  </si>
  <si>
    <t>Moran</t>
  </si>
  <si>
    <t>Davis</t>
  </si>
  <si>
    <t>Orr</t>
  </si>
  <si>
    <t>Sibblies</t>
  </si>
  <si>
    <t>Shah</t>
  </si>
  <si>
    <t>Germain</t>
  </si>
  <si>
    <t>Feliz</t>
  </si>
  <si>
    <t>Pineiro</t>
  </si>
  <si>
    <t>Saar</t>
  </si>
  <si>
    <t>Gueorguiev</t>
  </si>
  <si>
    <t>Oppenhenier</t>
  </si>
  <si>
    <t>Mahario-Keene</t>
  </si>
  <si>
    <t>Zioba</t>
  </si>
  <si>
    <t>Altamirano</t>
  </si>
  <si>
    <t>Mun</t>
  </si>
  <si>
    <t>Zimba</t>
  </si>
  <si>
    <t>Mangual</t>
  </si>
  <si>
    <t>Quian</t>
  </si>
  <si>
    <t>Dixon</t>
  </si>
  <si>
    <t>Hippner-Wasilewski</t>
  </si>
  <si>
    <t>Barnes</t>
  </si>
  <si>
    <t>Osei-Tutu</t>
  </si>
  <si>
    <t>Meza</t>
  </si>
  <si>
    <t>St. Remy</t>
  </si>
  <si>
    <t>Funaro</t>
  </si>
  <si>
    <t>Diagne</t>
  </si>
  <si>
    <t>Sessoms</t>
  </si>
  <si>
    <t>Dinardo</t>
  </si>
  <si>
    <t>Fata</t>
  </si>
  <si>
    <t>Reyes Olmeda</t>
  </si>
  <si>
    <t>Shen</t>
  </si>
  <si>
    <t>Carim</t>
  </si>
  <si>
    <t>Gomez</t>
  </si>
  <si>
    <t>Turner</t>
  </si>
  <si>
    <t>Maynard</t>
  </si>
  <si>
    <t>Jimenez</t>
  </si>
  <si>
    <t>Mcewan</t>
  </si>
  <si>
    <t>Abdurakhmanov</t>
  </si>
  <si>
    <t>Ackerman</t>
  </si>
  <si>
    <t>Alleyne</t>
  </si>
  <si>
    <t>Blackman</t>
  </si>
  <si>
    <t>Mayomi</t>
  </si>
  <si>
    <t>Jones</t>
  </si>
  <si>
    <t>Grant</t>
  </si>
  <si>
    <t>Caraballo</t>
  </si>
  <si>
    <t>Hoo</t>
  </si>
  <si>
    <t>Lovelace</t>
  </si>
  <si>
    <t>Sobers</t>
  </si>
  <si>
    <t>Mcindoo</t>
  </si>
  <si>
    <t>Cortes</t>
  </si>
  <si>
    <t>Webb</t>
  </si>
  <si>
    <t>Romero</t>
  </si>
  <si>
    <t>Hodge</t>
  </si>
  <si>
    <t>Vasquez</t>
  </si>
  <si>
    <t>Coard</t>
  </si>
  <si>
    <t>Vega</t>
  </si>
  <si>
    <t>Korets</t>
  </si>
  <si>
    <t>Burger</t>
  </si>
  <si>
    <t>Paredes</t>
  </si>
  <si>
    <t>Tavarez</t>
  </si>
  <si>
    <t>Pierre Louis</t>
  </si>
  <si>
    <t>Ashley</t>
  </si>
  <si>
    <t>Oddo</t>
  </si>
  <si>
    <t>Komar</t>
  </si>
  <si>
    <t>Strobel</t>
  </si>
  <si>
    <t>Irby</t>
  </si>
  <si>
    <t>Lliguichusca</t>
  </si>
  <si>
    <t>Cowsh</t>
  </si>
  <si>
    <t>Pekovitch</t>
  </si>
  <si>
    <t>Dasilva</t>
  </si>
  <si>
    <t>Doman</t>
  </si>
  <si>
    <t>Santos</t>
  </si>
  <si>
    <t>Keddy</t>
  </si>
  <si>
    <t>Rosa</t>
  </si>
  <si>
    <t>Chen</t>
  </si>
  <si>
    <t>Arena</t>
  </si>
  <si>
    <t>Gawinowska</t>
  </si>
  <si>
    <t>Langerholc</t>
  </si>
  <si>
    <t>Leandro</t>
  </si>
  <si>
    <t>Jameson</t>
  </si>
  <si>
    <t>Mohan</t>
  </si>
  <si>
    <t>Lavington</t>
  </si>
  <si>
    <t>McFarlene</t>
  </si>
  <si>
    <t>Yeinstein</t>
  </si>
  <si>
    <t>City</t>
  </si>
  <si>
    <t>Small</t>
  </si>
  <si>
    <t>Galley</t>
  </si>
  <si>
    <t>Epole</t>
  </si>
  <si>
    <t>Pagan</t>
  </si>
  <si>
    <t>Endres</t>
  </si>
  <si>
    <t>Fanfair</t>
  </si>
  <si>
    <t>Mayfield</t>
  </si>
  <si>
    <t>Estremera</t>
  </si>
  <si>
    <t>Ramirez</t>
  </si>
  <si>
    <t>Tang</t>
  </si>
  <si>
    <t>Maksumova</t>
  </si>
  <si>
    <t>Hagley</t>
  </si>
  <si>
    <t>Herrera</t>
  </si>
  <si>
    <t>Noel</t>
  </si>
  <si>
    <t>Reyes</t>
  </si>
  <si>
    <t>Connerney</t>
  </si>
  <si>
    <t>Khan-Ali</t>
  </si>
  <si>
    <t>Jerome</t>
  </si>
  <si>
    <t>Victor-Garrido</t>
  </si>
  <si>
    <t>Payne</t>
  </si>
  <si>
    <t>Ficklin</t>
  </si>
  <si>
    <t>Agafonova</t>
  </si>
  <si>
    <t>Moya</t>
  </si>
  <si>
    <t>Mclen</t>
  </si>
  <si>
    <t>Zanova</t>
  </si>
  <si>
    <t>McCants</t>
  </si>
  <si>
    <t>Donohue</t>
  </si>
  <si>
    <t>Leake</t>
  </si>
  <si>
    <t>Green</t>
  </si>
  <si>
    <t>Sofer</t>
  </si>
  <si>
    <t>Ara</t>
  </si>
  <si>
    <t>Van Cooten</t>
  </si>
  <si>
    <t>Roswell</t>
  </si>
  <si>
    <t>Dojillo</t>
  </si>
  <si>
    <t>Suarez</t>
  </si>
  <si>
    <t>Salcedo</t>
  </si>
  <si>
    <t>Pierre</t>
  </si>
  <si>
    <t>Abreu</t>
  </si>
  <si>
    <t>Nettles</t>
  </si>
  <si>
    <t>Lovett</t>
  </si>
  <si>
    <t>Bond</t>
  </si>
  <si>
    <t>Marte</t>
  </si>
  <si>
    <t>Acosta</t>
  </si>
  <si>
    <t>Royal</t>
  </si>
  <si>
    <t>Liu</t>
  </si>
  <si>
    <t>Roach</t>
  </si>
  <si>
    <t>Aybar</t>
  </si>
  <si>
    <t>Fulcinelli</t>
  </si>
  <si>
    <t>Bhuiyan</t>
  </si>
  <si>
    <t>Cordero</t>
  </si>
  <si>
    <t>Bautista</t>
  </si>
  <si>
    <t>Rodriguez</t>
  </si>
  <si>
    <t>Venture</t>
  </si>
  <si>
    <t>Saleh</t>
  </si>
  <si>
    <t>Ramos</t>
  </si>
  <si>
    <t>Santamaria</t>
  </si>
  <si>
    <t>Medley</t>
  </si>
  <si>
    <t>Belizaire</t>
  </si>
  <si>
    <t>Gaviola</t>
  </si>
  <si>
    <t>Lee Sin</t>
  </si>
  <si>
    <t>Abdul-Hakim</t>
  </si>
  <si>
    <t>Wiggins</t>
  </si>
  <si>
    <t>Carr</t>
  </si>
  <si>
    <t>Bagu</t>
  </si>
  <si>
    <t>Lee</t>
  </si>
  <si>
    <t>Adams</t>
  </si>
  <si>
    <t>Forbes</t>
  </si>
  <si>
    <t>Zverev</t>
  </si>
  <si>
    <t>Schiavone</t>
  </si>
  <si>
    <t>Ricks</t>
  </si>
  <si>
    <t>Rhanes</t>
  </si>
  <si>
    <t>Westbrook</t>
  </si>
  <si>
    <t>Mendez</t>
  </si>
  <si>
    <t>Clayton</t>
  </si>
  <si>
    <t>Wright</t>
  </si>
  <si>
    <t>Cooper</t>
  </si>
  <si>
    <t>Mitchell</t>
  </si>
  <si>
    <t>Miles</t>
  </si>
  <si>
    <t>Mino</t>
  </si>
  <si>
    <t>Thompson</t>
  </si>
  <si>
    <t>Niniyokindi</t>
  </si>
  <si>
    <t>Blevins</t>
  </si>
  <si>
    <t>Soto</t>
  </si>
  <si>
    <t>Gunnip</t>
  </si>
  <si>
    <t>Dorcilhomme</t>
  </si>
  <si>
    <t>Eastman</t>
  </si>
  <si>
    <t>Hendre</t>
  </si>
  <si>
    <t>Odigie</t>
  </si>
  <si>
    <t>Black</t>
  </si>
  <si>
    <t>Osborne</t>
  </si>
  <si>
    <t>Gagliardi</t>
  </si>
  <si>
    <t>Tyler</t>
  </si>
  <si>
    <t>Anaya</t>
  </si>
  <si>
    <t>Montgomery</t>
  </si>
  <si>
    <t>Schafer</t>
  </si>
  <si>
    <t>Rosemond</t>
  </si>
  <si>
    <t>Live</t>
  </si>
  <si>
    <t>Chappel</t>
  </si>
  <si>
    <t>Bernardez</t>
  </si>
  <si>
    <t>Arsoc</t>
  </si>
  <si>
    <t>Murillo</t>
  </si>
  <si>
    <t>Capetillo</t>
  </si>
  <si>
    <t>Carter</t>
  </si>
  <si>
    <t>Barrera</t>
  </si>
  <si>
    <t>Burns</t>
  </si>
  <si>
    <t>Shimonov</t>
  </si>
  <si>
    <t>Cifres</t>
  </si>
  <si>
    <t>Jenga</t>
  </si>
  <si>
    <t>Delossantos</t>
  </si>
  <si>
    <t>Patent</t>
  </si>
  <si>
    <t>Espada</t>
  </si>
  <si>
    <t>Wallace</t>
  </si>
  <si>
    <t>Gimenez</t>
  </si>
  <si>
    <t>Movshovich</t>
  </si>
  <si>
    <t>Leonimm</t>
  </si>
  <si>
    <t>Ali</t>
  </si>
  <si>
    <t>Sigin</t>
  </si>
  <si>
    <t>Lanton</t>
  </si>
  <si>
    <t>Mushieva</t>
  </si>
  <si>
    <t>Sillah</t>
  </si>
  <si>
    <t>Frenkel</t>
  </si>
  <si>
    <t>Lambacker</t>
  </si>
  <si>
    <t>Kemp</t>
  </si>
  <si>
    <t>Stone</t>
  </si>
  <si>
    <t>Santiago</t>
  </si>
  <si>
    <t>McCoy</t>
  </si>
  <si>
    <t>Zaman</t>
  </si>
  <si>
    <t>Bernal</t>
  </si>
  <si>
    <t>Rodjinske</t>
  </si>
  <si>
    <t>Diaz</t>
  </si>
  <si>
    <t>Mcklin</t>
  </si>
  <si>
    <t>Gavaris</t>
  </si>
  <si>
    <t>Lind</t>
  </si>
  <si>
    <t>McConney-Bingham</t>
  </si>
  <si>
    <t>Hood</t>
  </si>
  <si>
    <t>Antoine</t>
  </si>
  <si>
    <t>Balber</t>
  </si>
  <si>
    <t>Grigg</t>
  </si>
  <si>
    <t>Tupas</t>
  </si>
  <si>
    <t>Kim</t>
  </si>
  <si>
    <t>Fagundez Quiros</t>
  </si>
  <si>
    <t>Galindo</t>
  </si>
  <si>
    <t>Adekoya</t>
  </si>
  <si>
    <t>Huggins</t>
  </si>
  <si>
    <t>Sultana</t>
  </si>
  <si>
    <t>Grey</t>
  </si>
  <si>
    <t>Talbert</t>
  </si>
  <si>
    <t>Wraich</t>
  </si>
  <si>
    <t>Twitty</t>
  </si>
  <si>
    <t>Khoshab</t>
  </si>
  <si>
    <t>Cruz</t>
  </si>
  <si>
    <t>Bennett</t>
  </si>
  <si>
    <t>McHugh</t>
  </si>
  <si>
    <t>Armstrong</t>
  </si>
  <si>
    <t>Christakis</t>
  </si>
  <si>
    <t>Coleman</t>
  </si>
  <si>
    <t>Schwartz</t>
  </si>
  <si>
    <t>Anderson</t>
  </si>
  <si>
    <t>Kumari</t>
  </si>
  <si>
    <t>Yournet</t>
  </si>
  <si>
    <t>Guerrero Estrada</t>
  </si>
  <si>
    <t>Glover</t>
  </si>
  <si>
    <t>Niamji</t>
  </si>
  <si>
    <t>Sterling</t>
  </si>
  <si>
    <t>Castillo-Jason</t>
  </si>
  <si>
    <t>Jannat</t>
  </si>
  <si>
    <t>Kalman</t>
  </si>
  <si>
    <t>Selsey</t>
  </si>
  <si>
    <t>Gashi</t>
  </si>
  <si>
    <t>Haynes</t>
  </si>
  <si>
    <t>Purvis</t>
  </si>
  <si>
    <t>Murphy</t>
  </si>
  <si>
    <t>Blake</t>
  </si>
  <si>
    <t>Mousavi</t>
  </si>
  <si>
    <t>Woychowski</t>
  </si>
  <si>
    <t>Quinones</t>
  </si>
  <si>
    <t>Woods</t>
  </si>
  <si>
    <t>Barralaga</t>
  </si>
  <si>
    <t>Pataeham</t>
  </si>
  <si>
    <t>Polanski</t>
  </si>
  <si>
    <t>Alexis</t>
  </si>
  <si>
    <t>A - Counsel and Advice</t>
  </si>
  <si>
    <t>B - Limited Action (Brief Service)</t>
  </si>
  <si>
    <t>F - Negotiated Settlement w/out Litigation</t>
  </si>
  <si>
    <t>H - Administrative Agency Decision</t>
  </si>
  <si>
    <t>L - Extensive Service (not resulting in Settlement of Court or Administrative Action)</t>
  </si>
  <si>
    <t>ZZ - Administrative Closing</t>
  </si>
  <si>
    <t>Advice</t>
  </si>
  <si>
    <t>Representation - Admin. Agency</t>
  </si>
  <si>
    <t>Out-of-Court Advocacy</t>
  </si>
  <si>
    <t>Brief Service</t>
  </si>
  <si>
    <t>Representation - Federal Court</t>
  </si>
  <si>
    <t>Hold For Review</t>
  </si>
  <si>
    <t>Representation - State Court</t>
  </si>
  <si>
    <t>Open</t>
  </si>
  <si>
    <t>Closed</t>
  </si>
  <si>
    <t>07/04/1962</t>
  </si>
  <si>
    <t>01/10/1998</t>
  </si>
  <si>
    <t>05/05/1965</t>
  </si>
  <si>
    <t>06/19/1945</t>
  </si>
  <si>
    <t>11/02/1989</t>
  </si>
  <si>
    <t>03/01/1973</t>
  </si>
  <si>
    <t>08/02/1957</t>
  </si>
  <si>
    <t>04/18/1968</t>
  </si>
  <si>
    <t>07/03/1992</t>
  </si>
  <si>
    <t>12/31/1969</t>
  </si>
  <si>
    <t>11/22/1957</t>
  </si>
  <si>
    <t>06/25/1978</t>
  </si>
  <si>
    <t>09/10/1965</t>
  </si>
  <si>
    <t>04/29/1962</t>
  </si>
  <si>
    <t>04/11/1987</t>
  </si>
  <si>
    <t>04/03/1992</t>
  </si>
  <si>
    <t>01/26/1965</t>
  </si>
  <si>
    <t>10/21/1983</t>
  </si>
  <si>
    <t>11/13/1983</t>
  </si>
  <si>
    <t>10/01/1985</t>
  </si>
  <si>
    <t>04/30/1989</t>
  </si>
  <si>
    <t>04/19/1993</t>
  </si>
  <si>
    <t>06/11/1958</t>
  </si>
  <si>
    <t>09/21/1980</t>
  </si>
  <si>
    <t>02/04/1967</t>
  </si>
  <si>
    <t>01/20/1957</t>
  </si>
  <si>
    <t>01/11/1966</t>
  </si>
  <si>
    <t>05/25/1964</t>
  </si>
  <si>
    <t>06/28/1982</t>
  </si>
  <si>
    <t>05/22/1983</t>
  </si>
  <si>
    <t>03/01/1963</t>
  </si>
  <si>
    <t>03/10/1964</t>
  </si>
  <si>
    <t>05/17/1993</t>
  </si>
  <si>
    <t>04/09/1999</t>
  </si>
  <si>
    <t>04/25/1964</t>
  </si>
  <si>
    <t>03/07/1989</t>
  </si>
  <si>
    <t>09/23/1977</t>
  </si>
  <si>
    <t>07/11/1964</t>
  </si>
  <si>
    <t>06/22/1985</t>
  </si>
  <si>
    <t>08/04/1979</t>
  </si>
  <si>
    <t>05/28/1969</t>
  </si>
  <si>
    <t>08/09/1983</t>
  </si>
  <si>
    <t>12/17/1973</t>
  </si>
  <si>
    <t>05/15/1978</t>
  </si>
  <si>
    <t>09/22/1972</t>
  </si>
  <si>
    <t>01/03/1992</t>
  </si>
  <si>
    <t>12/18/1964</t>
  </si>
  <si>
    <t>08/10/1987</t>
  </si>
  <si>
    <t>12/03/1960</t>
  </si>
  <si>
    <t>02/12/1970</t>
  </si>
  <si>
    <t>12/09/1982</t>
  </si>
  <si>
    <t>08/15/1967</t>
  </si>
  <si>
    <t>10/13/1964</t>
  </si>
  <si>
    <t>12/11/1988</t>
  </si>
  <si>
    <t>09/17/1982</t>
  </si>
  <si>
    <t>08/20/1961</t>
  </si>
  <si>
    <t>08/06/1984</t>
  </si>
  <si>
    <t>11/22/1992</t>
  </si>
  <si>
    <t>07/05/1991</t>
  </si>
  <si>
    <t>03/12/1976</t>
  </si>
  <si>
    <t>05/11/1987</t>
  </si>
  <si>
    <t>08/19/1954</t>
  </si>
  <si>
    <t>07/23/1994</t>
  </si>
  <si>
    <t>07/21/1974</t>
  </si>
  <si>
    <t>06/02/1987</t>
  </si>
  <si>
    <t>03/09/1955</t>
  </si>
  <si>
    <t>10/20/1956</t>
  </si>
  <si>
    <t>01/16/1977</t>
  </si>
  <si>
    <t>10/31/1982</t>
  </si>
  <si>
    <t>05/24/1962</t>
  </si>
  <si>
    <t>10/15/1983</t>
  </si>
  <si>
    <t>06/11/1999</t>
  </si>
  <si>
    <t>11/23/1973</t>
  </si>
  <si>
    <t>06/11/1985</t>
  </si>
  <si>
    <t>07/14/1972</t>
  </si>
  <si>
    <t>08/30/1965</t>
  </si>
  <si>
    <t>01/16/1981</t>
  </si>
  <si>
    <t>01/13/1993</t>
  </si>
  <si>
    <t>07/15/1979</t>
  </si>
  <si>
    <t>04/20/1960</t>
  </si>
  <si>
    <t>12/07/1984</t>
  </si>
  <si>
    <t>04/15/1981</t>
  </si>
  <si>
    <t>07/24/1982</t>
  </si>
  <si>
    <t>02/09/1975</t>
  </si>
  <si>
    <t>10/21/1960</t>
  </si>
  <si>
    <t>06/28/1964</t>
  </si>
  <si>
    <t>11/12/1975</t>
  </si>
  <si>
    <t>06/29/1963</t>
  </si>
  <si>
    <t>04/13/1989</t>
  </si>
  <si>
    <t>07/12/1966</t>
  </si>
  <si>
    <t>08/16/1987</t>
  </si>
  <si>
    <t>10/17/1978</t>
  </si>
  <si>
    <t>03/14/1973</t>
  </si>
  <si>
    <t>12/16/1989</t>
  </si>
  <si>
    <t>06/16/1993</t>
  </si>
  <si>
    <t>12/15/1974</t>
  </si>
  <si>
    <t>03/07/1948</t>
  </si>
  <si>
    <t>03/28/1976</t>
  </si>
  <si>
    <t>06/04/1988</t>
  </si>
  <si>
    <t>05/16/1936</t>
  </si>
  <si>
    <t>06/21/1993</t>
  </si>
  <si>
    <t>06/06/1977</t>
  </si>
  <si>
    <t>01/16/1986</t>
  </si>
  <si>
    <t>05/02/1971</t>
  </si>
  <si>
    <t>05/16/1988</t>
  </si>
  <si>
    <t>06/28/1949</t>
  </si>
  <si>
    <t>03/14/1966</t>
  </si>
  <si>
    <t>04/11/1995</t>
  </si>
  <si>
    <t>01/25/1993</t>
  </si>
  <si>
    <t>10/19/1968</t>
  </si>
  <si>
    <t>01/11/1994</t>
  </si>
  <si>
    <t>01/20/1984</t>
  </si>
  <si>
    <t>06/07/1971</t>
  </si>
  <si>
    <t>01/01/1980</t>
  </si>
  <si>
    <t>01/14/1964</t>
  </si>
  <si>
    <t>04/16/1996</t>
  </si>
  <si>
    <t>09/29/1971</t>
  </si>
  <si>
    <t>03/14/1991</t>
  </si>
  <si>
    <t>03/01/1989</t>
  </si>
  <si>
    <t>06/01/1957</t>
  </si>
  <si>
    <t>05/25/1993</t>
  </si>
  <si>
    <t>04/08/1961</t>
  </si>
  <si>
    <t>06/25/1983</t>
  </si>
  <si>
    <t>04/26/1988</t>
  </si>
  <si>
    <t>07/11/1991</t>
  </si>
  <si>
    <t>08/17/1981</t>
  </si>
  <si>
    <t>10/15/1944</t>
  </si>
  <si>
    <t>10/30/1976</t>
  </si>
  <si>
    <t>02/05/1989</t>
  </si>
  <si>
    <t>11/17/1989</t>
  </si>
  <si>
    <t>05/14/1966</t>
  </si>
  <si>
    <t>12/01/1970</t>
  </si>
  <si>
    <t>05/22/1963</t>
  </si>
  <si>
    <t>10/26/1977</t>
  </si>
  <si>
    <t>03/23/1972</t>
  </si>
  <si>
    <t>04/08/1974</t>
  </si>
  <si>
    <t>06/18/1956</t>
  </si>
  <si>
    <t>12/04/1957</t>
  </si>
  <si>
    <t>03/07/1968</t>
  </si>
  <si>
    <t>01/01/1969</t>
  </si>
  <si>
    <t>05/01/1984</t>
  </si>
  <si>
    <t>11/25/1990</t>
  </si>
  <si>
    <t>09/19/1958</t>
  </si>
  <si>
    <t>10/18/1964</t>
  </si>
  <si>
    <t>04/25/1962</t>
  </si>
  <si>
    <t>06/02/1994</t>
  </si>
  <si>
    <t>07/10/1974</t>
  </si>
  <si>
    <t>04/19/1991</t>
  </si>
  <si>
    <t>07/11/1976</t>
  </si>
  <si>
    <t>03/10/1973</t>
  </si>
  <si>
    <t>01/11/1987</t>
  </si>
  <si>
    <t>06/19/1986</t>
  </si>
  <si>
    <t>11/14/1985</t>
  </si>
  <si>
    <t>07/17/1967</t>
  </si>
  <si>
    <t>03/26/1951</t>
  </si>
  <si>
    <t>05/07/1957</t>
  </si>
  <si>
    <t>09/09/1983</t>
  </si>
  <si>
    <t>05/28/1965</t>
  </si>
  <si>
    <t>01/23/1978</t>
  </si>
  <si>
    <t>10/26/1950</t>
  </si>
  <si>
    <t>10/26/1975</t>
  </si>
  <si>
    <t>07/29/1987</t>
  </si>
  <si>
    <t>09/05/1972</t>
  </si>
  <si>
    <t>12/30/1971</t>
  </si>
  <si>
    <t>07/15/1978</t>
  </si>
  <si>
    <t>06/03/1981</t>
  </si>
  <si>
    <t>06/26/1979</t>
  </si>
  <si>
    <t>08/18/1958</t>
  </si>
  <si>
    <t>12/03/1978</t>
  </si>
  <si>
    <t>02/07/1960</t>
  </si>
  <si>
    <t>04/21/1990</t>
  </si>
  <si>
    <t>03/29/1987</t>
  </si>
  <si>
    <t>02/12/1997</t>
  </si>
  <si>
    <t>01/31/1981</t>
  </si>
  <si>
    <t>05/01/1988</t>
  </si>
  <si>
    <t>05/17/1960</t>
  </si>
  <si>
    <t>06/09/1954</t>
  </si>
  <si>
    <t>04/05/1963</t>
  </si>
  <si>
    <t>11/17/1968</t>
  </si>
  <si>
    <t>01/06/1964</t>
  </si>
  <si>
    <t>11/29/1971</t>
  </si>
  <si>
    <t>06/05/1955</t>
  </si>
  <si>
    <t>04/14/1981</t>
  </si>
  <si>
    <t>08/03/1956</t>
  </si>
  <si>
    <t>05/17/1984</t>
  </si>
  <si>
    <t>09/19/1986</t>
  </si>
  <si>
    <t>01/22/1980</t>
  </si>
  <si>
    <t>01/12/1993</t>
  </si>
  <si>
    <t>02/13/1949</t>
  </si>
  <si>
    <t>08/12/1984</t>
  </si>
  <si>
    <t>10/26/1982</t>
  </si>
  <si>
    <t>02/19/1970</t>
  </si>
  <si>
    <t>04/15/1979</t>
  </si>
  <si>
    <t>07/10/1987</t>
  </si>
  <si>
    <t>01/29/1958</t>
  </si>
  <si>
    <t>01/30/1972</t>
  </si>
  <si>
    <t>03/05/1979</t>
  </si>
  <si>
    <t>06/26/1982</t>
  </si>
  <si>
    <t>02/17/1974</t>
  </si>
  <si>
    <t>06/05/1979</t>
  </si>
  <si>
    <t>08/26/1990</t>
  </si>
  <si>
    <t>01/01/1964</t>
  </si>
  <si>
    <t>04/08/1984</t>
  </si>
  <si>
    <t>12/14/1978</t>
  </si>
  <si>
    <t>10/11/1989</t>
  </si>
  <si>
    <t>01/27/1977</t>
  </si>
  <si>
    <t>05/01/1951</t>
  </si>
  <si>
    <t>06/09/1979</t>
  </si>
  <si>
    <t>01/09/1968</t>
  </si>
  <si>
    <t>08/31/1979</t>
  </si>
  <si>
    <t>01/25/1989</t>
  </si>
  <si>
    <t>01/13/1943</t>
  </si>
  <si>
    <t>06/20/1978</t>
  </si>
  <si>
    <t>08/24/1973</t>
  </si>
  <si>
    <t>06/12/1966</t>
  </si>
  <si>
    <t>10/18/1976</t>
  </si>
  <si>
    <t>04/22/1967</t>
  </si>
  <si>
    <t>01/25/1985</t>
  </si>
  <si>
    <t>01/15/1988</t>
  </si>
  <si>
    <t>05/15/1954</t>
  </si>
  <si>
    <t>10/04/1983</t>
  </si>
  <si>
    <t>06/04/1968</t>
  </si>
  <si>
    <t>08/21/1984</t>
  </si>
  <si>
    <t>08/26/1985</t>
  </si>
  <si>
    <t>11/17/1992</t>
  </si>
  <si>
    <t>02/14/1949</t>
  </si>
  <si>
    <t>10/18/1968</t>
  </si>
  <si>
    <t>02/26/1986</t>
  </si>
  <si>
    <t>04/30/1960</t>
  </si>
  <si>
    <t>01/16/1964</t>
  </si>
  <si>
    <t>06/20/1974</t>
  </si>
  <si>
    <t>11/20/1983</t>
  </si>
  <si>
    <t>06/23/1966</t>
  </si>
  <si>
    <t>03/30/1967</t>
  </si>
  <si>
    <t>07/08/1963</t>
  </si>
  <si>
    <t>11/19/1979</t>
  </si>
  <si>
    <t>05/21/1974</t>
  </si>
  <si>
    <t>06/03/1952</t>
  </si>
  <si>
    <t>04/01/1960</t>
  </si>
  <si>
    <t>08/17/1966</t>
  </si>
  <si>
    <t>02/15/1977</t>
  </si>
  <si>
    <t>03/25/1962</t>
  </si>
  <si>
    <t>11/16/1961</t>
  </si>
  <si>
    <t>10/01/1975</t>
  </si>
  <si>
    <t>01/29/1992</t>
  </si>
  <si>
    <t>12/17/1976</t>
  </si>
  <si>
    <t>11/03/1961</t>
  </si>
  <si>
    <t>02/04/1992</t>
  </si>
  <si>
    <t>01/18/1980</t>
  </si>
  <si>
    <t>03/28/1981</t>
  </si>
  <si>
    <t>03/14/1982</t>
  </si>
  <si>
    <t>11/08/1996</t>
  </si>
  <si>
    <t>11/06/1972</t>
  </si>
  <si>
    <t>08/26/1993</t>
  </si>
  <si>
    <t>06/01/1988</t>
  </si>
  <si>
    <t>08/26/1967</t>
  </si>
  <si>
    <t>10/06/1957</t>
  </si>
  <si>
    <t>02/25/1994</t>
  </si>
  <si>
    <t>04/20/1954</t>
  </si>
  <si>
    <t>06/28/1966</t>
  </si>
  <si>
    <t>10/13/1967</t>
  </si>
  <si>
    <t>07/11/1968</t>
  </si>
  <si>
    <t>06/17/1965</t>
  </si>
  <si>
    <t>04/12/1983</t>
  </si>
  <si>
    <t>05/24/1974</t>
  </si>
  <si>
    <t>12/06/1970</t>
  </si>
  <si>
    <t>12/17/1972</t>
  </si>
  <si>
    <t>01/01/1958</t>
  </si>
  <si>
    <t>05/13/1984</t>
  </si>
  <si>
    <t>07/29/1985</t>
  </si>
  <si>
    <t>10/30/1961</t>
  </si>
  <si>
    <t>11/10/1968</t>
  </si>
  <si>
    <t>12/07/1969</t>
  </si>
  <si>
    <t>10/12/1968</t>
  </si>
  <si>
    <t>11/22/1968</t>
  </si>
  <si>
    <t>01/20/1981</t>
  </si>
  <si>
    <t>03/02/1976</t>
  </si>
  <si>
    <t>12/18/1996</t>
  </si>
  <si>
    <t>03/20/1990</t>
  </si>
  <si>
    <t>08/30/1991</t>
  </si>
  <si>
    <t>04/26/1961</t>
  </si>
  <si>
    <t>03/24/1998</t>
  </si>
  <si>
    <t>01/24/1979</t>
  </si>
  <si>
    <t>03/05/1966</t>
  </si>
  <si>
    <t>10/11/1991</t>
  </si>
  <si>
    <t>01/27/1991</t>
  </si>
  <si>
    <t>04/03/1990</t>
  </si>
  <si>
    <t>10/12/1991</t>
  </si>
  <si>
    <t>01/29/1977</t>
  </si>
  <si>
    <t>08/16/1974</t>
  </si>
  <si>
    <t>01/17/1985</t>
  </si>
  <si>
    <t>11/13/1971</t>
  </si>
  <si>
    <t>05/12/1958</t>
  </si>
  <si>
    <t>10/13/1971</t>
  </si>
  <si>
    <t>07/25/1986</t>
  </si>
  <si>
    <t>01/01/1975</t>
  </si>
  <si>
    <t>08/06/1990</t>
  </si>
  <si>
    <t>01/21/1994</t>
  </si>
  <si>
    <t>12/23/1981</t>
  </si>
  <si>
    <t>07/29/1969</t>
  </si>
  <si>
    <t>05/08/1991</t>
  </si>
  <si>
    <t>11/02/1971</t>
  </si>
  <si>
    <t>10/21/1992</t>
  </si>
  <si>
    <t>09/02/1967</t>
  </si>
  <si>
    <t>02/15/1992</t>
  </si>
  <si>
    <t>05/20/1984</t>
  </si>
  <si>
    <t>03/06/1977</t>
  </si>
  <si>
    <t>06/18/1987</t>
  </si>
  <si>
    <t>06/19/1970</t>
  </si>
  <si>
    <t>12/05/1968</t>
  </si>
  <si>
    <t>07/18/1983</t>
  </si>
  <si>
    <t>05/17/1990</t>
  </si>
  <si>
    <t>05/30/1973</t>
  </si>
  <si>
    <t>02/15/1978</t>
  </si>
  <si>
    <t>09/22/1986</t>
  </si>
  <si>
    <t>09/23/1988</t>
  </si>
  <si>
    <t>05/10/1989</t>
  </si>
  <si>
    <t>07/26/1983</t>
  </si>
  <si>
    <t>05/25/1970</t>
  </si>
  <si>
    <t>06/07/1974</t>
  </si>
  <si>
    <t>08/28/1958</t>
  </si>
  <si>
    <t>12/27/1992</t>
  </si>
  <si>
    <t>11/29/1957</t>
  </si>
  <si>
    <t>07/02/1981</t>
  </si>
  <si>
    <t>07/17/1956</t>
  </si>
  <si>
    <t>09/01/1976</t>
  </si>
  <si>
    <t>11/20/1971</t>
  </si>
  <si>
    <t>10/20/1974</t>
  </si>
  <si>
    <t>10/04/1952</t>
  </si>
  <si>
    <t>04/29/1986</t>
  </si>
  <si>
    <t>02/03/1993</t>
  </si>
  <si>
    <t>08/19/1994</t>
  </si>
  <si>
    <t>12/10/1974</t>
  </si>
  <si>
    <t>10/02/1967</t>
  </si>
  <si>
    <t>05/23/1970</t>
  </si>
  <si>
    <t>11/08/1993</t>
  </si>
  <si>
    <t>02/16/1946</t>
  </si>
  <si>
    <t>01/27/1988</t>
  </si>
  <si>
    <t>04/21/1982</t>
  </si>
  <si>
    <t>04/14/1969</t>
  </si>
  <si>
    <t>02/12/1987</t>
  </si>
  <si>
    <t>07/03/1953</t>
  </si>
  <si>
    <t>02/02/1971</t>
  </si>
  <si>
    <t>03/07/1961</t>
  </si>
  <si>
    <t>12/03/1983</t>
  </si>
  <si>
    <t>02/02/1985</t>
  </si>
  <si>
    <t>03/12/1963</t>
  </si>
  <si>
    <t>06/03/1991</t>
  </si>
  <si>
    <t>04/26/1967</t>
  </si>
  <si>
    <t>03/15/1992</t>
  </si>
  <si>
    <t>05/15/1969</t>
  </si>
  <si>
    <t>06/12/1967</t>
  </si>
  <si>
    <t>09/26/1950</t>
  </si>
  <si>
    <t>12/21/1985</t>
  </si>
  <si>
    <t>09/27/1966</t>
  </si>
  <si>
    <t>06/06/1952</t>
  </si>
  <si>
    <t>02/10/1969</t>
  </si>
  <si>
    <t>05/03/1977</t>
  </si>
  <si>
    <t>08/04/1953</t>
  </si>
  <si>
    <t>09/16/1968</t>
  </si>
  <si>
    <t>04/10/1978</t>
  </si>
  <si>
    <t>11/24/1956</t>
  </si>
  <si>
    <t>03/01/1986</t>
  </si>
  <si>
    <t>10/12/1973</t>
  </si>
  <si>
    <t>11/04/1990</t>
  </si>
  <si>
    <t>05/15/1960</t>
  </si>
  <si>
    <t>07/25/1956</t>
  </si>
  <si>
    <t>09/19/1968</t>
  </si>
  <si>
    <t>12/12/1988</t>
  </si>
  <si>
    <t>02/27/1986</t>
  </si>
  <si>
    <t>05/30/1965</t>
  </si>
  <si>
    <t>03/06/1980</t>
  </si>
  <si>
    <t>06/09/1989</t>
  </si>
  <si>
    <t>09/28/1969</t>
  </si>
  <si>
    <t>08/22/1970</t>
  </si>
  <si>
    <t>11/19/1971</t>
  </si>
  <si>
    <t>12/20/1987</t>
  </si>
  <si>
    <t>12/12/1971</t>
  </si>
  <si>
    <t>01/18/1984</t>
  </si>
  <si>
    <t>11/06/1976</t>
  </si>
  <si>
    <t>04/17/1992</t>
  </si>
  <si>
    <t>09/25/1957</t>
  </si>
  <si>
    <t>08/10/1981</t>
  </si>
  <si>
    <t>11/08/1972</t>
  </si>
  <si>
    <t>08/25/1957</t>
  </si>
  <si>
    <t>11/19/1991</t>
  </si>
  <si>
    <t>01/03/1954</t>
  </si>
  <si>
    <t>01/06/1982</t>
  </si>
  <si>
    <t>01/03/1975</t>
  </si>
  <si>
    <t>03/25/1985</t>
  </si>
  <si>
    <t>01/12/1990</t>
  </si>
  <si>
    <t>03/16/1958</t>
  </si>
  <si>
    <t>09/30/1946</t>
  </si>
  <si>
    <t>12/26/1966</t>
  </si>
  <si>
    <t>12/12/1975</t>
  </si>
  <si>
    <t>02/25/1966</t>
  </si>
  <si>
    <t>02/10/1991</t>
  </si>
  <si>
    <t>06/01/1964</t>
  </si>
  <si>
    <t>11/08/1961</t>
  </si>
  <si>
    <t>06/03/1964</t>
  </si>
  <si>
    <t>05/31/1965</t>
  </si>
  <si>
    <t>10/29/1962</t>
  </si>
  <si>
    <t>02/06/1973</t>
  </si>
  <si>
    <t>10/12/1997</t>
  </si>
  <si>
    <t>10/05/1946</t>
  </si>
  <si>
    <t>06/03/1979</t>
  </si>
  <si>
    <t>10/24/1973</t>
  </si>
  <si>
    <t>04/22/1962</t>
  </si>
  <si>
    <t>07/01/1988</t>
  </si>
  <si>
    <t>12/30/1961</t>
  </si>
  <si>
    <t>04/12/1995</t>
  </si>
  <si>
    <t>04/29/1991</t>
  </si>
  <si>
    <t>12/19/1988</t>
  </si>
  <si>
    <t>09/18/1975</t>
  </si>
  <si>
    <t>09/30/1964</t>
  </si>
  <si>
    <t>06/18/1993</t>
  </si>
  <si>
    <t>02/26/1967</t>
  </si>
  <si>
    <t>01/14/1977</t>
  </si>
  <si>
    <t>09/24/1987</t>
  </si>
  <si>
    <t>05/13/1961</t>
  </si>
  <si>
    <t>11/28/1985</t>
  </si>
  <si>
    <t>12/12/1964</t>
  </si>
  <si>
    <t>02/23/1971</t>
  </si>
  <si>
    <t>03/11/1962</t>
  </si>
  <si>
    <t>03/22/1966</t>
  </si>
  <si>
    <t>06/05/1990</t>
  </si>
  <si>
    <t>02/13/1990</t>
  </si>
  <si>
    <t>02/15/1969</t>
  </si>
  <si>
    <t>07/02/1995</t>
  </si>
  <si>
    <t>07/28/1981</t>
  </si>
  <si>
    <t>07/13/1965</t>
  </si>
  <si>
    <t>04/17/1998</t>
  </si>
  <si>
    <t>01/10/1964</t>
  </si>
  <si>
    <t>03/05/1955</t>
  </si>
  <si>
    <t>04/01/1981</t>
  </si>
  <si>
    <t>01/28/1976</t>
  </si>
  <si>
    <t>06/27/1970</t>
  </si>
  <si>
    <t>05/23/1966</t>
  </si>
  <si>
    <t>06/04/1969</t>
  </si>
  <si>
    <t>06/11/1982</t>
  </si>
  <si>
    <t>11/10/1986</t>
  </si>
  <si>
    <t>09/14/1996</t>
  </si>
  <si>
    <t>10/18/1965</t>
  </si>
  <si>
    <t>04/13/1963</t>
  </si>
  <si>
    <t>09/17/1970</t>
  </si>
  <si>
    <t>08/03/1990</t>
  </si>
  <si>
    <t>11/02/1974</t>
  </si>
  <si>
    <t>01/12/1962</t>
  </si>
  <si>
    <t>03/09/1972</t>
  </si>
  <si>
    <t>05/22/1950</t>
  </si>
  <si>
    <t>10/09/1988</t>
  </si>
  <si>
    <t>07/22/1958</t>
  </si>
  <si>
    <t>01/06/1972</t>
  </si>
  <si>
    <t>02/13/1966</t>
  </si>
  <si>
    <t>02/01/1980</t>
  </si>
  <si>
    <t>01/30/1957</t>
  </si>
  <si>
    <t>04/11/1960</t>
  </si>
  <si>
    <t>05/13/1985</t>
  </si>
  <si>
    <t>03/13/1963</t>
  </si>
  <si>
    <t>03/15/1997</t>
  </si>
  <si>
    <t>03/16/1964</t>
  </si>
  <si>
    <t>07/18/1997</t>
  </si>
  <si>
    <t>11/05/1953</t>
  </si>
  <si>
    <t>04/20/1959</t>
  </si>
  <si>
    <t>01/16/1988</t>
  </si>
  <si>
    <t>04/21/1975</t>
  </si>
  <si>
    <t>04/14/1992</t>
  </si>
  <si>
    <t>01/02/1967</t>
  </si>
  <si>
    <t>12/20/1981</t>
  </si>
  <si>
    <t>09/19/1990</t>
  </si>
  <si>
    <t>12/20/1988</t>
  </si>
  <si>
    <t>07/14/1970</t>
  </si>
  <si>
    <t>02/28/1986</t>
  </si>
  <si>
    <t>10/28/1953</t>
  </si>
  <si>
    <t>02/27/1983</t>
  </si>
  <si>
    <t>10/21/1954</t>
  </si>
  <si>
    <t>12/27/1984</t>
  </si>
  <si>
    <t>05/04/1950</t>
  </si>
  <si>
    <t>$0.00</t>
  </si>
  <si>
    <t>$44,460.00</t>
  </si>
  <si>
    <t>$12,000.00</t>
  </si>
  <si>
    <t>$21,424.00</t>
  </si>
  <si>
    <t>$34,420.00</t>
  </si>
  <si>
    <t>$852.00</t>
  </si>
  <si>
    <t>$20,436.00</t>
  </si>
  <si>
    <t>$18,000.00</t>
  </si>
  <si>
    <t>$18,200.00</t>
  </si>
  <si>
    <t>$792.00</t>
  </si>
  <si>
    <t>$14,400.00</t>
  </si>
  <si>
    <t>$22,360.00</t>
  </si>
  <si>
    <t>$2,400.00</t>
  </si>
  <si>
    <t>$9,600.00</t>
  </si>
  <si>
    <t>$2,520.00</t>
  </si>
  <si>
    <t>$10,400.00</t>
  </si>
  <si>
    <t>$192.00</t>
  </si>
  <si>
    <t>$29,120.00</t>
  </si>
  <si>
    <t>$40,000.00</t>
  </si>
  <si>
    <t>$20,696.00</t>
  </si>
  <si>
    <t>$2,196.00</t>
  </si>
  <si>
    <t>$27,664.00</t>
  </si>
  <si>
    <t>$30,000.00</t>
  </si>
  <si>
    <t>$1,848.00</t>
  </si>
  <si>
    <t>$17,460.00</t>
  </si>
  <si>
    <t>$9,372.00</t>
  </si>
  <si>
    <t>$5,824.00</t>
  </si>
  <si>
    <t>$23,400.00</t>
  </si>
  <si>
    <t>$34,164.00</t>
  </si>
  <si>
    <t>$23,296.00</t>
  </si>
  <si>
    <t>$20,800.00</t>
  </si>
  <si>
    <t>$11,280.00</t>
  </si>
  <si>
    <t>$25,000.00</t>
  </si>
  <si>
    <t>$13,000.00</t>
  </si>
  <si>
    <t>$7,436.00</t>
  </si>
  <si>
    <t>$2,208.00</t>
  </si>
  <si>
    <t>$22,932.00</t>
  </si>
  <si>
    <t>$19,428.00</t>
  </si>
  <si>
    <t>$25,164.36</t>
  </si>
  <si>
    <t>$19,500.00</t>
  </si>
  <si>
    <t>$23,000.00</t>
  </si>
  <si>
    <t>$49,920.00</t>
  </si>
  <si>
    <t>$5,400.00</t>
  </si>
  <si>
    <t>$29,900.00</t>
  </si>
  <si>
    <t>$16,640.00</t>
  </si>
  <si>
    <t>$3,240.00</t>
  </si>
  <si>
    <t>$41,262.00</t>
  </si>
  <si>
    <t>$24,000.00</t>
  </si>
  <si>
    <t>$7,740.00</t>
  </si>
  <si>
    <t>$33,600.00</t>
  </si>
  <si>
    <t>$15,500.00</t>
  </si>
  <si>
    <t>$18,072.00</t>
  </si>
  <si>
    <t>$9,672.00</t>
  </si>
  <si>
    <t>$2,160.00</t>
  </si>
  <si>
    <t>$26,000.00</t>
  </si>
  <si>
    <t>$2,304.00</t>
  </si>
  <si>
    <t>$12,636.00</t>
  </si>
  <si>
    <t>$6,780.00</t>
  </si>
  <si>
    <t>$2,600.00</t>
  </si>
  <si>
    <t>$4,800.00</t>
  </si>
  <si>
    <t>$10,800.00</t>
  </si>
  <si>
    <t>$7,710.00</t>
  </si>
  <si>
    <t>$28,404.00</t>
  </si>
  <si>
    <t>$160.00</t>
  </si>
  <si>
    <t>$8,424.00</t>
  </si>
  <si>
    <t>$36,400.00</t>
  </si>
  <si>
    <t>$529.00</t>
  </si>
  <si>
    <t>$4,200.00</t>
  </si>
  <si>
    <t>$44,200.00</t>
  </si>
  <si>
    <t>$32,000.00</t>
  </si>
  <si>
    <t>$7,752.00</t>
  </si>
  <si>
    <t>$369.00</t>
  </si>
  <si>
    <t>$13,200.00</t>
  </si>
  <si>
    <t>$4,860.00</t>
  </si>
  <si>
    <t>$1,392.00</t>
  </si>
  <si>
    <t>$7,800.00</t>
  </si>
  <si>
    <t>$14,040.00</t>
  </si>
  <si>
    <t>$5,200.00</t>
  </si>
  <si>
    <t>$11,683.00</t>
  </si>
  <si>
    <t>$10,068.00</t>
  </si>
  <si>
    <t>$18,720.00</t>
  </si>
  <si>
    <t>$10,296.00</t>
  </si>
  <si>
    <t>$50,000.00</t>
  </si>
  <si>
    <t>$9,000.00</t>
  </si>
  <si>
    <t>$16,752.00</t>
  </si>
  <si>
    <t>$16,800.00</t>
  </si>
  <si>
    <t>$4,966.00</t>
  </si>
  <si>
    <t>$2,080.00</t>
  </si>
  <si>
    <t>$22,160.00</t>
  </si>
  <si>
    <t>$33,800.00</t>
  </si>
  <si>
    <t>$17,420.00</t>
  </si>
  <si>
    <t>$17,056.00</t>
  </si>
  <si>
    <t>$39,000.00</t>
  </si>
  <si>
    <t>$14,976.00</t>
  </si>
  <si>
    <t>$25,896.00</t>
  </si>
  <si>
    <t>$27,040.00</t>
  </si>
  <si>
    <t>$3,783.00</t>
  </si>
  <si>
    <t>$15,600.00</t>
  </si>
  <si>
    <t>$67,000.00</t>
  </si>
  <si>
    <t>$1,968.00</t>
  </si>
  <si>
    <t>$17,264.00</t>
  </si>
  <si>
    <t>$13,208.00</t>
  </si>
  <si>
    <t>$7,020.00</t>
  </si>
  <si>
    <t>$3,360.00</t>
  </si>
  <si>
    <t>$24,960.00</t>
  </si>
  <si>
    <t>$4,716.00</t>
  </si>
  <si>
    <t>$16,692.00</t>
  </si>
  <si>
    <t>$41,600.00</t>
  </si>
  <si>
    <t>$4,836.00</t>
  </si>
  <si>
    <t>$34,398.00</t>
  </si>
  <si>
    <t>$5,040.00</t>
  </si>
  <si>
    <t>$23,036.00</t>
  </si>
  <si>
    <t>$2,376.00</t>
  </si>
  <si>
    <t>$2,964.00</t>
  </si>
  <si>
    <t>$3,552.00</t>
  </si>
  <si>
    <t>$3,900.00</t>
  </si>
  <si>
    <t>$28,600.00</t>
  </si>
  <si>
    <t>$10,344.00</t>
  </si>
  <si>
    <t>$6,000.00</t>
  </si>
  <si>
    <t>$6,036.00</t>
  </si>
  <si>
    <t>$2,568.00</t>
  </si>
  <si>
    <t>$19,760.00</t>
  </si>
  <si>
    <t>$45,000.00</t>
  </si>
  <si>
    <t>$27,000.00</t>
  </si>
  <si>
    <t>$12,147.84</t>
  </si>
  <si>
    <t>$19,800.00</t>
  </si>
  <si>
    <t>$3,692.00</t>
  </si>
  <si>
    <t>$15,300.00</t>
  </si>
  <si>
    <t>$31,200.00</t>
  </si>
  <si>
    <t>$8,320.00</t>
  </si>
  <si>
    <t>$32,076.00</t>
  </si>
  <si>
    <t>$360.00</t>
  </si>
  <si>
    <t>$61,800.00</t>
  </si>
  <si>
    <t>$8,880.00</t>
  </si>
  <si>
    <t>$15,800.00</t>
  </si>
  <si>
    <t>$1,284.00</t>
  </si>
  <si>
    <t>$4,725.00</t>
  </si>
  <si>
    <t>$4,940.00</t>
  </si>
  <si>
    <t>$16,740.00</t>
  </si>
  <si>
    <t>$20,592.00</t>
  </si>
  <si>
    <t>$7,080.00</t>
  </si>
  <si>
    <t>$22,776.00</t>
  </si>
  <si>
    <t>$20,280.00</t>
  </si>
  <si>
    <t>$600.00</t>
  </si>
  <si>
    <t>$16,380.00</t>
  </si>
  <si>
    <t>$12,912.00</t>
  </si>
  <si>
    <t>$30,369.76</t>
  </si>
  <si>
    <t>$6,408.00</t>
  </si>
  <si>
    <t>$24,720.00</t>
  </si>
  <si>
    <t>$8,592.00</t>
  </si>
  <si>
    <t>$14,448.00</t>
  </si>
  <si>
    <t>$10,044.00</t>
  </si>
  <si>
    <t>$20,028.00</t>
  </si>
  <si>
    <t>$4,620.00</t>
  </si>
  <si>
    <t>$32,220.00</t>
  </si>
  <si>
    <t>$7,200.00</t>
  </si>
  <si>
    <t>$35,620.00</t>
  </si>
  <si>
    <t>$5,220.00</t>
  </si>
  <si>
    <t>$12,428.00</t>
  </si>
  <si>
    <t>$11,960.00</t>
  </si>
  <si>
    <t>$21,580.00</t>
  </si>
  <si>
    <t>$9,300.00</t>
  </si>
  <si>
    <t>$21,112.00</t>
  </si>
  <si>
    <t>$19,896.00</t>
  </si>
  <si>
    <t>$10,216.00</t>
  </si>
  <si>
    <t>$1,728.00</t>
  </si>
  <si>
    <t>$2,544.00</t>
  </si>
  <si>
    <t>$3,972.00</t>
  </si>
  <si>
    <t>$22,620.00</t>
  </si>
  <si>
    <t>$648.00</t>
  </si>
  <si>
    <t>$15,392.00</t>
  </si>
  <si>
    <t>$42,000.00</t>
  </si>
  <si>
    <t>$24,596.00</t>
  </si>
  <si>
    <t>$5,520.00</t>
  </si>
  <si>
    <t>$4,512.00</t>
  </si>
  <si>
    <t>$14,560.00</t>
  </si>
  <si>
    <t>$8,400.00</t>
  </si>
  <si>
    <t>$16,744.00</t>
  </si>
  <si>
    <t>$2,660.00</t>
  </si>
  <si>
    <t>$4,668.00</t>
  </si>
  <si>
    <t>$8,840.00</t>
  </si>
  <si>
    <t>$276.00</t>
  </si>
  <si>
    <t>$12,360.00</t>
  </si>
  <si>
    <t>$22,032.00</t>
  </si>
  <si>
    <t>2019-05-14</t>
  </si>
  <si>
    <t>2019-01-18</t>
  </si>
  <si>
    <t>2019-02-26</t>
  </si>
  <si>
    <t>2019-04-15</t>
  </si>
  <si>
    <t>2019-06-07</t>
  </si>
  <si>
    <t>2019-05-07</t>
  </si>
  <si>
    <t>2019-05-03</t>
  </si>
  <si>
    <t>2018-03-26</t>
  </si>
  <si>
    <t>2019-03-26</t>
  </si>
  <si>
    <t>2019-05-02</t>
  </si>
  <si>
    <t>2019-03-08</t>
  </si>
  <si>
    <t>2019-03-04</t>
  </si>
  <si>
    <t>2019-03-27</t>
  </si>
  <si>
    <t>2019-01-24</t>
  </si>
  <si>
    <t>2019-03-07</t>
  </si>
  <si>
    <t>2019-01-22</t>
  </si>
  <si>
    <t>2019-01-14</t>
  </si>
  <si>
    <t>2019-01-11</t>
  </si>
  <si>
    <t>2019-03-21</t>
  </si>
  <si>
    <t>2018-12-10</t>
  </si>
  <si>
    <t>2019-01-17</t>
  </si>
  <si>
    <t>2018-11-27</t>
  </si>
  <si>
    <t>2018-11-05</t>
  </si>
  <si>
    <t>2018-11-01</t>
  </si>
  <si>
    <t>2018-10-29</t>
  </si>
  <si>
    <t>2019-01-25</t>
  </si>
  <si>
    <t>2018-11-16</t>
  </si>
  <si>
    <t>2018-08-31</t>
  </si>
  <si>
    <t>2018-08-28</t>
  </si>
  <si>
    <t>2018-10-05</t>
  </si>
  <si>
    <t>2018-08-27</t>
  </si>
  <si>
    <t>2019-07-10</t>
  </si>
  <si>
    <t>2019-06-18</t>
  </si>
  <si>
    <t>2019-06-25</t>
  </si>
  <si>
    <t>2019-07-02</t>
  </si>
  <si>
    <t>2019-06-10</t>
  </si>
  <si>
    <t>2019-06-03</t>
  </si>
  <si>
    <t>2019-06-21</t>
  </si>
  <si>
    <t>2019-07-03</t>
  </si>
  <si>
    <t>2019-05-22</t>
  </si>
  <si>
    <t>2019-06-12</t>
  </si>
  <si>
    <t>2019-05-08</t>
  </si>
  <si>
    <t>2019-05-15</t>
  </si>
  <si>
    <t>2019-05-21</t>
  </si>
  <si>
    <t>2019-06-05</t>
  </si>
  <si>
    <t>2019-05-17</t>
  </si>
  <si>
    <t>2019-05-09</t>
  </si>
  <si>
    <t>2019-06-06</t>
  </si>
  <si>
    <t>2019-05-13</t>
  </si>
  <si>
    <t>2019-05-06</t>
  </si>
  <si>
    <t>2019-04-10</t>
  </si>
  <si>
    <t>2019-04-09</t>
  </si>
  <si>
    <t>2019-05-01</t>
  </si>
  <si>
    <t>2019-06-01</t>
  </si>
  <si>
    <t>2019-04-01</t>
  </si>
  <si>
    <t>2019-04-04</t>
  </si>
  <si>
    <t>2019-04-11</t>
  </si>
  <si>
    <t>2019-04-16</t>
  </si>
  <si>
    <t>2019-03-20</t>
  </si>
  <si>
    <t>2019-03-25</t>
  </si>
  <si>
    <t>2019-04-08</t>
  </si>
  <si>
    <t>2019-03-15</t>
  </si>
  <si>
    <t>2019-04-03</t>
  </si>
  <si>
    <t>2019-03-06</t>
  </si>
  <si>
    <t>2019-02-28</t>
  </si>
  <si>
    <t>2019-04-29</t>
  </si>
  <si>
    <t>2019-02-27</t>
  </si>
  <si>
    <t>2019-02-25</t>
  </si>
  <si>
    <t>2019-05-16</t>
  </si>
  <si>
    <t>2019-03-05</t>
  </si>
  <si>
    <t>2019-02-13</t>
  </si>
  <si>
    <t>2019-06-24</t>
  </si>
  <si>
    <t>2019-02-11</t>
  </si>
  <si>
    <t>2019-02-01</t>
  </si>
  <si>
    <t>2019-03-11</t>
  </si>
  <si>
    <t>2019-02-07</t>
  </si>
  <si>
    <t>2019-02-06</t>
  </si>
  <si>
    <t>2019-01-30</t>
  </si>
  <si>
    <t>2019-01-28</t>
  </si>
  <si>
    <t>2019-01-29</t>
  </si>
  <si>
    <t>2019-01-31</t>
  </si>
  <si>
    <t>2019-01-08</t>
  </si>
  <si>
    <t>2019-01-21</t>
  </si>
  <si>
    <t>2019-01-04</t>
  </si>
  <si>
    <t>2019-02-21</t>
  </si>
  <si>
    <t>2019-01-07</t>
  </si>
  <si>
    <t>2019-01-02</t>
  </si>
  <si>
    <t>2018-12-21</t>
  </si>
  <si>
    <t>2018-12-19</t>
  </si>
  <si>
    <t>2018-12-20</t>
  </si>
  <si>
    <t>2019-01-15</t>
  </si>
  <si>
    <t>2018-12-18</t>
  </si>
  <si>
    <t>2018-12-14</t>
  </si>
  <si>
    <t>2018-12-17</t>
  </si>
  <si>
    <t>2018-12-11</t>
  </si>
  <si>
    <t>2018-12-12</t>
  </si>
  <si>
    <t>2018-12-07</t>
  </si>
  <si>
    <t>2018-12-05</t>
  </si>
  <si>
    <t>2018-12-28</t>
  </si>
  <si>
    <t>2018-12-03</t>
  </si>
  <si>
    <t>2018-12-04</t>
  </si>
  <si>
    <t>2019-02-04</t>
  </si>
  <si>
    <t>2019-01-09</t>
  </si>
  <si>
    <t>2018-11-28</t>
  </si>
  <si>
    <t>2018-12-06</t>
  </si>
  <si>
    <t>2019-01-27</t>
  </si>
  <si>
    <t>2018-11-20</t>
  </si>
  <si>
    <t>2018-11-19</t>
  </si>
  <si>
    <t>2018-11-15</t>
  </si>
  <si>
    <t>2018-11-14</t>
  </si>
  <si>
    <t>2019-03-29</t>
  </si>
  <si>
    <t>2018-11-13</t>
  </si>
  <si>
    <t>2018-11-08</t>
  </si>
  <si>
    <t>2018-11-29</t>
  </si>
  <si>
    <t>2018-11-30</t>
  </si>
  <si>
    <t>2018-10-22</t>
  </si>
  <si>
    <t>2018-10-23</t>
  </si>
  <si>
    <t>2018-10-24</t>
  </si>
  <si>
    <t>2018-11-07</t>
  </si>
  <si>
    <t>2019-03-14</t>
  </si>
  <si>
    <t>2018-11-03</t>
  </si>
  <si>
    <t>2018-10-30</t>
  </si>
  <si>
    <t>2018-11-10</t>
  </si>
  <si>
    <t>2018-10-17</t>
  </si>
  <si>
    <t>2018-10-04</t>
  </si>
  <si>
    <t>2018-10-03</t>
  </si>
  <si>
    <t>2018-10-25</t>
  </si>
  <si>
    <t>2018-10-11</t>
  </si>
  <si>
    <t>2018-10-15</t>
  </si>
  <si>
    <t>2018-10-01</t>
  </si>
  <si>
    <t>2018-09-28</t>
  </si>
  <si>
    <t>2018-10-09</t>
  </si>
  <si>
    <t>2018-10-02</t>
  </si>
  <si>
    <t>2018-09-24</t>
  </si>
  <si>
    <t>2018-10-10</t>
  </si>
  <si>
    <t>2018-09-27</t>
  </si>
  <si>
    <t>2018-09-18</t>
  </si>
  <si>
    <t>2018-09-15</t>
  </si>
  <si>
    <t>2018-09-11</t>
  </si>
  <si>
    <t>2019-09-11</t>
  </si>
  <si>
    <t>2019-04-19</t>
  </si>
  <si>
    <t>2018-09-12</t>
  </si>
  <si>
    <t>2018-09-30</t>
  </si>
  <si>
    <t>2018-09-05</t>
  </si>
  <si>
    <t>2019-02-05</t>
  </si>
  <si>
    <t>2018-09-10</t>
  </si>
  <si>
    <t>2019-04-24</t>
  </si>
  <si>
    <t>2018-08-29</t>
  </si>
  <si>
    <t>2018-08-17</t>
  </si>
  <si>
    <t>2018-08-13</t>
  </si>
  <si>
    <t>2019-11-15</t>
  </si>
  <si>
    <t>2018-07-27</t>
  </si>
  <si>
    <t>2018-07-19</t>
  </si>
  <si>
    <t>2018-08-02</t>
  </si>
  <si>
    <t>2018-07-06</t>
  </si>
  <si>
    <t>2019-03-12</t>
  </si>
  <si>
    <t>Verbal Consent (Advice No Retainer)</t>
  </si>
  <si>
    <t>Consent Form (All Other Cases)</t>
  </si>
  <si>
    <t>Refused to Consent</t>
  </si>
  <si>
    <t>Advice Given</t>
  </si>
  <si>
    <t>Pre-Litigation Settlement</t>
  </si>
  <si>
    <t>Approved by Presiding Court/Tribunal</t>
  </si>
  <si>
    <t>Denied by Presiding Court/Tribunal</t>
  </si>
  <si>
    <t>Complaint Submitted</t>
  </si>
  <si>
    <t>Investigation Retainer</t>
  </si>
  <si>
    <t>No Retainer</t>
  </si>
  <si>
    <t>Rep Retainer</t>
  </si>
  <si>
    <t>Advice-Investigation Retainer</t>
  </si>
  <si>
    <t>Advice-No Retainer</t>
  </si>
  <si>
    <t>Litigation</t>
  </si>
  <si>
    <t>UI Representation</t>
  </si>
  <si>
    <t>Admin Rep (Non-UI)</t>
  </si>
  <si>
    <t>Demand Letter-Negotiation</t>
  </si>
  <si>
    <t>Hearing Win</t>
  </si>
  <si>
    <t>Hearing Loss</t>
  </si>
  <si>
    <t>08/16/2019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</si>
</sst>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498"/>
  <sheetViews>
    <sheetView tabSelected="1" workbookViewId="0"/>
  </sheetViews>
  <sheetFormatPr defaultRowHeight="15"/>
  <cols>
    <col min="1" max="1" width="20.7109375" style="1" customWidth="1"/>
  </cols>
  <sheetData>
    <row r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 s="1">
        <f>HYPERLINK("https://lsnyc.legalserver.org/matter/dynamic-profile/view/1903682","19-1903682")</f>
        <v>0</v>
      </c>
      <c r="B2" t="s">
        <v>44</v>
      </c>
      <c r="C2" t="s">
        <v>535</v>
      </c>
      <c r="D2" t="s">
        <v>541</v>
      </c>
      <c r="E2" t="s">
        <v>561</v>
      </c>
      <c r="F2" t="s">
        <v>580</v>
      </c>
      <c r="G2" t="s">
        <v>581</v>
      </c>
      <c r="H2">
        <v>0</v>
      </c>
      <c r="I2" t="s">
        <v>583</v>
      </c>
      <c r="K2" t="s">
        <v>582</v>
      </c>
      <c r="L2" t="s">
        <v>816</v>
      </c>
      <c r="N2" t="s">
        <v>820</v>
      </c>
      <c r="O2" t="s">
        <v>824</v>
      </c>
      <c r="P2" t="s">
        <v>828</v>
      </c>
      <c r="Q2">
        <v>10029</v>
      </c>
      <c r="R2" t="s">
        <v>835</v>
      </c>
      <c r="S2" t="s">
        <v>861</v>
      </c>
      <c r="T2" t="s">
        <v>870</v>
      </c>
      <c r="U2" t="s">
        <v>1281</v>
      </c>
      <c r="W2" t="s">
        <v>1684</v>
      </c>
      <c r="X2">
        <v>8.91</v>
      </c>
      <c r="Y2">
        <v>0</v>
      </c>
      <c r="Z2">
        <v>2</v>
      </c>
      <c r="AA2" t="s">
        <v>1691</v>
      </c>
      <c r="AB2" t="s">
        <v>1693</v>
      </c>
      <c r="AC2">
        <v>56</v>
      </c>
      <c r="AD2" t="s">
        <v>2171</v>
      </c>
      <c r="AI2" t="s">
        <v>582</v>
      </c>
      <c r="AJ2" t="s">
        <v>2511</v>
      </c>
      <c r="AL2" t="s">
        <v>2519</v>
      </c>
      <c r="AM2" t="s">
        <v>2522</v>
      </c>
      <c r="AR2">
        <v>1904337</v>
      </c>
    </row>
    <row r="3" spans="1:44">
      <c r="A3" s="1">
        <f>HYPERLINK("https://lsnyc.legalserver.org/matter/dynamic-profile/view/1903608","19-1903608")</f>
        <v>0</v>
      </c>
      <c r="B3" t="s">
        <v>45</v>
      </c>
      <c r="C3" t="s">
        <v>536</v>
      </c>
      <c r="D3" t="s">
        <v>542</v>
      </c>
      <c r="E3" t="s">
        <v>562</v>
      </c>
      <c r="F3" t="s">
        <v>580</v>
      </c>
      <c r="G3" t="s">
        <v>581</v>
      </c>
      <c r="H3">
        <v>0</v>
      </c>
      <c r="I3" t="s">
        <v>584</v>
      </c>
      <c r="J3" t="s">
        <v>779</v>
      </c>
      <c r="L3" t="s">
        <v>816</v>
      </c>
      <c r="N3" t="s">
        <v>821</v>
      </c>
      <c r="O3" t="s">
        <v>824</v>
      </c>
      <c r="P3" t="s">
        <v>829</v>
      </c>
      <c r="Q3">
        <v>10306</v>
      </c>
      <c r="T3" t="s">
        <v>871</v>
      </c>
      <c r="U3" t="s">
        <v>1282</v>
      </c>
      <c r="V3" t="s">
        <v>1678</v>
      </c>
      <c r="W3" t="s">
        <v>1684</v>
      </c>
      <c r="X3">
        <v>1.6</v>
      </c>
      <c r="Y3">
        <v>0</v>
      </c>
      <c r="Z3">
        <v>1</v>
      </c>
      <c r="AA3" t="s">
        <v>1692</v>
      </c>
      <c r="AB3" t="s">
        <v>1694</v>
      </c>
      <c r="AC3">
        <v>21</v>
      </c>
      <c r="AD3" t="s">
        <v>2171</v>
      </c>
      <c r="AI3" t="s">
        <v>581</v>
      </c>
      <c r="AJ3" t="s">
        <v>2511</v>
      </c>
      <c r="AL3" t="s">
        <v>2520</v>
      </c>
      <c r="AM3" t="s">
        <v>2523</v>
      </c>
      <c r="AR3">
        <v>1904263</v>
      </c>
    </row>
    <row r="4" spans="1:44">
      <c r="A4" s="1">
        <f>HYPERLINK("https://lsnyc.legalserver.org/matter/dynamic-profile/view/1903550","19-1903550")</f>
        <v>0</v>
      </c>
      <c r="B4" t="s">
        <v>46</v>
      </c>
      <c r="C4" t="s">
        <v>535</v>
      </c>
      <c r="D4" t="s">
        <v>541</v>
      </c>
      <c r="E4" t="s">
        <v>563</v>
      </c>
      <c r="F4" t="s">
        <v>580</v>
      </c>
      <c r="G4" t="s">
        <v>581</v>
      </c>
      <c r="H4">
        <v>147.36</v>
      </c>
      <c r="I4" t="s">
        <v>584</v>
      </c>
      <c r="L4" t="s">
        <v>816</v>
      </c>
      <c r="N4" t="s">
        <v>820</v>
      </c>
      <c r="O4" t="s">
        <v>825</v>
      </c>
      <c r="P4" t="s">
        <v>828</v>
      </c>
      <c r="Q4">
        <v>10030</v>
      </c>
      <c r="S4" t="s">
        <v>861</v>
      </c>
      <c r="T4" t="s">
        <v>872</v>
      </c>
      <c r="U4" t="s">
        <v>1283</v>
      </c>
      <c r="X4">
        <v>6.95</v>
      </c>
      <c r="Y4">
        <v>2</v>
      </c>
      <c r="Z4">
        <v>3</v>
      </c>
      <c r="AA4" t="s">
        <v>1691</v>
      </c>
      <c r="AB4" t="s">
        <v>1695</v>
      </c>
      <c r="AC4">
        <v>54</v>
      </c>
      <c r="AD4" t="s">
        <v>2172</v>
      </c>
      <c r="AI4" t="s">
        <v>582</v>
      </c>
      <c r="AJ4" t="s">
        <v>2512</v>
      </c>
      <c r="AL4" t="s">
        <v>2521</v>
      </c>
      <c r="AM4" t="s">
        <v>2524</v>
      </c>
      <c r="AR4">
        <v>297122</v>
      </c>
    </row>
    <row r="5" spans="1:44">
      <c r="A5" s="1">
        <f>HYPERLINK("https://lsnyc.legalserver.org/matter/dynamic-profile/view/1903265","19-1903265")</f>
        <v>0</v>
      </c>
      <c r="B5" t="s">
        <v>47</v>
      </c>
      <c r="C5" t="s">
        <v>536</v>
      </c>
      <c r="D5" t="s">
        <v>543</v>
      </c>
      <c r="E5" t="s">
        <v>562</v>
      </c>
      <c r="F5" t="s">
        <v>580</v>
      </c>
      <c r="G5" t="s">
        <v>581</v>
      </c>
      <c r="H5">
        <v>96.08</v>
      </c>
      <c r="I5" t="s">
        <v>585</v>
      </c>
      <c r="J5" t="s">
        <v>584</v>
      </c>
      <c r="K5" t="s">
        <v>581</v>
      </c>
      <c r="L5" t="s">
        <v>816</v>
      </c>
      <c r="N5" t="s">
        <v>821</v>
      </c>
      <c r="O5" t="s">
        <v>825</v>
      </c>
      <c r="P5" t="s">
        <v>830</v>
      </c>
      <c r="Q5">
        <v>10452</v>
      </c>
      <c r="S5" t="s">
        <v>861</v>
      </c>
      <c r="T5" t="s">
        <v>873</v>
      </c>
      <c r="U5" t="s">
        <v>1284</v>
      </c>
      <c r="V5" t="s">
        <v>1678</v>
      </c>
      <c r="W5" t="s">
        <v>1684</v>
      </c>
      <c r="X5">
        <v>1.5</v>
      </c>
      <c r="Y5">
        <v>0</v>
      </c>
      <c r="Z5">
        <v>1</v>
      </c>
      <c r="AA5" t="s">
        <v>1692</v>
      </c>
      <c r="AB5" t="s">
        <v>1696</v>
      </c>
      <c r="AC5">
        <v>74</v>
      </c>
      <c r="AD5" t="s">
        <v>2173</v>
      </c>
      <c r="AI5" t="s">
        <v>581</v>
      </c>
      <c r="AJ5" t="s">
        <v>2513</v>
      </c>
      <c r="AL5" t="s">
        <v>2520</v>
      </c>
      <c r="AM5" t="s">
        <v>2523</v>
      </c>
      <c r="AR5">
        <v>826881</v>
      </c>
    </row>
    <row r="6" spans="1:44">
      <c r="A6" s="1">
        <f>HYPERLINK("https://lsnyc.legalserver.org/matter/dynamic-profile/view/1903196","19-1903196")</f>
        <v>0</v>
      </c>
      <c r="B6" t="s">
        <v>48</v>
      </c>
      <c r="C6" t="s">
        <v>536</v>
      </c>
      <c r="D6" t="s">
        <v>544</v>
      </c>
      <c r="E6" t="s">
        <v>564</v>
      </c>
      <c r="F6" t="s">
        <v>580</v>
      </c>
      <c r="G6" t="s">
        <v>581</v>
      </c>
      <c r="H6">
        <v>126.69</v>
      </c>
      <c r="I6" t="s">
        <v>586</v>
      </c>
      <c r="K6" t="s">
        <v>582</v>
      </c>
      <c r="L6" t="s">
        <v>816</v>
      </c>
      <c r="N6" t="s">
        <v>820</v>
      </c>
      <c r="O6" t="s">
        <v>824</v>
      </c>
      <c r="P6" t="s">
        <v>828</v>
      </c>
      <c r="Q6">
        <v>11218</v>
      </c>
      <c r="S6" t="s">
        <v>861</v>
      </c>
      <c r="T6" t="s">
        <v>874</v>
      </c>
      <c r="U6" t="s">
        <v>1285</v>
      </c>
      <c r="W6" t="s">
        <v>1685</v>
      </c>
      <c r="X6">
        <v>42.5</v>
      </c>
      <c r="Y6">
        <v>0</v>
      </c>
      <c r="Z6">
        <v>2</v>
      </c>
      <c r="AA6" t="s">
        <v>1691</v>
      </c>
      <c r="AB6" t="s">
        <v>1697</v>
      </c>
      <c r="AC6">
        <v>29</v>
      </c>
      <c r="AD6" t="s">
        <v>2174</v>
      </c>
      <c r="AI6" t="s">
        <v>582</v>
      </c>
      <c r="AJ6" t="s">
        <v>2512</v>
      </c>
      <c r="AL6" t="s">
        <v>2521</v>
      </c>
      <c r="AM6" t="s">
        <v>2525</v>
      </c>
      <c r="AR6">
        <v>1903851</v>
      </c>
    </row>
    <row r="7" spans="1:44">
      <c r="A7" s="1">
        <f>HYPERLINK("https://lsnyc.legalserver.org/matter/dynamic-profile/view/1902837","19-1902837")</f>
        <v>0</v>
      </c>
      <c r="B7" t="s">
        <v>49</v>
      </c>
      <c r="C7" t="s">
        <v>536</v>
      </c>
      <c r="D7" t="s">
        <v>541</v>
      </c>
      <c r="E7" t="s">
        <v>565</v>
      </c>
      <c r="F7" t="s">
        <v>580</v>
      </c>
      <c r="G7" t="s">
        <v>581</v>
      </c>
      <c r="H7">
        <v>133.67</v>
      </c>
      <c r="I7" t="s">
        <v>587</v>
      </c>
      <c r="K7" t="s">
        <v>581</v>
      </c>
      <c r="L7" t="s">
        <v>816</v>
      </c>
      <c r="N7" t="s">
        <v>822</v>
      </c>
      <c r="O7" t="s">
        <v>824</v>
      </c>
      <c r="P7" t="s">
        <v>831</v>
      </c>
      <c r="Q7">
        <v>10029</v>
      </c>
      <c r="R7" t="s">
        <v>836</v>
      </c>
      <c r="S7" t="s">
        <v>862</v>
      </c>
      <c r="T7" t="s">
        <v>875</v>
      </c>
      <c r="U7" t="s">
        <v>1286</v>
      </c>
      <c r="W7" t="s">
        <v>1685</v>
      </c>
      <c r="X7">
        <v>16.45</v>
      </c>
      <c r="Y7">
        <v>3</v>
      </c>
      <c r="Z7">
        <v>1</v>
      </c>
      <c r="AA7" t="s">
        <v>1691</v>
      </c>
      <c r="AB7" t="s">
        <v>1698</v>
      </c>
      <c r="AC7">
        <v>46</v>
      </c>
      <c r="AD7" t="s">
        <v>2175</v>
      </c>
      <c r="AI7" t="s">
        <v>582</v>
      </c>
      <c r="AJ7" t="s">
        <v>2512</v>
      </c>
      <c r="AL7" t="s">
        <v>2521</v>
      </c>
      <c r="AM7" t="s">
        <v>2526</v>
      </c>
      <c r="AR7">
        <v>1903492</v>
      </c>
    </row>
    <row r="8" spans="1:44">
      <c r="A8" s="1">
        <f>HYPERLINK("https://lsnyc.legalserver.org/matter/dynamic-profile/view/1902907","19-1902907")</f>
        <v>0</v>
      </c>
      <c r="B8" t="s">
        <v>50</v>
      </c>
      <c r="C8" t="s">
        <v>535</v>
      </c>
      <c r="D8" t="s">
        <v>541</v>
      </c>
      <c r="E8" t="s">
        <v>561</v>
      </c>
      <c r="F8" t="s">
        <v>580</v>
      </c>
      <c r="G8" t="s">
        <v>581</v>
      </c>
      <c r="H8">
        <v>6.82</v>
      </c>
      <c r="I8" t="s">
        <v>587</v>
      </c>
      <c r="K8" t="s">
        <v>582</v>
      </c>
      <c r="L8" t="s">
        <v>816</v>
      </c>
      <c r="N8" t="s">
        <v>820</v>
      </c>
      <c r="O8" t="s">
        <v>825</v>
      </c>
      <c r="P8" t="s">
        <v>828</v>
      </c>
      <c r="Q8">
        <v>10019</v>
      </c>
      <c r="R8" t="s">
        <v>835</v>
      </c>
      <c r="S8" t="s">
        <v>861</v>
      </c>
      <c r="T8" t="s">
        <v>876</v>
      </c>
      <c r="U8" t="s">
        <v>1287</v>
      </c>
      <c r="W8" t="s">
        <v>1684</v>
      </c>
      <c r="X8">
        <v>1.5</v>
      </c>
      <c r="Y8">
        <v>0</v>
      </c>
      <c r="Z8">
        <v>1</v>
      </c>
      <c r="AA8" t="s">
        <v>1691</v>
      </c>
      <c r="AB8" t="s">
        <v>1699</v>
      </c>
      <c r="AC8">
        <v>61</v>
      </c>
      <c r="AD8" t="s">
        <v>2176</v>
      </c>
      <c r="AI8" t="s">
        <v>581</v>
      </c>
      <c r="AJ8" t="s">
        <v>2511</v>
      </c>
      <c r="AL8" t="s">
        <v>2520</v>
      </c>
      <c r="AM8" t="s">
        <v>2523</v>
      </c>
      <c r="AR8">
        <v>1903562</v>
      </c>
    </row>
    <row r="9" spans="1:44">
      <c r="A9" s="1">
        <f>HYPERLINK("https://lsnyc.legalserver.org/matter/dynamic-profile/view/1902591","19-1902591")</f>
        <v>0</v>
      </c>
      <c r="B9" t="s">
        <v>51</v>
      </c>
      <c r="C9" t="s">
        <v>535</v>
      </c>
      <c r="D9" t="s">
        <v>541</v>
      </c>
      <c r="E9" t="s">
        <v>561</v>
      </c>
      <c r="F9" t="s">
        <v>580</v>
      </c>
      <c r="G9" t="s">
        <v>581</v>
      </c>
      <c r="H9">
        <v>95.81</v>
      </c>
      <c r="I9" t="s">
        <v>588</v>
      </c>
      <c r="K9" t="s">
        <v>582</v>
      </c>
      <c r="L9" t="s">
        <v>816</v>
      </c>
      <c r="N9" t="s">
        <v>820</v>
      </c>
      <c r="O9" t="s">
        <v>824</v>
      </c>
      <c r="P9" t="s">
        <v>828</v>
      </c>
      <c r="Q9">
        <v>10029</v>
      </c>
      <c r="R9" t="s">
        <v>835</v>
      </c>
      <c r="S9" t="s">
        <v>861</v>
      </c>
      <c r="T9" t="s">
        <v>877</v>
      </c>
      <c r="U9" t="s">
        <v>1288</v>
      </c>
      <c r="W9" t="s">
        <v>1684</v>
      </c>
      <c r="X9">
        <v>3.15</v>
      </c>
      <c r="Y9">
        <v>0</v>
      </c>
      <c r="Z9">
        <v>3</v>
      </c>
      <c r="AA9" t="s">
        <v>1691</v>
      </c>
      <c r="AB9" t="s">
        <v>1700</v>
      </c>
      <c r="AC9">
        <v>51</v>
      </c>
      <c r="AD9" t="s">
        <v>2177</v>
      </c>
      <c r="AI9" t="s">
        <v>581</v>
      </c>
      <c r="AJ9" t="s">
        <v>2511</v>
      </c>
      <c r="AL9" t="s">
        <v>2520</v>
      </c>
      <c r="AM9" t="s">
        <v>2523</v>
      </c>
      <c r="AR9">
        <v>1903245</v>
      </c>
    </row>
    <row r="10" spans="1:44">
      <c r="A10" s="1">
        <f>HYPERLINK("https://lsnyc.legalserver.org/matter/dynamic-profile/view/1902354","19-1902354")</f>
        <v>0</v>
      </c>
      <c r="B10" t="s">
        <v>52</v>
      </c>
      <c r="C10" t="s">
        <v>536</v>
      </c>
      <c r="D10" t="s">
        <v>544</v>
      </c>
      <c r="E10" t="s">
        <v>562</v>
      </c>
      <c r="F10" t="s">
        <v>580</v>
      </c>
      <c r="G10" t="s">
        <v>581</v>
      </c>
      <c r="H10">
        <v>0</v>
      </c>
      <c r="I10" t="s">
        <v>589</v>
      </c>
      <c r="J10" t="s">
        <v>780</v>
      </c>
      <c r="K10" t="s">
        <v>581</v>
      </c>
      <c r="L10" t="s">
        <v>816</v>
      </c>
      <c r="N10" t="s">
        <v>821</v>
      </c>
      <c r="O10" t="s">
        <v>825</v>
      </c>
      <c r="P10" t="s">
        <v>830</v>
      </c>
      <c r="Q10">
        <v>11237</v>
      </c>
      <c r="S10" t="s">
        <v>861</v>
      </c>
      <c r="T10" t="s">
        <v>878</v>
      </c>
      <c r="U10" t="s">
        <v>1289</v>
      </c>
      <c r="V10" t="s">
        <v>1678</v>
      </c>
      <c r="W10" t="s">
        <v>1684</v>
      </c>
      <c r="X10">
        <v>2.25</v>
      </c>
      <c r="Y10">
        <v>0</v>
      </c>
      <c r="Z10">
        <v>1</v>
      </c>
      <c r="AA10" t="s">
        <v>1692</v>
      </c>
      <c r="AB10" t="s">
        <v>1701</v>
      </c>
      <c r="AC10">
        <v>26</v>
      </c>
      <c r="AD10" t="s">
        <v>2171</v>
      </c>
      <c r="AH10" t="s">
        <v>2386</v>
      </c>
      <c r="AI10" t="s">
        <v>581</v>
      </c>
      <c r="AJ10" t="s">
        <v>2511</v>
      </c>
      <c r="AK10" t="s">
        <v>2514</v>
      </c>
      <c r="AL10" t="s">
        <v>2520</v>
      </c>
      <c r="AM10" t="s">
        <v>2523</v>
      </c>
      <c r="AR10">
        <v>1903008</v>
      </c>
    </row>
    <row r="11" spans="1:44">
      <c r="A11" s="1">
        <f>HYPERLINK("https://lsnyc.legalserver.org/matter/dynamic-profile/view/1902408","19-1902408")</f>
        <v>0</v>
      </c>
      <c r="B11" t="s">
        <v>53</v>
      </c>
      <c r="C11" t="s">
        <v>536</v>
      </c>
      <c r="D11" t="s">
        <v>544</v>
      </c>
      <c r="E11" t="s">
        <v>562</v>
      </c>
      <c r="F11" t="s">
        <v>580</v>
      </c>
      <c r="G11" t="s">
        <v>581</v>
      </c>
      <c r="H11">
        <v>0</v>
      </c>
      <c r="I11" t="s">
        <v>589</v>
      </c>
      <c r="L11" t="s">
        <v>816</v>
      </c>
      <c r="N11" t="s">
        <v>821</v>
      </c>
      <c r="O11" t="s">
        <v>825</v>
      </c>
      <c r="P11" t="s">
        <v>830</v>
      </c>
      <c r="Q11">
        <v>11230</v>
      </c>
      <c r="R11" t="s">
        <v>837</v>
      </c>
      <c r="S11" t="s">
        <v>863</v>
      </c>
      <c r="T11" t="s">
        <v>879</v>
      </c>
      <c r="U11" t="s">
        <v>1290</v>
      </c>
      <c r="W11" t="s">
        <v>1686</v>
      </c>
      <c r="X11">
        <v>19.75</v>
      </c>
      <c r="Y11">
        <v>1</v>
      </c>
      <c r="Z11">
        <v>3</v>
      </c>
      <c r="AA11" t="s">
        <v>1691</v>
      </c>
      <c r="AB11" t="s">
        <v>1702</v>
      </c>
      <c r="AC11">
        <v>49</v>
      </c>
      <c r="AD11" t="s">
        <v>2171</v>
      </c>
      <c r="AI11" t="s">
        <v>582</v>
      </c>
      <c r="AJ11" t="s">
        <v>2512</v>
      </c>
      <c r="AL11" t="s">
        <v>2521</v>
      </c>
      <c r="AM11" t="s">
        <v>2527</v>
      </c>
      <c r="AR11">
        <v>1903062</v>
      </c>
    </row>
    <row r="12" spans="1:44">
      <c r="A12" s="1">
        <f>HYPERLINK("https://lsnyc.legalserver.org/matter/dynamic-profile/view/1902212","19-1902212")</f>
        <v>0</v>
      </c>
      <c r="B12" t="s">
        <v>54</v>
      </c>
      <c r="C12" t="s">
        <v>536</v>
      </c>
      <c r="D12" t="s">
        <v>544</v>
      </c>
      <c r="E12" t="s">
        <v>566</v>
      </c>
      <c r="F12" t="s">
        <v>580</v>
      </c>
      <c r="G12" t="s">
        <v>581</v>
      </c>
      <c r="H12">
        <v>144.12</v>
      </c>
      <c r="I12" t="s">
        <v>590</v>
      </c>
      <c r="J12" t="s">
        <v>781</v>
      </c>
      <c r="K12" t="s">
        <v>582</v>
      </c>
      <c r="L12" t="s">
        <v>816</v>
      </c>
      <c r="N12" t="s">
        <v>820</v>
      </c>
      <c r="O12" t="s">
        <v>825</v>
      </c>
      <c r="P12" t="s">
        <v>828</v>
      </c>
      <c r="Q12">
        <v>11221</v>
      </c>
      <c r="S12" t="s">
        <v>861</v>
      </c>
      <c r="T12" t="s">
        <v>880</v>
      </c>
      <c r="U12" t="s">
        <v>1291</v>
      </c>
      <c r="V12" t="s">
        <v>1678</v>
      </c>
      <c r="W12" t="s">
        <v>1684</v>
      </c>
      <c r="X12">
        <v>1.25</v>
      </c>
      <c r="Y12">
        <v>0</v>
      </c>
      <c r="Z12">
        <v>1</v>
      </c>
      <c r="AA12" t="s">
        <v>1692</v>
      </c>
      <c r="AB12" t="s">
        <v>1703</v>
      </c>
      <c r="AC12">
        <v>61</v>
      </c>
      <c r="AD12" t="s">
        <v>2178</v>
      </c>
      <c r="AH12" t="s">
        <v>2387</v>
      </c>
      <c r="AJ12" t="s">
        <v>2511</v>
      </c>
      <c r="AK12" t="s">
        <v>2514</v>
      </c>
      <c r="AL12" t="s">
        <v>2520</v>
      </c>
      <c r="AM12" t="s">
        <v>2523</v>
      </c>
      <c r="AR12">
        <v>1902866</v>
      </c>
    </row>
    <row r="13" spans="1:44">
      <c r="A13" s="1">
        <f>HYPERLINK("https://lsnyc.legalserver.org/matter/dynamic-profile/view/1902179","19-1902179")</f>
        <v>0</v>
      </c>
      <c r="B13" t="s">
        <v>55</v>
      </c>
      <c r="C13" t="s">
        <v>536</v>
      </c>
      <c r="D13" t="s">
        <v>544</v>
      </c>
      <c r="E13" t="s">
        <v>562</v>
      </c>
      <c r="F13" t="s">
        <v>580</v>
      </c>
      <c r="G13" t="s">
        <v>581</v>
      </c>
      <c r="H13">
        <v>31.82</v>
      </c>
      <c r="I13" t="s">
        <v>590</v>
      </c>
      <c r="J13" t="s">
        <v>779</v>
      </c>
      <c r="L13" t="s">
        <v>816</v>
      </c>
      <c r="N13" t="s">
        <v>821</v>
      </c>
      <c r="O13" t="s">
        <v>825</v>
      </c>
      <c r="P13" t="s">
        <v>829</v>
      </c>
      <c r="Q13">
        <v>11212</v>
      </c>
      <c r="R13" t="s">
        <v>838</v>
      </c>
      <c r="S13" t="s">
        <v>861</v>
      </c>
      <c r="T13" t="s">
        <v>881</v>
      </c>
      <c r="U13" t="s">
        <v>1292</v>
      </c>
      <c r="V13" t="s">
        <v>1678</v>
      </c>
      <c r="W13" t="s">
        <v>1684</v>
      </c>
      <c r="X13">
        <v>1</v>
      </c>
      <c r="Y13">
        <v>2</v>
      </c>
      <c r="Z13">
        <v>3</v>
      </c>
      <c r="AA13" t="s">
        <v>1692</v>
      </c>
      <c r="AB13" t="s">
        <v>1704</v>
      </c>
      <c r="AC13">
        <v>40</v>
      </c>
      <c r="AD13" t="s">
        <v>2171</v>
      </c>
      <c r="AI13" t="s">
        <v>581</v>
      </c>
      <c r="AL13" t="s">
        <v>2520</v>
      </c>
      <c r="AM13" t="s">
        <v>2523</v>
      </c>
      <c r="AR13">
        <v>1902814</v>
      </c>
    </row>
    <row r="14" spans="1:44">
      <c r="A14" s="1">
        <f>HYPERLINK("https://lsnyc.legalserver.org/matter/dynamic-profile/view/1902141","19-1902141")</f>
        <v>0</v>
      </c>
      <c r="B14" t="s">
        <v>56</v>
      </c>
      <c r="C14" t="s">
        <v>536</v>
      </c>
      <c r="D14" t="s">
        <v>544</v>
      </c>
      <c r="E14" t="s">
        <v>567</v>
      </c>
      <c r="F14" t="s">
        <v>581</v>
      </c>
      <c r="G14" t="s">
        <v>581</v>
      </c>
      <c r="H14">
        <v>85.33</v>
      </c>
      <c r="I14" t="s">
        <v>590</v>
      </c>
      <c r="J14" t="s">
        <v>782</v>
      </c>
      <c r="K14" t="s">
        <v>582</v>
      </c>
      <c r="L14" t="s">
        <v>816</v>
      </c>
      <c r="N14" t="s">
        <v>822</v>
      </c>
      <c r="O14" t="s">
        <v>824</v>
      </c>
      <c r="P14" t="s">
        <v>831</v>
      </c>
      <c r="Q14">
        <v>11218</v>
      </c>
      <c r="S14" t="s">
        <v>864</v>
      </c>
      <c r="T14" t="s">
        <v>882</v>
      </c>
      <c r="U14" t="s">
        <v>1293</v>
      </c>
      <c r="V14" t="s">
        <v>1678</v>
      </c>
      <c r="W14" t="s">
        <v>1684</v>
      </c>
      <c r="X14">
        <v>1.85</v>
      </c>
      <c r="Y14">
        <v>1</v>
      </c>
      <c r="Z14">
        <v>2</v>
      </c>
      <c r="AA14" t="s">
        <v>1692</v>
      </c>
      <c r="AB14" t="s">
        <v>1705</v>
      </c>
      <c r="AC14">
        <v>53</v>
      </c>
      <c r="AD14" t="s">
        <v>2179</v>
      </c>
      <c r="AJ14" t="s">
        <v>2511</v>
      </c>
      <c r="AM14" t="s">
        <v>2523</v>
      </c>
      <c r="AR14">
        <v>1893029</v>
      </c>
    </row>
    <row r="15" spans="1:44">
      <c r="A15" s="1">
        <f>HYPERLINK("https://lsnyc.legalserver.org/matter/dynamic-profile/view/1902169","19-1902169")</f>
        <v>0</v>
      </c>
      <c r="B15" t="s">
        <v>57</v>
      </c>
      <c r="C15" t="s">
        <v>537</v>
      </c>
      <c r="D15" t="s">
        <v>545</v>
      </c>
      <c r="E15" t="s">
        <v>568</v>
      </c>
      <c r="F15" t="s">
        <v>580</v>
      </c>
      <c r="G15" t="s">
        <v>581</v>
      </c>
      <c r="H15">
        <v>0</v>
      </c>
      <c r="I15" t="s">
        <v>590</v>
      </c>
      <c r="K15" t="s">
        <v>582</v>
      </c>
      <c r="L15" t="s">
        <v>816</v>
      </c>
      <c r="N15" t="s">
        <v>820</v>
      </c>
      <c r="O15" t="s">
        <v>825</v>
      </c>
      <c r="P15" t="s">
        <v>828</v>
      </c>
      <c r="Q15">
        <v>11102</v>
      </c>
      <c r="S15" t="s">
        <v>863</v>
      </c>
      <c r="T15" t="s">
        <v>883</v>
      </c>
      <c r="U15" t="s">
        <v>1294</v>
      </c>
      <c r="X15">
        <v>11.75</v>
      </c>
      <c r="Y15">
        <v>0</v>
      </c>
      <c r="Z15">
        <v>2</v>
      </c>
      <c r="AA15" t="s">
        <v>1691</v>
      </c>
      <c r="AB15" t="s">
        <v>1706</v>
      </c>
      <c r="AC15">
        <v>57</v>
      </c>
      <c r="AD15" t="s">
        <v>2171</v>
      </c>
      <c r="AJ15" t="s">
        <v>2511</v>
      </c>
      <c r="AM15" t="s">
        <v>2523</v>
      </c>
      <c r="AR15">
        <v>1902823</v>
      </c>
    </row>
    <row r="16" spans="1:44">
      <c r="A16" s="1">
        <f>HYPERLINK("https://lsnyc.legalserver.org/matter/dynamic-profile/view/1901886","19-1901886")</f>
        <v>0</v>
      </c>
      <c r="B16" t="s">
        <v>58</v>
      </c>
      <c r="C16" t="s">
        <v>535</v>
      </c>
      <c r="D16" t="s">
        <v>541</v>
      </c>
      <c r="E16" t="s">
        <v>561</v>
      </c>
      <c r="F16" t="s">
        <v>580</v>
      </c>
      <c r="G16" t="s">
        <v>581</v>
      </c>
      <c r="H16">
        <v>4.68</v>
      </c>
      <c r="I16" t="s">
        <v>591</v>
      </c>
      <c r="K16" t="s">
        <v>582</v>
      </c>
      <c r="L16" t="s">
        <v>816</v>
      </c>
      <c r="N16" t="s">
        <v>820</v>
      </c>
      <c r="O16" t="s">
        <v>824</v>
      </c>
      <c r="P16" t="s">
        <v>828</v>
      </c>
      <c r="Q16">
        <v>10030</v>
      </c>
      <c r="R16" t="s">
        <v>835</v>
      </c>
      <c r="S16" t="s">
        <v>861</v>
      </c>
      <c r="T16" t="s">
        <v>884</v>
      </c>
      <c r="U16" t="s">
        <v>1295</v>
      </c>
      <c r="W16" t="s">
        <v>1684</v>
      </c>
      <c r="X16">
        <v>6.59</v>
      </c>
      <c r="Y16">
        <v>1</v>
      </c>
      <c r="Z16">
        <v>1</v>
      </c>
      <c r="AA16" t="s">
        <v>1691</v>
      </c>
      <c r="AB16" t="s">
        <v>1707</v>
      </c>
      <c r="AC16">
        <v>32</v>
      </c>
      <c r="AD16" t="s">
        <v>2180</v>
      </c>
      <c r="AI16" t="s">
        <v>581</v>
      </c>
      <c r="AJ16" t="s">
        <v>2511</v>
      </c>
      <c r="AL16" t="s">
        <v>2520</v>
      </c>
      <c r="AM16" t="s">
        <v>2523</v>
      </c>
      <c r="AR16">
        <v>1902539</v>
      </c>
    </row>
    <row r="17" spans="1:44">
      <c r="A17" s="1">
        <f>HYPERLINK("https://lsnyc.legalserver.org/matter/dynamic-profile/view/1901851","19-1901851")</f>
        <v>0</v>
      </c>
      <c r="B17" t="s">
        <v>59</v>
      </c>
      <c r="C17" t="s">
        <v>536</v>
      </c>
      <c r="D17" t="s">
        <v>544</v>
      </c>
      <c r="E17" t="s">
        <v>564</v>
      </c>
      <c r="F17" t="s">
        <v>580</v>
      </c>
      <c r="G17" t="s">
        <v>581</v>
      </c>
      <c r="H17">
        <v>0</v>
      </c>
      <c r="I17" t="s">
        <v>592</v>
      </c>
      <c r="J17" t="s">
        <v>783</v>
      </c>
      <c r="L17" t="s">
        <v>816</v>
      </c>
      <c r="N17" t="s">
        <v>820</v>
      </c>
      <c r="O17" t="s">
        <v>825</v>
      </c>
      <c r="P17" t="s">
        <v>828</v>
      </c>
      <c r="Q17">
        <v>11213</v>
      </c>
      <c r="S17" t="s">
        <v>861</v>
      </c>
      <c r="T17" t="s">
        <v>885</v>
      </c>
      <c r="U17" t="s">
        <v>1296</v>
      </c>
      <c r="V17" t="s">
        <v>1678</v>
      </c>
      <c r="X17">
        <v>1.7</v>
      </c>
      <c r="Y17">
        <v>0</v>
      </c>
      <c r="Z17">
        <v>2</v>
      </c>
      <c r="AA17" t="s">
        <v>1692</v>
      </c>
      <c r="AB17" t="s">
        <v>1708</v>
      </c>
      <c r="AC17">
        <v>27</v>
      </c>
      <c r="AD17" t="s">
        <v>2171</v>
      </c>
      <c r="AI17" t="s">
        <v>582</v>
      </c>
      <c r="AJ17" t="s">
        <v>2512</v>
      </c>
      <c r="AM17" t="s">
        <v>2523</v>
      </c>
      <c r="AR17">
        <v>1902504</v>
      </c>
    </row>
    <row r="18" spans="1:44">
      <c r="A18" s="1">
        <f>HYPERLINK("https://lsnyc.legalserver.org/matter/dynamic-profile/view/1901736","19-1901736")</f>
        <v>0</v>
      </c>
      <c r="B18" t="s">
        <v>60</v>
      </c>
      <c r="C18" t="s">
        <v>535</v>
      </c>
      <c r="D18" t="s">
        <v>541</v>
      </c>
      <c r="E18" t="s">
        <v>563</v>
      </c>
      <c r="F18" t="s">
        <v>580</v>
      </c>
      <c r="G18" t="s">
        <v>581</v>
      </c>
      <c r="H18">
        <v>85.16</v>
      </c>
      <c r="I18" t="s">
        <v>592</v>
      </c>
      <c r="K18" t="s">
        <v>581</v>
      </c>
      <c r="L18" t="s">
        <v>816</v>
      </c>
      <c r="N18" t="s">
        <v>821</v>
      </c>
      <c r="O18" t="s">
        <v>824</v>
      </c>
      <c r="P18" t="s">
        <v>830</v>
      </c>
      <c r="Q18">
        <v>10037</v>
      </c>
      <c r="R18" t="s">
        <v>839</v>
      </c>
      <c r="S18" t="s">
        <v>861</v>
      </c>
      <c r="T18" t="s">
        <v>886</v>
      </c>
      <c r="U18" t="s">
        <v>1297</v>
      </c>
      <c r="W18" t="s">
        <v>1684</v>
      </c>
      <c r="X18">
        <v>1.75</v>
      </c>
      <c r="Y18">
        <v>0</v>
      </c>
      <c r="Z18">
        <v>2</v>
      </c>
      <c r="AA18" t="s">
        <v>1691</v>
      </c>
      <c r="AB18" t="s">
        <v>1709</v>
      </c>
      <c r="AC18">
        <v>54</v>
      </c>
      <c r="AD18" t="s">
        <v>2181</v>
      </c>
      <c r="AH18" t="s">
        <v>2388</v>
      </c>
      <c r="AI18" t="s">
        <v>581</v>
      </c>
      <c r="AJ18" t="s">
        <v>2511</v>
      </c>
      <c r="AK18" t="s">
        <v>2514</v>
      </c>
      <c r="AL18" t="s">
        <v>2520</v>
      </c>
      <c r="AM18" t="s">
        <v>2523</v>
      </c>
      <c r="AR18">
        <v>1902381</v>
      </c>
    </row>
    <row r="19" spans="1:44">
      <c r="A19" s="1">
        <f>HYPERLINK("https://lsnyc.legalserver.org/matter/dynamic-profile/view/1901661","19-1901661")</f>
        <v>0</v>
      </c>
      <c r="B19" t="s">
        <v>61</v>
      </c>
      <c r="C19" t="s">
        <v>536</v>
      </c>
      <c r="D19" t="s">
        <v>544</v>
      </c>
      <c r="E19" t="s">
        <v>566</v>
      </c>
      <c r="F19" t="s">
        <v>580</v>
      </c>
      <c r="G19" t="s">
        <v>581</v>
      </c>
      <c r="H19">
        <v>0</v>
      </c>
      <c r="I19" t="s">
        <v>593</v>
      </c>
      <c r="J19" t="s">
        <v>591</v>
      </c>
      <c r="K19" t="s">
        <v>582</v>
      </c>
      <c r="L19" t="s">
        <v>816</v>
      </c>
      <c r="N19" t="s">
        <v>820</v>
      </c>
      <c r="O19" t="s">
        <v>824</v>
      </c>
      <c r="P19" t="s">
        <v>828</v>
      </c>
      <c r="Q19">
        <v>11216</v>
      </c>
      <c r="S19" t="s">
        <v>861</v>
      </c>
      <c r="T19" t="s">
        <v>887</v>
      </c>
      <c r="U19" t="s">
        <v>1298</v>
      </c>
      <c r="V19" t="s">
        <v>1678</v>
      </c>
      <c r="W19" t="s">
        <v>1684</v>
      </c>
      <c r="X19">
        <v>1.5</v>
      </c>
      <c r="Y19">
        <v>0</v>
      </c>
      <c r="Z19">
        <v>1</v>
      </c>
      <c r="AA19" t="s">
        <v>1692</v>
      </c>
      <c r="AB19" t="s">
        <v>1710</v>
      </c>
      <c r="AC19">
        <v>35</v>
      </c>
      <c r="AD19" t="s">
        <v>2171</v>
      </c>
      <c r="AI19" t="s">
        <v>581</v>
      </c>
      <c r="AJ19" t="s">
        <v>2511</v>
      </c>
      <c r="AM19" t="s">
        <v>2523</v>
      </c>
      <c r="AR19">
        <v>1902314</v>
      </c>
    </row>
    <row r="20" spans="1:44">
      <c r="A20" s="1">
        <f>HYPERLINK("https://lsnyc.legalserver.org/matter/dynamic-profile/view/1901620","19-1901620")</f>
        <v>0</v>
      </c>
      <c r="B20" t="s">
        <v>62</v>
      </c>
      <c r="C20" t="s">
        <v>535</v>
      </c>
      <c r="D20" t="s">
        <v>546</v>
      </c>
      <c r="E20" t="s">
        <v>561</v>
      </c>
      <c r="F20" t="s">
        <v>580</v>
      </c>
      <c r="G20" t="s">
        <v>581</v>
      </c>
      <c r="H20">
        <v>179.02</v>
      </c>
      <c r="I20" t="s">
        <v>593</v>
      </c>
      <c r="K20" t="s">
        <v>581</v>
      </c>
      <c r="L20" t="s">
        <v>816</v>
      </c>
      <c r="N20" t="s">
        <v>820</v>
      </c>
      <c r="O20" t="s">
        <v>824</v>
      </c>
      <c r="P20" t="s">
        <v>828</v>
      </c>
      <c r="Q20">
        <v>7011</v>
      </c>
      <c r="R20" t="s">
        <v>835</v>
      </c>
      <c r="S20" t="s">
        <v>861</v>
      </c>
      <c r="T20" t="s">
        <v>888</v>
      </c>
      <c r="U20" t="s">
        <v>1299</v>
      </c>
      <c r="W20" t="s">
        <v>1684</v>
      </c>
      <c r="X20">
        <v>16.45</v>
      </c>
      <c r="Y20">
        <v>0</v>
      </c>
      <c r="Z20">
        <v>1</v>
      </c>
      <c r="AA20" t="s">
        <v>1691</v>
      </c>
      <c r="AB20" t="s">
        <v>1711</v>
      </c>
      <c r="AC20">
        <v>35</v>
      </c>
      <c r="AD20" t="s">
        <v>2182</v>
      </c>
      <c r="AI20" t="s">
        <v>582</v>
      </c>
      <c r="AJ20" t="s">
        <v>2512</v>
      </c>
      <c r="AL20" t="s">
        <v>2519</v>
      </c>
      <c r="AM20" t="s">
        <v>2522</v>
      </c>
      <c r="AR20">
        <v>1902273</v>
      </c>
    </row>
    <row r="21" spans="1:44">
      <c r="A21" s="1">
        <f>HYPERLINK("https://lsnyc.legalserver.org/matter/dynamic-profile/view/1901463","19-1901463")</f>
        <v>0</v>
      </c>
      <c r="B21" t="s">
        <v>63</v>
      </c>
      <c r="C21" t="s">
        <v>535</v>
      </c>
      <c r="D21" t="s">
        <v>541</v>
      </c>
      <c r="E21" t="s">
        <v>563</v>
      </c>
      <c r="F21" t="s">
        <v>580</v>
      </c>
      <c r="G21" t="s">
        <v>581</v>
      </c>
      <c r="H21">
        <v>19.22</v>
      </c>
      <c r="I21" t="s">
        <v>594</v>
      </c>
      <c r="J21" t="s">
        <v>784</v>
      </c>
      <c r="L21" t="s">
        <v>816</v>
      </c>
      <c r="N21" t="s">
        <v>821</v>
      </c>
      <c r="O21" t="s">
        <v>825</v>
      </c>
      <c r="P21" t="s">
        <v>830</v>
      </c>
      <c r="Q21">
        <v>10040</v>
      </c>
      <c r="R21" t="s">
        <v>840</v>
      </c>
      <c r="S21" t="s">
        <v>861</v>
      </c>
      <c r="T21" t="s">
        <v>889</v>
      </c>
      <c r="U21" t="s">
        <v>1300</v>
      </c>
      <c r="V21" t="s">
        <v>1679</v>
      </c>
      <c r="W21" t="s">
        <v>1687</v>
      </c>
      <c r="X21">
        <v>1.6</v>
      </c>
      <c r="Y21">
        <v>0</v>
      </c>
      <c r="Z21">
        <v>1</v>
      </c>
      <c r="AA21" t="s">
        <v>1692</v>
      </c>
      <c r="AB21" t="s">
        <v>1712</v>
      </c>
      <c r="AC21">
        <v>33</v>
      </c>
      <c r="AD21" t="s">
        <v>2183</v>
      </c>
      <c r="AH21" t="s">
        <v>2359</v>
      </c>
      <c r="AI21" t="s">
        <v>582</v>
      </c>
      <c r="AJ21" t="s">
        <v>2512</v>
      </c>
      <c r="AK21" t="s">
        <v>2514</v>
      </c>
      <c r="AL21" t="s">
        <v>2519</v>
      </c>
      <c r="AM21" t="s">
        <v>2522</v>
      </c>
      <c r="AR21">
        <v>802645</v>
      </c>
    </row>
    <row r="22" spans="1:44">
      <c r="A22" s="1">
        <f>HYPERLINK("https://lsnyc.legalserver.org/matter/dynamic-profile/view/1901469","19-1901469")</f>
        <v>0</v>
      </c>
      <c r="B22" t="s">
        <v>64</v>
      </c>
      <c r="C22" t="s">
        <v>535</v>
      </c>
      <c r="D22" t="s">
        <v>541</v>
      </c>
      <c r="E22" t="s">
        <v>561</v>
      </c>
      <c r="F22" t="s">
        <v>580</v>
      </c>
      <c r="G22" t="s">
        <v>581</v>
      </c>
      <c r="H22">
        <v>76.86</v>
      </c>
      <c r="I22" t="s">
        <v>594</v>
      </c>
      <c r="J22" t="s">
        <v>785</v>
      </c>
      <c r="K22" t="s">
        <v>582</v>
      </c>
      <c r="L22" t="s">
        <v>816</v>
      </c>
      <c r="N22" t="s">
        <v>820</v>
      </c>
      <c r="O22" t="s">
        <v>825</v>
      </c>
      <c r="P22" t="s">
        <v>828</v>
      </c>
      <c r="Q22">
        <v>10026</v>
      </c>
      <c r="R22" t="s">
        <v>835</v>
      </c>
      <c r="S22" t="s">
        <v>861</v>
      </c>
      <c r="T22" t="s">
        <v>890</v>
      </c>
      <c r="U22" t="s">
        <v>1301</v>
      </c>
      <c r="V22" t="s">
        <v>1678</v>
      </c>
      <c r="W22" t="s">
        <v>1684</v>
      </c>
      <c r="X22">
        <v>11.75</v>
      </c>
      <c r="Y22">
        <v>0</v>
      </c>
      <c r="Z22">
        <v>1</v>
      </c>
      <c r="AA22" t="s">
        <v>1692</v>
      </c>
      <c r="AB22" t="s">
        <v>1713</v>
      </c>
      <c r="AC22">
        <v>30</v>
      </c>
      <c r="AD22" t="s">
        <v>2184</v>
      </c>
      <c r="AI22" t="s">
        <v>582</v>
      </c>
      <c r="AJ22" t="s">
        <v>2511</v>
      </c>
      <c r="AL22" t="s">
        <v>2519</v>
      </c>
      <c r="AM22" t="s">
        <v>2522</v>
      </c>
      <c r="AR22">
        <v>1902122</v>
      </c>
    </row>
    <row r="23" spans="1:44">
      <c r="A23" s="1">
        <f>HYPERLINK("https://lsnyc.legalserver.org/matter/dynamic-profile/view/1901311","19-1901311")</f>
        <v>0</v>
      </c>
      <c r="B23" t="s">
        <v>65</v>
      </c>
      <c r="C23" t="s">
        <v>536</v>
      </c>
      <c r="D23" t="s">
        <v>544</v>
      </c>
      <c r="E23" t="s">
        <v>562</v>
      </c>
      <c r="F23" t="s">
        <v>580</v>
      </c>
      <c r="G23" t="s">
        <v>581</v>
      </c>
      <c r="H23">
        <v>0</v>
      </c>
      <c r="I23" t="s">
        <v>595</v>
      </c>
      <c r="J23" t="s">
        <v>782</v>
      </c>
      <c r="K23" t="s">
        <v>582</v>
      </c>
      <c r="L23" t="s">
        <v>816</v>
      </c>
      <c r="N23" t="s">
        <v>821</v>
      </c>
      <c r="O23" t="s">
        <v>825</v>
      </c>
      <c r="P23" t="s">
        <v>830</v>
      </c>
      <c r="Q23">
        <v>11233</v>
      </c>
      <c r="S23" t="s">
        <v>861</v>
      </c>
      <c r="T23" t="s">
        <v>891</v>
      </c>
      <c r="U23" t="s">
        <v>1302</v>
      </c>
      <c r="V23" t="s">
        <v>1680</v>
      </c>
      <c r="W23" t="s">
        <v>1686</v>
      </c>
      <c r="X23">
        <v>19.5</v>
      </c>
      <c r="Y23">
        <v>0</v>
      </c>
      <c r="Z23">
        <v>1</v>
      </c>
      <c r="AA23" t="s">
        <v>1692</v>
      </c>
      <c r="AB23" t="s">
        <v>1714</v>
      </c>
      <c r="AC23">
        <v>26</v>
      </c>
      <c r="AD23" t="s">
        <v>2171</v>
      </c>
      <c r="AH23" t="s">
        <v>2389</v>
      </c>
      <c r="AI23" t="s">
        <v>582</v>
      </c>
      <c r="AJ23" t="s">
        <v>2511</v>
      </c>
      <c r="AK23" t="s">
        <v>2515</v>
      </c>
      <c r="AL23" t="s">
        <v>2521</v>
      </c>
      <c r="AM23" t="s">
        <v>2527</v>
      </c>
      <c r="AR23">
        <v>1901963</v>
      </c>
    </row>
    <row r="24" spans="1:44">
      <c r="A24" s="1">
        <f>HYPERLINK("https://lsnyc.legalserver.org/matter/dynamic-profile/view/1901349","19-1901349")</f>
        <v>0</v>
      </c>
      <c r="B24" t="s">
        <v>66</v>
      </c>
      <c r="C24" t="s">
        <v>535</v>
      </c>
      <c r="D24" t="s">
        <v>542</v>
      </c>
      <c r="E24" t="s">
        <v>561</v>
      </c>
      <c r="F24" t="s">
        <v>580</v>
      </c>
      <c r="G24" t="s">
        <v>581</v>
      </c>
      <c r="H24">
        <v>0</v>
      </c>
      <c r="I24" t="s">
        <v>595</v>
      </c>
      <c r="K24" t="s">
        <v>582</v>
      </c>
      <c r="L24" t="s">
        <v>816</v>
      </c>
      <c r="N24" t="s">
        <v>820</v>
      </c>
      <c r="O24" t="s">
        <v>824</v>
      </c>
      <c r="P24" t="s">
        <v>828</v>
      </c>
      <c r="Q24">
        <v>10303</v>
      </c>
      <c r="R24" t="s">
        <v>835</v>
      </c>
      <c r="S24" t="s">
        <v>861</v>
      </c>
      <c r="T24" t="s">
        <v>892</v>
      </c>
      <c r="U24" t="s">
        <v>1303</v>
      </c>
      <c r="W24" t="s">
        <v>1684</v>
      </c>
      <c r="X24">
        <v>27</v>
      </c>
      <c r="Y24">
        <v>0</v>
      </c>
      <c r="Z24">
        <v>3</v>
      </c>
      <c r="AA24" t="s">
        <v>1691</v>
      </c>
      <c r="AB24" t="s">
        <v>1715</v>
      </c>
      <c r="AC24">
        <v>60</v>
      </c>
      <c r="AD24" t="s">
        <v>2171</v>
      </c>
      <c r="AI24" t="s">
        <v>582</v>
      </c>
      <c r="AJ24" t="s">
        <v>2511</v>
      </c>
      <c r="AL24" t="s">
        <v>2519</v>
      </c>
      <c r="AM24" t="s">
        <v>2522</v>
      </c>
      <c r="AR24">
        <v>1902002</v>
      </c>
    </row>
    <row r="25" spans="1:44">
      <c r="A25" s="1">
        <f>HYPERLINK("https://lsnyc.legalserver.org/matter/dynamic-profile/view/1901352","19-1901352")</f>
        <v>0</v>
      </c>
      <c r="B25" t="s">
        <v>67</v>
      </c>
      <c r="C25" t="s">
        <v>535</v>
      </c>
      <c r="D25" t="s">
        <v>542</v>
      </c>
      <c r="E25" t="s">
        <v>561</v>
      </c>
      <c r="F25" t="s">
        <v>580</v>
      </c>
      <c r="G25" t="s">
        <v>581</v>
      </c>
      <c r="H25">
        <v>0</v>
      </c>
      <c r="I25" t="s">
        <v>595</v>
      </c>
      <c r="K25" t="s">
        <v>582</v>
      </c>
      <c r="L25" t="s">
        <v>816</v>
      </c>
      <c r="N25" t="s">
        <v>820</v>
      </c>
      <c r="O25" t="s">
        <v>825</v>
      </c>
      <c r="P25" t="s">
        <v>828</v>
      </c>
      <c r="Q25">
        <v>10304</v>
      </c>
      <c r="R25" t="s">
        <v>835</v>
      </c>
      <c r="S25" t="s">
        <v>861</v>
      </c>
      <c r="T25" t="s">
        <v>893</v>
      </c>
      <c r="U25" t="s">
        <v>1304</v>
      </c>
      <c r="W25" t="s">
        <v>1684</v>
      </c>
      <c r="X25">
        <v>6.75</v>
      </c>
      <c r="Y25">
        <v>0</v>
      </c>
      <c r="Z25">
        <v>1</v>
      </c>
      <c r="AA25" t="s">
        <v>1691</v>
      </c>
      <c r="AB25" t="s">
        <v>1716</v>
      </c>
      <c r="AC25">
        <v>38</v>
      </c>
      <c r="AD25" t="s">
        <v>2171</v>
      </c>
      <c r="AI25" t="s">
        <v>582</v>
      </c>
      <c r="AJ25" t="s">
        <v>2512</v>
      </c>
      <c r="AL25" t="s">
        <v>2519</v>
      </c>
      <c r="AM25" t="s">
        <v>2522</v>
      </c>
      <c r="AR25">
        <v>749035</v>
      </c>
    </row>
    <row r="26" spans="1:44">
      <c r="A26" s="1">
        <f>HYPERLINK("https://lsnyc.legalserver.org/matter/dynamic-profile/view/1901383","19-1901383")</f>
        <v>0</v>
      </c>
      <c r="B26" t="s">
        <v>68</v>
      </c>
      <c r="C26" t="s">
        <v>535</v>
      </c>
      <c r="D26" t="s">
        <v>541</v>
      </c>
      <c r="E26" t="s">
        <v>563</v>
      </c>
      <c r="F26" t="s">
        <v>580</v>
      </c>
      <c r="G26" t="s">
        <v>581</v>
      </c>
      <c r="H26">
        <v>0</v>
      </c>
      <c r="I26" t="s">
        <v>595</v>
      </c>
      <c r="K26" t="s">
        <v>582</v>
      </c>
      <c r="L26" t="s">
        <v>816</v>
      </c>
      <c r="N26" t="s">
        <v>821</v>
      </c>
      <c r="O26" t="s">
        <v>825</v>
      </c>
      <c r="P26" t="s">
        <v>832</v>
      </c>
      <c r="Q26">
        <v>10002</v>
      </c>
      <c r="S26" t="s">
        <v>861</v>
      </c>
      <c r="T26" t="s">
        <v>894</v>
      </c>
      <c r="U26" t="s">
        <v>1305</v>
      </c>
      <c r="W26" t="s">
        <v>1684</v>
      </c>
      <c r="X26">
        <v>2.05</v>
      </c>
      <c r="Y26">
        <v>0</v>
      </c>
      <c r="Z26">
        <v>1</v>
      </c>
      <c r="AA26" t="s">
        <v>1691</v>
      </c>
      <c r="AB26" t="s">
        <v>1717</v>
      </c>
      <c r="AC26">
        <v>52</v>
      </c>
      <c r="AD26" t="s">
        <v>2171</v>
      </c>
      <c r="AH26" t="s">
        <v>2390</v>
      </c>
      <c r="AI26" t="s">
        <v>581</v>
      </c>
      <c r="AJ26" t="s">
        <v>2511</v>
      </c>
      <c r="AK26" t="s">
        <v>2514</v>
      </c>
      <c r="AL26" t="s">
        <v>2520</v>
      </c>
      <c r="AM26" t="s">
        <v>2523</v>
      </c>
      <c r="AR26">
        <v>1902036</v>
      </c>
    </row>
    <row r="27" spans="1:44">
      <c r="A27" s="1">
        <f>HYPERLINK("https://lsnyc.legalserver.org/matter/dynamic-profile/view/1901202","19-1901202")</f>
        <v>0</v>
      </c>
      <c r="B27" t="s">
        <v>69</v>
      </c>
      <c r="C27" t="s">
        <v>537</v>
      </c>
      <c r="D27" t="s">
        <v>544</v>
      </c>
      <c r="E27" t="s">
        <v>568</v>
      </c>
      <c r="F27" t="s">
        <v>581</v>
      </c>
      <c r="G27" t="s">
        <v>581</v>
      </c>
      <c r="H27">
        <v>0</v>
      </c>
      <c r="I27" t="s">
        <v>596</v>
      </c>
      <c r="J27" t="s">
        <v>786</v>
      </c>
      <c r="K27" t="s">
        <v>581</v>
      </c>
      <c r="L27" t="s">
        <v>816</v>
      </c>
      <c r="N27" t="s">
        <v>820</v>
      </c>
      <c r="O27" t="s">
        <v>825</v>
      </c>
      <c r="P27" t="s">
        <v>828</v>
      </c>
      <c r="Q27">
        <v>11225</v>
      </c>
      <c r="S27" t="s">
        <v>861</v>
      </c>
      <c r="T27" t="s">
        <v>895</v>
      </c>
      <c r="U27" t="s">
        <v>1306</v>
      </c>
      <c r="V27" t="s">
        <v>1678</v>
      </c>
      <c r="W27" t="s">
        <v>1684</v>
      </c>
      <c r="X27">
        <v>8</v>
      </c>
      <c r="Y27">
        <v>0</v>
      </c>
      <c r="Z27">
        <v>1</v>
      </c>
      <c r="AA27" t="s">
        <v>1692</v>
      </c>
      <c r="AB27" t="s">
        <v>1718</v>
      </c>
      <c r="AC27">
        <v>62</v>
      </c>
      <c r="AD27" t="s">
        <v>2171</v>
      </c>
      <c r="AI27" t="s">
        <v>581</v>
      </c>
      <c r="AJ27" t="s">
        <v>2511</v>
      </c>
      <c r="AK27" t="s">
        <v>2514</v>
      </c>
      <c r="AM27" t="s">
        <v>2523</v>
      </c>
      <c r="AR27">
        <v>1901854</v>
      </c>
    </row>
    <row r="28" spans="1:44">
      <c r="A28" s="1">
        <f>HYPERLINK("https://lsnyc.legalserver.org/matter/dynamic-profile/view/1901136","19-1901136")</f>
        <v>0</v>
      </c>
      <c r="B28" t="s">
        <v>70</v>
      </c>
      <c r="C28" t="s">
        <v>536</v>
      </c>
      <c r="D28" t="s">
        <v>544</v>
      </c>
      <c r="E28" t="s">
        <v>566</v>
      </c>
      <c r="F28" t="s">
        <v>580</v>
      </c>
      <c r="G28" t="s">
        <v>581</v>
      </c>
      <c r="H28">
        <v>0</v>
      </c>
      <c r="I28" t="s">
        <v>597</v>
      </c>
      <c r="J28" t="s">
        <v>596</v>
      </c>
      <c r="K28" t="s">
        <v>581</v>
      </c>
      <c r="L28" t="s">
        <v>816</v>
      </c>
      <c r="N28" t="s">
        <v>820</v>
      </c>
      <c r="O28" t="s">
        <v>824</v>
      </c>
      <c r="P28" t="s">
        <v>828</v>
      </c>
      <c r="Q28">
        <v>11203</v>
      </c>
      <c r="S28" t="s">
        <v>861</v>
      </c>
      <c r="T28" t="s">
        <v>896</v>
      </c>
      <c r="U28" t="s">
        <v>1307</v>
      </c>
      <c r="V28" t="s">
        <v>1678</v>
      </c>
      <c r="W28" t="s">
        <v>1684</v>
      </c>
      <c r="X28">
        <v>2.05</v>
      </c>
      <c r="Y28">
        <v>0</v>
      </c>
      <c r="Z28">
        <v>1</v>
      </c>
      <c r="AA28" t="s">
        <v>1692</v>
      </c>
      <c r="AB28" t="s">
        <v>1719</v>
      </c>
      <c r="AC28">
        <v>53</v>
      </c>
      <c r="AD28" t="s">
        <v>2171</v>
      </c>
      <c r="AI28" t="s">
        <v>581</v>
      </c>
      <c r="AJ28" t="s">
        <v>2511</v>
      </c>
      <c r="AM28" t="s">
        <v>2523</v>
      </c>
      <c r="AR28">
        <v>1901788</v>
      </c>
    </row>
    <row r="29" spans="1:44">
      <c r="A29" s="1">
        <f>HYPERLINK("https://lsnyc.legalserver.org/matter/dynamic-profile/view/1901079","19-1901079")</f>
        <v>0</v>
      </c>
      <c r="B29" t="s">
        <v>71</v>
      </c>
      <c r="C29" t="s">
        <v>537</v>
      </c>
      <c r="D29" t="s">
        <v>545</v>
      </c>
      <c r="E29" t="s">
        <v>568</v>
      </c>
      <c r="F29" t="s">
        <v>580</v>
      </c>
      <c r="G29" t="s">
        <v>581</v>
      </c>
      <c r="H29">
        <v>20.18</v>
      </c>
      <c r="I29" t="s">
        <v>597</v>
      </c>
      <c r="K29" t="s">
        <v>582</v>
      </c>
      <c r="L29" t="s">
        <v>816</v>
      </c>
      <c r="N29" t="s">
        <v>820</v>
      </c>
      <c r="O29" t="s">
        <v>824</v>
      </c>
      <c r="P29" t="s">
        <v>828</v>
      </c>
      <c r="Q29">
        <v>11385</v>
      </c>
      <c r="S29" t="s">
        <v>865</v>
      </c>
      <c r="T29" t="s">
        <v>897</v>
      </c>
      <c r="U29" t="s">
        <v>1308</v>
      </c>
      <c r="W29" t="s">
        <v>1684</v>
      </c>
      <c r="X29">
        <v>6.25</v>
      </c>
      <c r="Y29">
        <v>0</v>
      </c>
      <c r="Z29">
        <v>1</v>
      </c>
      <c r="AA29" t="s">
        <v>1691</v>
      </c>
      <c r="AB29" t="s">
        <v>1720</v>
      </c>
      <c r="AC29">
        <v>55</v>
      </c>
      <c r="AD29" t="s">
        <v>2185</v>
      </c>
      <c r="AJ29" t="s">
        <v>2511</v>
      </c>
      <c r="AM29" t="s">
        <v>2523</v>
      </c>
      <c r="AR29">
        <v>1901731</v>
      </c>
    </row>
    <row r="30" spans="1:44">
      <c r="A30" s="1">
        <f>HYPERLINK("https://lsnyc.legalserver.org/matter/dynamic-profile/view/1901158","19-1901158")</f>
        <v>0</v>
      </c>
      <c r="B30" t="s">
        <v>72</v>
      </c>
      <c r="C30" t="s">
        <v>537</v>
      </c>
      <c r="D30" t="s">
        <v>545</v>
      </c>
      <c r="E30" t="s">
        <v>568</v>
      </c>
      <c r="F30" t="s">
        <v>580</v>
      </c>
      <c r="G30" t="s">
        <v>581</v>
      </c>
      <c r="H30">
        <v>0</v>
      </c>
      <c r="I30" t="s">
        <v>597</v>
      </c>
      <c r="K30" t="s">
        <v>582</v>
      </c>
      <c r="L30" t="s">
        <v>816</v>
      </c>
      <c r="N30" t="s">
        <v>820</v>
      </c>
      <c r="O30" t="s">
        <v>824</v>
      </c>
      <c r="P30" t="s">
        <v>828</v>
      </c>
      <c r="Q30">
        <v>11004</v>
      </c>
      <c r="S30" t="s">
        <v>861</v>
      </c>
      <c r="T30" t="s">
        <v>898</v>
      </c>
      <c r="U30" t="s">
        <v>1309</v>
      </c>
      <c r="X30">
        <v>5.75</v>
      </c>
      <c r="Y30">
        <v>3</v>
      </c>
      <c r="Z30">
        <v>1</v>
      </c>
      <c r="AA30" t="s">
        <v>1691</v>
      </c>
      <c r="AB30" t="s">
        <v>1721</v>
      </c>
      <c r="AC30">
        <v>36</v>
      </c>
      <c r="AD30" t="s">
        <v>2171</v>
      </c>
      <c r="AI30" t="s">
        <v>581</v>
      </c>
      <c r="AJ30" t="s">
        <v>2511</v>
      </c>
      <c r="AL30" t="s">
        <v>2520</v>
      </c>
      <c r="AM30" t="s">
        <v>2523</v>
      </c>
      <c r="AR30">
        <v>1901810</v>
      </c>
    </row>
    <row r="31" spans="1:44">
      <c r="A31" s="1">
        <f>HYPERLINK("https://lsnyc.legalserver.org/matter/dynamic-profile/view/1901000","19-1901000")</f>
        <v>0</v>
      </c>
      <c r="B31" t="s">
        <v>73</v>
      </c>
      <c r="C31" t="s">
        <v>535</v>
      </c>
      <c r="D31" t="s">
        <v>543</v>
      </c>
      <c r="E31" t="s">
        <v>561</v>
      </c>
      <c r="F31" t="s">
        <v>580</v>
      </c>
      <c r="G31" t="s">
        <v>581</v>
      </c>
      <c r="H31">
        <v>0</v>
      </c>
      <c r="I31" t="s">
        <v>598</v>
      </c>
      <c r="K31" t="s">
        <v>582</v>
      </c>
      <c r="L31" t="s">
        <v>816</v>
      </c>
      <c r="N31" t="s">
        <v>820</v>
      </c>
      <c r="O31" t="s">
        <v>825</v>
      </c>
      <c r="P31" t="s">
        <v>828</v>
      </c>
      <c r="Q31">
        <v>10461</v>
      </c>
      <c r="R31" t="s">
        <v>835</v>
      </c>
      <c r="S31" t="s">
        <v>861</v>
      </c>
      <c r="T31" t="s">
        <v>899</v>
      </c>
      <c r="U31" t="s">
        <v>1310</v>
      </c>
      <c r="W31" t="s">
        <v>1684</v>
      </c>
      <c r="X31">
        <v>4</v>
      </c>
      <c r="Y31">
        <v>1</v>
      </c>
      <c r="Z31">
        <v>1</v>
      </c>
      <c r="AA31" t="s">
        <v>1691</v>
      </c>
      <c r="AB31" t="s">
        <v>1722</v>
      </c>
      <c r="AC31">
        <v>36</v>
      </c>
      <c r="AD31" t="s">
        <v>2171</v>
      </c>
      <c r="AG31" t="s">
        <v>2359</v>
      </c>
      <c r="AI31" t="s">
        <v>582</v>
      </c>
      <c r="AJ31" t="s">
        <v>2512</v>
      </c>
      <c r="AL31" t="s">
        <v>2519</v>
      </c>
      <c r="AM31" t="s">
        <v>2522</v>
      </c>
      <c r="AR31">
        <v>1901652</v>
      </c>
    </row>
    <row r="32" spans="1:44">
      <c r="A32" s="1">
        <f>HYPERLINK("https://lsnyc.legalserver.org/matter/dynamic-profile/view/1901010","19-1901010")</f>
        <v>0</v>
      </c>
      <c r="B32" t="s">
        <v>74</v>
      </c>
      <c r="C32" t="s">
        <v>535</v>
      </c>
      <c r="D32" t="s">
        <v>542</v>
      </c>
      <c r="E32" t="s">
        <v>561</v>
      </c>
      <c r="F32" t="s">
        <v>580</v>
      </c>
      <c r="G32" t="s">
        <v>581</v>
      </c>
      <c r="H32">
        <v>0</v>
      </c>
      <c r="I32" t="s">
        <v>598</v>
      </c>
      <c r="K32" t="s">
        <v>582</v>
      </c>
      <c r="L32" t="s">
        <v>816</v>
      </c>
      <c r="N32" t="s">
        <v>820</v>
      </c>
      <c r="O32" t="s">
        <v>824</v>
      </c>
      <c r="P32" t="s">
        <v>828</v>
      </c>
      <c r="Q32">
        <v>10312</v>
      </c>
      <c r="R32" t="s">
        <v>835</v>
      </c>
      <c r="S32" t="s">
        <v>861</v>
      </c>
      <c r="T32" t="s">
        <v>900</v>
      </c>
      <c r="U32" t="s">
        <v>1311</v>
      </c>
      <c r="W32" t="s">
        <v>1684</v>
      </c>
      <c r="X32">
        <v>3.5</v>
      </c>
      <c r="Y32">
        <v>1</v>
      </c>
      <c r="Z32">
        <v>1</v>
      </c>
      <c r="AA32" t="s">
        <v>1691</v>
      </c>
      <c r="AB32" t="s">
        <v>1723</v>
      </c>
      <c r="AC32">
        <v>56</v>
      </c>
      <c r="AD32" t="s">
        <v>2171</v>
      </c>
      <c r="AI32" t="s">
        <v>581</v>
      </c>
      <c r="AJ32" t="s">
        <v>2511</v>
      </c>
      <c r="AL32" t="s">
        <v>2520</v>
      </c>
      <c r="AM32" t="s">
        <v>2523</v>
      </c>
      <c r="AR32">
        <v>1901662</v>
      </c>
    </row>
    <row r="33" spans="1:44">
      <c r="A33" s="1">
        <f>HYPERLINK("https://lsnyc.legalserver.org/matter/dynamic-profile/view/1900877","19-1900877")</f>
        <v>0</v>
      </c>
      <c r="B33" t="s">
        <v>75</v>
      </c>
      <c r="C33" t="s">
        <v>535</v>
      </c>
      <c r="D33" t="s">
        <v>543</v>
      </c>
      <c r="E33" t="s">
        <v>561</v>
      </c>
      <c r="F33" t="s">
        <v>580</v>
      </c>
      <c r="G33" t="s">
        <v>581</v>
      </c>
      <c r="H33">
        <v>0</v>
      </c>
      <c r="I33" t="s">
        <v>599</v>
      </c>
      <c r="K33" t="s">
        <v>582</v>
      </c>
      <c r="L33" t="s">
        <v>816</v>
      </c>
      <c r="N33" t="s">
        <v>820</v>
      </c>
      <c r="O33" t="s">
        <v>824</v>
      </c>
      <c r="P33" t="s">
        <v>828</v>
      </c>
      <c r="Q33">
        <v>10461</v>
      </c>
      <c r="S33" t="s">
        <v>861</v>
      </c>
      <c r="T33" t="s">
        <v>901</v>
      </c>
      <c r="U33" t="s">
        <v>1312</v>
      </c>
      <c r="W33" t="s">
        <v>1684</v>
      </c>
      <c r="X33">
        <v>5.5</v>
      </c>
      <c r="Y33">
        <v>0</v>
      </c>
      <c r="Z33">
        <v>1</v>
      </c>
      <c r="AA33" t="s">
        <v>1691</v>
      </c>
      <c r="AB33" t="s">
        <v>1724</v>
      </c>
      <c r="AC33">
        <v>55</v>
      </c>
      <c r="AD33" t="s">
        <v>2171</v>
      </c>
      <c r="AI33" t="s">
        <v>582</v>
      </c>
      <c r="AJ33" t="s">
        <v>2512</v>
      </c>
      <c r="AL33" t="s">
        <v>2519</v>
      </c>
      <c r="AM33" t="s">
        <v>2522</v>
      </c>
      <c r="AR33">
        <v>1901529</v>
      </c>
    </row>
    <row r="34" spans="1:44">
      <c r="A34" s="1">
        <f>HYPERLINK("https://lsnyc.legalserver.org/matter/dynamic-profile/view/1900681","19-1900681")</f>
        <v>0</v>
      </c>
      <c r="B34" t="s">
        <v>76</v>
      </c>
      <c r="C34" t="s">
        <v>535</v>
      </c>
      <c r="D34" t="s">
        <v>543</v>
      </c>
      <c r="E34" t="s">
        <v>561</v>
      </c>
      <c r="F34" t="s">
        <v>580</v>
      </c>
      <c r="G34" t="s">
        <v>581</v>
      </c>
      <c r="H34">
        <v>0</v>
      </c>
      <c r="I34" t="s">
        <v>600</v>
      </c>
      <c r="K34" t="s">
        <v>582</v>
      </c>
      <c r="L34" t="s">
        <v>816</v>
      </c>
      <c r="N34" t="s">
        <v>820</v>
      </c>
      <c r="O34" t="s">
        <v>824</v>
      </c>
      <c r="P34" t="s">
        <v>828</v>
      </c>
      <c r="Q34">
        <v>10452</v>
      </c>
      <c r="R34" t="s">
        <v>835</v>
      </c>
      <c r="S34" t="s">
        <v>861</v>
      </c>
      <c r="T34" t="s">
        <v>902</v>
      </c>
      <c r="U34" t="s">
        <v>1313</v>
      </c>
      <c r="W34" t="s">
        <v>1684</v>
      </c>
      <c r="X34">
        <v>19.5</v>
      </c>
      <c r="Y34">
        <v>0</v>
      </c>
      <c r="Z34">
        <v>1</v>
      </c>
      <c r="AA34" t="s">
        <v>1691</v>
      </c>
      <c r="AB34" t="s">
        <v>1725</v>
      </c>
      <c r="AC34">
        <v>26</v>
      </c>
      <c r="AD34" t="s">
        <v>2171</v>
      </c>
      <c r="AI34" t="s">
        <v>582</v>
      </c>
      <c r="AJ34" t="s">
        <v>2511</v>
      </c>
      <c r="AL34" t="s">
        <v>2519</v>
      </c>
      <c r="AM34" t="s">
        <v>2522</v>
      </c>
      <c r="AR34">
        <v>1901331</v>
      </c>
    </row>
    <row r="35" spans="1:44">
      <c r="A35" s="1">
        <f>HYPERLINK("https://lsnyc.legalserver.org/matter/dynamic-profile/view/1900689","19-1900689")</f>
        <v>0</v>
      </c>
      <c r="B35" t="s">
        <v>77</v>
      </c>
      <c r="C35" t="s">
        <v>535</v>
      </c>
      <c r="D35" t="s">
        <v>543</v>
      </c>
      <c r="E35" t="s">
        <v>561</v>
      </c>
      <c r="F35" t="s">
        <v>580</v>
      </c>
      <c r="G35" t="s">
        <v>581</v>
      </c>
      <c r="H35">
        <v>83.27</v>
      </c>
      <c r="I35" t="s">
        <v>600</v>
      </c>
      <c r="K35" t="s">
        <v>582</v>
      </c>
      <c r="L35" t="s">
        <v>816</v>
      </c>
      <c r="N35" t="s">
        <v>820</v>
      </c>
      <c r="O35" t="s">
        <v>824</v>
      </c>
      <c r="P35" t="s">
        <v>828</v>
      </c>
      <c r="Q35">
        <v>10462</v>
      </c>
      <c r="R35" t="s">
        <v>835</v>
      </c>
      <c r="S35" t="s">
        <v>861</v>
      </c>
      <c r="T35" t="s">
        <v>903</v>
      </c>
      <c r="U35" t="s">
        <v>1314</v>
      </c>
      <c r="W35" t="s">
        <v>1684</v>
      </c>
      <c r="X35">
        <v>3</v>
      </c>
      <c r="Y35">
        <v>0</v>
      </c>
      <c r="Z35">
        <v>1</v>
      </c>
      <c r="AA35" t="s">
        <v>1691</v>
      </c>
      <c r="AB35" t="s">
        <v>1726</v>
      </c>
      <c r="AC35">
        <v>20</v>
      </c>
      <c r="AD35" t="s">
        <v>2186</v>
      </c>
      <c r="AI35" t="s">
        <v>581</v>
      </c>
      <c r="AJ35" t="s">
        <v>2511</v>
      </c>
      <c r="AK35" t="s">
        <v>2514</v>
      </c>
      <c r="AL35" t="s">
        <v>2520</v>
      </c>
      <c r="AM35" t="s">
        <v>2523</v>
      </c>
      <c r="AR35">
        <v>1901339</v>
      </c>
    </row>
    <row r="36" spans="1:44">
      <c r="A36" s="1">
        <f>HYPERLINK("https://lsnyc.legalserver.org/matter/dynamic-profile/view/1900438","19-1900438")</f>
        <v>0</v>
      </c>
      <c r="B36" t="s">
        <v>78</v>
      </c>
      <c r="C36" t="s">
        <v>536</v>
      </c>
      <c r="D36" t="s">
        <v>544</v>
      </c>
      <c r="E36" t="s">
        <v>562</v>
      </c>
      <c r="F36" t="s">
        <v>580</v>
      </c>
      <c r="G36" t="s">
        <v>581</v>
      </c>
      <c r="H36">
        <v>1.54</v>
      </c>
      <c r="I36" t="s">
        <v>601</v>
      </c>
      <c r="J36" t="s">
        <v>595</v>
      </c>
      <c r="K36" t="s">
        <v>582</v>
      </c>
      <c r="L36" t="s">
        <v>816</v>
      </c>
      <c r="N36" t="s">
        <v>821</v>
      </c>
      <c r="O36" t="s">
        <v>825</v>
      </c>
      <c r="P36" t="s">
        <v>833</v>
      </c>
      <c r="Q36">
        <v>11208</v>
      </c>
      <c r="R36" t="s">
        <v>841</v>
      </c>
      <c r="S36" t="s">
        <v>861</v>
      </c>
      <c r="T36" t="s">
        <v>904</v>
      </c>
      <c r="U36" t="s">
        <v>1315</v>
      </c>
      <c r="V36" t="s">
        <v>1678</v>
      </c>
      <c r="W36" t="s">
        <v>1684</v>
      </c>
      <c r="X36">
        <v>2.3</v>
      </c>
      <c r="Y36">
        <v>0</v>
      </c>
      <c r="Z36">
        <v>1</v>
      </c>
      <c r="AA36" t="s">
        <v>1692</v>
      </c>
      <c r="AB36" t="s">
        <v>1727</v>
      </c>
      <c r="AC36">
        <v>55</v>
      </c>
      <c r="AD36" t="s">
        <v>2187</v>
      </c>
      <c r="AH36" t="s">
        <v>2391</v>
      </c>
      <c r="AI36" t="s">
        <v>581</v>
      </c>
      <c r="AJ36" t="s">
        <v>2511</v>
      </c>
      <c r="AK36" t="s">
        <v>2514</v>
      </c>
      <c r="AL36" t="s">
        <v>2520</v>
      </c>
      <c r="AM36" t="s">
        <v>2523</v>
      </c>
      <c r="AR36">
        <v>769594</v>
      </c>
    </row>
    <row r="37" spans="1:44">
      <c r="A37" s="1">
        <f>HYPERLINK("https://lsnyc.legalserver.org/matter/dynamic-profile/view/1900622","19-1900622")</f>
        <v>0</v>
      </c>
      <c r="B37" t="s">
        <v>79</v>
      </c>
      <c r="C37" t="s">
        <v>536</v>
      </c>
      <c r="D37" t="s">
        <v>544</v>
      </c>
      <c r="E37" t="s">
        <v>562</v>
      </c>
      <c r="F37" t="s">
        <v>580</v>
      </c>
      <c r="G37" t="s">
        <v>581</v>
      </c>
      <c r="H37">
        <v>0</v>
      </c>
      <c r="I37" t="s">
        <v>601</v>
      </c>
      <c r="J37" t="s">
        <v>587</v>
      </c>
      <c r="K37" t="s">
        <v>582</v>
      </c>
      <c r="L37" t="s">
        <v>816</v>
      </c>
      <c r="N37" t="s">
        <v>821</v>
      </c>
      <c r="O37" t="s">
        <v>825</v>
      </c>
      <c r="P37" t="s">
        <v>829</v>
      </c>
      <c r="Q37">
        <v>11233</v>
      </c>
      <c r="S37" t="s">
        <v>861</v>
      </c>
      <c r="T37" t="s">
        <v>905</v>
      </c>
      <c r="U37" t="s">
        <v>1316</v>
      </c>
      <c r="V37" t="s">
        <v>1678</v>
      </c>
      <c r="W37" t="s">
        <v>1684</v>
      </c>
      <c r="X37">
        <v>2</v>
      </c>
      <c r="Y37">
        <v>1</v>
      </c>
      <c r="Z37">
        <v>2</v>
      </c>
      <c r="AA37" t="s">
        <v>1692</v>
      </c>
      <c r="AB37" t="s">
        <v>1728</v>
      </c>
      <c r="AC37">
        <v>30</v>
      </c>
      <c r="AD37" t="s">
        <v>2171</v>
      </c>
      <c r="AH37" t="s">
        <v>2392</v>
      </c>
      <c r="AI37" t="s">
        <v>581</v>
      </c>
      <c r="AJ37" t="s">
        <v>2511</v>
      </c>
      <c r="AK37" t="s">
        <v>2514</v>
      </c>
      <c r="AL37" t="s">
        <v>2520</v>
      </c>
      <c r="AM37" t="s">
        <v>2523</v>
      </c>
      <c r="AR37">
        <v>1901272</v>
      </c>
    </row>
    <row r="38" spans="1:44">
      <c r="A38" s="1">
        <f>HYPERLINK("https://lsnyc.legalserver.org/matter/dynamic-profile/view/1900615","19-1900615")</f>
        <v>0</v>
      </c>
      <c r="B38" t="s">
        <v>80</v>
      </c>
      <c r="C38" t="s">
        <v>536</v>
      </c>
      <c r="D38" t="s">
        <v>543</v>
      </c>
      <c r="E38" t="s">
        <v>569</v>
      </c>
      <c r="F38" t="s">
        <v>580</v>
      </c>
      <c r="G38" t="s">
        <v>581</v>
      </c>
      <c r="H38">
        <v>84.19</v>
      </c>
      <c r="I38" t="s">
        <v>601</v>
      </c>
      <c r="L38" t="s">
        <v>816</v>
      </c>
      <c r="N38" t="s">
        <v>821</v>
      </c>
      <c r="O38" t="s">
        <v>825</v>
      </c>
      <c r="P38" t="s">
        <v>833</v>
      </c>
      <c r="Q38">
        <v>10453</v>
      </c>
      <c r="S38" t="s">
        <v>861</v>
      </c>
      <c r="T38" t="s">
        <v>906</v>
      </c>
      <c r="U38" t="s">
        <v>1317</v>
      </c>
      <c r="W38" t="s">
        <v>1688</v>
      </c>
      <c r="X38">
        <v>13.3</v>
      </c>
      <c r="Y38">
        <v>4</v>
      </c>
      <c r="Z38">
        <v>2</v>
      </c>
      <c r="AA38" t="s">
        <v>1691</v>
      </c>
      <c r="AB38" t="s">
        <v>1729</v>
      </c>
      <c r="AC38">
        <v>41</v>
      </c>
      <c r="AD38" t="s">
        <v>2188</v>
      </c>
      <c r="AI38" t="s">
        <v>582</v>
      </c>
      <c r="AJ38" t="s">
        <v>2512</v>
      </c>
      <c r="AM38" t="s">
        <v>2524</v>
      </c>
      <c r="AR38">
        <v>1901265</v>
      </c>
    </row>
    <row r="39" spans="1:44">
      <c r="A39" s="1">
        <f>HYPERLINK("https://lsnyc.legalserver.org/matter/dynamic-profile/view/1900443","19-1900443")</f>
        <v>0</v>
      </c>
      <c r="B39" t="s">
        <v>81</v>
      </c>
      <c r="C39" t="s">
        <v>535</v>
      </c>
      <c r="D39" t="s">
        <v>547</v>
      </c>
      <c r="E39" t="s">
        <v>563</v>
      </c>
      <c r="F39" t="s">
        <v>580</v>
      </c>
      <c r="G39" t="s">
        <v>581</v>
      </c>
      <c r="H39">
        <v>187.53</v>
      </c>
      <c r="I39" t="s">
        <v>602</v>
      </c>
      <c r="J39" t="s">
        <v>784</v>
      </c>
      <c r="K39" t="s">
        <v>582</v>
      </c>
      <c r="L39" t="s">
        <v>816</v>
      </c>
      <c r="N39" t="s">
        <v>821</v>
      </c>
      <c r="O39" t="s">
        <v>825</v>
      </c>
      <c r="P39" t="s">
        <v>830</v>
      </c>
      <c r="Q39">
        <v>8850</v>
      </c>
      <c r="R39" t="s">
        <v>840</v>
      </c>
      <c r="S39" t="s">
        <v>861</v>
      </c>
      <c r="T39" t="s">
        <v>907</v>
      </c>
      <c r="U39" t="s">
        <v>1318</v>
      </c>
      <c r="V39" t="s">
        <v>1678</v>
      </c>
      <c r="W39" t="s">
        <v>1684</v>
      </c>
      <c r="X39">
        <v>1.85</v>
      </c>
      <c r="Y39">
        <v>0</v>
      </c>
      <c r="Z39">
        <v>3</v>
      </c>
      <c r="AA39" t="s">
        <v>1692</v>
      </c>
      <c r="AB39" t="s">
        <v>1730</v>
      </c>
      <c r="AC39">
        <v>54</v>
      </c>
      <c r="AD39" t="s">
        <v>2189</v>
      </c>
      <c r="AH39" t="s">
        <v>2391</v>
      </c>
      <c r="AI39" t="s">
        <v>581</v>
      </c>
      <c r="AJ39" t="s">
        <v>2511</v>
      </c>
      <c r="AK39" t="s">
        <v>2514</v>
      </c>
      <c r="AL39" t="s">
        <v>2520</v>
      </c>
      <c r="AM39" t="s">
        <v>2523</v>
      </c>
      <c r="AR39">
        <v>1901093</v>
      </c>
    </row>
    <row r="40" spans="1:44">
      <c r="A40" s="1">
        <f>HYPERLINK("https://lsnyc.legalserver.org/matter/dynamic-profile/view/1900469","19-1900469")</f>
        <v>0</v>
      </c>
      <c r="B40" t="s">
        <v>82</v>
      </c>
      <c r="C40" t="s">
        <v>535</v>
      </c>
      <c r="D40" t="s">
        <v>545</v>
      </c>
      <c r="E40" t="s">
        <v>563</v>
      </c>
      <c r="F40" t="s">
        <v>580</v>
      </c>
      <c r="G40" t="s">
        <v>581</v>
      </c>
      <c r="H40">
        <v>0</v>
      </c>
      <c r="I40" t="s">
        <v>602</v>
      </c>
      <c r="J40" t="s">
        <v>784</v>
      </c>
      <c r="K40" t="s">
        <v>582</v>
      </c>
      <c r="L40" t="s">
        <v>816</v>
      </c>
      <c r="N40" t="s">
        <v>821</v>
      </c>
      <c r="O40" t="s">
        <v>824</v>
      </c>
      <c r="P40" t="s">
        <v>829</v>
      </c>
      <c r="Q40">
        <v>11419</v>
      </c>
      <c r="R40" t="s">
        <v>838</v>
      </c>
      <c r="S40" t="s">
        <v>861</v>
      </c>
      <c r="T40" t="s">
        <v>908</v>
      </c>
      <c r="U40" t="s">
        <v>1319</v>
      </c>
      <c r="V40" t="s">
        <v>1678</v>
      </c>
      <c r="W40" t="s">
        <v>1684</v>
      </c>
      <c r="X40">
        <v>0.75</v>
      </c>
      <c r="Y40">
        <v>0</v>
      </c>
      <c r="Z40">
        <v>1</v>
      </c>
      <c r="AA40" t="s">
        <v>1692</v>
      </c>
      <c r="AB40" t="s">
        <v>1731</v>
      </c>
      <c r="AC40">
        <v>33</v>
      </c>
      <c r="AD40" t="s">
        <v>2171</v>
      </c>
      <c r="AH40" t="s">
        <v>2393</v>
      </c>
      <c r="AI40" t="s">
        <v>581</v>
      </c>
      <c r="AJ40" t="s">
        <v>2511</v>
      </c>
      <c r="AK40" t="s">
        <v>2514</v>
      </c>
      <c r="AL40" t="s">
        <v>2520</v>
      </c>
      <c r="AM40" t="s">
        <v>2523</v>
      </c>
      <c r="AR40">
        <v>1901111</v>
      </c>
    </row>
    <row r="41" spans="1:44">
      <c r="A41" s="1">
        <f>HYPERLINK("https://lsnyc.legalserver.org/matter/dynamic-profile/view/1900391","19-1900391")</f>
        <v>0</v>
      </c>
      <c r="B41" t="s">
        <v>83</v>
      </c>
      <c r="C41" t="s">
        <v>536</v>
      </c>
      <c r="D41" t="s">
        <v>544</v>
      </c>
      <c r="E41" t="s">
        <v>569</v>
      </c>
      <c r="F41" t="s">
        <v>580</v>
      </c>
      <c r="G41" t="s">
        <v>581</v>
      </c>
      <c r="H41">
        <v>165.7</v>
      </c>
      <c r="I41" t="s">
        <v>602</v>
      </c>
      <c r="K41" t="s">
        <v>581</v>
      </c>
      <c r="L41" t="s">
        <v>816</v>
      </c>
      <c r="N41" t="s">
        <v>821</v>
      </c>
      <c r="O41" t="s">
        <v>825</v>
      </c>
      <c r="P41" t="s">
        <v>829</v>
      </c>
      <c r="Q41">
        <v>11217</v>
      </c>
      <c r="R41" t="s">
        <v>842</v>
      </c>
      <c r="S41" t="s">
        <v>861</v>
      </c>
      <c r="T41" t="s">
        <v>909</v>
      </c>
      <c r="U41" t="s">
        <v>1320</v>
      </c>
      <c r="W41" t="s">
        <v>1684</v>
      </c>
      <c r="X41">
        <v>2</v>
      </c>
      <c r="Y41">
        <v>0</v>
      </c>
      <c r="Z41">
        <v>1</v>
      </c>
      <c r="AA41" t="s">
        <v>1691</v>
      </c>
      <c r="AB41" t="s">
        <v>1732</v>
      </c>
      <c r="AC41">
        <v>39</v>
      </c>
      <c r="AD41" t="s">
        <v>2190</v>
      </c>
      <c r="AJ41" t="s">
        <v>2511</v>
      </c>
      <c r="AM41" t="s">
        <v>2523</v>
      </c>
      <c r="AR41">
        <v>1890639</v>
      </c>
    </row>
    <row r="42" spans="1:44">
      <c r="A42" s="1">
        <f>HYPERLINK("https://lsnyc.legalserver.org/matter/dynamic-profile/view/1900426","19-1900426")</f>
        <v>0</v>
      </c>
      <c r="B42" t="s">
        <v>84</v>
      </c>
      <c r="C42" t="s">
        <v>535</v>
      </c>
      <c r="D42" t="s">
        <v>541</v>
      </c>
      <c r="E42" t="s">
        <v>561</v>
      </c>
      <c r="F42" t="s">
        <v>580</v>
      </c>
      <c r="G42" t="s">
        <v>581</v>
      </c>
      <c r="H42">
        <v>17.58</v>
      </c>
      <c r="I42" t="s">
        <v>602</v>
      </c>
      <c r="K42" t="s">
        <v>581</v>
      </c>
      <c r="L42" t="s">
        <v>816</v>
      </c>
      <c r="N42" t="s">
        <v>820</v>
      </c>
      <c r="O42" t="s">
        <v>824</v>
      </c>
      <c r="P42" t="s">
        <v>828</v>
      </c>
      <c r="Q42">
        <v>10037</v>
      </c>
      <c r="R42" t="s">
        <v>835</v>
      </c>
      <c r="S42" t="s">
        <v>861</v>
      </c>
      <c r="T42" t="s">
        <v>910</v>
      </c>
      <c r="U42" t="s">
        <v>1321</v>
      </c>
      <c r="W42" t="s">
        <v>1684</v>
      </c>
      <c r="X42">
        <v>5</v>
      </c>
      <c r="Y42">
        <v>0</v>
      </c>
      <c r="Z42">
        <v>1</v>
      </c>
      <c r="AA42" t="s">
        <v>1691</v>
      </c>
      <c r="AB42" t="s">
        <v>1733</v>
      </c>
      <c r="AC42">
        <v>49</v>
      </c>
      <c r="AD42" t="s">
        <v>2191</v>
      </c>
      <c r="AI42" t="s">
        <v>581</v>
      </c>
      <c r="AJ42" t="s">
        <v>2511</v>
      </c>
      <c r="AK42" t="s">
        <v>2514</v>
      </c>
      <c r="AL42" t="s">
        <v>2520</v>
      </c>
      <c r="AM42" t="s">
        <v>2523</v>
      </c>
      <c r="AR42">
        <v>1901076</v>
      </c>
    </row>
    <row r="43" spans="1:44">
      <c r="A43" s="1">
        <f>HYPERLINK("https://lsnyc.legalserver.org/matter/dynamic-profile/view/1900492","19-1900492")</f>
        <v>0</v>
      </c>
      <c r="B43" t="s">
        <v>85</v>
      </c>
      <c r="C43" t="s">
        <v>535</v>
      </c>
      <c r="D43" t="s">
        <v>541</v>
      </c>
      <c r="E43" t="s">
        <v>563</v>
      </c>
      <c r="F43" t="s">
        <v>580</v>
      </c>
      <c r="G43" t="s">
        <v>581</v>
      </c>
      <c r="H43">
        <v>79.98</v>
      </c>
      <c r="I43" t="s">
        <v>602</v>
      </c>
      <c r="K43" t="s">
        <v>582</v>
      </c>
      <c r="L43" t="s">
        <v>816</v>
      </c>
      <c r="N43" t="s">
        <v>821</v>
      </c>
      <c r="O43" t="s">
        <v>825</v>
      </c>
      <c r="P43" t="s">
        <v>833</v>
      </c>
      <c r="Q43">
        <v>10023</v>
      </c>
      <c r="R43" t="s">
        <v>843</v>
      </c>
      <c r="S43" t="s">
        <v>861</v>
      </c>
      <c r="T43" t="s">
        <v>911</v>
      </c>
      <c r="U43" t="s">
        <v>1322</v>
      </c>
      <c r="W43" t="s">
        <v>1684</v>
      </c>
      <c r="X43">
        <v>1.01</v>
      </c>
      <c r="Y43">
        <v>4</v>
      </c>
      <c r="Z43">
        <v>2</v>
      </c>
      <c r="AA43" t="s">
        <v>1691</v>
      </c>
      <c r="AB43" t="s">
        <v>1734</v>
      </c>
      <c r="AC43">
        <v>35</v>
      </c>
      <c r="AD43" t="s">
        <v>2192</v>
      </c>
      <c r="AH43" t="s">
        <v>2394</v>
      </c>
      <c r="AJ43" t="s">
        <v>2511</v>
      </c>
      <c r="AK43" t="s">
        <v>2514</v>
      </c>
      <c r="AL43" t="s">
        <v>2520</v>
      </c>
      <c r="AM43" t="s">
        <v>2523</v>
      </c>
      <c r="AR43">
        <v>1901142</v>
      </c>
    </row>
    <row r="44" spans="1:44">
      <c r="A44" s="1">
        <f>HYPERLINK("https://lsnyc.legalserver.org/matter/dynamic-profile/view/1900355","19-1900355")</f>
        <v>0</v>
      </c>
      <c r="B44" t="s">
        <v>86</v>
      </c>
      <c r="C44" t="s">
        <v>536</v>
      </c>
      <c r="D44" t="s">
        <v>544</v>
      </c>
      <c r="E44" t="s">
        <v>569</v>
      </c>
      <c r="F44" t="s">
        <v>580</v>
      </c>
      <c r="G44" t="s">
        <v>581</v>
      </c>
      <c r="H44">
        <v>0</v>
      </c>
      <c r="I44" t="s">
        <v>603</v>
      </c>
      <c r="K44" t="s">
        <v>582</v>
      </c>
      <c r="L44" t="s">
        <v>816</v>
      </c>
      <c r="N44" t="s">
        <v>820</v>
      </c>
      <c r="O44" t="s">
        <v>825</v>
      </c>
      <c r="P44" t="s">
        <v>828</v>
      </c>
      <c r="Q44">
        <v>11210</v>
      </c>
      <c r="S44" t="s">
        <v>861</v>
      </c>
      <c r="T44" t="s">
        <v>912</v>
      </c>
      <c r="U44" t="s">
        <v>1323</v>
      </c>
      <c r="W44" t="s">
        <v>1685</v>
      </c>
      <c r="X44">
        <v>90.09999999999999</v>
      </c>
      <c r="Y44">
        <v>1</v>
      </c>
      <c r="Z44">
        <v>1</v>
      </c>
      <c r="AA44" t="s">
        <v>1691</v>
      </c>
      <c r="AB44" t="s">
        <v>1735</v>
      </c>
      <c r="AC44">
        <v>45</v>
      </c>
      <c r="AD44" t="s">
        <v>2171</v>
      </c>
      <c r="AI44" t="s">
        <v>582</v>
      </c>
      <c r="AJ44" t="s">
        <v>2511</v>
      </c>
      <c r="AL44" t="s">
        <v>2521</v>
      </c>
      <c r="AM44" t="s">
        <v>2525</v>
      </c>
      <c r="AR44">
        <v>1901005</v>
      </c>
    </row>
    <row r="45" spans="1:44">
      <c r="A45" s="1">
        <f>HYPERLINK("https://lsnyc.legalserver.org/matter/dynamic-profile/view/1900153","19-1900153")</f>
        <v>0</v>
      </c>
      <c r="B45" t="s">
        <v>87</v>
      </c>
      <c r="C45" t="s">
        <v>536</v>
      </c>
      <c r="D45" t="s">
        <v>544</v>
      </c>
      <c r="E45" t="s">
        <v>566</v>
      </c>
      <c r="F45" t="s">
        <v>580</v>
      </c>
      <c r="G45" t="s">
        <v>581</v>
      </c>
      <c r="H45">
        <v>177.41</v>
      </c>
      <c r="I45" t="s">
        <v>604</v>
      </c>
      <c r="J45" t="s">
        <v>783</v>
      </c>
      <c r="K45" t="s">
        <v>582</v>
      </c>
      <c r="L45" t="s">
        <v>816</v>
      </c>
      <c r="N45" t="s">
        <v>820</v>
      </c>
      <c r="O45" t="s">
        <v>824</v>
      </c>
      <c r="P45" t="s">
        <v>828</v>
      </c>
      <c r="Q45">
        <v>11209</v>
      </c>
      <c r="S45" t="s">
        <v>861</v>
      </c>
      <c r="T45" t="s">
        <v>913</v>
      </c>
      <c r="U45" t="s">
        <v>1324</v>
      </c>
      <c r="V45" t="s">
        <v>1678</v>
      </c>
      <c r="W45" t="s">
        <v>1684</v>
      </c>
      <c r="X45">
        <v>2.1</v>
      </c>
      <c r="Y45">
        <v>0</v>
      </c>
      <c r="Z45">
        <v>2</v>
      </c>
      <c r="AA45" t="s">
        <v>1692</v>
      </c>
      <c r="AB45" t="s">
        <v>1736</v>
      </c>
      <c r="AC45">
        <v>41</v>
      </c>
      <c r="AD45" t="s">
        <v>2193</v>
      </c>
      <c r="AI45" t="s">
        <v>581</v>
      </c>
      <c r="AJ45" t="s">
        <v>2511</v>
      </c>
      <c r="AL45" t="s">
        <v>2520</v>
      </c>
      <c r="AM45" t="s">
        <v>2523</v>
      </c>
      <c r="AR45">
        <v>1900803</v>
      </c>
    </row>
    <row r="46" spans="1:44">
      <c r="A46" s="1">
        <f>HYPERLINK("https://lsnyc.legalserver.org/matter/dynamic-profile/view/1900105","19-1900105")</f>
        <v>0</v>
      </c>
      <c r="B46" t="s">
        <v>88</v>
      </c>
      <c r="C46" t="s">
        <v>537</v>
      </c>
      <c r="D46" t="s">
        <v>545</v>
      </c>
      <c r="E46" t="s">
        <v>568</v>
      </c>
      <c r="F46" t="s">
        <v>581</v>
      </c>
      <c r="G46" t="s">
        <v>581</v>
      </c>
      <c r="H46">
        <v>34.47</v>
      </c>
      <c r="I46" t="s">
        <v>604</v>
      </c>
      <c r="J46" t="s">
        <v>787</v>
      </c>
      <c r="K46" t="s">
        <v>582</v>
      </c>
      <c r="L46" t="s">
        <v>816</v>
      </c>
      <c r="N46" t="s">
        <v>820</v>
      </c>
      <c r="O46" t="s">
        <v>825</v>
      </c>
      <c r="P46" t="s">
        <v>828</v>
      </c>
      <c r="Q46">
        <v>11377</v>
      </c>
      <c r="S46" t="s">
        <v>861</v>
      </c>
      <c r="T46" t="s">
        <v>914</v>
      </c>
      <c r="U46" t="s">
        <v>1325</v>
      </c>
      <c r="V46" t="s">
        <v>1678</v>
      </c>
      <c r="W46" t="s">
        <v>1684</v>
      </c>
      <c r="X46">
        <v>3.75</v>
      </c>
      <c r="Y46">
        <v>3</v>
      </c>
      <c r="Z46">
        <v>2</v>
      </c>
      <c r="AA46" t="s">
        <v>1692</v>
      </c>
      <c r="AB46" t="s">
        <v>1737</v>
      </c>
      <c r="AC46">
        <v>46</v>
      </c>
      <c r="AD46" t="s">
        <v>2186</v>
      </c>
      <c r="AI46" t="s">
        <v>581</v>
      </c>
      <c r="AJ46" t="s">
        <v>2511</v>
      </c>
      <c r="AK46" t="s">
        <v>2514</v>
      </c>
      <c r="AL46" t="s">
        <v>2520</v>
      </c>
      <c r="AM46" t="s">
        <v>2523</v>
      </c>
      <c r="AR46">
        <v>1900755</v>
      </c>
    </row>
    <row r="47" spans="1:44">
      <c r="A47" s="1">
        <f>HYPERLINK("https://lsnyc.legalserver.org/matter/dynamic-profile/view/1900134","19-1900134")</f>
        <v>0</v>
      </c>
      <c r="B47" t="s">
        <v>89</v>
      </c>
      <c r="C47" t="s">
        <v>537</v>
      </c>
      <c r="D47" t="s">
        <v>545</v>
      </c>
      <c r="E47" t="s">
        <v>568</v>
      </c>
      <c r="F47" t="s">
        <v>581</v>
      </c>
      <c r="G47" t="s">
        <v>581</v>
      </c>
      <c r="H47">
        <v>0</v>
      </c>
      <c r="I47" t="s">
        <v>604</v>
      </c>
      <c r="J47" t="s">
        <v>787</v>
      </c>
      <c r="K47" t="s">
        <v>582</v>
      </c>
      <c r="L47" t="s">
        <v>816</v>
      </c>
      <c r="N47" t="s">
        <v>820</v>
      </c>
      <c r="O47" t="s">
        <v>825</v>
      </c>
      <c r="P47" t="s">
        <v>828</v>
      </c>
      <c r="Q47">
        <v>11436</v>
      </c>
      <c r="S47" t="s">
        <v>861</v>
      </c>
      <c r="T47" t="s">
        <v>915</v>
      </c>
      <c r="U47" t="s">
        <v>1326</v>
      </c>
      <c r="V47" t="s">
        <v>1678</v>
      </c>
      <c r="W47" t="s">
        <v>1684</v>
      </c>
      <c r="X47">
        <v>7.75</v>
      </c>
      <c r="Y47">
        <v>0</v>
      </c>
      <c r="Z47">
        <v>1</v>
      </c>
      <c r="AA47" t="s">
        <v>1692</v>
      </c>
      <c r="AB47" t="s">
        <v>1738</v>
      </c>
      <c r="AC47">
        <v>27</v>
      </c>
      <c r="AD47" t="s">
        <v>2171</v>
      </c>
      <c r="AI47" t="s">
        <v>581</v>
      </c>
      <c r="AJ47" t="s">
        <v>2511</v>
      </c>
      <c r="AK47" t="s">
        <v>2514</v>
      </c>
      <c r="AL47" t="s">
        <v>2520</v>
      </c>
      <c r="AM47" t="s">
        <v>2523</v>
      </c>
      <c r="AR47">
        <v>1900784</v>
      </c>
    </row>
    <row r="48" spans="1:44">
      <c r="A48" s="1">
        <f>HYPERLINK("https://lsnyc.legalserver.org/matter/dynamic-profile/view/1900126","19-1900126")</f>
        <v>0</v>
      </c>
      <c r="B48" t="s">
        <v>90</v>
      </c>
      <c r="C48" t="s">
        <v>535</v>
      </c>
      <c r="D48" t="s">
        <v>548</v>
      </c>
      <c r="E48" t="s">
        <v>561</v>
      </c>
      <c r="F48" t="s">
        <v>580</v>
      </c>
      <c r="G48" t="s">
        <v>581</v>
      </c>
      <c r="H48">
        <v>0</v>
      </c>
      <c r="I48" t="s">
        <v>604</v>
      </c>
      <c r="K48" t="s">
        <v>582</v>
      </c>
      <c r="L48" t="s">
        <v>816</v>
      </c>
      <c r="N48" t="s">
        <v>820</v>
      </c>
      <c r="O48" t="s">
        <v>824</v>
      </c>
      <c r="P48" t="s">
        <v>828</v>
      </c>
      <c r="Q48">
        <v>11003</v>
      </c>
      <c r="R48" t="s">
        <v>835</v>
      </c>
      <c r="S48" t="s">
        <v>861</v>
      </c>
      <c r="T48" t="s">
        <v>916</v>
      </c>
      <c r="U48" t="s">
        <v>1327</v>
      </c>
      <c r="W48" t="s">
        <v>1684</v>
      </c>
      <c r="X48">
        <v>2.85</v>
      </c>
      <c r="Y48">
        <v>0</v>
      </c>
      <c r="Z48">
        <v>1</v>
      </c>
      <c r="AA48" t="s">
        <v>1691</v>
      </c>
      <c r="AB48" t="s">
        <v>1739</v>
      </c>
      <c r="AC48">
        <v>54</v>
      </c>
      <c r="AD48" t="s">
        <v>2171</v>
      </c>
      <c r="AI48" t="s">
        <v>581</v>
      </c>
      <c r="AJ48" t="s">
        <v>2511</v>
      </c>
      <c r="AL48" t="s">
        <v>2520</v>
      </c>
      <c r="AM48" t="s">
        <v>2523</v>
      </c>
      <c r="AR48">
        <v>1900776</v>
      </c>
    </row>
    <row r="49" spans="1:44">
      <c r="A49" s="1">
        <f>HYPERLINK("https://lsnyc.legalserver.org/matter/dynamic-profile/view/1900029","19-1900029")</f>
        <v>0</v>
      </c>
      <c r="B49" t="s">
        <v>91</v>
      </c>
      <c r="C49" t="s">
        <v>536</v>
      </c>
      <c r="D49" t="s">
        <v>544</v>
      </c>
      <c r="E49" t="s">
        <v>562</v>
      </c>
      <c r="F49" t="s">
        <v>580</v>
      </c>
      <c r="G49" t="s">
        <v>581</v>
      </c>
      <c r="H49">
        <v>12.99</v>
      </c>
      <c r="I49" t="s">
        <v>605</v>
      </c>
      <c r="J49" t="s">
        <v>595</v>
      </c>
      <c r="K49" t="s">
        <v>581</v>
      </c>
      <c r="L49" t="s">
        <v>816</v>
      </c>
      <c r="N49" t="s">
        <v>821</v>
      </c>
      <c r="O49" t="s">
        <v>825</v>
      </c>
      <c r="P49" t="s">
        <v>833</v>
      </c>
      <c r="Q49">
        <v>11207</v>
      </c>
      <c r="R49" t="s">
        <v>841</v>
      </c>
      <c r="S49" t="s">
        <v>861</v>
      </c>
      <c r="T49" t="s">
        <v>917</v>
      </c>
      <c r="U49" t="s">
        <v>1328</v>
      </c>
      <c r="V49" t="s">
        <v>1678</v>
      </c>
      <c r="W49" t="s">
        <v>1684</v>
      </c>
      <c r="X49">
        <v>2</v>
      </c>
      <c r="Y49">
        <v>0</v>
      </c>
      <c r="Z49">
        <v>2</v>
      </c>
      <c r="AA49" t="s">
        <v>1692</v>
      </c>
      <c r="AB49" t="s">
        <v>1740</v>
      </c>
      <c r="AC49">
        <v>31</v>
      </c>
      <c r="AD49" t="s">
        <v>2191</v>
      </c>
      <c r="AH49" t="s">
        <v>2391</v>
      </c>
      <c r="AI49" t="s">
        <v>581</v>
      </c>
      <c r="AJ49" t="s">
        <v>2511</v>
      </c>
      <c r="AK49" t="s">
        <v>2514</v>
      </c>
      <c r="AL49" t="s">
        <v>2520</v>
      </c>
      <c r="AM49" t="s">
        <v>2523</v>
      </c>
      <c r="AR49">
        <v>1900678</v>
      </c>
    </row>
    <row r="50" spans="1:44">
      <c r="A50" s="1">
        <f>HYPERLINK("https://lsnyc.legalserver.org/matter/dynamic-profile/view/1900044","19-1900044")</f>
        <v>0</v>
      </c>
      <c r="B50" t="s">
        <v>92</v>
      </c>
      <c r="C50" t="s">
        <v>535</v>
      </c>
      <c r="D50" t="s">
        <v>545</v>
      </c>
      <c r="E50" t="s">
        <v>563</v>
      </c>
      <c r="F50" t="s">
        <v>580</v>
      </c>
      <c r="G50" t="s">
        <v>581</v>
      </c>
      <c r="H50">
        <v>14.8</v>
      </c>
      <c r="I50" t="s">
        <v>605</v>
      </c>
      <c r="J50" t="s">
        <v>590</v>
      </c>
      <c r="K50" t="s">
        <v>582</v>
      </c>
      <c r="L50" t="s">
        <v>816</v>
      </c>
      <c r="N50" t="s">
        <v>821</v>
      </c>
      <c r="O50" t="s">
        <v>824</v>
      </c>
      <c r="P50" t="s">
        <v>833</v>
      </c>
      <c r="Q50">
        <v>11105</v>
      </c>
      <c r="R50" t="s">
        <v>843</v>
      </c>
      <c r="S50" t="s">
        <v>861</v>
      </c>
      <c r="T50" t="s">
        <v>918</v>
      </c>
      <c r="U50" t="s">
        <v>1329</v>
      </c>
      <c r="V50" t="s">
        <v>1678</v>
      </c>
      <c r="W50" t="s">
        <v>1684</v>
      </c>
      <c r="X50">
        <v>1.95</v>
      </c>
      <c r="Y50">
        <v>0</v>
      </c>
      <c r="Z50">
        <v>1</v>
      </c>
      <c r="AA50" t="s">
        <v>1692</v>
      </c>
      <c r="AB50" t="s">
        <v>1741</v>
      </c>
      <c r="AC50">
        <v>58</v>
      </c>
      <c r="AD50" t="s">
        <v>2194</v>
      </c>
      <c r="AH50" t="s">
        <v>2395</v>
      </c>
      <c r="AI50" t="s">
        <v>581</v>
      </c>
      <c r="AJ50" t="s">
        <v>2511</v>
      </c>
      <c r="AK50" t="s">
        <v>2514</v>
      </c>
      <c r="AL50" t="s">
        <v>2520</v>
      </c>
      <c r="AM50" t="s">
        <v>2523</v>
      </c>
      <c r="AR50">
        <v>1900693</v>
      </c>
    </row>
    <row r="51" spans="1:44">
      <c r="A51" s="1">
        <f>HYPERLINK("https://lsnyc.legalserver.org/matter/dynamic-profile/view/1899943","19-1899943")</f>
        <v>0</v>
      </c>
      <c r="B51" t="s">
        <v>93</v>
      </c>
      <c r="C51" t="s">
        <v>535</v>
      </c>
      <c r="D51" t="s">
        <v>541</v>
      </c>
      <c r="E51" t="s">
        <v>563</v>
      </c>
      <c r="F51" t="s">
        <v>580</v>
      </c>
      <c r="G51" t="s">
        <v>581</v>
      </c>
      <c r="H51">
        <v>81.86</v>
      </c>
      <c r="I51" t="s">
        <v>605</v>
      </c>
      <c r="J51" t="s">
        <v>786</v>
      </c>
      <c r="L51" t="s">
        <v>816</v>
      </c>
      <c r="N51" t="s">
        <v>821</v>
      </c>
      <c r="O51" t="s">
        <v>824</v>
      </c>
      <c r="P51" t="s">
        <v>830</v>
      </c>
      <c r="Q51">
        <v>10009</v>
      </c>
      <c r="R51" t="s">
        <v>840</v>
      </c>
      <c r="T51" t="s">
        <v>919</v>
      </c>
      <c r="U51" t="s">
        <v>1330</v>
      </c>
      <c r="V51" t="s">
        <v>1678</v>
      </c>
      <c r="W51" t="s">
        <v>1684</v>
      </c>
      <c r="X51">
        <v>0.75</v>
      </c>
      <c r="Y51">
        <v>0</v>
      </c>
      <c r="Z51">
        <v>3</v>
      </c>
      <c r="AA51" t="s">
        <v>1692</v>
      </c>
      <c r="AB51" t="s">
        <v>1742</v>
      </c>
      <c r="AC51">
        <v>49</v>
      </c>
      <c r="AD51" t="s">
        <v>2195</v>
      </c>
      <c r="AH51" t="s">
        <v>2396</v>
      </c>
      <c r="AI51" t="s">
        <v>582</v>
      </c>
      <c r="AJ51" t="s">
        <v>2512</v>
      </c>
      <c r="AK51" t="s">
        <v>2514</v>
      </c>
      <c r="AL51" t="s">
        <v>2519</v>
      </c>
      <c r="AM51" t="s">
        <v>2522</v>
      </c>
      <c r="AP51" t="s">
        <v>581</v>
      </c>
      <c r="AR51">
        <v>1900252</v>
      </c>
    </row>
    <row r="52" spans="1:44">
      <c r="A52" s="1">
        <f>HYPERLINK("https://lsnyc.legalserver.org/matter/dynamic-profile/view/1899898","19-1899898")</f>
        <v>0</v>
      </c>
      <c r="B52" t="s">
        <v>94</v>
      </c>
      <c r="C52" t="s">
        <v>536</v>
      </c>
      <c r="D52" t="s">
        <v>544</v>
      </c>
      <c r="E52" t="s">
        <v>566</v>
      </c>
      <c r="F52" t="s">
        <v>580</v>
      </c>
      <c r="G52" t="s">
        <v>581</v>
      </c>
      <c r="H52">
        <v>55.42</v>
      </c>
      <c r="I52" t="s">
        <v>606</v>
      </c>
      <c r="J52" t="s">
        <v>788</v>
      </c>
      <c r="K52" t="s">
        <v>582</v>
      </c>
      <c r="L52" t="s">
        <v>816</v>
      </c>
      <c r="N52" t="s">
        <v>820</v>
      </c>
      <c r="O52" t="s">
        <v>824</v>
      </c>
      <c r="P52" t="s">
        <v>828</v>
      </c>
      <c r="Q52">
        <v>11208</v>
      </c>
      <c r="S52" t="s">
        <v>861</v>
      </c>
      <c r="T52" t="s">
        <v>920</v>
      </c>
      <c r="U52" t="s">
        <v>1331</v>
      </c>
      <c r="V52" t="s">
        <v>1678</v>
      </c>
      <c r="X52">
        <v>3.15</v>
      </c>
      <c r="Y52">
        <v>1</v>
      </c>
      <c r="Z52">
        <v>1</v>
      </c>
      <c r="AA52" t="s">
        <v>1692</v>
      </c>
      <c r="AB52" t="s">
        <v>1743</v>
      </c>
      <c r="AC52">
        <v>36</v>
      </c>
      <c r="AD52" t="s">
        <v>2196</v>
      </c>
      <c r="AH52" t="s">
        <v>2397</v>
      </c>
      <c r="AJ52" t="s">
        <v>2511</v>
      </c>
      <c r="AK52" t="s">
        <v>2514</v>
      </c>
      <c r="AM52" t="s">
        <v>2523</v>
      </c>
      <c r="AR52">
        <v>407404</v>
      </c>
    </row>
    <row r="53" spans="1:44">
      <c r="A53" s="1">
        <f>HYPERLINK("https://lsnyc.legalserver.org/matter/dynamic-profile/view/1899897","19-1899897")</f>
        <v>0</v>
      </c>
      <c r="B53" t="s">
        <v>95</v>
      </c>
      <c r="C53" t="s">
        <v>536</v>
      </c>
      <c r="D53" t="s">
        <v>544</v>
      </c>
      <c r="E53" t="s">
        <v>566</v>
      </c>
      <c r="F53" t="s">
        <v>581</v>
      </c>
      <c r="G53" t="s">
        <v>581</v>
      </c>
      <c r="H53">
        <v>46.63</v>
      </c>
      <c r="I53" t="s">
        <v>606</v>
      </c>
      <c r="J53" t="s">
        <v>588</v>
      </c>
      <c r="K53" t="s">
        <v>582</v>
      </c>
      <c r="L53" t="s">
        <v>816</v>
      </c>
      <c r="N53" t="s">
        <v>820</v>
      </c>
      <c r="O53" t="s">
        <v>824</v>
      </c>
      <c r="P53" t="s">
        <v>828</v>
      </c>
      <c r="Q53">
        <v>11212</v>
      </c>
      <c r="S53" t="s">
        <v>861</v>
      </c>
      <c r="T53" t="s">
        <v>921</v>
      </c>
      <c r="U53" t="s">
        <v>1332</v>
      </c>
      <c r="V53" t="s">
        <v>1678</v>
      </c>
      <c r="W53" t="s">
        <v>1684</v>
      </c>
      <c r="X53">
        <v>3.25</v>
      </c>
      <c r="Y53">
        <v>0</v>
      </c>
      <c r="Z53">
        <v>1</v>
      </c>
      <c r="AA53" t="s">
        <v>1692</v>
      </c>
      <c r="AB53" t="s">
        <v>1744</v>
      </c>
      <c r="AC53">
        <v>51</v>
      </c>
      <c r="AD53" t="s">
        <v>2197</v>
      </c>
      <c r="AJ53" t="s">
        <v>2511</v>
      </c>
      <c r="AM53" t="s">
        <v>2523</v>
      </c>
      <c r="AR53">
        <v>779429</v>
      </c>
    </row>
    <row r="54" spans="1:44">
      <c r="A54" s="1">
        <f>HYPERLINK("https://lsnyc.legalserver.org/matter/dynamic-profile/view/1899811","19-1899811")</f>
        <v>0</v>
      </c>
      <c r="B54" t="s">
        <v>96</v>
      </c>
      <c r="C54" t="s">
        <v>535</v>
      </c>
      <c r="D54" t="s">
        <v>543</v>
      </c>
      <c r="E54" t="s">
        <v>561</v>
      </c>
      <c r="F54" t="s">
        <v>580</v>
      </c>
      <c r="G54" t="s">
        <v>581</v>
      </c>
      <c r="H54">
        <v>0</v>
      </c>
      <c r="I54" t="s">
        <v>606</v>
      </c>
      <c r="K54" t="s">
        <v>582</v>
      </c>
      <c r="L54" t="s">
        <v>816</v>
      </c>
      <c r="N54" t="s">
        <v>820</v>
      </c>
      <c r="O54" t="s">
        <v>824</v>
      </c>
      <c r="P54" t="s">
        <v>828</v>
      </c>
      <c r="Q54">
        <v>10459</v>
      </c>
      <c r="R54" t="s">
        <v>835</v>
      </c>
      <c r="S54" t="s">
        <v>863</v>
      </c>
      <c r="T54" t="s">
        <v>922</v>
      </c>
      <c r="U54" t="s">
        <v>1333</v>
      </c>
      <c r="W54" t="s">
        <v>1684</v>
      </c>
      <c r="X54">
        <v>2.65</v>
      </c>
      <c r="Y54">
        <v>0</v>
      </c>
      <c r="Z54">
        <v>1</v>
      </c>
      <c r="AA54" t="s">
        <v>1691</v>
      </c>
      <c r="AB54" t="s">
        <v>1745</v>
      </c>
      <c r="AC54">
        <v>54</v>
      </c>
      <c r="AD54" t="s">
        <v>2171</v>
      </c>
      <c r="AI54" t="s">
        <v>581</v>
      </c>
      <c r="AJ54" t="s">
        <v>2511</v>
      </c>
      <c r="AL54" t="s">
        <v>2520</v>
      </c>
      <c r="AM54" t="s">
        <v>2523</v>
      </c>
      <c r="AR54">
        <v>1900460</v>
      </c>
    </row>
    <row r="55" spans="1:44">
      <c r="A55" s="1">
        <f>HYPERLINK("https://lsnyc.legalserver.org/matter/dynamic-profile/view/1899693","19-1899693")</f>
        <v>0</v>
      </c>
      <c r="B55" t="s">
        <v>97</v>
      </c>
      <c r="C55" t="s">
        <v>535</v>
      </c>
      <c r="D55" t="s">
        <v>541</v>
      </c>
      <c r="E55" t="s">
        <v>561</v>
      </c>
      <c r="F55" t="s">
        <v>580</v>
      </c>
      <c r="G55" t="s">
        <v>581</v>
      </c>
      <c r="H55">
        <v>187.35</v>
      </c>
      <c r="I55" t="s">
        <v>607</v>
      </c>
      <c r="K55" t="s">
        <v>582</v>
      </c>
      <c r="L55" t="s">
        <v>816</v>
      </c>
      <c r="N55" t="s">
        <v>820</v>
      </c>
      <c r="O55" t="s">
        <v>825</v>
      </c>
      <c r="P55" t="s">
        <v>828</v>
      </c>
      <c r="Q55">
        <v>10025</v>
      </c>
      <c r="R55" t="s">
        <v>835</v>
      </c>
      <c r="S55" t="s">
        <v>861</v>
      </c>
      <c r="T55" t="s">
        <v>923</v>
      </c>
      <c r="U55" t="s">
        <v>1334</v>
      </c>
      <c r="W55" t="s">
        <v>1684</v>
      </c>
      <c r="X55">
        <v>5.25</v>
      </c>
      <c r="Y55">
        <v>0</v>
      </c>
      <c r="Z55">
        <v>1</v>
      </c>
      <c r="AA55" t="s">
        <v>1691</v>
      </c>
      <c r="AB55" t="s">
        <v>1746</v>
      </c>
      <c r="AC55">
        <v>30</v>
      </c>
      <c r="AD55" t="s">
        <v>2198</v>
      </c>
      <c r="AI55" t="s">
        <v>581</v>
      </c>
      <c r="AJ55" t="s">
        <v>2511</v>
      </c>
      <c r="AL55" t="s">
        <v>2520</v>
      </c>
      <c r="AM55" t="s">
        <v>2523</v>
      </c>
      <c r="AR55">
        <v>1900342</v>
      </c>
    </row>
    <row r="56" spans="1:44">
      <c r="A56" s="1">
        <f>HYPERLINK("https://lsnyc.legalserver.org/matter/dynamic-profile/view/1899729","19-1899729")</f>
        <v>0</v>
      </c>
      <c r="B56" t="s">
        <v>98</v>
      </c>
      <c r="C56" t="s">
        <v>535</v>
      </c>
      <c r="D56" t="s">
        <v>541</v>
      </c>
      <c r="E56" t="s">
        <v>570</v>
      </c>
      <c r="F56" t="s">
        <v>580</v>
      </c>
      <c r="G56" t="s">
        <v>581</v>
      </c>
      <c r="H56">
        <v>98.77</v>
      </c>
      <c r="I56" t="s">
        <v>607</v>
      </c>
      <c r="L56" t="s">
        <v>816</v>
      </c>
      <c r="N56" t="s">
        <v>821</v>
      </c>
      <c r="O56" t="s">
        <v>824</v>
      </c>
      <c r="P56" t="s">
        <v>833</v>
      </c>
      <c r="Q56">
        <v>10030</v>
      </c>
      <c r="R56" t="s">
        <v>844</v>
      </c>
      <c r="S56" t="s">
        <v>861</v>
      </c>
      <c r="T56" t="s">
        <v>924</v>
      </c>
      <c r="U56" t="s">
        <v>1335</v>
      </c>
      <c r="W56" t="s">
        <v>1685</v>
      </c>
      <c r="X56">
        <v>10.95</v>
      </c>
      <c r="Y56">
        <v>4</v>
      </c>
      <c r="Z56">
        <v>2</v>
      </c>
      <c r="AA56" t="s">
        <v>1691</v>
      </c>
      <c r="AB56" t="s">
        <v>1747</v>
      </c>
      <c r="AC56">
        <v>36</v>
      </c>
      <c r="AD56" t="s">
        <v>2199</v>
      </c>
      <c r="AI56" t="s">
        <v>582</v>
      </c>
      <c r="AJ56" t="s">
        <v>2512</v>
      </c>
      <c r="AL56" t="s">
        <v>2521</v>
      </c>
      <c r="AM56" t="s">
        <v>2526</v>
      </c>
      <c r="AR56">
        <v>1879658</v>
      </c>
    </row>
    <row r="57" spans="1:44">
      <c r="A57" s="1">
        <f>HYPERLINK("https://lsnyc.legalserver.org/matter/dynamic-profile/view/1899655","19-1899655")</f>
        <v>0</v>
      </c>
      <c r="B57" t="s">
        <v>99</v>
      </c>
      <c r="C57" t="s">
        <v>535</v>
      </c>
      <c r="D57" t="s">
        <v>541</v>
      </c>
      <c r="E57" t="s">
        <v>563</v>
      </c>
      <c r="F57" t="s">
        <v>580</v>
      </c>
      <c r="G57" t="s">
        <v>581</v>
      </c>
      <c r="H57">
        <v>186.52</v>
      </c>
      <c r="I57" t="s">
        <v>608</v>
      </c>
      <c r="J57" t="s">
        <v>594</v>
      </c>
      <c r="K57" t="s">
        <v>581</v>
      </c>
      <c r="L57" t="s">
        <v>816</v>
      </c>
      <c r="N57" t="s">
        <v>821</v>
      </c>
      <c r="O57" t="s">
        <v>824</v>
      </c>
      <c r="P57" t="s">
        <v>829</v>
      </c>
      <c r="Q57">
        <v>10035</v>
      </c>
      <c r="R57" t="s">
        <v>838</v>
      </c>
      <c r="S57" t="s">
        <v>861</v>
      </c>
      <c r="T57" t="s">
        <v>870</v>
      </c>
      <c r="U57" t="s">
        <v>1336</v>
      </c>
      <c r="V57" t="s">
        <v>1678</v>
      </c>
      <c r="W57" t="s">
        <v>1684</v>
      </c>
      <c r="X57">
        <v>2</v>
      </c>
      <c r="Y57">
        <v>0</v>
      </c>
      <c r="Z57">
        <v>1</v>
      </c>
      <c r="AA57" t="s">
        <v>1692</v>
      </c>
      <c r="AB57" t="s">
        <v>1748</v>
      </c>
      <c r="AC57">
        <v>57</v>
      </c>
      <c r="AD57" t="s">
        <v>2200</v>
      </c>
      <c r="AH57" t="s">
        <v>2398</v>
      </c>
      <c r="AI57" t="s">
        <v>581</v>
      </c>
      <c r="AJ57" t="s">
        <v>2511</v>
      </c>
      <c r="AK57" t="s">
        <v>2514</v>
      </c>
      <c r="AL57" t="s">
        <v>2520</v>
      </c>
      <c r="AM57" t="s">
        <v>2523</v>
      </c>
      <c r="AR57">
        <v>1900303</v>
      </c>
    </row>
    <row r="58" spans="1:44">
      <c r="A58" s="1">
        <f>HYPERLINK("https://lsnyc.legalserver.org/matter/dynamic-profile/view/1899571","19-1899571")</f>
        <v>0</v>
      </c>
      <c r="B58" t="s">
        <v>100</v>
      </c>
      <c r="C58" t="s">
        <v>537</v>
      </c>
      <c r="D58" t="s">
        <v>545</v>
      </c>
      <c r="E58" t="s">
        <v>568</v>
      </c>
      <c r="F58" t="s">
        <v>581</v>
      </c>
      <c r="G58" t="s">
        <v>581</v>
      </c>
      <c r="H58">
        <v>0</v>
      </c>
      <c r="I58" t="s">
        <v>608</v>
      </c>
      <c r="J58" t="s">
        <v>780</v>
      </c>
      <c r="K58" t="s">
        <v>582</v>
      </c>
      <c r="L58" t="s">
        <v>816</v>
      </c>
      <c r="N58" t="s">
        <v>820</v>
      </c>
      <c r="O58" t="s">
        <v>825</v>
      </c>
      <c r="P58" t="s">
        <v>828</v>
      </c>
      <c r="Q58">
        <v>11413</v>
      </c>
      <c r="S58" t="s">
        <v>861</v>
      </c>
      <c r="T58" t="s">
        <v>925</v>
      </c>
      <c r="U58" t="s">
        <v>1337</v>
      </c>
      <c r="V58" t="s">
        <v>1678</v>
      </c>
      <c r="W58" t="s">
        <v>1684</v>
      </c>
      <c r="X58">
        <v>3</v>
      </c>
      <c r="Y58">
        <v>0</v>
      </c>
      <c r="Z58">
        <v>1</v>
      </c>
      <c r="AA58" t="s">
        <v>1692</v>
      </c>
      <c r="AB58" t="s">
        <v>1749</v>
      </c>
      <c r="AC58">
        <v>34</v>
      </c>
      <c r="AD58" t="s">
        <v>2171</v>
      </c>
      <c r="AI58" t="s">
        <v>581</v>
      </c>
      <c r="AJ58" t="s">
        <v>2511</v>
      </c>
      <c r="AK58" t="s">
        <v>2514</v>
      </c>
      <c r="AL58" t="s">
        <v>2520</v>
      </c>
      <c r="AM58" t="s">
        <v>2523</v>
      </c>
      <c r="AR58">
        <v>1900219</v>
      </c>
    </row>
    <row r="59" spans="1:44">
      <c r="A59" s="1">
        <f>HYPERLINK("https://lsnyc.legalserver.org/matter/dynamic-profile/view/1899603","19-1899603")</f>
        <v>0</v>
      </c>
      <c r="B59" t="s">
        <v>101</v>
      </c>
      <c r="C59" t="s">
        <v>537</v>
      </c>
      <c r="D59" t="s">
        <v>548</v>
      </c>
      <c r="E59" t="s">
        <v>568</v>
      </c>
      <c r="F59" t="s">
        <v>581</v>
      </c>
      <c r="G59" t="s">
        <v>581</v>
      </c>
      <c r="H59">
        <v>0</v>
      </c>
      <c r="I59" t="s">
        <v>608</v>
      </c>
      <c r="J59" t="s">
        <v>787</v>
      </c>
      <c r="K59" t="s">
        <v>582</v>
      </c>
      <c r="L59" t="s">
        <v>816</v>
      </c>
      <c r="N59" t="s">
        <v>820</v>
      </c>
      <c r="O59" t="s">
        <v>824</v>
      </c>
      <c r="P59" t="s">
        <v>828</v>
      </c>
      <c r="Q59">
        <v>11001</v>
      </c>
      <c r="S59" t="s">
        <v>861</v>
      </c>
      <c r="T59" t="s">
        <v>926</v>
      </c>
      <c r="U59" t="s">
        <v>1338</v>
      </c>
      <c r="V59" t="s">
        <v>1678</v>
      </c>
      <c r="W59" t="s">
        <v>1684</v>
      </c>
      <c r="X59">
        <v>10.95</v>
      </c>
      <c r="Y59">
        <v>0</v>
      </c>
      <c r="Z59">
        <v>1</v>
      </c>
      <c r="AA59" t="s">
        <v>1692</v>
      </c>
      <c r="AB59" t="s">
        <v>1750</v>
      </c>
      <c r="AC59">
        <v>26</v>
      </c>
      <c r="AD59" t="s">
        <v>2171</v>
      </c>
      <c r="AI59" t="s">
        <v>582</v>
      </c>
      <c r="AJ59" t="s">
        <v>2512</v>
      </c>
      <c r="AK59" t="s">
        <v>2514</v>
      </c>
      <c r="AM59" t="s">
        <v>2522</v>
      </c>
      <c r="AR59">
        <v>1900251</v>
      </c>
    </row>
    <row r="60" spans="1:44">
      <c r="A60" s="1">
        <f>HYPERLINK("https://lsnyc.legalserver.org/matter/dynamic-profile/view/1899568","19-1899568")</f>
        <v>0</v>
      </c>
      <c r="B60" t="s">
        <v>102</v>
      </c>
      <c r="C60" t="s">
        <v>535</v>
      </c>
      <c r="D60" t="s">
        <v>543</v>
      </c>
      <c r="E60" t="s">
        <v>561</v>
      </c>
      <c r="F60" t="s">
        <v>580</v>
      </c>
      <c r="G60" t="s">
        <v>581</v>
      </c>
      <c r="H60">
        <v>0</v>
      </c>
      <c r="I60" t="s">
        <v>608</v>
      </c>
      <c r="K60" t="s">
        <v>582</v>
      </c>
      <c r="L60" t="s">
        <v>816</v>
      </c>
      <c r="N60" t="s">
        <v>820</v>
      </c>
      <c r="O60" t="s">
        <v>825</v>
      </c>
      <c r="P60" t="s">
        <v>828</v>
      </c>
      <c r="Q60">
        <v>10471</v>
      </c>
      <c r="S60" t="s">
        <v>861</v>
      </c>
      <c r="T60" t="s">
        <v>927</v>
      </c>
      <c r="U60" t="s">
        <v>1339</v>
      </c>
      <c r="W60" t="s">
        <v>1684</v>
      </c>
      <c r="X60">
        <v>4.85</v>
      </c>
      <c r="Y60">
        <v>0</v>
      </c>
      <c r="Z60">
        <v>1</v>
      </c>
      <c r="AA60" t="s">
        <v>1691</v>
      </c>
      <c r="AB60" t="s">
        <v>1751</v>
      </c>
      <c r="AC60">
        <v>27</v>
      </c>
      <c r="AD60" t="s">
        <v>2171</v>
      </c>
      <c r="AJ60" t="s">
        <v>2511</v>
      </c>
      <c r="AM60" t="s">
        <v>2523</v>
      </c>
      <c r="AR60">
        <v>1900216</v>
      </c>
    </row>
    <row r="61" spans="1:44">
      <c r="A61" s="1">
        <f>HYPERLINK("https://lsnyc.legalserver.org/matter/dynamic-profile/view/1899463","19-1899463")</f>
        <v>0</v>
      </c>
      <c r="B61" t="s">
        <v>103</v>
      </c>
      <c r="C61" t="s">
        <v>536</v>
      </c>
      <c r="D61" t="s">
        <v>544</v>
      </c>
      <c r="E61" t="s">
        <v>562</v>
      </c>
      <c r="F61" t="s">
        <v>580</v>
      </c>
      <c r="G61" t="s">
        <v>581</v>
      </c>
      <c r="H61">
        <v>0</v>
      </c>
      <c r="I61" t="s">
        <v>609</v>
      </c>
      <c r="J61" t="s">
        <v>592</v>
      </c>
      <c r="K61" t="s">
        <v>581</v>
      </c>
      <c r="L61" t="s">
        <v>816</v>
      </c>
      <c r="N61" t="s">
        <v>821</v>
      </c>
      <c r="O61" t="s">
        <v>824</v>
      </c>
      <c r="P61" t="s">
        <v>833</v>
      </c>
      <c r="Q61">
        <v>11203</v>
      </c>
      <c r="S61" t="s">
        <v>861</v>
      </c>
      <c r="T61" t="s">
        <v>928</v>
      </c>
      <c r="U61" t="s">
        <v>1340</v>
      </c>
      <c r="V61" t="s">
        <v>1678</v>
      </c>
      <c r="W61" t="s">
        <v>1684</v>
      </c>
      <c r="X61">
        <v>1.5</v>
      </c>
      <c r="Y61">
        <v>0</v>
      </c>
      <c r="Z61">
        <v>1</v>
      </c>
      <c r="AA61" t="s">
        <v>1692</v>
      </c>
      <c r="AB61" t="s">
        <v>1752</v>
      </c>
      <c r="AC61">
        <v>43</v>
      </c>
      <c r="AD61" t="s">
        <v>2171</v>
      </c>
      <c r="AI61" t="s">
        <v>581</v>
      </c>
      <c r="AJ61" t="s">
        <v>2511</v>
      </c>
      <c r="AL61" t="s">
        <v>2520</v>
      </c>
      <c r="AM61" t="s">
        <v>2523</v>
      </c>
      <c r="AR61">
        <v>1900111</v>
      </c>
    </row>
    <row r="62" spans="1:44">
      <c r="A62" s="1">
        <f>HYPERLINK("https://lsnyc.legalserver.org/matter/dynamic-profile/view/1899434","19-1899434")</f>
        <v>0</v>
      </c>
      <c r="B62" t="s">
        <v>104</v>
      </c>
      <c r="C62" t="s">
        <v>535</v>
      </c>
      <c r="D62" t="s">
        <v>541</v>
      </c>
      <c r="E62" t="s">
        <v>561</v>
      </c>
      <c r="F62" t="s">
        <v>580</v>
      </c>
      <c r="G62" t="s">
        <v>581</v>
      </c>
      <c r="H62">
        <v>166.53</v>
      </c>
      <c r="I62" t="s">
        <v>609</v>
      </c>
      <c r="J62" t="s">
        <v>789</v>
      </c>
      <c r="K62" t="s">
        <v>581</v>
      </c>
      <c r="L62" t="s">
        <v>816</v>
      </c>
      <c r="N62" t="s">
        <v>820</v>
      </c>
      <c r="O62" t="s">
        <v>825</v>
      </c>
      <c r="P62" t="s">
        <v>828</v>
      </c>
      <c r="Q62">
        <v>10019</v>
      </c>
      <c r="S62" t="s">
        <v>861</v>
      </c>
      <c r="T62" t="s">
        <v>929</v>
      </c>
      <c r="U62" t="s">
        <v>1341</v>
      </c>
      <c r="V62" t="s">
        <v>1678</v>
      </c>
      <c r="W62" t="s">
        <v>1684</v>
      </c>
      <c r="X62">
        <v>2.5</v>
      </c>
      <c r="Y62">
        <v>0</v>
      </c>
      <c r="Z62">
        <v>1</v>
      </c>
      <c r="AA62" t="s">
        <v>1692</v>
      </c>
      <c r="AB62" t="s">
        <v>1753</v>
      </c>
      <c r="AC62">
        <v>31</v>
      </c>
      <c r="AD62" t="s">
        <v>2201</v>
      </c>
      <c r="AM62" t="s">
        <v>2523</v>
      </c>
      <c r="AR62">
        <v>1900082</v>
      </c>
    </row>
    <row r="63" spans="1:44">
      <c r="A63" s="1">
        <f>HYPERLINK("https://lsnyc.legalserver.org/matter/dynamic-profile/view/1899497","19-1899497")</f>
        <v>0</v>
      </c>
      <c r="B63" t="s">
        <v>105</v>
      </c>
      <c r="C63" t="s">
        <v>536</v>
      </c>
      <c r="D63" t="s">
        <v>544</v>
      </c>
      <c r="E63" t="s">
        <v>562</v>
      </c>
      <c r="F63" t="s">
        <v>580</v>
      </c>
      <c r="G63" t="s">
        <v>581</v>
      </c>
      <c r="H63">
        <v>66.70999999999999</v>
      </c>
      <c r="I63" t="s">
        <v>609</v>
      </c>
      <c r="J63" t="s">
        <v>779</v>
      </c>
      <c r="K63" t="s">
        <v>582</v>
      </c>
      <c r="L63" t="s">
        <v>816</v>
      </c>
      <c r="N63" t="s">
        <v>821</v>
      </c>
      <c r="O63" t="s">
        <v>825</v>
      </c>
      <c r="P63" t="s">
        <v>833</v>
      </c>
      <c r="Q63">
        <v>11238</v>
      </c>
      <c r="R63" t="s">
        <v>845</v>
      </c>
      <c r="S63" t="s">
        <v>861</v>
      </c>
      <c r="T63" t="s">
        <v>930</v>
      </c>
      <c r="U63" t="s">
        <v>1342</v>
      </c>
      <c r="V63" t="s">
        <v>1678</v>
      </c>
      <c r="W63" t="s">
        <v>1684</v>
      </c>
      <c r="X63">
        <v>1</v>
      </c>
      <c r="Y63">
        <v>0</v>
      </c>
      <c r="Z63">
        <v>2</v>
      </c>
      <c r="AA63" t="s">
        <v>1692</v>
      </c>
      <c r="AB63" t="s">
        <v>1754</v>
      </c>
      <c r="AC63">
        <v>64</v>
      </c>
      <c r="AD63" t="s">
        <v>2202</v>
      </c>
      <c r="AI63" t="s">
        <v>581</v>
      </c>
      <c r="AJ63" t="s">
        <v>2511</v>
      </c>
      <c r="AM63" t="s">
        <v>2523</v>
      </c>
      <c r="AR63">
        <v>1900145</v>
      </c>
    </row>
    <row r="64" spans="1:44">
      <c r="A64" s="1">
        <f>HYPERLINK("https://lsnyc.legalserver.org/matter/dynamic-profile/view/1899413","19-1899413")</f>
        <v>0</v>
      </c>
      <c r="B64" t="s">
        <v>106</v>
      </c>
      <c r="C64" t="s">
        <v>535</v>
      </c>
      <c r="D64" t="s">
        <v>541</v>
      </c>
      <c r="E64" t="s">
        <v>563</v>
      </c>
      <c r="F64" t="s">
        <v>580</v>
      </c>
      <c r="G64" t="s">
        <v>581</v>
      </c>
      <c r="H64">
        <v>200.16</v>
      </c>
      <c r="I64" t="s">
        <v>609</v>
      </c>
      <c r="J64" t="s">
        <v>784</v>
      </c>
      <c r="K64" t="s">
        <v>581</v>
      </c>
      <c r="L64" t="s">
        <v>816</v>
      </c>
      <c r="N64" t="s">
        <v>821</v>
      </c>
      <c r="O64" t="s">
        <v>824</v>
      </c>
      <c r="P64" t="s">
        <v>830</v>
      </c>
      <c r="Q64">
        <v>10027</v>
      </c>
      <c r="R64" t="s">
        <v>840</v>
      </c>
      <c r="S64" t="s">
        <v>861</v>
      </c>
      <c r="T64" t="s">
        <v>931</v>
      </c>
      <c r="U64" t="s">
        <v>1343</v>
      </c>
      <c r="V64" t="s">
        <v>1678</v>
      </c>
      <c r="W64" t="s">
        <v>1684</v>
      </c>
      <c r="X64">
        <v>2.3</v>
      </c>
      <c r="Y64">
        <v>0</v>
      </c>
      <c r="Z64">
        <v>1</v>
      </c>
      <c r="AA64" t="s">
        <v>1692</v>
      </c>
      <c r="AB64" t="s">
        <v>1755</v>
      </c>
      <c r="AC64">
        <v>24</v>
      </c>
      <c r="AD64" t="s">
        <v>2203</v>
      </c>
      <c r="AH64" t="s">
        <v>2398</v>
      </c>
      <c r="AI64" t="s">
        <v>581</v>
      </c>
      <c r="AJ64" t="s">
        <v>2511</v>
      </c>
      <c r="AK64" t="s">
        <v>2514</v>
      </c>
      <c r="AM64" t="s">
        <v>2523</v>
      </c>
      <c r="AR64">
        <v>1900061</v>
      </c>
    </row>
    <row r="65" spans="1:44">
      <c r="A65" s="1">
        <f>HYPERLINK("https://lsnyc.legalserver.org/matter/dynamic-profile/view/1899447","19-1899447")</f>
        <v>0</v>
      </c>
      <c r="B65" t="s">
        <v>107</v>
      </c>
      <c r="C65" t="s">
        <v>535</v>
      </c>
      <c r="D65" t="s">
        <v>543</v>
      </c>
      <c r="E65" t="s">
        <v>561</v>
      </c>
      <c r="F65" t="s">
        <v>580</v>
      </c>
      <c r="G65" t="s">
        <v>581</v>
      </c>
      <c r="H65">
        <v>0</v>
      </c>
      <c r="I65" t="s">
        <v>609</v>
      </c>
      <c r="K65" t="s">
        <v>582</v>
      </c>
      <c r="L65" t="s">
        <v>816</v>
      </c>
      <c r="N65" t="s">
        <v>820</v>
      </c>
      <c r="O65" t="s">
        <v>825</v>
      </c>
      <c r="P65" t="s">
        <v>828</v>
      </c>
      <c r="Q65">
        <v>10474</v>
      </c>
      <c r="R65" t="s">
        <v>835</v>
      </c>
      <c r="S65" t="s">
        <v>861</v>
      </c>
      <c r="T65" t="s">
        <v>932</v>
      </c>
      <c r="U65" t="s">
        <v>1344</v>
      </c>
      <c r="W65" t="s">
        <v>1684</v>
      </c>
      <c r="X65">
        <v>2.59</v>
      </c>
      <c r="Y65">
        <v>0</v>
      </c>
      <c r="Z65">
        <v>1</v>
      </c>
      <c r="AA65" t="s">
        <v>1691</v>
      </c>
      <c r="AB65" t="s">
        <v>1756</v>
      </c>
      <c r="AC65">
        <v>44</v>
      </c>
      <c r="AD65" t="s">
        <v>2171</v>
      </c>
      <c r="AI65" t="s">
        <v>581</v>
      </c>
      <c r="AJ65" t="s">
        <v>2511</v>
      </c>
      <c r="AL65" t="s">
        <v>2520</v>
      </c>
      <c r="AM65" t="s">
        <v>2523</v>
      </c>
      <c r="AR65">
        <v>1900095</v>
      </c>
    </row>
    <row r="66" spans="1:44">
      <c r="A66" s="1">
        <f>HYPERLINK("https://lsnyc.legalserver.org/matter/dynamic-profile/view/1899391","19-1899391")</f>
        <v>0</v>
      </c>
      <c r="B66" t="s">
        <v>108</v>
      </c>
      <c r="C66" t="s">
        <v>536</v>
      </c>
      <c r="D66" t="s">
        <v>544</v>
      </c>
      <c r="E66" t="s">
        <v>566</v>
      </c>
      <c r="F66" t="s">
        <v>580</v>
      </c>
      <c r="G66" t="s">
        <v>581</v>
      </c>
      <c r="H66">
        <v>0</v>
      </c>
      <c r="I66" t="s">
        <v>610</v>
      </c>
      <c r="J66" t="s">
        <v>607</v>
      </c>
      <c r="K66" t="s">
        <v>582</v>
      </c>
      <c r="L66" t="s">
        <v>816</v>
      </c>
      <c r="N66" t="s">
        <v>820</v>
      </c>
      <c r="O66" t="s">
        <v>824</v>
      </c>
      <c r="P66" t="s">
        <v>828</v>
      </c>
      <c r="Q66">
        <v>11211</v>
      </c>
      <c r="S66" t="s">
        <v>861</v>
      </c>
      <c r="T66" t="s">
        <v>933</v>
      </c>
      <c r="U66" t="s">
        <v>1345</v>
      </c>
      <c r="V66" t="s">
        <v>1678</v>
      </c>
      <c r="W66" t="s">
        <v>1684</v>
      </c>
      <c r="X66">
        <v>1.5</v>
      </c>
      <c r="Y66">
        <v>0</v>
      </c>
      <c r="Z66">
        <v>1</v>
      </c>
      <c r="AA66" t="s">
        <v>1692</v>
      </c>
      <c r="AB66" t="s">
        <v>1757</v>
      </c>
      <c r="AC66">
        <v>31</v>
      </c>
      <c r="AD66" t="s">
        <v>2171</v>
      </c>
      <c r="AI66" t="s">
        <v>581</v>
      </c>
      <c r="AJ66" t="s">
        <v>2511</v>
      </c>
      <c r="AM66" t="s">
        <v>2523</v>
      </c>
      <c r="AR66">
        <v>1900039</v>
      </c>
    </row>
    <row r="67" spans="1:44">
      <c r="A67" s="1">
        <f>HYPERLINK("https://lsnyc.legalserver.org/matter/dynamic-profile/view/1899355","19-1899355")</f>
        <v>0</v>
      </c>
      <c r="B67" t="s">
        <v>109</v>
      </c>
      <c r="C67" t="s">
        <v>536</v>
      </c>
      <c r="D67" t="s">
        <v>544</v>
      </c>
      <c r="E67" t="s">
        <v>566</v>
      </c>
      <c r="F67" t="s">
        <v>581</v>
      </c>
      <c r="G67" t="s">
        <v>581</v>
      </c>
      <c r="H67">
        <v>104.08</v>
      </c>
      <c r="I67" t="s">
        <v>610</v>
      </c>
      <c r="J67" t="s">
        <v>783</v>
      </c>
      <c r="K67" t="s">
        <v>581</v>
      </c>
      <c r="L67" t="s">
        <v>816</v>
      </c>
      <c r="N67" t="s">
        <v>820</v>
      </c>
      <c r="O67" t="s">
        <v>824</v>
      </c>
      <c r="P67" t="s">
        <v>828</v>
      </c>
      <c r="Q67">
        <v>11236</v>
      </c>
      <c r="S67" t="s">
        <v>861</v>
      </c>
      <c r="T67" t="s">
        <v>934</v>
      </c>
      <c r="U67" t="s">
        <v>1346</v>
      </c>
      <c r="V67" t="s">
        <v>1678</v>
      </c>
      <c r="W67" t="s">
        <v>1684</v>
      </c>
      <c r="X67">
        <v>9.550000000000001</v>
      </c>
      <c r="Y67">
        <v>0</v>
      </c>
      <c r="Z67">
        <v>1</v>
      </c>
      <c r="AA67" t="s">
        <v>1692</v>
      </c>
      <c r="AB67" t="s">
        <v>1758</v>
      </c>
      <c r="AC67">
        <v>64</v>
      </c>
      <c r="AD67" t="s">
        <v>2204</v>
      </c>
      <c r="AJ67" t="s">
        <v>2511</v>
      </c>
      <c r="AM67" t="s">
        <v>2523</v>
      </c>
      <c r="AR67">
        <v>1900003</v>
      </c>
    </row>
    <row r="68" spans="1:44">
      <c r="A68" s="1">
        <f>HYPERLINK("https://lsnyc.legalserver.org/matter/dynamic-profile/view/1899361","19-1899361")</f>
        <v>0</v>
      </c>
      <c r="B68" t="s">
        <v>110</v>
      </c>
      <c r="C68" t="s">
        <v>535</v>
      </c>
      <c r="D68" t="s">
        <v>541</v>
      </c>
      <c r="E68" t="s">
        <v>561</v>
      </c>
      <c r="F68" t="s">
        <v>580</v>
      </c>
      <c r="G68" t="s">
        <v>581</v>
      </c>
      <c r="H68">
        <v>96.08</v>
      </c>
      <c r="I68" t="s">
        <v>610</v>
      </c>
      <c r="J68" t="s">
        <v>790</v>
      </c>
      <c r="K68" t="s">
        <v>582</v>
      </c>
      <c r="L68" t="s">
        <v>816</v>
      </c>
      <c r="N68" t="s">
        <v>820</v>
      </c>
      <c r="O68" t="s">
        <v>824</v>
      </c>
      <c r="P68" t="s">
        <v>828</v>
      </c>
      <c r="Q68">
        <v>10019</v>
      </c>
      <c r="R68" t="s">
        <v>835</v>
      </c>
      <c r="S68" t="s">
        <v>861</v>
      </c>
      <c r="T68" t="s">
        <v>935</v>
      </c>
      <c r="U68" t="s">
        <v>1347</v>
      </c>
      <c r="V68" t="s">
        <v>1678</v>
      </c>
      <c r="W68" t="s">
        <v>1684</v>
      </c>
      <c r="X68">
        <v>11</v>
      </c>
      <c r="Y68">
        <v>0</v>
      </c>
      <c r="Z68">
        <v>1</v>
      </c>
      <c r="AA68" t="s">
        <v>1692</v>
      </c>
      <c r="AB68" t="s">
        <v>1759</v>
      </c>
      <c r="AC68">
        <v>62</v>
      </c>
      <c r="AD68" t="s">
        <v>2173</v>
      </c>
      <c r="AI68" t="s">
        <v>582</v>
      </c>
      <c r="AJ68" t="s">
        <v>2512</v>
      </c>
      <c r="AL68" t="s">
        <v>2519</v>
      </c>
      <c r="AM68" t="s">
        <v>2522</v>
      </c>
      <c r="AR68">
        <v>1900009</v>
      </c>
    </row>
    <row r="69" spans="1:44">
      <c r="A69" s="1">
        <f>HYPERLINK("https://lsnyc.legalserver.org/matter/dynamic-profile/view/1899369","19-1899369")</f>
        <v>0</v>
      </c>
      <c r="B69" t="s">
        <v>111</v>
      </c>
      <c r="C69" t="s">
        <v>535</v>
      </c>
      <c r="D69" t="s">
        <v>541</v>
      </c>
      <c r="E69" t="s">
        <v>561</v>
      </c>
      <c r="F69" t="s">
        <v>580</v>
      </c>
      <c r="G69" t="s">
        <v>581</v>
      </c>
      <c r="H69">
        <v>0</v>
      </c>
      <c r="I69" t="s">
        <v>610</v>
      </c>
      <c r="K69" t="s">
        <v>582</v>
      </c>
      <c r="L69" t="s">
        <v>816</v>
      </c>
      <c r="N69" t="s">
        <v>820</v>
      </c>
      <c r="O69" t="s">
        <v>824</v>
      </c>
      <c r="P69" t="s">
        <v>828</v>
      </c>
      <c r="Q69">
        <v>10037</v>
      </c>
      <c r="R69" t="s">
        <v>835</v>
      </c>
      <c r="S69" t="s">
        <v>861</v>
      </c>
      <c r="T69" t="s">
        <v>936</v>
      </c>
      <c r="U69" t="s">
        <v>1348</v>
      </c>
      <c r="W69" t="s">
        <v>1684</v>
      </c>
      <c r="X69">
        <v>3.5</v>
      </c>
      <c r="Y69">
        <v>2</v>
      </c>
      <c r="Z69">
        <v>1</v>
      </c>
      <c r="AA69" t="s">
        <v>1691</v>
      </c>
      <c r="AB69" t="s">
        <v>1760</v>
      </c>
      <c r="AC69">
        <v>42</v>
      </c>
      <c r="AD69" t="s">
        <v>2171</v>
      </c>
      <c r="AI69" t="s">
        <v>581</v>
      </c>
      <c r="AJ69" t="s">
        <v>2513</v>
      </c>
      <c r="AL69" t="s">
        <v>2520</v>
      </c>
      <c r="AM69" t="s">
        <v>2523</v>
      </c>
      <c r="AR69">
        <v>1900017</v>
      </c>
    </row>
    <row r="70" spans="1:44">
      <c r="A70" s="1">
        <f>HYPERLINK("https://lsnyc.legalserver.org/matter/dynamic-profile/view/1899377","19-1899377")</f>
        <v>0</v>
      </c>
      <c r="B70" t="s">
        <v>112</v>
      </c>
      <c r="C70" t="s">
        <v>535</v>
      </c>
      <c r="D70" t="s">
        <v>549</v>
      </c>
      <c r="E70" t="s">
        <v>561</v>
      </c>
      <c r="F70" t="s">
        <v>580</v>
      </c>
      <c r="G70" t="s">
        <v>581</v>
      </c>
      <c r="H70">
        <v>179.02</v>
      </c>
      <c r="I70" t="s">
        <v>610</v>
      </c>
      <c r="K70" t="s">
        <v>582</v>
      </c>
      <c r="L70" t="s">
        <v>816</v>
      </c>
      <c r="N70" t="s">
        <v>820</v>
      </c>
      <c r="O70" t="s">
        <v>824</v>
      </c>
      <c r="P70" t="s">
        <v>828</v>
      </c>
      <c r="Q70">
        <v>7002</v>
      </c>
      <c r="R70" t="s">
        <v>835</v>
      </c>
      <c r="S70" t="s">
        <v>861</v>
      </c>
      <c r="T70" t="s">
        <v>937</v>
      </c>
      <c r="U70" t="s">
        <v>1349</v>
      </c>
      <c r="W70" t="s">
        <v>1684</v>
      </c>
      <c r="X70">
        <v>2.5</v>
      </c>
      <c r="Y70">
        <v>0</v>
      </c>
      <c r="Z70">
        <v>1</v>
      </c>
      <c r="AA70" t="s">
        <v>1691</v>
      </c>
      <c r="AB70" t="s">
        <v>1761</v>
      </c>
      <c r="AC70">
        <v>36</v>
      </c>
      <c r="AD70" t="s">
        <v>2182</v>
      </c>
      <c r="AI70" t="s">
        <v>581</v>
      </c>
      <c r="AJ70" t="s">
        <v>2511</v>
      </c>
      <c r="AL70" t="s">
        <v>2520</v>
      </c>
      <c r="AM70" t="s">
        <v>2523</v>
      </c>
      <c r="AR70">
        <v>1900025</v>
      </c>
    </row>
    <row r="71" spans="1:44">
      <c r="A71" s="1">
        <f>HYPERLINK("https://lsnyc.legalserver.org/matter/dynamic-profile/view/1899198","19-1899198")</f>
        <v>0</v>
      </c>
      <c r="B71" t="s">
        <v>113</v>
      </c>
      <c r="C71" t="s">
        <v>536</v>
      </c>
      <c r="D71" t="s">
        <v>544</v>
      </c>
      <c r="E71" t="s">
        <v>562</v>
      </c>
      <c r="F71" t="s">
        <v>580</v>
      </c>
      <c r="G71" t="s">
        <v>581</v>
      </c>
      <c r="H71">
        <v>59.54</v>
      </c>
      <c r="I71" t="s">
        <v>611</v>
      </c>
      <c r="J71" t="s">
        <v>779</v>
      </c>
      <c r="K71" t="s">
        <v>581</v>
      </c>
      <c r="L71" t="s">
        <v>816</v>
      </c>
      <c r="N71" t="s">
        <v>821</v>
      </c>
      <c r="O71" t="s">
        <v>824</v>
      </c>
      <c r="P71" t="s">
        <v>833</v>
      </c>
      <c r="Q71">
        <v>11226</v>
      </c>
      <c r="S71" t="s">
        <v>861</v>
      </c>
      <c r="T71" t="s">
        <v>938</v>
      </c>
      <c r="U71" t="s">
        <v>1305</v>
      </c>
      <c r="V71" t="s">
        <v>1678</v>
      </c>
      <c r="W71" t="s">
        <v>1684</v>
      </c>
      <c r="X71">
        <v>4</v>
      </c>
      <c r="Y71">
        <v>0</v>
      </c>
      <c r="Z71">
        <v>1</v>
      </c>
      <c r="AA71" t="s">
        <v>1692</v>
      </c>
      <c r="AB71" t="s">
        <v>1762</v>
      </c>
      <c r="AC71">
        <v>56</v>
      </c>
      <c r="AD71" t="s">
        <v>2205</v>
      </c>
      <c r="AI71" t="s">
        <v>581</v>
      </c>
      <c r="AJ71" t="s">
        <v>2511</v>
      </c>
      <c r="AL71" t="s">
        <v>2520</v>
      </c>
      <c r="AM71" t="s">
        <v>2523</v>
      </c>
      <c r="AR71">
        <v>1899846</v>
      </c>
    </row>
    <row r="72" spans="1:44">
      <c r="A72" s="1">
        <f>HYPERLINK("https://lsnyc.legalserver.org/matter/dynamic-profile/view/1899174","19-1899174")</f>
        <v>0</v>
      </c>
      <c r="B72" t="s">
        <v>114</v>
      </c>
      <c r="C72" t="s">
        <v>535</v>
      </c>
      <c r="D72" t="s">
        <v>541</v>
      </c>
      <c r="E72" t="s">
        <v>561</v>
      </c>
      <c r="F72" t="s">
        <v>580</v>
      </c>
      <c r="G72" t="s">
        <v>581</v>
      </c>
      <c r="H72">
        <v>13.06</v>
      </c>
      <c r="I72" t="s">
        <v>612</v>
      </c>
      <c r="J72" t="s">
        <v>779</v>
      </c>
      <c r="K72" t="s">
        <v>582</v>
      </c>
      <c r="L72" t="s">
        <v>816</v>
      </c>
      <c r="N72" t="s">
        <v>820</v>
      </c>
      <c r="O72" t="s">
        <v>824</v>
      </c>
      <c r="P72" t="s">
        <v>828</v>
      </c>
      <c r="Q72">
        <v>10031</v>
      </c>
      <c r="R72" t="s">
        <v>835</v>
      </c>
      <c r="S72" t="s">
        <v>861</v>
      </c>
      <c r="T72" t="s">
        <v>939</v>
      </c>
      <c r="U72" t="s">
        <v>1339</v>
      </c>
      <c r="V72" t="s">
        <v>1678</v>
      </c>
      <c r="W72" t="s">
        <v>1684</v>
      </c>
      <c r="X72">
        <v>4</v>
      </c>
      <c r="Y72">
        <v>0</v>
      </c>
      <c r="Z72">
        <v>2</v>
      </c>
      <c r="AA72" t="s">
        <v>1692</v>
      </c>
      <c r="AB72" t="s">
        <v>1763</v>
      </c>
      <c r="AC72">
        <v>35</v>
      </c>
      <c r="AD72" t="s">
        <v>2206</v>
      </c>
      <c r="AI72" t="s">
        <v>581</v>
      </c>
      <c r="AJ72" t="s">
        <v>2511</v>
      </c>
      <c r="AL72" t="s">
        <v>2520</v>
      </c>
      <c r="AM72" t="s">
        <v>2523</v>
      </c>
      <c r="AR72">
        <v>1899822</v>
      </c>
    </row>
    <row r="73" spans="1:44">
      <c r="A73" s="1">
        <f>HYPERLINK("https://lsnyc.legalserver.org/matter/dynamic-profile/view/1899167","19-1899167")</f>
        <v>0</v>
      </c>
      <c r="B73" t="s">
        <v>115</v>
      </c>
      <c r="C73" t="s">
        <v>535</v>
      </c>
      <c r="D73" t="s">
        <v>541</v>
      </c>
      <c r="E73" t="s">
        <v>561</v>
      </c>
      <c r="F73" t="s">
        <v>580</v>
      </c>
      <c r="G73" t="s">
        <v>581</v>
      </c>
      <c r="H73">
        <v>183.6</v>
      </c>
      <c r="I73" t="s">
        <v>612</v>
      </c>
      <c r="K73" t="s">
        <v>582</v>
      </c>
      <c r="L73" t="s">
        <v>816</v>
      </c>
      <c r="N73" t="s">
        <v>820</v>
      </c>
      <c r="O73" t="s">
        <v>824</v>
      </c>
      <c r="P73" t="s">
        <v>828</v>
      </c>
      <c r="Q73">
        <v>10033</v>
      </c>
      <c r="R73" t="s">
        <v>835</v>
      </c>
      <c r="S73" t="s">
        <v>861</v>
      </c>
      <c r="T73" t="s">
        <v>940</v>
      </c>
      <c r="U73" t="s">
        <v>1350</v>
      </c>
      <c r="W73" t="s">
        <v>1684</v>
      </c>
      <c r="X73">
        <v>8.5</v>
      </c>
      <c r="Y73">
        <v>0</v>
      </c>
      <c r="Z73">
        <v>1</v>
      </c>
      <c r="AA73" t="s">
        <v>1691</v>
      </c>
      <c r="AB73" t="s">
        <v>1764</v>
      </c>
      <c r="AC73">
        <v>19</v>
      </c>
      <c r="AD73" t="s">
        <v>2207</v>
      </c>
      <c r="AI73" t="s">
        <v>582</v>
      </c>
      <c r="AJ73" t="s">
        <v>2512</v>
      </c>
      <c r="AL73" t="s">
        <v>2519</v>
      </c>
      <c r="AM73" t="s">
        <v>2522</v>
      </c>
      <c r="AR73">
        <v>1899815</v>
      </c>
    </row>
    <row r="74" spans="1:44">
      <c r="A74" s="1">
        <f>HYPERLINK("https://lsnyc.legalserver.org/matter/dynamic-profile/view/1898944","19-1898944")</f>
        <v>0</v>
      </c>
      <c r="B74" t="s">
        <v>116</v>
      </c>
      <c r="C74" t="s">
        <v>536</v>
      </c>
      <c r="D74" t="s">
        <v>544</v>
      </c>
      <c r="E74" t="s">
        <v>562</v>
      </c>
      <c r="F74" t="s">
        <v>580</v>
      </c>
      <c r="G74" t="s">
        <v>581</v>
      </c>
      <c r="H74">
        <v>0</v>
      </c>
      <c r="I74" t="s">
        <v>613</v>
      </c>
      <c r="J74" t="s">
        <v>593</v>
      </c>
      <c r="K74" t="s">
        <v>582</v>
      </c>
      <c r="L74" t="s">
        <v>816</v>
      </c>
      <c r="N74" t="s">
        <v>821</v>
      </c>
      <c r="O74" t="s">
        <v>824</v>
      </c>
      <c r="P74" t="s">
        <v>830</v>
      </c>
      <c r="Q74">
        <v>11207</v>
      </c>
      <c r="S74" t="s">
        <v>861</v>
      </c>
      <c r="T74" t="s">
        <v>941</v>
      </c>
      <c r="U74" t="s">
        <v>1351</v>
      </c>
      <c r="V74" t="s">
        <v>1678</v>
      </c>
      <c r="W74" t="s">
        <v>1684</v>
      </c>
      <c r="X74">
        <v>2.2</v>
      </c>
      <c r="Y74">
        <v>0</v>
      </c>
      <c r="Z74">
        <v>1</v>
      </c>
      <c r="AA74" t="s">
        <v>1692</v>
      </c>
      <c r="AB74" t="s">
        <v>1765</v>
      </c>
      <c r="AC74">
        <v>45</v>
      </c>
      <c r="AD74" t="s">
        <v>2171</v>
      </c>
      <c r="AH74" t="s">
        <v>2399</v>
      </c>
      <c r="AI74" t="s">
        <v>581</v>
      </c>
      <c r="AJ74" t="s">
        <v>2511</v>
      </c>
      <c r="AK74" t="s">
        <v>2514</v>
      </c>
      <c r="AL74" t="s">
        <v>2520</v>
      </c>
      <c r="AM74" t="s">
        <v>2523</v>
      </c>
      <c r="AR74">
        <v>502120</v>
      </c>
    </row>
    <row r="75" spans="1:44">
      <c r="A75" s="1">
        <f>HYPERLINK("https://lsnyc.legalserver.org/matter/dynamic-profile/view/1899018","19-1899018")</f>
        <v>0</v>
      </c>
      <c r="B75" t="s">
        <v>117</v>
      </c>
      <c r="C75" t="s">
        <v>536</v>
      </c>
      <c r="D75" t="s">
        <v>544</v>
      </c>
      <c r="E75" t="s">
        <v>562</v>
      </c>
      <c r="F75" t="s">
        <v>580</v>
      </c>
      <c r="G75" t="s">
        <v>581</v>
      </c>
      <c r="H75">
        <v>91.08</v>
      </c>
      <c r="I75" t="s">
        <v>613</v>
      </c>
      <c r="J75" t="s">
        <v>587</v>
      </c>
      <c r="K75" t="s">
        <v>581</v>
      </c>
      <c r="L75" t="s">
        <v>816</v>
      </c>
      <c r="N75" t="s">
        <v>821</v>
      </c>
      <c r="O75" t="s">
        <v>824</v>
      </c>
      <c r="P75" t="s">
        <v>830</v>
      </c>
      <c r="Q75">
        <v>11226</v>
      </c>
      <c r="S75" t="s">
        <v>861</v>
      </c>
      <c r="T75" t="s">
        <v>942</v>
      </c>
      <c r="U75" t="s">
        <v>1352</v>
      </c>
      <c r="V75" t="s">
        <v>1678</v>
      </c>
      <c r="W75" t="s">
        <v>1684</v>
      </c>
      <c r="X75">
        <v>2</v>
      </c>
      <c r="Y75">
        <v>2</v>
      </c>
      <c r="Z75">
        <v>1</v>
      </c>
      <c r="AA75" t="s">
        <v>1692</v>
      </c>
      <c r="AB75" t="s">
        <v>1766</v>
      </c>
      <c r="AC75">
        <v>33</v>
      </c>
      <c r="AD75" t="s">
        <v>2208</v>
      </c>
      <c r="AH75" t="s">
        <v>2391</v>
      </c>
      <c r="AI75" t="s">
        <v>581</v>
      </c>
      <c r="AJ75" t="s">
        <v>2511</v>
      </c>
      <c r="AK75" t="s">
        <v>2514</v>
      </c>
      <c r="AL75" t="s">
        <v>2520</v>
      </c>
      <c r="AM75" t="s">
        <v>2523</v>
      </c>
      <c r="AR75">
        <v>1899666</v>
      </c>
    </row>
    <row r="76" spans="1:44">
      <c r="A76" s="1">
        <f>HYPERLINK("https://lsnyc.legalserver.org/matter/dynamic-profile/view/1898994","19-1898994")</f>
        <v>0</v>
      </c>
      <c r="B76" t="s">
        <v>118</v>
      </c>
      <c r="C76" t="s">
        <v>537</v>
      </c>
      <c r="D76" t="s">
        <v>545</v>
      </c>
      <c r="E76" t="s">
        <v>568</v>
      </c>
      <c r="F76" t="s">
        <v>581</v>
      </c>
      <c r="G76" t="s">
        <v>581</v>
      </c>
      <c r="H76">
        <v>83.41</v>
      </c>
      <c r="I76" t="s">
        <v>613</v>
      </c>
      <c r="J76" t="s">
        <v>791</v>
      </c>
      <c r="K76" t="s">
        <v>582</v>
      </c>
      <c r="L76" t="s">
        <v>816</v>
      </c>
      <c r="N76" t="s">
        <v>820</v>
      </c>
      <c r="O76" t="s">
        <v>825</v>
      </c>
      <c r="P76" t="s">
        <v>828</v>
      </c>
      <c r="Q76">
        <v>11435</v>
      </c>
      <c r="S76" t="s">
        <v>861</v>
      </c>
      <c r="T76" t="s">
        <v>943</v>
      </c>
      <c r="U76" t="s">
        <v>1325</v>
      </c>
      <c r="V76" t="s">
        <v>1678</v>
      </c>
      <c r="W76" t="s">
        <v>1684</v>
      </c>
      <c r="X76">
        <v>6.25</v>
      </c>
      <c r="Y76">
        <v>3</v>
      </c>
      <c r="Z76">
        <v>2</v>
      </c>
      <c r="AA76" t="s">
        <v>1692</v>
      </c>
      <c r="AB76" t="s">
        <v>1767</v>
      </c>
      <c r="AC76">
        <v>46</v>
      </c>
      <c r="AD76" t="s">
        <v>2209</v>
      </c>
      <c r="AI76" t="s">
        <v>581</v>
      </c>
      <c r="AJ76" t="s">
        <v>2511</v>
      </c>
      <c r="AK76" t="s">
        <v>2514</v>
      </c>
      <c r="AL76" t="s">
        <v>2520</v>
      </c>
      <c r="AM76" t="s">
        <v>2523</v>
      </c>
      <c r="AR76">
        <v>1899642</v>
      </c>
    </row>
    <row r="77" spans="1:44">
      <c r="A77" s="1">
        <f>HYPERLINK("https://lsnyc.legalserver.org/matter/dynamic-profile/view/1898879","19-1898879")</f>
        <v>0</v>
      </c>
      <c r="B77" t="s">
        <v>119</v>
      </c>
      <c r="C77" t="s">
        <v>536</v>
      </c>
      <c r="D77" t="s">
        <v>541</v>
      </c>
      <c r="E77" t="s">
        <v>564</v>
      </c>
      <c r="F77" t="s">
        <v>580</v>
      </c>
      <c r="G77" t="s">
        <v>581</v>
      </c>
      <c r="H77">
        <v>0</v>
      </c>
      <c r="I77" t="s">
        <v>614</v>
      </c>
      <c r="J77" t="s">
        <v>792</v>
      </c>
      <c r="L77" t="s">
        <v>816</v>
      </c>
      <c r="N77" t="s">
        <v>821</v>
      </c>
      <c r="O77" t="s">
        <v>824</v>
      </c>
      <c r="P77" t="s">
        <v>830</v>
      </c>
      <c r="Q77">
        <v>10039</v>
      </c>
      <c r="S77" t="s">
        <v>861</v>
      </c>
      <c r="T77" t="s">
        <v>944</v>
      </c>
      <c r="U77" t="s">
        <v>1353</v>
      </c>
      <c r="V77" t="s">
        <v>1678</v>
      </c>
      <c r="W77" t="s">
        <v>1687</v>
      </c>
      <c r="X77">
        <v>2.9</v>
      </c>
      <c r="Y77">
        <v>1</v>
      </c>
      <c r="Z77">
        <v>2</v>
      </c>
      <c r="AA77" t="s">
        <v>1692</v>
      </c>
      <c r="AB77" t="s">
        <v>1768</v>
      </c>
      <c r="AC77">
        <v>53</v>
      </c>
      <c r="AD77" t="s">
        <v>2171</v>
      </c>
      <c r="AH77" t="s">
        <v>2400</v>
      </c>
      <c r="AJ77" t="s">
        <v>2511</v>
      </c>
      <c r="AK77" t="s">
        <v>2514</v>
      </c>
      <c r="AL77" t="s">
        <v>2520</v>
      </c>
      <c r="AM77" t="s">
        <v>2523</v>
      </c>
      <c r="AR77">
        <v>1899526</v>
      </c>
    </row>
    <row r="78" spans="1:44">
      <c r="A78" s="1">
        <f>HYPERLINK("https://lsnyc.legalserver.org/matter/dynamic-profile/view/1898777","19-1898777")</f>
        <v>0</v>
      </c>
      <c r="B78" t="s">
        <v>120</v>
      </c>
      <c r="C78" t="s">
        <v>536</v>
      </c>
      <c r="D78" t="s">
        <v>544</v>
      </c>
      <c r="E78" t="s">
        <v>566</v>
      </c>
      <c r="F78" t="s">
        <v>580</v>
      </c>
      <c r="G78" t="s">
        <v>581</v>
      </c>
      <c r="H78">
        <v>0</v>
      </c>
      <c r="I78" t="s">
        <v>615</v>
      </c>
      <c r="J78" t="s">
        <v>593</v>
      </c>
      <c r="K78" t="s">
        <v>582</v>
      </c>
      <c r="L78" t="s">
        <v>816</v>
      </c>
      <c r="N78" t="s">
        <v>820</v>
      </c>
      <c r="O78" t="s">
        <v>824</v>
      </c>
      <c r="P78" t="s">
        <v>828</v>
      </c>
      <c r="Q78">
        <v>11212</v>
      </c>
      <c r="S78" t="s">
        <v>861</v>
      </c>
      <c r="T78" t="s">
        <v>945</v>
      </c>
      <c r="U78" t="s">
        <v>1354</v>
      </c>
      <c r="V78" t="s">
        <v>1678</v>
      </c>
      <c r="W78" t="s">
        <v>1684</v>
      </c>
      <c r="X78">
        <v>6.85</v>
      </c>
      <c r="Y78">
        <v>1</v>
      </c>
      <c r="Z78">
        <v>1</v>
      </c>
      <c r="AA78" t="s">
        <v>1692</v>
      </c>
      <c r="AB78" t="s">
        <v>1769</v>
      </c>
      <c r="AC78">
        <v>38</v>
      </c>
      <c r="AD78" t="s">
        <v>2171</v>
      </c>
      <c r="AI78" t="s">
        <v>581</v>
      </c>
      <c r="AJ78" t="s">
        <v>2511</v>
      </c>
      <c r="AM78" t="s">
        <v>2523</v>
      </c>
      <c r="AR78">
        <v>1899423</v>
      </c>
    </row>
    <row r="79" spans="1:44">
      <c r="A79" s="1">
        <f>HYPERLINK("https://lsnyc.legalserver.org/matter/dynamic-profile/view/1898789","19-1898789")</f>
        <v>0</v>
      </c>
      <c r="B79" t="s">
        <v>121</v>
      </c>
      <c r="C79" t="s">
        <v>536</v>
      </c>
      <c r="D79" t="s">
        <v>544</v>
      </c>
      <c r="E79" t="s">
        <v>562</v>
      </c>
      <c r="F79" t="s">
        <v>580</v>
      </c>
      <c r="G79" t="s">
        <v>581</v>
      </c>
      <c r="H79">
        <v>0</v>
      </c>
      <c r="I79" t="s">
        <v>615</v>
      </c>
      <c r="J79" t="s">
        <v>793</v>
      </c>
      <c r="K79" t="s">
        <v>582</v>
      </c>
      <c r="L79" t="s">
        <v>816</v>
      </c>
      <c r="N79" t="s">
        <v>821</v>
      </c>
      <c r="O79" t="s">
        <v>824</v>
      </c>
      <c r="P79" t="s">
        <v>829</v>
      </c>
      <c r="Q79">
        <v>11212</v>
      </c>
      <c r="S79" t="s">
        <v>861</v>
      </c>
      <c r="T79" t="s">
        <v>946</v>
      </c>
      <c r="U79" t="s">
        <v>1355</v>
      </c>
      <c r="V79" t="s">
        <v>1678</v>
      </c>
      <c r="W79" t="s">
        <v>1684</v>
      </c>
      <c r="X79">
        <v>1</v>
      </c>
      <c r="Y79">
        <v>1</v>
      </c>
      <c r="Z79">
        <v>1</v>
      </c>
      <c r="AA79" t="s">
        <v>1692</v>
      </c>
      <c r="AB79" t="s">
        <v>1770</v>
      </c>
      <c r="AC79">
        <v>26</v>
      </c>
      <c r="AD79" t="s">
        <v>2171</v>
      </c>
      <c r="AI79" t="s">
        <v>581</v>
      </c>
      <c r="AJ79" t="s">
        <v>2511</v>
      </c>
      <c r="AL79" t="s">
        <v>2520</v>
      </c>
      <c r="AM79" t="s">
        <v>2523</v>
      </c>
      <c r="AR79">
        <v>1899435</v>
      </c>
    </row>
    <row r="80" spans="1:44">
      <c r="A80" s="1">
        <f>HYPERLINK("https://lsnyc.legalserver.org/matter/dynamic-profile/view/1898742","19-1898742")</f>
        <v>0</v>
      </c>
      <c r="B80" t="s">
        <v>122</v>
      </c>
      <c r="C80" t="s">
        <v>535</v>
      </c>
      <c r="D80" t="s">
        <v>541</v>
      </c>
      <c r="E80" t="s">
        <v>561</v>
      </c>
      <c r="F80" t="s">
        <v>580</v>
      </c>
      <c r="G80" t="s">
        <v>581</v>
      </c>
      <c r="H80">
        <v>156.12</v>
      </c>
      <c r="I80" t="s">
        <v>615</v>
      </c>
      <c r="K80" t="s">
        <v>582</v>
      </c>
      <c r="L80" t="s">
        <v>816</v>
      </c>
      <c r="N80" t="s">
        <v>820</v>
      </c>
      <c r="O80" t="s">
        <v>825</v>
      </c>
      <c r="P80" t="s">
        <v>828</v>
      </c>
      <c r="Q80">
        <v>10029</v>
      </c>
      <c r="S80" t="s">
        <v>861</v>
      </c>
      <c r="T80" t="s">
        <v>880</v>
      </c>
      <c r="U80" t="s">
        <v>1356</v>
      </c>
      <c r="W80" t="s">
        <v>1684</v>
      </c>
      <c r="X80">
        <v>3.6</v>
      </c>
      <c r="Y80">
        <v>0</v>
      </c>
      <c r="Z80">
        <v>1</v>
      </c>
      <c r="AA80" t="s">
        <v>1691</v>
      </c>
      <c r="AB80" t="s">
        <v>1771</v>
      </c>
      <c r="AC80">
        <v>39</v>
      </c>
      <c r="AD80" t="s">
        <v>2210</v>
      </c>
      <c r="AI80" t="s">
        <v>581</v>
      </c>
      <c r="AJ80" t="s">
        <v>2511</v>
      </c>
      <c r="AL80" t="s">
        <v>2520</v>
      </c>
      <c r="AM80" t="s">
        <v>2523</v>
      </c>
      <c r="AR80">
        <v>1899388</v>
      </c>
    </row>
    <row r="81" spans="1:44">
      <c r="A81" s="1">
        <f>HYPERLINK("https://lsnyc.legalserver.org/matter/dynamic-profile/view/1898557","19-1898557")</f>
        <v>0</v>
      </c>
      <c r="B81" t="s">
        <v>123</v>
      </c>
      <c r="C81" t="s">
        <v>536</v>
      </c>
      <c r="D81" t="s">
        <v>545</v>
      </c>
      <c r="E81" t="s">
        <v>562</v>
      </c>
      <c r="F81" t="s">
        <v>580</v>
      </c>
      <c r="G81" t="s">
        <v>581</v>
      </c>
      <c r="H81">
        <v>107.83</v>
      </c>
      <c r="I81" t="s">
        <v>616</v>
      </c>
      <c r="J81" t="s">
        <v>603</v>
      </c>
      <c r="L81" t="s">
        <v>816</v>
      </c>
      <c r="N81" t="s">
        <v>821</v>
      </c>
      <c r="O81" t="s">
        <v>825</v>
      </c>
      <c r="P81" t="s">
        <v>830</v>
      </c>
      <c r="Q81">
        <v>11416</v>
      </c>
      <c r="R81" t="s">
        <v>840</v>
      </c>
      <c r="S81" t="s">
        <v>866</v>
      </c>
      <c r="T81" t="s">
        <v>947</v>
      </c>
      <c r="U81" t="s">
        <v>1357</v>
      </c>
      <c r="V81" t="s">
        <v>1679</v>
      </c>
      <c r="W81" t="s">
        <v>1684</v>
      </c>
      <c r="X81">
        <v>4.25</v>
      </c>
      <c r="Y81">
        <v>0</v>
      </c>
      <c r="Z81">
        <v>3</v>
      </c>
      <c r="AA81" t="s">
        <v>1692</v>
      </c>
      <c r="AB81" t="s">
        <v>1772</v>
      </c>
      <c r="AC81">
        <v>59</v>
      </c>
      <c r="AD81" t="s">
        <v>2211</v>
      </c>
      <c r="AH81" t="s">
        <v>2398</v>
      </c>
      <c r="AI81" t="s">
        <v>582</v>
      </c>
      <c r="AJ81" t="s">
        <v>2512</v>
      </c>
      <c r="AK81" t="s">
        <v>2514</v>
      </c>
      <c r="AL81" t="s">
        <v>2519</v>
      </c>
      <c r="AM81" t="s">
        <v>2522</v>
      </c>
      <c r="AR81">
        <v>1899202</v>
      </c>
    </row>
    <row r="82" spans="1:44">
      <c r="A82" s="1">
        <f>HYPERLINK("https://lsnyc.legalserver.org/matter/dynamic-profile/view/1898579","19-1898579")</f>
        <v>0</v>
      </c>
      <c r="B82" t="s">
        <v>124</v>
      </c>
      <c r="C82" t="s">
        <v>535</v>
      </c>
      <c r="D82" t="s">
        <v>547</v>
      </c>
      <c r="E82" t="s">
        <v>561</v>
      </c>
      <c r="F82" t="s">
        <v>580</v>
      </c>
      <c r="G82" t="s">
        <v>581</v>
      </c>
      <c r="H82">
        <v>0</v>
      </c>
      <c r="I82" t="s">
        <v>616</v>
      </c>
      <c r="J82" t="s">
        <v>588</v>
      </c>
      <c r="K82" t="s">
        <v>581</v>
      </c>
      <c r="L82" t="s">
        <v>816</v>
      </c>
      <c r="N82" t="s">
        <v>820</v>
      </c>
      <c r="O82" t="s">
        <v>825</v>
      </c>
      <c r="P82" t="s">
        <v>828</v>
      </c>
      <c r="Q82">
        <v>7008</v>
      </c>
      <c r="R82" t="s">
        <v>835</v>
      </c>
      <c r="S82" t="s">
        <v>861</v>
      </c>
      <c r="T82" t="s">
        <v>948</v>
      </c>
      <c r="U82" t="s">
        <v>1358</v>
      </c>
      <c r="V82" t="s">
        <v>1678</v>
      </c>
      <c r="W82" t="s">
        <v>1684</v>
      </c>
      <c r="X82">
        <v>4.5</v>
      </c>
      <c r="Y82">
        <v>0</v>
      </c>
      <c r="Z82">
        <v>1</v>
      </c>
      <c r="AA82" t="s">
        <v>1692</v>
      </c>
      <c r="AB82" t="s">
        <v>1773</v>
      </c>
      <c r="AC82">
        <v>34</v>
      </c>
      <c r="AD82" t="s">
        <v>2171</v>
      </c>
      <c r="AI82" t="s">
        <v>581</v>
      </c>
      <c r="AJ82" t="s">
        <v>2511</v>
      </c>
      <c r="AK82" t="s">
        <v>2514</v>
      </c>
      <c r="AL82" t="s">
        <v>2520</v>
      </c>
      <c r="AM82" t="s">
        <v>2523</v>
      </c>
      <c r="AR82">
        <v>1899224</v>
      </c>
    </row>
    <row r="83" spans="1:44">
      <c r="A83" s="1">
        <f>HYPERLINK("https://lsnyc.legalserver.org/matter/dynamic-profile/view/1898581","19-1898581")</f>
        <v>0</v>
      </c>
      <c r="B83" t="s">
        <v>125</v>
      </c>
      <c r="C83" t="s">
        <v>535</v>
      </c>
      <c r="D83" t="s">
        <v>541</v>
      </c>
      <c r="E83" t="s">
        <v>561</v>
      </c>
      <c r="F83" t="s">
        <v>580</v>
      </c>
      <c r="G83" t="s">
        <v>581</v>
      </c>
      <c r="H83">
        <v>0</v>
      </c>
      <c r="I83" t="s">
        <v>616</v>
      </c>
      <c r="J83" t="s">
        <v>784</v>
      </c>
      <c r="K83" t="s">
        <v>581</v>
      </c>
      <c r="L83" t="s">
        <v>816</v>
      </c>
      <c r="N83" t="s">
        <v>820</v>
      </c>
      <c r="O83" t="s">
        <v>826</v>
      </c>
      <c r="P83" t="s">
        <v>828</v>
      </c>
      <c r="Q83">
        <v>10031</v>
      </c>
      <c r="R83" t="s">
        <v>835</v>
      </c>
      <c r="S83" t="s">
        <v>863</v>
      </c>
      <c r="T83" t="s">
        <v>949</v>
      </c>
      <c r="U83" t="s">
        <v>1359</v>
      </c>
      <c r="V83" t="s">
        <v>1679</v>
      </c>
      <c r="W83" t="s">
        <v>1684</v>
      </c>
      <c r="X83">
        <v>3.25</v>
      </c>
      <c r="Y83">
        <v>0</v>
      </c>
      <c r="Z83">
        <v>1</v>
      </c>
      <c r="AA83" t="s">
        <v>1692</v>
      </c>
      <c r="AB83" t="s">
        <v>1774</v>
      </c>
      <c r="AC83">
        <v>38</v>
      </c>
      <c r="AD83" t="s">
        <v>2171</v>
      </c>
      <c r="AI83" t="s">
        <v>581</v>
      </c>
      <c r="AJ83" t="s">
        <v>2511</v>
      </c>
      <c r="AL83" t="s">
        <v>2520</v>
      </c>
      <c r="AM83" t="s">
        <v>2523</v>
      </c>
      <c r="AR83">
        <v>1899226</v>
      </c>
    </row>
    <row r="84" spans="1:44">
      <c r="A84" s="1">
        <f>HYPERLINK("https://lsnyc.legalserver.org/matter/dynamic-profile/view/1898527","19-1898527")</f>
        <v>0</v>
      </c>
      <c r="B84" t="s">
        <v>126</v>
      </c>
      <c r="C84" t="s">
        <v>535</v>
      </c>
      <c r="D84" t="s">
        <v>543</v>
      </c>
      <c r="E84" t="s">
        <v>561</v>
      </c>
      <c r="F84" t="s">
        <v>580</v>
      </c>
      <c r="G84" t="s">
        <v>581</v>
      </c>
      <c r="H84">
        <v>193.86</v>
      </c>
      <c r="I84" t="s">
        <v>616</v>
      </c>
      <c r="K84" t="s">
        <v>582</v>
      </c>
      <c r="L84" t="s">
        <v>816</v>
      </c>
      <c r="N84" t="s">
        <v>820</v>
      </c>
      <c r="O84" t="s">
        <v>824</v>
      </c>
      <c r="P84" t="s">
        <v>828</v>
      </c>
      <c r="Q84">
        <v>10466</v>
      </c>
      <c r="R84" t="s">
        <v>835</v>
      </c>
      <c r="S84" t="s">
        <v>861</v>
      </c>
      <c r="T84" t="s">
        <v>950</v>
      </c>
      <c r="U84" t="s">
        <v>1360</v>
      </c>
      <c r="W84" t="s">
        <v>1684</v>
      </c>
      <c r="X84">
        <v>5.8</v>
      </c>
      <c r="Y84">
        <v>2</v>
      </c>
      <c r="Z84">
        <v>2</v>
      </c>
      <c r="AA84" t="s">
        <v>1691</v>
      </c>
      <c r="AB84" t="s">
        <v>1775</v>
      </c>
      <c r="AC84">
        <v>36</v>
      </c>
      <c r="AD84" t="s">
        <v>2212</v>
      </c>
      <c r="AI84" t="s">
        <v>582</v>
      </c>
      <c r="AJ84" t="s">
        <v>2512</v>
      </c>
      <c r="AK84" t="s">
        <v>2514</v>
      </c>
      <c r="AL84" t="s">
        <v>2519</v>
      </c>
      <c r="AM84" t="s">
        <v>2522</v>
      </c>
      <c r="AR84">
        <v>1899172</v>
      </c>
    </row>
    <row r="85" spans="1:44">
      <c r="A85" s="1">
        <f>HYPERLINK("https://lsnyc.legalserver.org/matter/dynamic-profile/view/1898401","19-1898401")</f>
        <v>0</v>
      </c>
      <c r="B85" t="s">
        <v>127</v>
      </c>
      <c r="C85" t="s">
        <v>535</v>
      </c>
      <c r="D85" t="s">
        <v>544</v>
      </c>
      <c r="E85" t="s">
        <v>563</v>
      </c>
      <c r="F85" t="s">
        <v>580</v>
      </c>
      <c r="G85" t="s">
        <v>581</v>
      </c>
      <c r="H85">
        <v>187.53</v>
      </c>
      <c r="I85" t="s">
        <v>617</v>
      </c>
      <c r="J85" t="s">
        <v>609</v>
      </c>
      <c r="K85" t="s">
        <v>581</v>
      </c>
      <c r="L85" t="s">
        <v>816</v>
      </c>
      <c r="N85" t="s">
        <v>821</v>
      </c>
      <c r="O85" t="s">
        <v>824</v>
      </c>
      <c r="P85" t="s">
        <v>830</v>
      </c>
      <c r="Q85">
        <v>11235</v>
      </c>
      <c r="R85" t="s">
        <v>840</v>
      </c>
      <c r="S85" t="s">
        <v>861</v>
      </c>
      <c r="T85" t="s">
        <v>951</v>
      </c>
      <c r="U85" t="s">
        <v>1361</v>
      </c>
      <c r="V85" t="s">
        <v>1678</v>
      </c>
      <c r="W85" t="s">
        <v>1684</v>
      </c>
      <c r="X85">
        <v>1.75</v>
      </c>
      <c r="Y85">
        <v>2</v>
      </c>
      <c r="Z85">
        <v>1</v>
      </c>
      <c r="AA85" t="s">
        <v>1692</v>
      </c>
      <c r="AB85" t="s">
        <v>1776</v>
      </c>
      <c r="AC85">
        <v>44</v>
      </c>
      <c r="AD85" t="s">
        <v>2189</v>
      </c>
      <c r="AH85" t="s">
        <v>2401</v>
      </c>
      <c r="AI85" t="s">
        <v>581</v>
      </c>
      <c r="AJ85" t="s">
        <v>2511</v>
      </c>
      <c r="AK85" t="s">
        <v>2514</v>
      </c>
      <c r="AL85" t="s">
        <v>2520</v>
      </c>
      <c r="AM85" t="s">
        <v>2523</v>
      </c>
      <c r="AP85" t="s">
        <v>581</v>
      </c>
      <c r="AR85">
        <v>1899046</v>
      </c>
    </row>
    <row r="86" spans="1:44">
      <c r="A86" s="1">
        <f>HYPERLINK("https://lsnyc.legalserver.org/matter/dynamic-profile/view/1898382","19-1898382")</f>
        <v>0</v>
      </c>
      <c r="B86" t="s">
        <v>128</v>
      </c>
      <c r="C86" t="s">
        <v>535</v>
      </c>
      <c r="D86" t="s">
        <v>541</v>
      </c>
      <c r="E86" t="s">
        <v>561</v>
      </c>
      <c r="F86" t="s">
        <v>580</v>
      </c>
      <c r="G86" t="s">
        <v>581</v>
      </c>
      <c r="H86">
        <v>43.23</v>
      </c>
      <c r="I86" t="s">
        <v>617</v>
      </c>
      <c r="J86" t="s">
        <v>598</v>
      </c>
      <c r="K86" t="s">
        <v>582</v>
      </c>
      <c r="L86" t="s">
        <v>816</v>
      </c>
      <c r="N86" t="s">
        <v>820</v>
      </c>
      <c r="O86" t="s">
        <v>824</v>
      </c>
      <c r="P86" t="s">
        <v>828</v>
      </c>
      <c r="Q86">
        <v>10027</v>
      </c>
      <c r="R86" t="s">
        <v>835</v>
      </c>
      <c r="S86" t="s">
        <v>861</v>
      </c>
      <c r="T86" t="s">
        <v>952</v>
      </c>
      <c r="U86" t="s">
        <v>1362</v>
      </c>
      <c r="V86" t="s">
        <v>1678</v>
      </c>
      <c r="W86" t="s">
        <v>1684</v>
      </c>
      <c r="X86">
        <v>4</v>
      </c>
      <c r="Y86">
        <v>0</v>
      </c>
      <c r="Z86">
        <v>1</v>
      </c>
      <c r="AA86" t="s">
        <v>1692</v>
      </c>
      <c r="AB86" t="s">
        <v>1777</v>
      </c>
      <c r="AC86">
        <v>58</v>
      </c>
      <c r="AD86" t="s">
        <v>2213</v>
      </c>
      <c r="AI86" t="s">
        <v>582</v>
      </c>
      <c r="AJ86" t="s">
        <v>2512</v>
      </c>
      <c r="AK86" t="s">
        <v>2514</v>
      </c>
      <c r="AL86" t="s">
        <v>2519</v>
      </c>
      <c r="AM86" t="s">
        <v>2522</v>
      </c>
      <c r="AR86">
        <v>1899027</v>
      </c>
    </row>
    <row r="87" spans="1:44">
      <c r="A87" s="1">
        <f>HYPERLINK("https://lsnyc.legalserver.org/matter/dynamic-profile/view/1898362","19-1898362")</f>
        <v>0</v>
      </c>
      <c r="B87" t="s">
        <v>129</v>
      </c>
      <c r="C87" t="s">
        <v>536</v>
      </c>
      <c r="D87" t="s">
        <v>544</v>
      </c>
      <c r="E87" t="s">
        <v>566</v>
      </c>
      <c r="F87" t="s">
        <v>580</v>
      </c>
      <c r="G87" t="s">
        <v>581</v>
      </c>
      <c r="H87">
        <v>176.82</v>
      </c>
      <c r="I87" t="s">
        <v>617</v>
      </c>
      <c r="J87" t="s">
        <v>593</v>
      </c>
      <c r="K87" t="s">
        <v>582</v>
      </c>
      <c r="L87" t="s">
        <v>816</v>
      </c>
      <c r="N87" t="s">
        <v>820</v>
      </c>
      <c r="O87" t="s">
        <v>825</v>
      </c>
      <c r="P87" t="s">
        <v>828</v>
      </c>
      <c r="Q87">
        <v>11221</v>
      </c>
      <c r="S87" t="s">
        <v>861</v>
      </c>
      <c r="T87" t="s">
        <v>953</v>
      </c>
      <c r="U87" t="s">
        <v>1363</v>
      </c>
      <c r="V87" t="s">
        <v>1678</v>
      </c>
      <c r="W87" t="s">
        <v>1684</v>
      </c>
      <c r="X87">
        <v>6.95</v>
      </c>
      <c r="Y87">
        <v>0</v>
      </c>
      <c r="Z87">
        <v>2</v>
      </c>
      <c r="AA87" t="s">
        <v>1692</v>
      </c>
      <c r="AB87" t="s">
        <v>1778</v>
      </c>
      <c r="AC87">
        <v>54</v>
      </c>
      <c r="AD87" t="s">
        <v>2214</v>
      </c>
      <c r="AI87" t="s">
        <v>581</v>
      </c>
      <c r="AJ87" t="s">
        <v>2511</v>
      </c>
      <c r="AM87" t="s">
        <v>2523</v>
      </c>
      <c r="AR87">
        <v>1899007</v>
      </c>
    </row>
    <row r="88" spans="1:44">
      <c r="A88" s="1">
        <f>HYPERLINK("https://lsnyc.legalserver.org/matter/dynamic-profile/view/1898433","19-1898433")</f>
        <v>0</v>
      </c>
      <c r="B88" t="s">
        <v>130</v>
      </c>
      <c r="C88" t="s">
        <v>536</v>
      </c>
      <c r="D88" t="s">
        <v>544</v>
      </c>
      <c r="E88" t="s">
        <v>569</v>
      </c>
      <c r="F88" t="s">
        <v>581</v>
      </c>
      <c r="G88" t="s">
        <v>581</v>
      </c>
      <c r="H88">
        <v>78.01000000000001</v>
      </c>
      <c r="I88" t="s">
        <v>617</v>
      </c>
      <c r="J88" t="s">
        <v>780</v>
      </c>
      <c r="K88" t="s">
        <v>581</v>
      </c>
      <c r="L88" t="s">
        <v>816</v>
      </c>
      <c r="N88" t="s">
        <v>821</v>
      </c>
      <c r="O88" t="s">
        <v>825</v>
      </c>
      <c r="P88" t="s">
        <v>832</v>
      </c>
      <c r="Q88">
        <v>11209</v>
      </c>
      <c r="S88" t="s">
        <v>861</v>
      </c>
      <c r="T88" t="s">
        <v>904</v>
      </c>
      <c r="U88" t="s">
        <v>1339</v>
      </c>
      <c r="V88" t="s">
        <v>1678</v>
      </c>
      <c r="W88" t="s">
        <v>1684</v>
      </c>
      <c r="X88">
        <v>3.8</v>
      </c>
      <c r="Y88">
        <v>1</v>
      </c>
      <c r="Z88">
        <v>2</v>
      </c>
      <c r="AA88" t="s">
        <v>1692</v>
      </c>
      <c r="AB88" t="s">
        <v>1779</v>
      </c>
      <c r="AC88">
        <v>43</v>
      </c>
      <c r="AD88" t="s">
        <v>2215</v>
      </c>
      <c r="AM88" t="s">
        <v>2523</v>
      </c>
      <c r="AR88">
        <v>1899078</v>
      </c>
    </row>
    <row r="89" spans="1:44">
      <c r="A89" s="1">
        <f>HYPERLINK("https://lsnyc.legalserver.org/matter/dynamic-profile/view/1898397","19-1898397")</f>
        <v>0</v>
      </c>
      <c r="B89" t="s">
        <v>131</v>
      </c>
      <c r="C89" t="s">
        <v>535</v>
      </c>
      <c r="D89" t="s">
        <v>541</v>
      </c>
      <c r="E89" t="s">
        <v>563</v>
      </c>
      <c r="F89" t="s">
        <v>580</v>
      </c>
      <c r="G89" t="s">
        <v>581</v>
      </c>
      <c r="H89">
        <v>25.94</v>
      </c>
      <c r="I89" t="s">
        <v>617</v>
      </c>
      <c r="L89" t="s">
        <v>816</v>
      </c>
      <c r="N89" t="s">
        <v>821</v>
      </c>
      <c r="O89" t="s">
        <v>824</v>
      </c>
      <c r="P89" t="s">
        <v>829</v>
      </c>
      <c r="Q89">
        <v>10002</v>
      </c>
      <c r="R89" t="s">
        <v>838</v>
      </c>
      <c r="S89" t="s">
        <v>863</v>
      </c>
      <c r="T89" t="s">
        <v>954</v>
      </c>
      <c r="U89" t="s">
        <v>1364</v>
      </c>
      <c r="X89">
        <v>2.05</v>
      </c>
      <c r="Y89">
        <v>0</v>
      </c>
      <c r="Z89">
        <v>1</v>
      </c>
      <c r="AA89" t="s">
        <v>1691</v>
      </c>
      <c r="AB89" t="s">
        <v>1780</v>
      </c>
      <c r="AC89">
        <v>55</v>
      </c>
      <c r="AD89" t="s">
        <v>2216</v>
      </c>
      <c r="AI89" t="s">
        <v>582</v>
      </c>
      <c r="AJ89" t="s">
        <v>2512</v>
      </c>
      <c r="AK89" t="s">
        <v>2514</v>
      </c>
      <c r="AL89" t="s">
        <v>2519</v>
      </c>
      <c r="AM89" t="s">
        <v>2522</v>
      </c>
      <c r="AR89">
        <v>1899042</v>
      </c>
    </row>
    <row r="90" spans="1:44">
      <c r="A90" s="1">
        <f>HYPERLINK("https://lsnyc.legalserver.org/matter/dynamic-profile/view/1898432","19-1898432")</f>
        <v>0</v>
      </c>
      <c r="B90" t="s">
        <v>132</v>
      </c>
      <c r="C90" t="s">
        <v>535</v>
      </c>
      <c r="D90" t="s">
        <v>543</v>
      </c>
      <c r="E90" t="s">
        <v>561</v>
      </c>
      <c r="F90" t="s">
        <v>580</v>
      </c>
      <c r="G90" t="s">
        <v>581</v>
      </c>
      <c r="H90">
        <v>187.35</v>
      </c>
      <c r="I90" t="s">
        <v>617</v>
      </c>
      <c r="K90" t="s">
        <v>582</v>
      </c>
      <c r="L90" t="s">
        <v>816</v>
      </c>
      <c r="N90" t="s">
        <v>820</v>
      </c>
      <c r="O90" t="s">
        <v>824</v>
      </c>
      <c r="P90" t="s">
        <v>828</v>
      </c>
      <c r="Q90">
        <v>10451</v>
      </c>
      <c r="R90" t="s">
        <v>835</v>
      </c>
      <c r="S90" t="s">
        <v>867</v>
      </c>
      <c r="T90" t="s">
        <v>955</v>
      </c>
      <c r="U90" t="s">
        <v>1365</v>
      </c>
      <c r="W90" t="s">
        <v>1684</v>
      </c>
      <c r="X90">
        <v>12.3</v>
      </c>
      <c r="Y90">
        <v>0</v>
      </c>
      <c r="Z90">
        <v>1</v>
      </c>
      <c r="AA90" t="s">
        <v>1691</v>
      </c>
      <c r="AB90" t="s">
        <v>1781</v>
      </c>
      <c r="AC90">
        <v>30</v>
      </c>
      <c r="AD90" t="s">
        <v>2198</v>
      </c>
      <c r="AI90" t="s">
        <v>582</v>
      </c>
      <c r="AJ90" t="s">
        <v>2512</v>
      </c>
      <c r="AK90" t="s">
        <v>2514</v>
      </c>
      <c r="AL90" t="s">
        <v>2519</v>
      </c>
      <c r="AM90" t="s">
        <v>2522</v>
      </c>
      <c r="AR90">
        <v>1899077</v>
      </c>
    </row>
    <row r="91" spans="1:44">
      <c r="A91" s="1">
        <f>HYPERLINK("https://lsnyc.legalserver.org/matter/dynamic-profile/view/1898299","19-1898299")</f>
        <v>0</v>
      </c>
      <c r="B91" t="s">
        <v>133</v>
      </c>
      <c r="C91" t="s">
        <v>536</v>
      </c>
      <c r="D91" t="s">
        <v>544</v>
      </c>
      <c r="E91" t="s">
        <v>562</v>
      </c>
      <c r="F91" t="s">
        <v>580</v>
      </c>
      <c r="G91" t="s">
        <v>581</v>
      </c>
      <c r="H91">
        <v>160.24</v>
      </c>
      <c r="I91" t="s">
        <v>618</v>
      </c>
      <c r="J91" t="s">
        <v>592</v>
      </c>
      <c r="K91" t="s">
        <v>582</v>
      </c>
      <c r="L91" t="s">
        <v>816</v>
      </c>
      <c r="N91" t="s">
        <v>821</v>
      </c>
      <c r="O91" t="s">
        <v>824</v>
      </c>
      <c r="P91" t="s">
        <v>833</v>
      </c>
      <c r="Q91">
        <v>11203</v>
      </c>
      <c r="R91" t="s">
        <v>845</v>
      </c>
      <c r="S91" t="s">
        <v>861</v>
      </c>
      <c r="T91" t="s">
        <v>956</v>
      </c>
      <c r="U91" t="s">
        <v>1366</v>
      </c>
      <c r="V91" t="s">
        <v>1678</v>
      </c>
      <c r="W91" t="s">
        <v>1684</v>
      </c>
      <c r="X91">
        <v>2.35</v>
      </c>
      <c r="Y91">
        <v>0</v>
      </c>
      <c r="Z91">
        <v>4</v>
      </c>
      <c r="AA91" t="s">
        <v>1692</v>
      </c>
      <c r="AB91" t="s">
        <v>1782</v>
      </c>
      <c r="AC91">
        <v>52</v>
      </c>
      <c r="AD91" t="s">
        <v>2217</v>
      </c>
      <c r="AH91" t="s">
        <v>2402</v>
      </c>
      <c r="AI91" t="s">
        <v>581</v>
      </c>
      <c r="AJ91" t="s">
        <v>2511</v>
      </c>
      <c r="AK91" t="s">
        <v>2514</v>
      </c>
      <c r="AL91" t="s">
        <v>2520</v>
      </c>
      <c r="AM91" t="s">
        <v>2523</v>
      </c>
      <c r="AR91">
        <v>1898944</v>
      </c>
    </row>
    <row r="92" spans="1:44">
      <c r="A92" s="1">
        <f>HYPERLINK("https://lsnyc.legalserver.org/matter/dynamic-profile/view/1898310","19-1898310")</f>
        <v>0</v>
      </c>
      <c r="B92" t="s">
        <v>134</v>
      </c>
      <c r="C92" t="s">
        <v>536</v>
      </c>
      <c r="D92" t="s">
        <v>544</v>
      </c>
      <c r="E92" t="s">
        <v>562</v>
      </c>
      <c r="F92" t="s">
        <v>580</v>
      </c>
      <c r="G92" t="s">
        <v>581</v>
      </c>
      <c r="H92">
        <v>192.15</v>
      </c>
      <c r="I92" t="s">
        <v>618</v>
      </c>
      <c r="J92" t="s">
        <v>788</v>
      </c>
      <c r="K92" t="s">
        <v>582</v>
      </c>
      <c r="L92" t="s">
        <v>816</v>
      </c>
      <c r="N92" t="s">
        <v>821</v>
      </c>
      <c r="O92" t="s">
        <v>824</v>
      </c>
      <c r="P92" t="s">
        <v>833</v>
      </c>
      <c r="Q92">
        <v>11221</v>
      </c>
      <c r="S92" t="s">
        <v>861</v>
      </c>
      <c r="T92" t="s">
        <v>957</v>
      </c>
      <c r="U92" t="s">
        <v>1367</v>
      </c>
      <c r="V92" t="s">
        <v>1678</v>
      </c>
      <c r="W92" t="s">
        <v>1684</v>
      </c>
      <c r="X92">
        <v>2.5</v>
      </c>
      <c r="Y92">
        <v>0</v>
      </c>
      <c r="Z92">
        <v>1</v>
      </c>
      <c r="AA92" t="s">
        <v>1692</v>
      </c>
      <c r="AB92" t="s">
        <v>1783</v>
      </c>
      <c r="AC92">
        <v>31</v>
      </c>
      <c r="AD92" t="s">
        <v>2218</v>
      </c>
      <c r="AI92" t="s">
        <v>581</v>
      </c>
      <c r="AJ92" t="s">
        <v>2512</v>
      </c>
      <c r="AK92" t="s">
        <v>2514</v>
      </c>
      <c r="AL92" t="s">
        <v>2520</v>
      </c>
      <c r="AM92" t="s">
        <v>2523</v>
      </c>
      <c r="AR92">
        <v>1898955</v>
      </c>
    </row>
    <row r="93" spans="1:44">
      <c r="A93" s="1">
        <f>HYPERLINK("https://lsnyc.legalserver.org/matter/dynamic-profile/view/1898078","19-1898078")</f>
        <v>0</v>
      </c>
      <c r="B93" t="s">
        <v>135</v>
      </c>
      <c r="C93" t="s">
        <v>535</v>
      </c>
      <c r="D93" t="s">
        <v>542</v>
      </c>
      <c r="E93" t="s">
        <v>561</v>
      </c>
      <c r="F93" t="s">
        <v>580</v>
      </c>
      <c r="G93" t="s">
        <v>581</v>
      </c>
      <c r="H93">
        <v>0</v>
      </c>
      <c r="I93" t="s">
        <v>619</v>
      </c>
      <c r="K93" t="s">
        <v>582</v>
      </c>
      <c r="L93" t="s">
        <v>816</v>
      </c>
      <c r="N93" t="s">
        <v>820</v>
      </c>
      <c r="O93" t="s">
        <v>824</v>
      </c>
      <c r="P93" t="s">
        <v>828</v>
      </c>
      <c r="Q93">
        <v>10301</v>
      </c>
      <c r="R93" t="s">
        <v>835</v>
      </c>
      <c r="S93" t="s">
        <v>861</v>
      </c>
      <c r="T93" t="s">
        <v>958</v>
      </c>
      <c r="U93" t="s">
        <v>1368</v>
      </c>
      <c r="W93" t="s">
        <v>1684</v>
      </c>
      <c r="X93">
        <v>5.9</v>
      </c>
      <c r="Y93">
        <v>0</v>
      </c>
      <c r="Z93">
        <v>1</v>
      </c>
      <c r="AA93" t="s">
        <v>1691</v>
      </c>
      <c r="AB93" t="s">
        <v>1784</v>
      </c>
      <c r="AC93">
        <v>40</v>
      </c>
      <c r="AD93" t="s">
        <v>2171</v>
      </c>
      <c r="AI93" t="s">
        <v>582</v>
      </c>
      <c r="AJ93" t="s">
        <v>2512</v>
      </c>
      <c r="AK93" t="s">
        <v>2514</v>
      </c>
      <c r="AL93" t="s">
        <v>2519</v>
      </c>
      <c r="AM93" t="s">
        <v>2522</v>
      </c>
      <c r="AR93">
        <v>1898722</v>
      </c>
    </row>
    <row r="94" spans="1:44">
      <c r="A94" s="1">
        <f>HYPERLINK("https://lsnyc.legalserver.org/matter/dynamic-profile/view/1897818","19-1897818")</f>
        <v>0</v>
      </c>
      <c r="B94" t="s">
        <v>136</v>
      </c>
      <c r="C94" t="s">
        <v>536</v>
      </c>
      <c r="D94" t="s">
        <v>544</v>
      </c>
      <c r="E94" t="s">
        <v>569</v>
      </c>
      <c r="F94" t="s">
        <v>581</v>
      </c>
      <c r="G94" t="s">
        <v>581</v>
      </c>
      <c r="H94">
        <v>0</v>
      </c>
      <c r="I94" t="s">
        <v>620</v>
      </c>
      <c r="J94" t="s">
        <v>779</v>
      </c>
      <c r="K94" t="s">
        <v>581</v>
      </c>
      <c r="L94" t="s">
        <v>816</v>
      </c>
      <c r="N94" t="s">
        <v>821</v>
      </c>
      <c r="O94" t="s">
        <v>825</v>
      </c>
      <c r="P94" t="s">
        <v>833</v>
      </c>
      <c r="Q94">
        <v>11211</v>
      </c>
      <c r="S94" t="s">
        <v>861</v>
      </c>
      <c r="T94" t="s">
        <v>959</v>
      </c>
      <c r="U94" t="s">
        <v>1369</v>
      </c>
      <c r="V94" t="s">
        <v>1678</v>
      </c>
      <c r="X94">
        <v>0.6</v>
      </c>
      <c r="Y94">
        <v>4</v>
      </c>
      <c r="Z94">
        <v>2</v>
      </c>
      <c r="AA94" t="s">
        <v>1692</v>
      </c>
      <c r="AB94" t="s">
        <v>1785</v>
      </c>
      <c r="AC94">
        <v>46</v>
      </c>
      <c r="AD94" t="s">
        <v>2171</v>
      </c>
      <c r="AM94" t="s">
        <v>2523</v>
      </c>
      <c r="AR94">
        <v>1898461</v>
      </c>
    </row>
    <row r="95" spans="1:44">
      <c r="A95" s="1">
        <f>HYPERLINK("https://lsnyc.legalserver.org/matter/dynamic-profile/view/1897891","19-1897891")</f>
        <v>0</v>
      </c>
      <c r="B95" t="s">
        <v>137</v>
      </c>
      <c r="C95" t="s">
        <v>537</v>
      </c>
      <c r="D95" t="s">
        <v>545</v>
      </c>
      <c r="E95" t="s">
        <v>568</v>
      </c>
      <c r="F95" t="s">
        <v>581</v>
      </c>
      <c r="G95" t="s">
        <v>581</v>
      </c>
      <c r="H95">
        <v>61.97</v>
      </c>
      <c r="I95" t="s">
        <v>620</v>
      </c>
      <c r="J95" t="s">
        <v>786</v>
      </c>
      <c r="K95" t="s">
        <v>582</v>
      </c>
      <c r="L95" t="s">
        <v>816</v>
      </c>
      <c r="N95" t="s">
        <v>820</v>
      </c>
      <c r="O95" t="s">
        <v>825</v>
      </c>
      <c r="P95" t="s">
        <v>828</v>
      </c>
      <c r="Q95">
        <v>11355</v>
      </c>
      <c r="S95" t="s">
        <v>861</v>
      </c>
      <c r="T95" t="s">
        <v>912</v>
      </c>
      <c r="U95" t="s">
        <v>1370</v>
      </c>
      <c r="V95" t="s">
        <v>1681</v>
      </c>
      <c r="W95" t="s">
        <v>1685</v>
      </c>
      <c r="X95">
        <v>10.35</v>
      </c>
      <c r="Y95">
        <v>0</v>
      </c>
      <c r="Z95">
        <v>1</v>
      </c>
      <c r="AA95" t="s">
        <v>1692</v>
      </c>
      <c r="AB95" t="s">
        <v>1786</v>
      </c>
      <c r="AC95">
        <v>29</v>
      </c>
      <c r="AD95" t="s">
        <v>2219</v>
      </c>
      <c r="AG95" t="s">
        <v>2360</v>
      </c>
      <c r="AH95" t="s">
        <v>2403</v>
      </c>
      <c r="AI95" t="s">
        <v>582</v>
      </c>
      <c r="AJ95" t="s">
        <v>2512</v>
      </c>
      <c r="AK95" t="s">
        <v>2516</v>
      </c>
      <c r="AL95" t="s">
        <v>2521</v>
      </c>
      <c r="AM95" t="s">
        <v>2525</v>
      </c>
      <c r="AO95" t="s">
        <v>2528</v>
      </c>
      <c r="AR95">
        <v>1898534</v>
      </c>
    </row>
    <row r="96" spans="1:44">
      <c r="A96" s="1">
        <f>HYPERLINK("https://lsnyc.legalserver.org/matter/dynamic-profile/view/1897879","19-1897879")</f>
        <v>0</v>
      </c>
      <c r="B96" t="s">
        <v>138</v>
      </c>
      <c r="C96" t="s">
        <v>535</v>
      </c>
      <c r="D96" t="s">
        <v>543</v>
      </c>
      <c r="E96" t="s">
        <v>561</v>
      </c>
      <c r="F96" t="s">
        <v>580</v>
      </c>
      <c r="G96" t="s">
        <v>581</v>
      </c>
      <c r="H96">
        <v>0</v>
      </c>
      <c r="I96" t="s">
        <v>620</v>
      </c>
      <c r="K96" t="s">
        <v>582</v>
      </c>
      <c r="L96" t="s">
        <v>816</v>
      </c>
      <c r="N96" t="s">
        <v>820</v>
      </c>
      <c r="O96" t="s">
        <v>824</v>
      </c>
      <c r="P96" t="s">
        <v>828</v>
      </c>
      <c r="Q96">
        <v>10473</v>
      </c>
      <c r="R96" t="s">
        <v>835</v>
      </c>
      <c r="S96" t="s">
        <v>861</v>
      </c>
      <c r="T96" t="s">
        <v>960</v>
      </c>
      <c r="U96" t="s">
        <v>1371</v>
      </c>
      <c r="W96" t="s">
        <v>1684</v>
      </c>
      <c r="X96">
        <v>18.85</v>
      </c>
      <c r="Y96">
        <v>0</v>
      </c>
      <c r="Z96">
        <v>1</v>
      </c>
      <c r="AA96" t="s">
        <v>1691</v>
      </c>
      <c r="AB96" t="s">
        <v>1787</v>
      </c>
      <c r="AC96">
        <v>25</v>
      </c>
      <c r="AD96" t="s">
        <v>2171</v>
      </c>
      <c r="AI96" t="s">
        <v>582</v>
      </c>
      <c r="AJ96" t="s">
        <v>2512</v>
      </c>
      <c r="AK96" t="s">
        <v>2514</v>
      </c>
      <c r="AL96" t="s">
        <v>2519</v>
      </c>
      <c r="AM96" t="s">
        <v>2522</v>
      </c>
      <c r="AR96">
        <v>1898522</v>
      </c>
    </row>
    <row r="97" spans="1:44">
      <c r="A97" s="1">
        <f>HYPERLINK("https://lsnyc.legalserver.org/matter/dynamic-profile/view/1897882","19-1897882")</f>
        <v>0</v>
      </c>
      <c r="B97" t="s">
        <v>139</v>
      </c>
      <c r="C97" t="s">
        <v>535</v>
      </c>
      <c r="D97" t="s">
        <v>541</v>
      </c>
      <c r="E97" t="s">
        <v>561</v>
      </c>
      <c r="F97" t="s">
        <v>580</v>
      </c>
      <c r="G97" t="s">
        <v>581</v>
      </c>
      <c r="H97">
        <v>0</v>
      </c>
      <c r="I97" t="s">
        <v>620</v>
      </c>
      <c r="L97" t="s">
        <v>816</v>
      </c>
      <c r="N97" t="s">
        <v>820</v>
      </c>
      <c r="O97" t="s">
        <v>825</v>
      </c>
      <c r="P97" t="s">
        <v>828</v>
      </c>
      <c r="Q97">
        <v>10034</v>
      </c>
      <c r="R97" t="s">
        <v>835</v>
      </c>
      <c r="S97" t="s">
        <v>863</v>
      </c>
      <c r="T97" t="s">
        <v>912</v>
      </c>
      <c r="U97" t="s">
        <v>1372</v>
      </c>
      <c r="W97" t="s">
        <v>1684</v>
      </c>
      <c r="X97">
        <v>11.75</v>
      </c>
      <c r="Y97">
        <v>1</v>
      </c>
      <c r="Z97">
        <v>2</v>
      </c>
      <c r="AA97" t="s">
        <v>1691</v>
      </c>
      <c r="AB97" t="s">
        <v>1788</v>
      </c>
      <c r="AC97">
        <v>44</v>
      </c>
      <c r="AD97" t="s">
        <v>2171</v>
      </c>
      <c r="AI97" t="s">
        <v>581</v>
      </c>
      <c r="AJ97" t="s">
        <v>2511</v>
      </c>
      <c r="AK97" t="s">
        <v>2514</v>
      </c>
      <c r="AL97" t="s">
        <v>2520</v>
      </c>
      <c r="AM97" t="s">
        <v>2523</v>
      </c>
      <c r="AR97">
        <v>1897052</v>
      </c>
    </row>
    <row r="98" spans="1:44">
      <c r="A98" s="1">
        <f>HYPERLINK("https://lsnyc.legalserver.org/matter/dynamic-profile/view/1897903","19-1897903")</f>
        <v>0</v>
      </c>
      <c r="B98" t="s">
        <v>140</v>
      </c>
      <c r="C98" t="s">
        <v>535</v>
      </c>
      <c r="D98" t="s">
        <v>541</v>
      </c>
      <c r="E98" t="s">
        <v>563</v>
      </c>
      <c r="F98" t="s">
        <v>580</v>
      </c>
      <c r="G98" t="s">
        <v>581</v>
      </c>
      <c r="H98">
        <v>198.7</v>
      </c>
      <c r="I98" t="s">
        <v>620</v>
      </c>
      <c r="K98" t="s">
        <v>582</v>
      </c>
      <c r="L98" t="s">
        <v>816</v>
      </c>
      <c r="N98" t="s">
        <v>821</v>
      </c>
      <c r="O98" t="s">
        <v>824</v>
      </c>
      <c r="P98" t="s">
        <v>833</v>
      </c>
      <c r="Q98">
        <v>10037</v>
      </c>
      <c r="S98" t="s">
        <v>861</v>
      </c>
      <c r="T98" t="s">
        <v>961</v>
      </c>
      <c r="U98" t="s">
        <v>1373</v>
      </c>
      <c r="X98">
        <v>1.05</v>
      </c>
      <c r="Y98">
        <v>0</v>
      </c>
      <c r="Z98">
        <v>2</v>
      </c>
      <c r="AA98" t="s">
        <v>1691</v>
      </c>
      <c r="AB98" t="s">
        <v>1789</v>
      </c>
      <c r="AC98">
        <v>71</v>
      </c>
      <c r="AD98" t="s">
        <v>2220</v>
      </c>
      <c r="AI98" t="s">
        <v>581</v>
      </c>
      <c r="AJ98" t="s">
        <v>2511</v>
      </c>
      <c r="AL98" t="s">
        <v>2520</v>
      </c>
      <c r="AM98" t="s">
        <v>2523</v>
      </c>
      <c r="AR98">
        <v>1898546</v>
      </c>
    </row>
    <row r="99" spans="1:44">
      <c r="A99" s="1">
        <f>HYPERLINK("https://lsnyc.legalserver.org/matter/dynamic-profile/view/1897728","19-1897728")</f>
        <v>0</v>
      </c>
      <c r="B99" t="s">
        <v>141</v>
      </c>
      <c r="C99" t="s">
        <v>536</v>
      </c>
      <c r="D99" t="s">
        <v>544</v>
      </c>
      <c r="E99" t="s">
        <v>566</v>
      </c>
      <c r="F99" t="s">
        <v>580</v>
      </c>
      <c r="G99" t="s">
        <v>581</v>
      </c>
      <c r="H99">
        <v>0</v>
      </c>
      <c r="I99" t="s">
        <v>621</v>
      </c>
      <c r="J99" t="s">
        <v>794</v>
      </c>
      <c r="K99" t="s">
        <v>582</v>
      </c>
      <c r="L99" t="s">
        <v>816</v>
      </c>
      <c r="N99" t="s">
        <v>820</v>
      </c>
      <c r="O99" t="s">
        <v>824</v>
      </c>
      <c r="P99" t="s">
        <v>828</v>
      </c>
      <c r="Q99">
        <v>11209</v>
      </c>
      <c r="S99" t="s">
        <v>861</v>
      </c>
      <c r="T99" t="s">
        <v>962</v>
      </c>
      <c r="U99" t="s">
        <v>1374</v>
      </c>
      <c r="V99" t="s">
        <v>1678</v>
      </c>
      <c r="W99" t="s">
        <v>1684</v>
      </c>
      <c r="X99">
        <v>1.26</v>
      </c>
      <c r="Y99">
        <v>0</v>
      </c>
      <c r="Z99">
        <v>1</v>
      </c>
      <c r="AA99" t="s">
        <v>1692</v>
      </c>
      <c r="AB99" t="s">
        <v>1790</v>
      </c>
      <c r="AC99">
        <v>43</v>
      </c>
      <c r="AD99" t="s">
        <v>2171</v>
      </c>
      <c r="AI99" t="s">
        <v>581</v>
      </c>
      <c r="AJ99" t="s">
        <v>2511</v>
      </c>
      <c r="AM99" t="s">
        <v>2523</v>
      </c>
      <c r="AR99">
        <v>1898371</v>
      </c>
    </row>
    <row r="100" spans="1:44">
      <c r="A100" s="1">
        <f>HYPERLINK("https://lsnyc.legalserver.org/matter/dynamic-profile/view/1897754","19-1897754")</f>
        <v>0</v>
      </c>
      <c r="B100" t="s">
        <v>142</v>
      </c>
      <c r="C100" t="s">
        <v>537</v>
      </c>
      <c r="D100" t="s">
        <v>545</v>
      </c>
      <c r="E100" t="s">
        <v>568</v>
      </c>
      <c r="F100" t="s">
        <v>581</v>
      </c>
      <c r="G100" t="s">
        <v>581</v>
      </c>
      <c r="H100">
        <v>124.1</v>
      </c>
      <c r="I100" t="s">
        <v>621</v>
      </c>
      <c r="J100" t="s">
        <v>786</v>
      </c>
      <c r="K100" t="s">
        <v>582</v>
      </c>
      <c r="L100" t="s">
        <v>816</v>
      </c>
      <c r="N100" t="s">
        <v>820</v>
      </c>
      <c r="O100" t="s">
        <v>825</v>
      </c>
      <c r="P100" t="s">
        <v>828</v>
      </c>
      <c r="Q100">
        <v>11102</v>
      </c>
      <c r="S100" t="s">
        <v>861</v>
      </c>
      <c r="T100" t="s">
        <v>899</v>
      </c>
      <c r="U100" t="s">
        <v>1375</v>
      </c>
      <c r="V100" t="s">
        <v>1678</v>
      </c>
      <c r="W100" t="s">
        <v>1684</v>
      </c>
      <c r="X100">
        <v>9.85</v>
      </c>
      <c r="Y100">
        <v>0</v>
      </c>
      <c r="Z100">
        <v>1</v>
      </c>
      <c r="AA100" t="s">
        <v>1692</v>
      </c>
      <c r="AB100" t="s">
        <v>1791</v>
      </c>
      <c r="AC100">
        <v>30</v>
      </c>
      <c r="AD100" t="s">
        <v>2221</v>
      </c>
      <c r="AJ100" t="s">
        <v>2513</v>
      </c>
      <c r="AK100" t="s">
        <v>2514</v>
      </c>
      <c r="AL100" t="s">
        <v>2519</v>
      </c>
      <c r="AM100" t="s">
        <v>2523</v>
      </c>
      <c r="AR100">
        <v>1898397</v>
      </c>
    </row>
    <row r="101" spans="1:44">
      <c r="A101" s="1">
        <f>HYPERLINK("https://lsnyc.legalserver.org/matter/dynamic-profile/view/1897786","19-1897786")</f>
        <v>0</v>
      </c>
      <c r="B101" t="s">
        <v>143</v>
      </c>
      <c r="C101" t="s">
        <v>535</v>
      </c>
      <c r="D101" t="s">
        <v>541</v>
      </c>
      <c r="E101" t="s">
        <v>561</v>
      </c>
      <c r="F101" t="s">
        <v>580</v>
      </c>
      <c r="G101" t="s">
        <v>581</v>
      </c>
      <c r="H101">
        <v>144.69</v>
      </c>
      <c r="I101" t="s">
        <v>621</v>
      </c>
      <c r="K101" t="s">
        <v>582</v>
      </c>
      <c r="L101" t="s">
        <v>816</v>
      </c>
      <c r="N101" t="s">
        <v>820</v>
      </c>
      <c r="O101" t="s">
        <v>825</v>
      </c>
      <c r="P101" t="s">
        <v>828</v>
      </c>
      <c r="Q101">
        <v>10025</v>
      </c>
      <c r="R101" t="s">
        <v>835</v>
      </c>
      <c r="S101" t="s">
        <v>863</v>
      </c>
      <c r="T101" t="s">
        <v>963</v>
      </c>
      <c r="U101" t="s">
        <v>1376</v>
      </c>
      <c r="W101" t="s">
        <v>1685</v>
      </c>
      <c r="X101">
        <v>14.66</v>
      </c>
      <c r="Y101">
        <v>0</v>
      </c>
      <c r="Z101">
        <v>1</v>
      </c>
      <c r="AA101" t="s">
        <v>1691</v>
      </c>
      <c r="AB101" t="s">
        <v>1792</v>
      </c>
      <c r="AC101">
        <v>82</v>
      </c>
      <c r="AD101" t="s">
        <v>2222</v>
      </c>
      <c r="AG101" t="s">
        <v>2361</v>
      </c>
      <c r="AI101" t="s">
        <v>582</v>
      </c>
      <c r="AJ101" t="s">
        <v>2512</v>
      </c>
      <c r="AL101" t="s">
        <v>2521</v>
      </c>
      <c r="AM101" t="s">
        <v>2525</v>
      </c>
      <c r="AR101">
        <v>1898429</v>
      </c>
    </row>
    <row r="102" spans="1:44">
      <c r="A102" s="1">
        <f>HYPERLINK("https://lsnyc.legalserver.org/matter/dynamic-profile/view/1897621","19-1897621")</f>
        <v>0</v>
      </c>
      <c r="B102" t="s">
        <v>144</v>
      </c>
      <c r="C102" t="s">
        <v>536</v>
      </c>
      <c r="D102" t="s">
        <v>544</v>
      </c>
      <c r="E102" t="s">
        <v>569</v>
      </c>
      <c r="F102" t="s">
        <v>580</v>
      </c>
      <c r="G102" t="s">
        <v>581</v>
      </c>
      <c r="H102">
        <v>57.2</v>
      </c>
      <c r="I102" t="s">
        <v>622</v>
      </c>
      <c r="J102" t="s">
        <v>604</v>
      </c>
      <c r="K102" t="s">
        <v>581</v>
      </c>
      <c r="L102" t="s">
        <v>816</v>
      </c>
      <c r="N102" t="s">
        <v>820</v>
      </c>
      <c r="O102" t="s">
        <v>824</v>
      </c>
      <c r="P102" t="s">
        <v>828</v>
      </c>
      <c r="Q102">
        <v>11225</v>
      </c>
      <c r="S102" t="s">
        <v>861</v>
      </c>
      <c r="T102" t="s">
        <v>964</v>
      </c>
      <c r="U102" t="s">
        <v>1377</v>
      </c>
      <c r="V102" t="s">
        <v>1681</v>
      </c>
      <c r="X102">
        <v>6.25</v>
      </c>
      <c r="Y102">
        <v>0</v>
      </c>
      <c r="Z102">
        <v>2</v>
      </c>
      <c r="AA102" t="s">
        <v>1692</v>
      </c>
      <c r="AB102" t="s">
        <v>1793</v>
      </c>
      <c r="AC102">
        <v>25</v>
      </c>
      <c r="AD102" t="s">
        <v>2223</v>
      </c>
      <c r="AI102" t="s">
        <v>582</v>
      </c>
      <c r="AJ102" t="s">
        <v>2512</v>
      </c>
      <c r="AL102" t="s">
        <v>2521</v>
      </c>
      <c r="AM102" t="s">
        <v>2525</v>
      </c>
      <c r="AR102">
        <v>1886855</v>
      </c>
    </row>
    <row r="103" spans="1:44">
      <c r="A103" s="1">
        <f>HYPERLINK("https://lsnyc.legalserver.org/matter/dynamic-profile/view/1897668","19-1897668")</f>
        <v>0</v>
      </c>
      <c r="B103" t="s">
        <v>145</v>
      </c>
      <c r="C103" t="s">
        <v>536</v>
      </c>
      <c r="D103" t="s">
        <v>544</v>
      </c>
      <c r="E103" t="s">
        <v>566</v>
      </c>
      <c r="F103" t="s">
        <v>580</v>
      </c>
      <c r="G103" t="s">
        <v>581</v>
      </c>
      <c r="H103">
        <v>17.29</v>
      </c>
      <c r="I103" t="s">
        <v>622</v>
      </c>
      <c r="J103" t="s">
        <v>784</v>
      </c>
      <c r="K103" t="s">
        <v>582</v>
      </c>
      <c r="L103" t="s">
        <v>816</v>
      </c>
      <c r="N103" t="s">
        <v>820</v>
      </c>
      <c r="O103" t="s">
        <v>825</v>
      </c>
      <c r="P103" t="s">
        <v>828</v>
      </c>
      <c r="Q103">
        <v>11225</v>
      </c>
      <c r="S103" t="s">
        <v>861</v>
      </c>
      <c r="T103" t="s">
        <v>965</v>
      </c>
      <c r="U103" t="s">
        <v>1378</v>
      </c>
      <c r="V103" t="s">
        <v>1678</v>
      </c>
      <c r="W103" t="s">
        <v>1684</v>
      </c>
      <c r="X103">
        <v>2.5</v>
      </c>
      <c r="Y103">
        <v>0</v>
      </c>
      <c r="Z103">
        <v>1</v>
      </c>
      <c r="AA103" t="s">
        <v>1692</v>
      </c>
      <c r="AB103" t="s">
        <v>1794</v>
      </c>
      <c r="AC103">
        <v>41</v>
      </c>
      <c r="AD103" t="s">
        <v>2224</v>
      </c>
      <c r="AI103" t="s">
        <v>581</v>
      </c>
      <c r="AJ103" t="s">
        <v>2511</v>
      </c>
      <c r="AL103" t="s">
        <v>2520</v>
      </c>
      <c r="AM103" t="s">
        <v>2523</v>
      </c>
      <c r="AR103">
        <v>1898311</v>
      </c>
    </row>
    <row r="104" spans="1:44">
      <c r="A104" s="1">
        <f>HYPERLINK("https://lsnyc.legalserver.org/matter/dynamic-profile/view/1897538","19-1897538")</f>
        <v>0</v>
      </c>
      <c r="B104" t="s">
        <v>146</v>
      </c>
      <c r="C104" t="s">
        <v>536</v>
      </c>
      <c r="D104" t="s">
        <v>544</v>
      </c>
      <c r="E104" t="s">
        <v>566</v>
      </c>
      <c r="F104" t="s">
        <v>580</v>
      </c>
      <c r="G104" t="s">
        <v>581</v>
      </c>
      <c r="H104">
        <v>86.18000000000001</v>
      </c>
      <c r="I104" t="s">
        <v>623</v>
      </c>
      <c r="J104" t="s">
        <v>618</v>
      </c>
      <c r="K104" t="s">
        <v>581</v>
      </c>
      <c r="L104" t="s">
        <v>816</v>
      </c>
      <c r="N104" t="s">
        <v>821</v>
      </c>
      <c r="O104" t="s">
        <v>825</v>
      </c>
      <c r="P104" t="s">
        <v>833</v>
      </c>
      <c r="Q104">
        <v>11230</v>
      </c>
      <c r="R104" t="s">
        <v>846</v>
      </c>
      <c r="S104" t="s">
        <v>861</v>
      </c>
      <c r="T104" t="s">
        <v>966</v>
      </c>
      <c r="U104" t="s">
        <v>1379</v>
      </c>
      <c r="V104" t="s">
        <v>1678</v>
      </c>
      <c r="W104" t="s">
        <v>1684</v>
      </c>
      <c r="X104">
        <v>1.55</v>
      </c>
      <c r="Y104">
        <v>3</v>
      </c>
      <c r="Z104">
        <v>2</v>
      </c>
      <c r="AA104" t="s">
        <v>1692</v>
      </c>
      <c r="AB104" t="s">
        <v>1795</v>
      </c>
      <c r="AC104">
        <v>33</v>
      </c>
      <c r="AD104" t="s">
        <v>2225</v>
      </c>
      <c r="AI104" t="s">
        <v>581</v>
      </c>
      <c r="AJ104" t="s">
        <v>2511</v>
      </c>
      <c r="AL104" t="s">
        <v>2520</v>
      </c>
      <c r="AM104" t="s">
        <v>2523</v>
      </c>
      <c r="AR104">
        <v>1897662</v>
      </c>
    </row>
    <row r="105" spans="1:44">
      <c r="A105" s="1">
        <f>HYPERLINK("https://lsnyc.legalserver.org/matter/dynamic-profile/view/1897491","19-1897491")</f>
        <v>0</v>
      </c>
      <c r="B105" t="s">
        <v>147</v>
      </c>
      <c r="C105" t="s">
        <v>536</v>
      </c>
      <c r="D105" t="s">
        <v>544</v>
      </c>
      <c r="E105" t="s">
        <v>569</v>
      </c>
      <c r="F105" t="s">
        <v>581</v>
      </c>
      <c r="G105" t="s">
        <v>581</v>
      </c>
      <c r="H105">
        <v>0</v>
      </c>
      <c r="I105" t="s">
        <v>623</v>
      </c>
      <c r="J105" t="s">
        <v>780</v>
      </c>
      <c r="K105" t="s">
        <v>582</v>
      </c>
      <c r="L105" t="s">
        <v>816</v>
      </c>
      <c r="N105" t="s">
        <v>820</v>
      </c>
      <c r="O105" t="s">
        <v>825</v>
      </c>
      <c r="P105" t="s">
        <v>828</v>
      </c>
      <c r="Q105">
        <v>11217</v>
      </c>
      <c r="S105" t="s">
        <v>861</v>
      </c>
      <c r="T105" t="s">
        <v>885</v>
      </c>
      <c r="U105" t="s">
        <v>1380</v>
      </c>
      <c r="V105" t="s">
        <v>1678</v>
      </c>
      <c r="W105" t="s">
        <v>1684</v>
      </c>
      <c r="X105">
        <v>19.55</v>
      </c>
      <c r="Y105">
        <v>0</v>
      </c>
      <c r="Z105">
        <v>1</v>
      </c>
      <c r="AA105" t="s">
        <v>1692</v>
      </c>
      <c r="AB105" t="s">
        <v>1796</v>
      </c>
      <c r="AC105">
        <v>47</v>
      </c>
      <c r="AD105" t="s">
        <v>2171</v>
      </c>
      <c r="AJ105" t="s">
        <v>2513</v>
      </c>
      <c r="AM105" t="s">
        <v>2523</v>
      </c>
      <c r="AR105">
        <v>778267</v>
      </c>
    </row>
    <row r="106" spans="1:44">
      <c r="A106" s="1">
        <f>HYPERLINK("https://lsnyc.legalserver.org/matter/dynamic-profile/view/1897386","19-1897386")</f>
        <v>0</v>
      </c>
      <c r="B106" t="s">
        <v>148</v>
      </c>
      <c r="C106" t="s">
        <v>536</v>
      </c>
      <c r="D106" t="s">
        <v>544</v>
      </c>
      <c r="E106" t="s">
        <v>562</v>
      </c>
      <c r="F106" t="s">
        <v>580</v>
      </c>
      <c r="G106" t="s">
        <v>581</v>
      </c>
      <c r="H106">
        <v>18.45</v>
      </c>
      <c r="I106" t="s">
        <v>624</v>
      </c>
      <c r="J106" t="s">
        <v>592</v>
      </c>
      <c r="K106" t="s">
        <v>581</v>
      </c>
      <c r="L106" t="s">
        <v>816</v>
      </c>
      <c r="N106" t="s">
        <v>821</v>
      </c>
      <c r="O106" t="s">
        <v>824</v>
      </c>
      <c r="P106" t="s">
        <v>833</v>
      </c>
      <c r="Q106">
        <v>11229</v>
      </c>
      <c r="S106" t="s">
        <v>861</v>
      </c>
      <c r="T106" t="s">
        <v>967</v>
      </c>
      <c r="U106" t="s">
        <v>1381</v>
      </c>
      <c r="V106" t="s">
        <v>1678</v>
      </c>
      <c r="W106" t="s">
        <v>1684</v>
      </c>
      <c r="X106">
        <v>1</v>
      </c>
      <c r="Y106">
        <v>0</v>
      </c>
      <c r="Z106">
        <v>1</v>
      </c>
      <c r="AA106" t="s">
        <v>1692</v>
      </c>
      <c r="AB106" t="s">
        <v>1797</v>
      </c>
      <c r="AC106">
        <v>30</v>
      </c>
      <c r="AD106" t="s">
        <v>2226</v>
      </c>
      <c r="AI106" t="s">
        <v>581</v>
      </c>
      <c r="AJ106" t="s">
        <v>2513</v>
      </c>
      <c r="AK106" t="s">
        <v>2514</v>
      </c>
      <c r="AM106" t="s">
        <v>2523</v>
      </c>
      <c r="AR106">
        <v>1898029</v>
      </c>
    </row>
    <row r="107" spans="1:44">
      <c r="A107" s="1">
        <f>HYPERLINK("https://lsnyc.legalserver.org/matter/dynamic-profile/view/1897351","19-1897351")</f>
        <v>0</v>
      </c>
      <c r="B107" t="s">
        <v>149</v>
      </c>
      <c r="C107" t="s">
        <v>535</v>
      </c>
      <c r="D107" t="s">
        <v>544</v>
      </c>
      <c r="E107" t="s">
        <v>561</v>
      </c>
      <c r="F107" t="s">
        <v>580</v>
      </c>
      <c r="G107" t="s">
        <v>581</v>
      </c>
      <c r="H107">
        <v>101.17</v>
      </c>
      <c r="I107" t="s">
        <v>624</v>
      </c>
      <c r="K107" t="s">
        <v>582</v>
      </c>
      <c r="L107" t="s">
        <v>816</v>
      </c>
      <c r="N107" t="s">
        <v>820</v>
      </c>
      <c r="O107" t="s">
        <v>825</v>
      </c>
      <c r="P107" t="s">
        <v>828</v>
      </c>
      <c r="Q107">
        <v>11220</v>
      </c>
      <c r="R107" t="s">
        <v>835</v>
      </c>
      <c r="S107" t="s">
        <v>863</v>
      </c>
      <c r="T107" t="s">
        <v>968</v>
      </c>
      <c r="U107" t="s">
        <v>1382</v>
      </c>
      <c r="W107" t="s">
        <v>1684</v>
      </c>
      <c r="X107">
        <v>6.66</v>
      </c>
      <c r="Y107">
        <v>0</v>
      </c>
      <c r="Z107">
        <v>1</v>
      </c>
      <c r="AA107" t="s">
        <v>1691</v>
      </c>
      <c r="AB107" t="s">
        <v>1798</v>
      </c>
      <c r="AC107">
        <v>69</v>
      </c>
      <c r="AD107" t="s">
        <v>2227</v>
      </c>
      <c r="AI107" t="s">
        <v>581</v>
      </c>
      <c r="AJ107" t="s">
        <v>2511</v>
      </c>
      <c r="AK107" t="s">
        <v>2514</v>
      </c>
      <c r="AL107" t="s">
        <v>2520</v>
      </c>
      <c r="AM107" t="s">
        <v>2523</v>
      </c>
      <c r="AR107">
        <v>1897994</v>
      </c>
    </row>
    <row r="108" spans="1:44">
      <c r="A108" s="1">
        <f>HYPERLINK("https://lsnyc.legalserver.org/matter/dynamic-profile/view/1897128","19-1897128")</f>
        <v>0</v>
      </c>
      <c r="B108" t="s">
        <v>150</v>
      </c>
      <c r="C108" t="s">
        <v>536</v>
      </c>
      <c r="D108" t="s">
        <v>544</v>
      </c>
      <c r="E108" t="s">
        <v>564</v>
      </c>
      <c r="F108" t="s">
        <v>580</v>
      </c>
      <c r="G108" t="s">
        <v>581</v>
      </c>
      <c r="H108">
        <v>17.29</v>
      </c>
      <c r="I108" t="s">
        <v>625</v>
      </c>
      <c r="K108" t="s">
        <v>581</v>
      </c>
      <c r="L108" t="s">
        <v>816</v>
      </c>
      <c r="N108" t="s">
        <v>821</v>
      </c>
      <c r="O108" t="s">
        <v>825</v>
      </c>
      <c r="P108" t="s">
        <v>833</v>
      </c>
      <c r="Q108">
        <v>11207</v>
      </c>
      <c r="S108" t="s">
        <v>861</v>
      </c>
      <c r="T108" t="s">
        <v>969</v>
      </c>
      <c r="U108" t="s">
        <v>909</v>
      </c>
      <c r="W108" t="s">
        <v>1686</v>
      </c>
      <c r="X108">
        <v>29.7</v>
      </c>
      <c r="Y108">
        <v>0</v>
      </c>
      <c r="Z108">
        <v>1</v>
      </c>
      <c r="AA108" t="s">
        <v>1691</v>
      </c>
      <c r="AB108" t="s">
        <v>1799</v>
      </c>
      <c r="AC108">
        <v>53</v>
      </c>
      <c r="AD108" t="s">
        <v>2224</v>
      </c>
      <c r="AI108" t="s">
        <v>582</v>
      </c>
      <c r="AJ108" t="s">
        <v>2512</v>
      </c>
      <c r="AM108" t="s">
        <v>2523</v>
      </c>
      <c r="AR108">
        <v>1897771</v>
      </c>
    </row>
    <row r="109" spans="1:44">
      <c r="A109" s="1">
        <f>HYPERLINK("https://lsnyc.legalserver.org/matter/dynamic-profile/view/1896989","19-1896989")</f>
        <v>0</v>
      </c>
      <c r="B109" t="s">
        <v>151</v>
      </c>
      <c r="C109" t="s">
        <v>536</v>
      </c>
      <c r="D109" t="s">
        <v>544</v>
      </c>
      <c r="E109" t="s">
        <v>562</v>
      </c>
      <c r="F109" t="s">
        <v>580</v>
      </c>
      <c r="G109" t="s">
        <v>581</v>
      </c>
      <c r="H109">
        <v>40.09</v>
      </c>
      <c r="I109" t="s">
        <v>626</v>
      </c>
      <c r="J109" t="s">
        <v>613</v>
      </c>
      <c r="K109" t="s">
        <v>581</v>
      </c>
      <c r="L109" t="s">
        <v>816</v>
      </c>
      <c r="N109" t="s">
        <v>821</v>
      </c>
      <c r="O109" t="s">
        <v>824</v>
      </c>
      <c r="P109" t="s">
        <v>833</v>
      </c>
      <c r="Q109">
        <v>11212</v>
      </c>
      <c r="R109" t="s">
        <v>841</v>
      </c>
      <c r="S109" t="s">
        <v>861</v>
      </c>
      <c r="T109" t="s">
        <v>957</v>
      </c>
      <c r="U109" t="s">
        <v>1383</v>
      </c>
      <c r="V109" t="s">
        <v>1678</v>
      </c>
      <c r="W109" t="s">
        <v>1684</v>
      </c>
      <c r="X109">
        <v>1.5</v>
      </c>
      <c r="Y109">
        <v>1</v>
      </c>
      <c r="Z109">
        <v>1</v>
      </c>
      <c r="AA109" t="s">
        <v>1692</v>
      </c>
      <c r="AB109" t="s">
        <v>1800</v>
      </c>
      <c r="AC109">
        <v>24</v>
      </c>
      <c r="AD109" t="s">
        <v>2228</v>
      </c>
      <c r="AH109" t="s">
        <v>2404</v>
      </c>
      <c r="AI109" t="s">
        <v>581</v>
      </c>
      <c r="AJ109" t="s">
        <v>2511</v>
      </c>
      <c r="AK109" t="s">
        <v>2514</v>
      </c>
      <c r="AL109" t="s">
        <v>2520</v>
      </c>
      <c r="AM109" t="s">
        <v>2523</v>
      </c>
      <c r="AR109">
        <v>1897632</v>
      </c>
    </row>
    <row r="110" spans="1:44">
      <c r="A110" s="1">
        <f>HYPERLINK("https://lsnyc.legalserver.org/matter/dynamic-profile/view/1896991","19-1896991")</f>
        <v>0</v>
      </c>
      <c r="B110" t="s">
        <v>152</v>
      </c>
      <c r="C110" t="s">
        <v>536</v>
      </c>
      <c r="D110" t="s">
        <v>544</v>
      </c>
      <c r="E110" t="s">
        <v>566</v>
      </c>
      <c r="F110" t="s">
        <v>580</v>
      </c>
      <c r="G110" t="s">
        <v>581</v>
      </c>
      <c r="H110">
        <v>0</v>
      </c>
      <c r="I110" t="s">
        <v>626</v>
      </c>
      <c r="J110" t="s">
        <v>607</v>
      </c>
      <c r="K110" t="s">
        <v>582</v>
      </c>
      <c r="L110" t="s">
        <v>816</v>
      </c>
      <c r="N110" t="s">
        <v>820</v>
      </c>
      <c r="O110" t="s">
        <v>824</v>
      </c>
      <c r="P110" t="s">
        <v>828</v>
      </c>
      <c r="Q110">
        <v>11216</v>
      </c>
      <c r="S110" t="s">
        <v>861</v>
      </c>
      <c r="T110" t="s">
        <v>970</v>
      </c>
      <c r="U110" t="s">
        <v>1384</v>
      </c>
      <c r="V110" t="s">
        <v>1678</v>
      </c>
      <c r="W110" t="s">
        <v>1684</v>
      </c>
      <c r="X110">
        <v>5.1</v>
      </c>
      <c r="Y110">
        <v>0</v>
      </c>
      <c r="Z110">
        <v>1</v>
      </c>
      <c r="AA110" t="s">
        <v>1692</v>
      </c>
      <c r="AB110" t="s">
        <v>1801</v>
      </c>
      <c r="AC110">
        <v>26</v>
      </c>
      <c r="AD110" t="s">
        <v>2171</v>
      </c>
      <c r="AI110" t="s">
        <v>581</v>
      </c>
      <c r="AJ110" t="s">
        <v>2511</v>
      </c>
      <c r="AM110" t="s">
        <v>2523</v>
      </c>
      <c r="AR110">
        <v>1897634</v>
      </c>
    </row>
    <row r="111" spans="1:44">
      <c r="A111" s="1">
        <f>HYPERLINK("https://lsnyc.legalserver.org/matter/dynamic-profile/view/1897010","19-1897010")</f>
        <v>0</v>
      </c>
      <c r="B111" t="s">
        <v>153</v>
      </c>
      <c r="C111" t="s">
        <v>535</v>
      </c>
      <c r="D111" t="s">
        <v>543</v>
      </c>
      <c r="E111" t="s">
        <v>571</v>
      </c>
      <c r="F111" t="s">
        <v>580</v>
      </c>
      <c r="G111" t="s">
        <v>581</v>
      </c>
      <c r="H111">
        <v>96.08</v>
      </c>
      <c r="I111" t="s">
        <v>626</v>
      </c>
      <c r="J111" t="s">
        <v>597</v>
      </c>
      <c r="K111" t="s">
        <v>581</v>
      </c>
      <c r="L111" t="s">
        <v>816</v>
      </c>
      <c r="N111" t="s">
        <v>821</v>
      </c>
      <c r="O111" t="s">
        <v>825</v>
      </c>
      <c r="P111" t="s">
        <v>833</v>
      </c>
      <c r="Q111">
        <v>10457</v>
      </c>
      <c r="R111" t="s">
        <v>846</v>
      </c>
      <c r="S111" t="s">
        <v>861</v>
      </c>
      <c r="T111" t="s">
        <v>912</v>
      </c>
      <c r="U111" t="s">
        <v>1334</v>
      </c>
      <c r="V111" t="s">
        <v>1678</v>
      </c>
      <c r="X111">
        <v>2.66</v>
      </c>
      <c r="Y111">
        <v>0</v>
      </c>
      <c r="Z111">
        <v>1</v>
      </c>
      <c r="AA111" t="s">
        <v>1692</v>
      </c>
      <c r="AB111" t="s">
        <v>1802</v>
      </c>
      <c r="AC111">
        <v>50</v>
      </c>
      <c r="AD111" t="s">
        <v>2173</v>
      </c>
      <c r="AJ111" t="s">
        <v>2511</v>
      </c>
      <c r="AL111" t="s">
        <v>2520</v>
      </c>
      <c r="AM111" t="s">
        <v>2523</v>
      </c>
      <c r="AR111">
        <v>1897653</v>
      </c>
    </row>
    <row r="112" spans="1:44">
      <c r="A112" s="1">
        <f>HYPERLINK("https://lsnyc.legalserver.org/matter/dynamic-profile/view/1897044","19-1897044")</f>
        <v>0</v>
      </c>
      <c r="B112" t="s">
        <v>154</v>
      </c>
      <c r="C112" t="s">
        <v>536</v>
      </c>
      <c r="D112" t="s">
        <v>544</v>
      </c>
      <c r="E112" t="s">
        <v>566</v>
      </c>
      <c r="F112" t="s">
        <v>580</v>
      </c>
      <c r="G112" t="s">
        <v>581</v>
      </c>
      <c r="H112">
        <v>18.45</v>
      </c>
      <c r="I112" t="s">
        <v>626</v>
      </c>
      <c r="J112" t="s">
        <v>784</v>
      </c>
      <c r="K112" t="s">
        <v>582</v>
      </c>
      <c r="L112" t="s">
        <v>816</v>
      </c>
      <c r="N112" t="s">
        <v>820</v>
      </c>
      <c r="O112" t="s">
        <v>824</v>
      </c>
      <c r="P112" t="s">
        <v>828</v>
      </c>
      <c r="Q112">
        <v>11212</v>
      </c>
      <c r="S112" t="s">
        <v>861</v>
      </c>
      <c r="T112" t="s">
        <v>971</v>
      </c>
      <c r="U112" t="s">
        <v>1307</v>
      </c>
      <c r="V112" t="s">
        <v>1678</v>
      </c>
      <c r="W112" t="s">
        <v>1684</v>
      </c>
      <c r="X112">
        <v>1.15</v>
      </c>
      <c r="Y112">
        <v>0</v>
      </c>
      <c r="Z112">
        <v>1</v>
      </c>
      <c r="AA112" t="s">
        <v>1692</v>
      </c>
      <c r="AB112" t="s">
        <v>1803</v>
      </c>
      <c r="AC112">
        <v>25</v>
      </c>
      <c r="AD112" t="s">
        <v>2226</v>
      </c>
      <c r="AI112" t="s">
        <v>581</v>
      </c>
      <c r="AJ112" t="s">
        <v>2511</v>
      </c>
      <c r="AL112" t="s">
        <v>2520</v>
      </c>
      <c r="AM112" t="s">
        <v>2523</v>
      </c>
      <c r="AR112">
        <v>1897687</v>
      </c>
    </row>
    <row r="113" spans="1:44">
      <c r="A113" s="1">
        <f>HYPERLINK("https://lsnyc.legalserver.org/matter/dynamic-profile/view/1897068","19-1897068")</f>
        <v>0</v>
      </c>
      <c r="B113" t="s">
        <v>155</v>
      </c>
      <c r="C113" t="s">
        <v>537</v>
      </c>
      <c r="D113" t="s">
        <v>545</v>
      </c>
      <c r="E113" t="s">
        <v>568</v>
      </c>
      <c r="F113" t="s">
        <v>581</v>
      </c>
      <c r="G113" t="s">
        <v>581</v>
      </c>
      <c r="H113">
        <v>0</v>
      </c>
      <c r="I113" t="s">
        <v>626</v>
      </c>
      <c r="J113" t="s">
        <v>787</v>
      </c>
      <c r="K113" t="s">
        <v>582</v>
      </c>
      <c r="L113" t="s">
        <v>816</v>
      </c>
      <c r="N113" t="s">
        <v>820</v>
      </c>
      <c r="O113" t="s">
        <v>825</v>
      </c>
      <c r="P113" t="s">
        <v>828</v>
      </c>
      <c r="Q113">
        <v>11432</v>
      </c>
      <c r="S113" t="s">
        <v>861</v>
      </c>
      <c r="T113" t="s">
        <v>972</v>
      </c>
      <c r="U113" t="s">
        <v>1385</v>
      </c>
      <c r="V113" t="s">
        <v>1678</v>
      </c>
      <c r="W113" t="s">
        <v>1684</v>
      </c>
      <c r="X113">
        <v>6.2</v>
      </c>
      <c r="Y113">
        <v>0</v>
      </c>
      <c r="Z113">
        <v>1</v>
      </c>
      <c r="AA113" t="s">
        <v>1692</v>
      </c>
      <c r="AB113" t="s">
        <v>1804</v>
      </c>
      <c r="AC113">
        <v>35</v>
      </c>
      <c r="AD113" t="s">
        <v>2171</v>
      </c>
      <c r="AI113" t="s">
        <v>581</v>
      </c>
      <c r="AJ113" t="s">
        <v>2511</v>
      </c>
      <c r="AK113" t="s">
        <v>2514</v>
      </c>
      <c r="AL113" t="s">
        <v>2520</v>
      </c>
      <c r="AM113" t="s">
        <v>2523</v>
      </c>
      <c r="AR113">
        <v>1897711</v>
      </c>
    </row>
    <row r="114" spans="1:44">
      <c r="A114" s="1">
        <f>HYPERLINK("https://lsnyc.legalserver.org/matter/dynamic-profile/view/1896935","19-1896935")</f>
        <v>0</v>
      </c>
      <c r="B114" t="s">
        <v>156</v>
      </c>
      <c r="C114" t="s">
        <v>536</v>
      </c>
      <c r="D114" t="s">
        <v>544</v>
      </c>
      <c r="E114" t="s">
        <v>566</v>
      </c>
      <c r="F114" t="s">
        <v>580</v>
      </c>
      <c r="G114" t="s">
        <v>581</v>
      </c>
      <c r="H114">
        <v>0</v>
      </c>
      <c r="I114" t="s">
        <v>627</v>
      </c>
      <c r="J114" t="s">
        <v>626</v>
      </c>
      <c r="K114" t="s">
        <v>582</v>
      </c>
      <c r="L114" t="s">
        <v>816</v>
      </c>
      <c r="N114" t="s">
        <v>820</v>
      </c>
      <c r="O114" t="s">
        <v>824</v>
      </c>
      <c r="P114" t="s">
        <v>828</v>
      </c>
      <c r="Q114">
        <v>11207</v>
      </c>
      <c r="S114" t="s">
        <v>861</v>
      </c>
      <c r="T114" t="s">
        <v>973</v>
      </c>
      <c r="U114" t="s">
        <v>1386</v>
      </c>
      <c r="V114" t="s">
        <v>1678</v>
      </c>
      <c r="W114" t="s">
        <v>1684</v>
      </c>
      <c r="X114">
        <v>1.25</v>
      </c>
      <c r="Y114">
        <v>0</v>
      </c>
      <c r="Z114">
        <v>1</v>
      </c>
      <c r="AA114" t="s">
        <v>1692</v>
      </c>
      <c r="AB114" t="s">
        <v>1805</v>
      </c>
      <c r="AC114">
        <v>47</v>
      </c>
      <c r="AD114" t="s">
        <v>2171</v>
      </c>
      <c r="AI114" t="s">
        <v>581</v>
      </c>
      <c r="AJ114" t="s">
        <v>2513</v>
      </c>
      <c r="AM114" t="s">
        <v>2523</v>
      </c>
      <c r="AR114">
        <v>68433</v>
      </c>
    </row>
    <row r="115" spans="1:44">
      <c r="A115" s="1">
        <f>HYPERLINK("https://lsnyc.legalserver.org/matter/dynamic-profile/view/1896703","19-1896703")</f>
        <v>0</v>
      </c>
      <c r="B115" t="s">
        <v>157</v>
      </c>
      <c r="C115" t="s">
        <v>536</v>
      </c>
      <c r="D115" t="s">
        <v>544</v>
      </c>
      <c r="E115" t="s">
        <v>562</v>
      </c>
      <c r="F115" t="s">
        <v>580</v>
      </c>
      <c r="G115" t="s">
        <v>581</v>
      </c>
      <c r="H115">
        <v>187.35</v>
      </c>
      <c r="I115" t="s">
        <v>628</v>
      </c>
      <c r="J115" t="s">
        <v>592</v>
      </c>
      <c r="K115" t="s">
        <v>581</v>
      </c>
      <c r="L115" t="s">
        <v>817</v>
      </c>
      <c r="M115" t="s">
        <v>816</v>
      </c>
      <c r="N115" t="s">
        <v>821</v>
      </c>
      <c r="O115" t="s">
        <v>825</v>
      </c>
      <c r="P115" t="s">
        <v>833</v>
      </c>
      <c r="Q115">
        <v>11209</v>
      </c>
      <c r="S115" t="s">
        <v>861</v>
      </c>
      <c r="T115" t="s">
        <v>974</v>
      </c>
      <c r="U115" t="s">
        <v>1387</v>
      </c>
      <c r="V115" t="s">
        <v>1678</v>
      </c>
      <c r="W115" t="s">
        <v>1684</v>
      </c>
      <c r="X115">
        <v>4</v>
      </c>
      <c r="Y115">
        <v>0</v>
      </c>
      <c r="Z115">
        <v>1</v>
      </c>
      <c r="AA115" t="s">
        <v>1692</v>
      </c>
      <c r="AB115" t="s">
        <v>1806</v>
      </c>
      <c r="AC115">
        <v>39</v>
      </c>
      <c r="AD115" t="s">
        <v>2198</v>
      </c>
      <c r="AI115" t="s">
        <v>581</v>
      </c>
      <c r="AJ115" t="s">
        <v>2511</v>
      </c>
      <c r="AK115" t="s">
        <v>2514</v>
      </c>
      <c r="AL115" t="s">
        <v>2520</v>
      </c>
      <c r="AM115" t="s">
        <v>2523</v>
      </c>
      <c r="AR115">
        <v>1897345</v>
      </c>
    </row>
    <row r="116" spans="1:44">
      <c r="A116" s="1">
        <f>HYPERLINK("https://lsnyc.legalserver.org/matter/dynamic-profile/view/1896473","19-1896473")</f>
        <v>0</v>
      </c>
      <c r="B116" t="s">
        <v>158</v>
      </c>
      <c r="C116" t="s">
        <v>536</v>
      </c>
      <c r="D116" t="s">
        <v>544</v>
      </c>
      <c r="E116" t="s">
        <v>562</v>
      </c>
      <c r="F116" t="s">
        <v>580</v>
      </c>
      <c r="G116" t="s">
        <v>581</v>
      </c>
      <c r="H116">
        <v>20.82</v>
      </c>
      <c r="I116" t="s">
        <v>629</v>
      </c>
      <c r="J116" t="s">
        <v>616</v>
      </c>
      <c r="K116" t="s">
        <v>581</v>
      </c>
      <c r="L116" t="s">
        <v>816</v>
      </c>
      <c r="N116" t="s">
        <v>821</v>
      </c>
      <c r="O116" t="s">
        <v>825</v>
      </c>
      <c r="P116" t="s">
        <v>832</v>
      </c>
      <c r="Q116">
        <v>11238</v>
      </c>
      <c r="S116" t="s">
        <v>861</v>
      </c>
      <c r="T116" t="s">
        <v>975</v>
      </c>
      <c r="U116" t="s">
        <v>1290</v>
      </c>
      <c r="V116" t="s">
        <v>1678</v>
      </c>
      <c r="W116" t="s">
        <v>1684</v>
      </c>
      <c r="X116">
        <v>1.7</v>
      </c>
      <c r="Y116">
        <v>0</v>
      </c>
      <c r="Z116">
        <v>1</v>
      </c>
      <c r="AA116" t="s">
        <v>1692</v>
      </c>
      <c r="AB116" t="s">
        <v>1807</v>
      </c>
      <c r="AC116">
        <v>55</v>
      </c>
      <c r="AD116" t="s">
        <v>2229</v>
      </c>
      <c r="AI116" t="s">
        <v>581</v>
      </c>
      <c r="AJ116" t="s">
        <v>2511</v>
      </c>
      <c r="AL116" t="s">
        <v>2520</v>
      </c>
      <c r="AM116" t="s">
        <v>2523</v>
      </c>
      <c r="AR116">
        <v>780973</v>
      </c>
    </row>
    <row r="117" spans="1:44">
      <c r="A117" s="1">
        <f>HYPERLINK("https://lsnyc.legalserver.org/matter/dynamic-profile/view/1896586","19-1896586")</f>
        <v>0</v>
      </c>
      <c r="B117" t="s">
        <v>159</v>
      </c>
      <c r="C117" t="s">
        <v>536</v>
      </c>
      <c r="D117" t="s">
        <v>544</v>
      </c>
      <c r="E117" t="s">
        <v>562</v>
      </c>
      <c r="F117" t="s">
        <v>580</v>
      </c>
      <c r="G117" t="s">
        <v>581</v>
      </c>
      <c r="H117">
        <v>0</v>
      </c>
      <c r="I117" t="s">
        <v>629</v>
      </c>
      <c r="J117" t="s">
        <v>613</v>
      </c>
      <c r="K117" t="s">
        <v>582</v>
      </c>
      <c r="L117" t="s">
        <v>816</v>
      </c>
      <c r="N117" t="s">
        <v>821</v>
      </c>
      <c r="O117" t="s">
        <v>825</v>
      </c>
      <c r="P117" t="s">
        <v>833</v>
      </c>
      <c r="Q117">
        <v>11208</v>
      </c>
      <c r="R117" t="s">
        <v>847</v>
      </c>
      <c r="S117" t="s">
        <v>861</v>
      </c>
      <c r="T117" t="s">
        <v>976</v>
      </c>
      <c r="U117" t="s">
        <v>1388</v>
      </c>
      <c r="V117" t="s">
        <v>1678</v>
      </c>
      <c r="W117" t="s">
        <v>1684</v>
      </c>
      <c r="X117">
        <v>2</v>
      </c>
      <c r="Y117">
        <v>0</v>
      </c>
      <c r="Z117">
        <v>1</v>
      </c>
      <c r="AA117" t="s">
        <v>1692</v>
      </c>
      <c r="AB117" t="s">
        <v>1808</v>
      </c>
      <c r="AC117">
        <v>22</v>
      </c>
      <c r="AD117" t="s">
        <v>2171</v>
      </c>
      <c r="AH117" t="s">
        <v>2404</v>
      </c>
      <c r="AI117" t="s">
        <v>581</v>
      </c>
      <c r="AJ117" t="s">
        <v>2511</v>
      </c>
      <c r="AK117" t="s">
        <v>2514</v>
      </c>
      <c r="AL117" t="s">
        <v>2520</v>
      </c>
      <c r="AM117" t="s">
        <v>2523</v>
      </c>
      <c r="AR117">
        <v>1897228</v>
      </c>
    </row>
    <row r="118" spans="1:44">
      <c r="A118" s="1">
        <f>HYPERLINK("https://lsnyc.legalserver.org/matter/dynamic-profile/view/1897316","19-1897316")</f>
        <v>0</v>
      </c>
      <c r="B118" t="s">
        <v>160</v>
      </c>
      <c r="C118" t="s">
        <v>535</v>
      </c>
      <c r="D118" t="s">
        <v>541</v>
      </c>
      <c r="E118" t="s">
        <v>563</v>
      </c>
      <c r="F118" t="s">
        <v>580</v>
      </c>
      <c r="G118" t="s">
        <v>581</v>
      </c>
      <c r="H118">
        <v>0</v>
      </c>
      <c r="I118" t="s">
        <v>629</v>
      </c>
      <c r="J118" t="s">
        <v>595</v>
      </c>
      <c r="L118" t="s">
        <v>816</v>
      </c>
      <c r="N118" t="s">
        <v>821</v>
      </c>
      <c r="O118" t="s">
        <v>824</v>
      </c>
      <c r="P118" t="s">
        <v>830</v>
      </c>
      <c r="Q118">
        <v>10017</v>
      </c>
      <c r="R118" t="s">
        <v>840</v>
      </c>
      <c r="S118" t="s">
        <v>861</v>
      </c>
      <c r="T118" t="s">
        <v>977</v>
      </c>
      <c r="U118" t="s">
        <v>1389</v>
      </c>
      <c r="V118" t="s">
        <v>1678</v>
      </c>
      <c r="W118" t="s">
        <v>1687</v>
      </c>
      <c r="X118">
        <v>1.5</v>
      </c>
      <c r="Y118">
        <v>2</v>
      </c>
      <c r="Z118">
        <v>1</v>
      </c>
      <c r="AA118" t="s">
        <v>1692</v>
      </c>
      <c r="AB118" t="s">
        <v>1809</v>
      </c>
      <c r="AC118">
        <v>47</v>
      </c>
      <c r="AD118" t="s">
        <v>2171</v>
      </c>
      <c r="AH118" t="s">
        <v>2405</v>
      </c>
      <c r="AI118" t="s">
        <v>582</v>
      </c>
      <c r="AJ118" t="s">
        <v>2512</v>
      </c>
      <c r="AK118" t="s">
        <v>2514</v>
      </c>
      <c r="AL118" t="s">
        <v>2519</v>
      </c>
      <c r="AM118" t="s">
        <v>2522</v>
      </c>
      <c r="AP118" t="s">
        <v>581</v>
      </c>
      <c r="AR118">
        <v>244579</v>
      </c>
    </row>
    <row r="119" spans="1:44">
      <c r="A119" s="1">
        <f>HYPERLINK("https://lsnyc.legalserver.org/matter/dynamic-profile/view/1896601","19-1896601")</f>
        <v>0</v>
      </c>
      <c r="B119" t="s">
        <v>161</v>
      </c>
      <c r="C119" t="s">
        <v>536</v>
      </c>
      <c r="D119" t="s">
        <v>544</v>
      </c>
      <c r="E119" t="s">
        <v>566</v>
      </c>
      <c r="F119" t="s">
        <v>581</v>
      </c>
      <c r="G119" t="s">
        <v>581</v>
      </c>
      <c r="H119">
        <v>38.43</v>
      </c>
      <c r="I119" t="s">
        <v>629</v>
      </c>
      <c r="J119" t="s">
        <v>789</v>
      </c>
      <c r="K119" t="s">
        <v>581</v>
      </c>
      <c r="L119" t="s">
        <v>816</v>
      </c>
      <c r="N119" t="s">
        <v>821</v>
      </c>
      <c r="O119" t="s">
        <v>824</v>
      </c>
      <c r="P119" t="s">
        <v>830</v>
      </c>
      <c r="Q119">
        <v>11236</v>
      </c>
      <c r="R119" t="s">
        <v>846</v>
      </c>
      <c r="S119" t="s">
        <v>861</v>
      </c>
      <c r="T119" t="s">
        <v>978</v>
      </c>
      <c r="U119" t="s">
        <v>1390</v>
      </c>
      <c r="V119" t="s">
        <v>1678</v>
      </c>
      <c r="W119" t="s">
        <v>1684</v>
      </c>
      <c r="X119">
        <v>4.05</v>
      </c>
      <c r="Y119">
        <v>0</v>
      </c>
      <c r="Z119">
        <v>1</v>
      </c>
      <c r="AA119" t="s">
        <v>1692</v>
      </c>
      <c r="AB119" t="s">
        <v>1810</v>
      </c>
      <c r="AC119">
        <v>28</v>
      </c>
      <c r="AD119" t="s">
        <v>2230</v>
      </c>
      <c r="AI119" t="s">
        <v>581</v>
      </c>
      <c r="AJ119" t="s">
        <v>2511</v>
      </c>
      <c r="AM119" t="s">
        <v>2523</v>
      </c>
      <c r="AR119">
        <v>1895607</v>
      </c>
    </row>
    <row r="120" spans="1:44">
      <c r="A120" s="1">
        <f>HYPERLINK("https://lsnyc.legalserver.org/matter/dynamic-profile/view/1896530","19-1896530")</f>
        <v>0</v>
      </c>
      <c r="B120" t="s">
        <v>162</v>
      </c>
      <c r="C120" t="s">
        <v>537</v>
      </c>
      <c r="D120" t="s">
        <v>545</v>
      </c>
      <c r="E120" t="s">
        <v>568</v>
      </c>
      <c r="F120" t="s">
        <v>581</v>
      </c>
      <c r="G120" t="s">
        <v>581</v>
      </c>
      <c r="H120">
        <v>0</v>
      </c>
      <c r="I120" t="s">
        <v>629</v>
      </c>
      <c r="J120" t="s">
        <v>587</v>
      </c>
      <c r="L120" t="s">
        <v>816</v>
      </c>
      <c r="M120" t="s">
        <v>818</v>
      </c>
      <c r="N120" t="s">
        <v>820</v>
      </c>
      <c r="O120" t="s">
        <v>825</v>
      </c>
      <c r="P120" t="s">
        <v>828</v>
      </c>
      <c r="Q120">
        <v>11101</v>
      </c>
      <c r="S120" t="s">
        <v>861</v>
      </c>
      <c r="T120" t="s">
        <v>979</v>
      </c>
      <c r="U120" t="s">
        <v>1391</v>
      </c>
      <c r="V120" t="s">
        <v>1678</v>
      </c>
      <c r="W120" t="s">
        <v>1684</v>
      </c>
      <c r="X120">
        <v>3.51</v>
      </c>
      <c r="Y120">
        <v>0</v>
      </c>
      <c r="Z120">
        <v>1</v>
      </c>
      <c r="AA120" t="s">
        <v>1692</v>
      </c>
      <c r="AB120" t="s">
        <v>1701</v>
      </c>
      <c r="AC120">
        <v>26</v>
      </c>
      <c r="AD120" t="s">
        <v>2171</v>
      </c>
      <c r="AH120" t="s">
        <v>2358</v>
      </c>
      <c r="AI120" t="s">
        <v>581</v>
      </c>
      <c r="AJ120" t="s">
        <v>2511</v>
      </c>
      <c r="AK120" t="s">
        <v>2514</v>
      </c>
      <c r="AL120" t="s">
        <v>2520</v>
      </c>
      <c r="AM120" t="s">
        <v>2523</v>
      </c>
      <c r="AR120">
        <v>1897172</v>
      </c>
    </row>
    <row r="121" spans="1:44">
      <c r="A121" s="1">
        <f>HYPERLINK("https://lsnyc.legalserver.org/matter/dynamic-profile/view/1896568","19-1896568")</f>
        <v>0</v>
      </c>
      <c r="B121" t="s">
        <v>163</v>
      </c>
      <c r="C121" t="s">
        <v>535</v>
      </c>
      <c r="D121" t="s">
        <v>541</v>
      </c>
      <c r="E121" t="s">
        <v>561</v>
      </c>
      <c r="F121" t="s">
        <v>580</v>
      </c>
      <c r="G121" t="s">
        <v>581</v>
      </c>
      <c r="H121">
        <v>25.32</v>
      </c>
      <c r="I121" t="s">
        <v>629</v>
      </c>
      <c r="K121" t="s">
        <v>582</v>
      </c>
      <c r="L121" t="s">
        <v>816</v>
      </c>
      <c r="N121" t="s">
        <v>820</v>
      </c>
      <c r="O121" t="s">
        <v>824</v>
      </c>
      <c r="P121" t="s">
        <v>828</v>
      </c>
      <c r="Q121">
        <v>10027</v>
      </c>
      <c r="R121" t="s">
        <v>835</v>
      </c>
      <c r="S121" t="s">
        <v>861</v>
      </c>
      <c r="T121" t="s">
        <v>980</v>
      </c>
      <c r="U121" t="s">
        <v>1392</v>
      </c>
      <c r="W121" t="s">
        <v>1684</v>
      </c>
      <c r="X121">
        <v>4.25</v>
      </c>
      <c r="Y121">
        <v>2</v>
      </c>
      <c r="Z121">
        <v>1</v>
      </c>
      <c r="AA121" t="s">
        <v>1691</v>
      </c>
      <c r="AB121" t="s">
        <v>1811</v>
      </c>
      <c r="AC121">
        <v>30</v>
      </c>
      <c r="AD121" t="s">
        <v>2213</v>
      </c>
      <c r="AI121" t="s">
        <v>581</v>
      </c>
      <c r="AJ121" t="s">
        <v>2511</v>
      </c>
      <c r="AK121" t="s">
        <v>2514</v>
      </c>
      <c r="AL121" t="s">
        <v>2520</v>
      </c>
      <c r="AM121" t="s">
        <v>2523</v>
      </c>
      <c r="AR121">
        <v>735931</v>
      </c>
    </row>
    <row r="122" spans="1:44">
      <c r="A122" s="1">
        <f>HYPERLINK("https://lsnyc.legalserver.org/matter/dynamic-profile/view/1896590","19-1896590")</f>
        <v>0</v>
      </c>
      <c r="B122" t="s">
        <v>164</v>
      </c>
      <c r="C122" t="s">
        <v>536</v>
      </c>
      <c r="D122" t="s">
        <v>544</v>
      </c>
      <c r="E122" t="s">
        <v>564</v>
      </c>
      <c r="F122" t="s">
        <v>580</v>
      </c>
      <c r="G122" t="s">
        <v>581</v>
      </c>
      <c r="H122">
        <v>61.5</v>
      </c>
      <c r="I122" t="s">
        <v>629</v>
      </c>
      <c r="K122" t="s">
        <v>581</v>
      </c>
      <c r="L122" t="s">
        <v>816</v>
      </c>
      <c r="N122" t="s">
        <v>821</v>
      </c>
      <c r="O122" t="s">
        <v>824</v>
      </c>
      <c r="P122" t="s">
        <v>832</v>
      </c>
      <c r="Q122">
        <v>11210</v>
      </c>
      <c r="T122" t="s">
        <v>981</v>
      </c>
      <c r="U122" t="s">
        <v>1393</v>
      </c>
      <c r="W122" t="s">
        <v>1685</v>
      </c>
      <c r="X122">
        <v>11.1</v>
      </c>
      <c r="Y122">
        <v>0</v>
      </c>
      <c r="Z122">
        <v>2</v>
      </c>
      <c r="AA122" t="s">
        <v>1691</v>
      </c>
      <c r="AB122" t="s">
        <v>1812</v>
      </c>
      <c r="AC122">
        <v>61</v>
      </c>
      <c r="AD122" t="s">
        <v>2186</v>
      </c>
      <c r="AI122" t="s">
        <v>582</v>
      </c>
      <c r="AJ122" t="s">
        <v>2512</v>
      </c>
      <c r="AL122" t="s">
        <v>2521</v>
      </c>
      <c r="AM122" t="s">
        <v>2526</v>
      </c>
      <c r="AR122">
        <v>1897232</v>
      </c>
    </row>
    <row r="123" spans="1:44">
      <c r="A123" s="1">
        <f>HYPERLINK("https://lsnyc.legalserver.org/matter/dynamic-profile/view/1896415","19-1896415")</f>
        <v>0</v>
      </c>
      <c r="B123" t="s">
        <v>165</v>
      </c>
      <c r="C123" t="s">
        <v>536</v>
      </c>
      <c r="D123" t="s">
        <v>544</v>
      </c>
      <c r="E123" t="s">
        <v>567</v>
      </c>
      <c r="F123" t="s">
        <v>581</v>
      </c>
      <c r="G123" t="s">
        <v>581</v>
      </c>
      <c r="H123">
        <v>0</v>
      </c>
      <c r="I123" t="s">
        <v>630</v>
      </c>
      <c r="J123" t="s">
        <v>612</v>
      </c>
      <c r="K123" t="s">
        <v>581</v>
      </c>
      <c r="L123" t="s">
        <v>816</v>
      </c>
      <c r="N123" t="s">
        <v>821</v>
      </c>
      <c r="O123" t="s">
        <v>824</v>
      </c>
      <c r="P123" t="s">
        <v>829</v>
      </c>
      <c r="Q123">
        <v>11213</v>
      </c>
      <c r="R123" t="s">
        <v>838</v>
      </c>
      <c r="S123" t="s">
        <v>861</v>
      </c>
      <c r="T123" t="s">
        <v>982</v>
      </c>
      <c r="U123" t="s">
        <v>1378</v>
      </c>
      <c r="V123" t="s">
        <v>1678</v>
      </c>
      <c r="W123" t="s">
        <v>1684</v>
      </c>
      <c r="X123">
        <v>2</v>
      </c>
      <c r="Y123">
        <v>0</v>
      </c>
      <c r="Z123">
        <v>1</v>
      </c>
      <c r="AA123" t="s">
        <v>1692</v>
      </c>
      <c r="AB123" t="s">
        <v>1813</v>
      </c>
      <c r="AC123">
        <v>25</v>
      </c>
      <c r="AD123" t="s">
        <v>2171</v>
      </c>
      <c r="AH123" t="s">
        <v>2360</v>
      </c>
      <c r="AJ123" t="s">
        <v>2511</v>
      </c>
      <c r="AK123" t="s">
        <v>2514</v>
      </c>
      <c r="AM123" t="s">
        <v>2523</v>
      </c>
      <c r="AR123">
        <v>1897057</v>
      </c>
    </row>
    <row r="124" spans="1:44">
      <c r="A124" s="1">
        <f>HYPERLINK("https://lsnyc.legalserver.org/matter/dynamic-profile/view/1896394","19-1896394")</f>
        <v>0</v>
      </c>
      <c r="B124" t="s">
        <v>166</v>
      </c>
      <c r="C124" t="s">
        <v>537</v>
      </c>
      <c r="D124" t="s">
        <v>545</v>
      </c>
      <c r="E124" t="s">
        <v>568</v>
      </c>
      <c r="F124" t="s">
        <v>581</v>
      </c>
      <c r="G124" t="s">
        <v>581</v>
      </c>
      <c r="H124">
        <v>0</v>
      </c>
      <c r="I124" t="s">
        <v>630</v>
      </c>
      <c r="J124" t="s">
        <v>787</v>
      </c>
      <c r="K124" t="s">
        <v>582</v>
      </c>
      <c r="L124" t="s">
        <v>816</v>
      </c>
      <c r="N124" t="s">
        <v>820</v>
      </c>
      <c r="O124" t="s">
        <v>824</v>
      </c>
      <c r="P124" t="s">
        <v>828</v>
      </c>
      <c r="Q124">
        <v>11105</v>
      </c>
      <c r="S124" t="s">
        <v>863</v>
      </c>
      <c r="T124" t="s">
        <v>983</v>
      </c>
      <c r="U124" t="s">
        <v>1394</v>
      </c>
      <c r="V124" t="s">
        <v>1678</v>
      </c>
      <c r="W124" t="s">
        <v>1684</v>
      </c>
      <c r="X124">
        <v>4</v>
      </c>
      <c r="Y124">
        <v>0</v>
      </c>
      <c r="Z124">
        <v>1</v>
      </c>
      <c r="AA124" t="s">
        <v>1692</v>
      </c>
      <c r="AB124" t="s">
        <v>1814</v>
      </c>
      <c r="AC124">
        <v>58</v>
      </c>
      <c r="AD124" t="s">
        <v>2171</v>
      </c>
      <c r="AI124" t="s">
        <v>581</v>
      </c>
      <c r="AJ124" t="s">
        <v>2511</v>
      </c>
      <c r="AK124" t="s">
        <v>2514</v>
      </c>
      <c r="AL124" t="s">
        <v>2520</v>
      </c>
      <c r="AM124" t="s">
        <v>2523</v>
      </c>
      <c r="AR124">
        <v>1897036</v>
      </c>
    </row>
    <row r="125" spans="1:44">
      <c r="A125" s="1">
        <f>HYPERLINK("https://lsnyc.legalserver.org/matter/dynamic-profile/view/1896315","19-1896315")</f>
        <v>0</v>
      </c>
      <c r="B125" t="s">
        <v>167</v>
      </c>
      <c r="C125" t="s">
        <v>535</v>
      </c>
      <c r="D125" t="s">
        <v>541</v>
      </c>
      <c r="E125" t="s">
        <v>563</v>
      </c>
      <c r="F125" t="s">
        <v>580</v>
      </c>
      <c r="G125" t="s">
        <v>581</v>
      </c>
      <c r="H125">
        <v>0</v>
      </c>
      <c r="I125" t="s">
        <v>630</v>
      </c>
      <c r="K125" t="s">
        <v>582</v>
      </c>
      <c r="L125" t="s">
        <v>816</v>
      </c>
      <c r="M125" t="s">
        <v>816</v>
      </c>
      <c r="N125" t="s">
        <v>821</v>
      </c>
      <c r="O125" t="s">
        <v>824</v>
      </c>
      <c r="P125" t="s">
        <v>830</v>
      </c>
      <c r="Q125">
        <v>10025</v>
      </c>
      <c r="R125" t="s">
        <v>840</v>
      </c>
      <c r="S125" t="s">
        <v>861</v>
      </c>
      <c r="T125" t="s">
        <v>984</v>
      </c>
      <c r="U125" t="s">
        <v>1395</v>
      </c>
      <c r="W125" t="s">
        <v>1684</v>
      </c>
      <c r="X125">
        <v>3.1</v>
      </c>
      <c r="Y125">
        <v>1</v>
      </c>
      <c r="Z125">
        <v>1</v>
      </c>
      <c r="AA125" t="s">
        <v>1691</v>
      </c>
      <c r="AB125" t="s">
        <v>1815</v>
      </c>
      <c r="AC125">
        <v>35</v>
      </c>
      <c r="AD125" t="s">
        <v>2171</v>
      </c>
      <c r="AH125" t="s">
        <v>2355</v>
      </c>
      <c r="AI125" t="s">
        <v>582</v>
      </c>
      <c r="AJ125" t="s">
        <v>2512</v>
      </c>
      <c r="AK125" t="s">
        <v>2514</v>
      </c>
      <c r="AL125" t="s">
        <v>2519</v>
      </c>
      <c r="AM125" t="s">
        <v>2522</v>
      </c>
      <c r="AR125">
        <v>1896957</v>
      </c>
    </row>
    <row r="126" spans="1:44">
      <c r="A126" s="1">
        <f>HYPERLINK("https://lsnyc.legalserver.org/matter/dynamic-profile/view/1896343","19-1896343")</f>
        <v>0</v>
      </c>
      <c r="B126" t="s">
        <v>168</v>
      </c>
      <c r="C126" t="s">
        <v>535</v>
      </c>
      <c r="D126" t="s">
        <v>543</v>
      </c>
      <c r="E126" t="s">
        <v>561</v>
      </c>
      <c r="F126" t="s">
        <v>580</v>
      </c>
      <c r="G126" t="s">
        <v>581</v>
      </c>
      <c r="H126">
        <v>86.47</v>
      </c>
      <c r="I126" t="s">
        <v>630</v>
      </c>
      <c r="K126" t="s">
        <v>582</v>
      </c>
      <c r="L126" t="s">
        <v>816</v>
      </c>
      <c r="N126" t="s">
        <v>820</v>
      </c>
      <c r="O126" t="s">
        <v>825</v>
      </c>
      <c r="P126" t="s">
        <v>828</v>
      </c>
      <c r="Q126">
        <v>10466</v>
      </c>
      <c r="S126" t="s">
        <v>861</v>
      </c>
      <c r="T126" t="s">
        <v>985</v>
      </c>
      <c r="U126" t="s">
        <v>1396</v>
      </c>
      <c r="W126" t="s">
        <v>1684</v>
      </c>
      <c r="X126">
        <v>4.06</v>
      </c>
      <c r="Y126">
        <v>0</v>
      </c>
      <c r="Z126">
        <v>1</v>
      </c>
      <c r="AA126" t="s">
        <v>1691</v>
      </c>
      <c r="AB126" t="s">
        <v>1816</v>
      </c>
      <c r="AC126">
        <v>30</v>
      </c>
      <c r="AD126" t="s">
        <v>2231</v>
      </c>
      <c r="AH126" t="s">
        <v>2406</v>
      </c>
      <c r="AI126" t="s">
        <v>581</v>
      </c>
      <c r="AJ126" t="s">
        <v>2511</v>
      </c>
      <c r="AK126" t="s">
        <v>2514</v>
      </c>
      <c r="AL126" t="s">
        <v>2520</v>
      </c>
      <c r="AM126" t="s">
        <v>2523</v>
      </c>
      <c r="AR126">
        <v>1896985</v>
      </c>
    </row>
    <row r="127" spans="1:44">
      <c r="A127" s="1">
        <f>HYPERLINK("https://lsnyc.legalserver.org/matter/dynamic-profile/view/1896246","19-1896246")</f>
        <v>0</v>
      </c>
      <c r="B127" t="s">
        <v>169</v>
      </c>
      <c r="C127" t="s">
        <v>535</v>
      </c>
      <c r="D127" t="s">
        <v>541</v>
      </c>
      <c r="E127" t="s">
        <v>561</v>
      </c>
      <c r="F127" t="s">
        <v>580</v>
      </c>
      <c r="G127" t="s">
        <v>581</v>
      </c>
      <c r="H127">
        <v>45.59</v>
      </c>
      <c r="I127" t="s">
        <v>631</v>
      </c>
      <c r="J127" t="s">
        <v>629</v>
      </c>
      <c r="K127" t="s">
        <v>582</v>
      </c>
      <c r="L127" t="s">
        <v>816</v>
      </c>
      <c r="N127" t="s">
        <v>820</v>
      </c>
      <c r="O127" t="s">
        <v>824</v>
      </c>
      <c r="P127" t="s">
        <v>828</v>
      </c>
      <c r="Q127">
        <v>10009</v>
      </c>
      <c r="R127" t="s">
        <v>835</v>
      </c>
      <c r="S127" t="s">
        <v>861</v>
      </c>
      <c r="T127" t="s">
        <v>986</v>
      </c>
      <c r="U127" t="s">
        <v>1397</v>
      </c>
      <c r="V127" t="s">
        <v>1678</v>
      </c>
      <c r="W127" t="s">
        <v>1684</v>
      </c>
      <c r="X127">
        <v>1.75</v>
      </c>
      <c r="Y127">
        <v>1</v>
      </c>
      <c r="Z127">
        <v>1</v>
      </c>
      <c r="AA127" t="s">
        <v>1692</v>
      </c>
      <c r="AB127" t="s">
        <v>1817</v>
      </c>
      <c r="AC127">
        <v>27</v>
      </c>
      <c r="AD127" t="s">
        <v>2232</v>
      </c>
      <c r="AJ127" t="s">
        <v>2511</v>
      </c>
      <c r="AL127" t="s">
        <v>2520</v>
      </c>
      <c r="AM127" t="s">
        <v>2523</v>
      </c>
      <c r="AR127">
        <v>1896888</v>
      </c>
    </row>
    <row r="128" spans="1:44">
      <c r="A128" s="1">
        <f>HYPERLINK("https://lsnyc.legalserver.org/matter/dynamic-profile/view/1896236","19-1896236")</f>
        <v>0</v>
      </c>
      <c r="B128" t="s">
        <v>170</v>
      </c>
      <c r="C128" t="s">
        <v>536</v>
      </c>
      <c r="D128" t="s">
        <v>544</v>
      </c>
      <c r="E128" t="s">
        <v>566</v>
      </c>
      <c r="F128" t="s">
        <v>580</v>
      </c>
      <c r="G128" t="s">
        <v>581</v>
      </c>
      <c r="H128">
        <v>0</v>
      </c>
      <c r="I128" t="s">
        <v>631</v>
      </c>
      <c r="J128" t="s">
        <v>623</v>
      </c>
      <c r="K128" t="s">
        <v>582</v>
      </c>
      <c r="L128" t="s">
        <v>816</v>
      </c>
      <c r="N128" t="s">
        <v>820</v>
      </c>
      <c r="O128" t="s">
        <v>825</v>
      </c>
      <c r="P128" t="s">
        <v>828</v>
      </c>
      <c r="Q128">
        <v>11237</v>
      </c>
      <c r="S128" t="s">
        <v>861</v>
      </c>
      <c r="T128" t="s">
        <v>987</v>
      </c>
      <c r="U128" t="s">
        <v>1316</v>
      </c>
      <c r="V128" t="s">
        <v>1678</v>
      </c>
      <c r="W128" t="s">
        <v>1684</v>
      </c>
      <c r="X128">
        <v>8.699999999999999</v>
      </c>
      <c r="Y128">
        <v>0</v>
      </c>
      <c r="Z128">
        <v>1</v>
      </c>
      <c r="AA128" t="s">
        <v>1692</v>
      </c>
      <c r="AB128" t="s">
        <v>1818</v>
      </c>
      <c r="AC128">
        <v>37</v>
      </c>
      <c r="AD128" t="s">
        <v>2171</v>
      </c>
      <c r="AI128" t="s">
        <v>581</v>
      </c>
      <c r="AJ128" t="s">
        <v>2511</v>
      </c>
      <c r="AL128" t="s">
        <v>2520</v>
      </c>
      <c r="AM128" t="s">
        <v>2523</v>
      </c>
      <c r="AR128">
        <v>1896878</v>
      </c>
    </row>
    <row r="129" spans="1:44">
      <c r="A129" s="1">
        <f>HYPERLINK("https://lsnyc.legalserver.org/matter/dynamic-profile/view/1896196","19-1896196")</f>
        <v>0</v>
      </c>
      <c r="B129" t="s">
        <v>171</v>
      </c>
      <c r="C129" t="s">
        <v>536</v>
      </c>
      <c r="D129" t="s">
        <v>544</v>
      </c>
      <c r="E129" t="s">
        <v>566</v>
      </c>
      <c r="F129" t="s">
        <v>580</v>
      </c>
      <c r="G129" t="s">
        <v>581</v>
      </c>
      <c r="H129">
        <v>167.97</v>
      </c>
      <c r="I129" t="s">
        <v>631</v>
      </c>
      <c r="J129" t="s">
        <v>618</v>
      </c>
      <c r="K129" t="s">
        <v>582</v>
      </c>
      <c r="L129" t="s">
        <v>816</v>
      </c>
      <c r="N129" t="s">
        <v>820</v>
      </c>
      <c r="O129" t="s">
        <v>825</v>
      </c>
      <c r="P129" t="s">
        <v>828</v>
      </c>
      <c r="Q129">
        <v>11211</v>
      </c>
      <c r="S129" t="s">
        <v>863</v>
      </c>
      <c r="T129" t="s">
        <v>988</v>
      </c>
      <c r="U129" t="s">
        <v>1398</v>
      </c>
      <c r="V129" t="s">
        <v>1678</v>
      </c>
      <c r="W129" t="s">
        <v>1684</v>
      </c>
      <c r="X129">
        <v>3.15</v>
      </c>
      <c r="Y129">
        <v>0</v>
      </c>
      <c r="Z129">
        <v>2</v>
      </c>
      <c r="AA129" t="s">
        <v>1692</v>
      </c>
      <c r="AB129" t="s">
        <v>1819</v>
      </c>
      <c r="AC129">
        <v>74</v>
      </c>
      <c r="AD129" t="s">
        <v>2233</v>
      </c>
      <c r="AI129" t="s">
        <v>581</v>
      </c>
      <c r="AJ129" t="s">
        <v>2511</v>
      </c>
      <c r="AM129" t="s">
        <v>2523</v>
      </c>
      <c r="AR129">
        <v>1896838</v>
      </c>
    </row>
    <row r="130" spans="1:44">
      <c r="A130" s="1">
        <f>HYPERLINK("https://lsnyc.legalserver.org/matter/dynamic-profile/view/1896138","19-1896138")</f>
        <v>0</v>
      </c>
      <c r="B130" t="s">
        <v>172</v>
      </c>
      <c r="C130" t="s">
        <v>535</v>
      </c>
      <c r="D130" t="s">
        <v>541</v>
      </c>
      <c r="E130" t="s">
        <v>563</v>
      </c>
      <c r="F130" t="s">
        <v>580</v>
      </c>
      <c r="G130" t="s">
        <v>581</v>
      </c>
      <c r="H130">
        <v>187.35</v>
      </c>
      <c r="I130" t="s">
        <v>631</v>
      </c>
      <c r="J130" t="s">
        <v>605</v>
      </c>
      <c r="K130" t="s">
        <v>582</v>
      </c>
      <c r="L130" t="s">
        <v>816</v>
      </c>
      <c r="N130" t="s">
        <v>820</v>
      </c>
      <c r="O130" t="s">
        <v>824</v>
      </c>
      <c r="P130" t="s">
        <v>828</v>
      </c>
      <c r="Q130">
        <v>10023</v>
      </c>
      <c r="R130" t="s">
        <v>835</v>
      </c>
      <c r="S130" t="s">
        <v>861</v>
      </c>
      <c r="T130" t="s">
        <v>989</v>
      </c>
      <c r="U130" t="s">
        <v>1399</v>
      </c>
      <c r="V130" t="s">
        <v>1678</v>
      </c>
      <c r="W130" t="s">
        <v>1684</v>
      </c>
      <c r="X130">
        <v>4.4</v>
      </c>
      <c r="Y130">
        <v>0</v>
      </c>
      <c r="Z130">
        <v>1</v>
      </c>
      <c r="AA130" t="s">
        <v>1692</v>
      </c>
      <c r="AB130" t="s">
        <v>1820</v>
      </c>
      <c r="AC130">
        <v>42</v>
      </c>
      <c r="AD130" t="s">
        <v>2198</v>
      </c>
      <c r="AH130" t="s">
        <v>2407</v>
      </c>
      <c r="AI130" t="s">
        <v>582</v>
      </c>
      <c r="AJ130" t="s">
        <v>2512</v>
      </c>
      <c r="AK130" t="s">
        <v>2514</v>
      </c>
      <c r="AL130" t="s">
        <v>2519</v>
      </c>
      <c r="AM130" t="s">
        <v>2522</v>
      </c>
      <c r="AR130">
        <v>1896780</v>
      </c>
    </row>
    <row r="131" spans="1:44">
      <c r="A131" s="1">
        <f>HYPERLINK("https://lsnyc.legalserver.org/matter/dynamic-profile/view/1896189","19-1896189")</f>
        <v>0</v>
      </c>
      <c r="B131" t="s">
        <v>173</v>
      </c>
      <c r="C131" t="s">
        <v>537</v>
      </c>
      <c r="D131" t="s">
        <v>545</v>
      </c>
      <c r="E131" t="s">
        <v>568</v>
      </c>
      <c r="F131" t="s">
        <v>581</v>
      </c>
      <c r="G131" t="s">
        <v>581</v>
      </c>
      <c r="H131">
        <v>1.28</v>
      </c>
      <c r="I131" t="s">
        <v>631</v>
      </c>
      <c r="J131" t="s">
        <v>602</v>
      </c>
      <c r="K131" t="s">
        <v>582</v>
      </c>
      <c r="L131" t="s">
        <v>816</v>
      </c>
      <c r="N131" t="s">
        <v>820</v>
      </c>
      <c r="O131" t="s">
        <v>824</v>
      </c>
      <c r="P131" t="s">
        <v>828</v>
      </c>
      <c r="Q131">
        <v>11356</v>
      </c>
      <c r="S131" t="s">
        <v>861</v>
      </c>
      <c r="T131" t="s">
        <v>990</v>
      </c>
      <c r="U131" t="s">
        <v>1400</v>
      </c>
      <c r="V131" t="s">
        <v>1678</v>
      </c>
      <c r="X131">
        <v>2.12</v>
      </c>
      <c r="Y131">
        <v>0</v>
      </c>
      <c r="Z131">
        <v>1</v>
      </c>
      <c r="AA131" t="s">
        <v>1692</v>
      </c>
      <c r="AB131" t="s">
        <v>1821</v>
      </c>
      <c r="AC131">
        <v>30</v>
      </c>
      <c r="AD131" t="s">
        <v>2234</v>
      </c>
      <c r="AJ131" t="s">
        <v>2511</v>
      </c>
      <c r="AK131" t="s">
        <v>2514</v>
      </c>
      <c r="AM131" t="s">
        <v>2523</v>
      </c>
      <c r="AR131">
        <v>1896831</v>
      </c>
    </row>
    <row r="132" spans="1:44">
      <c r="A132" s="1">
        <f>HYPERLINK("https://lsnyc.legalserver.org/matter/dynamic-profile/view/1896088","19-1896088")</f>
        <v>0</v>
      </c>
      <c r="B132" t="s">
        <v>174</v>
      </c>
      <c r="C132" t="s">
        <v>536</v>
      </c>
      <c r="D132" t="s">
        <v>544</v>
      </c>
      <c r="E132" t="s">
        <v>562</v>
      </c>
      <c r="F132" t="s">
        <v>580</v>
      </c>
      <c r="G132" t="s">
        <v>581</v>
      </c>
      <c r="H132">
        <v>67.45</v>
      </c>
      <c r="I132" t="s">
        <v>632</v>
      </c>
      <c r="J132" t="s">
        <v>603</v>
      </c>
      <c r="K132" t="s">
        <v>581</v>
      </c>
      <c r="L132" t="s">
        <v>816</v>
      </c>
      <c r="N132" t="s">
        <v>821</v>
      </c>
      <c r="O132" t="s">
        <v>825</v>
      </c>
      <c r="P132" t="s">
        <v>833</v>
      </c>
      <c r="Q132">
        <v>11236</v>
      </c>
      <c r="S132" t="s">
        <v>861</v>
      </c>
      <c r="T132" t="s">
        <v>991</v>
      </c>
      <c r="U132" t="s">
        <v>1401</v>
      </c>
      <c r="V132" t="s">
        <v>1678</v>
      </c>
      <c r="W132" t="s">
        <v>1684</v>
      </c>
      <c r="X132">
        <v>1.85</v>
      </c>
      <c r="Y132">
        <v>0</v>
      </c>
      <c r="Z132">
        <v>1</v>
      </c>
      <c r="AA132" t="s">
        <v>1692</v>
      </c>
      <c r="AB132" t="s">
        <v>1822</v>
      </c>
      <c r="AC132">
        <v>29</v>
      </c>
      <c r="AD132" t="s">
        <v>2235</v>
      </c>
      <c r="AI132" t="s">
        <v>581</v>
      </c>
      <c r="AJ132" t="s">
        <v>2511</v>
      </c>
      <c r="AL132" t="s">
        <v>2520</v>
      </c>
      <c r="AM132" t="s">
        <v>2523</v>
      </c>
      <c r="AR132">
        <v>1896730</v>
      </c>
    </row>
    <row r="133" spans="1:44">
      <c r="A133" s="1">
        <f>HYPERLINK("https://lsnyc.legalserver.org/matter/dynamic-profile/view/1896073","19-1896073")</f>
        <v>0</v>
      </c>
      <c r="B133" t="s">
        <v>175</v>
      </c>
      <c r="C133" t="s">
        <v>536</v>
      </c>
      <c r="D133" t="s">
        <v>544</v>
      </c>
      <c r="E133" t="s">
        <v>566</v>
      </c>
      <c r="F133" t="s">
        <v>581</v>
      </c>
      <c r="G133" t="s">
        <v>581</v>
      </c>
      <c r="H133">
        <v>0</v>
      </c>
      <c r="I133" t="s">
        <v>632</v>
      </c>
      <c r="J133" t="s">
        <v>789</v>
      </c>
      <c r="K133" t="s">
        <v>581</v>
      </c>
      <c r="L133" t="s">
        <v>816</v>
      </c>
      <c r="N133" t="s">
        <v>820</v>
      </c>
      <c r="O133" t="s">
        <v>825</v>
      </c>
      <c r="P133" t="s">
        <v>828</v>
      </c>
      <c r="Q133">
        <v>11221</v>
      </c>
      <c r="S133" t="s">
        <v>861</v>
      </c>
      <c r="T133" t="s">
        <v>899</v>
      </c>
      <c r="U133" t="s">
        <v>1402</v>
      </c>
      <c r="V133" t="s">
        <v>1678</v>
      </c>
      <c r="W133" t="s">
        <v>1684</v>
      </c>
      <c r="X133">
        <v>0.4</v>
      </c>
      <c r="Y133">
        <v>0</v>
      </c>
      <c r="Z133">
        <v>1</v>
      </c>
      <c r="AA133" t="s">
        <v>1692</v>
      </c>
      <c r="AB133" t="s">
        <v>1823</v>
      </c>
      <c r="AC133">
        <v>52</v>
      </c>
      <c r="AD133" t="s">
        <v>2171</v>
      </c>
      <c r="AI133" t="s">
        <v>581</v>
      </c>
      <c r="AJ133" t="s">
        <v>2511</v>
      </c>
      <c r="AL133" t="s">
        <v>2520</v>
      </c>
      <c r="AM133" t="s">
        <v>2523</v>
      </c>
      <c r="AR133">
        <v>1896378</v>
      </c>
    </row>
    <row r="134" spans="1:44">
      <c r="A134" s="1">
        <f>HYPERLINK("https://lsnyc.legalserver.org/matter/dynamic-profile/view/1895965","19-1895965")</f>
        <v>0</v>
      </c>
      <c r="B134" t="s">
        <v>176</v>
      </c>
      <c r="C134" t="s">
        <v>536</v>
      </c>
      <c r="D134" t="s">
        <v>544</v>
      </c>
      <c r="E134" t="s">
        <v>562</v>
      </c>
      <c r="F134" t="s">
        <v>580</v>
      </c>
      <c r="G134" t="s">
        <v>581</v>
      </c>
      <c r="H134">
        <v>0</v>
      </c>
      <c r="I134" t="s">
        <v>633</v>
      </c>
      <c r="J134" t="s">
        <v>616</v>
      </c>
      <c r="K134" t="s">
        <v>581</v>
      </c>
      <c r="L134" t="s">
        <v>816</v>
      </c>
      <c r="N134" t="s">
        <v>821</v>
      </c>
      <c r="O134" t="s">
        <v>824</v>
      </c>
      <c r="P134" t="s">
        <v>833</v>
      </c>
      <c r="Q134">
        <v>11221</v>
      </c>
      <c r="S134" t="s">
        <v>861</v>
      </c>
      <c r="T134" t="s">
        <v>992</v>
      </c>
      <c r="U134" t="s">
        <v>1403</v>
      </c>
      <c r="V134" t="s">
        <v>1678</v>
      </c>
      <c r="W134" t="s">
        <v>1684</v>
      </c>
      <c r="X134">
        <v>5.2</v>
      </c>
      <c r="Y134">
        <v>0</v>
      </c>
      <c r="Z134">
        <v>1</v>
      </c>
      <c r="AA134" t="s">
        <v>1692</v>
      </c>
      <c r="AB134" t="s">
        <v>1824</v>
      </c>
      <c r="AC134">
        <v>48</v>
      </c>
      <c r="AD134" t="s">
        <v>2171</v>
      </c>
      <c r="AH134" t="s">
        <v>2408</v>
      </c>
      <c r="AI134" t="s">
        <v>581</v>
      </c>
      <c r="AJ134" t="s">
        <v>2513</v>
      </c>
      <c r="AK134" t="s">
        <v>2514</v>
      </c>
      <c r="AL134" t="s">
        <v>2520</v>
      </c>
      <c r="AM134" t="s">
        <v>2523</v>
      </c>
      <c r="AR134">
        <v>436545</v>
      </c>
    </row>
    <row r="135" spans="1:44">
      <c r="A135" s="1">
        <f>HYPERLINK("https://lsnyc.legalserver.org/matter/dynamic-profile/view/1895951","19-1895951")</f>
        <v>0</v>
      </c>
      <c r="B135" t="s">
        <v>177</v>
      </c>
      <c r="C135" t="s">
        <v>536</v>
      </c>
      <c r="D135" t="s">
        <v>544</v>
      </c>
      <c r="E135" t="s">
        <v>562</v>
      </c>
      <c r="F135" t="s">
        <v>580</v>
      </c>
      <c r="G135" t="s">
        <v>581</v>
      </c>
      <c r="H135">
        <v>0</v>
      </c>
      <c r="I135" t="s">
        <v>633</v>
      </c>
      <c r="J135" t="s">
        <v>595</v>
      </c>
      <c r="L135" t="s">
        <v>816</v>
      </c>
      <c r="N135" t="s">
        <v>821</v>
      </c>
      <c r="O135" t="s">
        <v>825</v>
      </c>
      <c r="P135" t="s">
        <v>833</v>
      </c>
      <c r="Q135">
        <v>11222</v>
      </c>
      <c r="S135" t="s">
        <v>861</v>
      </c>
      <c r="T135" t="s">
        <v>899</v>
      </c>
      <c r="U135" t="s">
        <v>1404</v>
      </c>
      <c r="V135" t="s">
        <v>1678</v>
      </c>
      <c r="W135" t="s">
        <v>1684</v>
      </c>
      <c r="X135">
        <v>1.75</v>
      </c>
      <c r="Y135">
        <v>0</v>
      </c>
      <c r="Z135">
        <v>1</v>
      </c>
      <c r="AA135" t="s">
        <v>1692</v>
      </c>
      <c r="AB135" t="s">
        <v>1825</v>
      </c>
      <c r="AC135">
        <v>55</v>
      </c>
      <c r="AD135" t="s">
        <v>2171</v>
      </c>
      <c r="AI135" t="s">
        <v>581</v>
      </c>
      <c r="AJ135" t="s">
        <v>2511</v>
      </c>
      <c r="AL135" t="s">
        <v>2520</v>
      </c>
      <c r="AM135" t="s">
        <v>2523</v>
      </c>
      <c r="AR135">
        <v>1896578</v>
      </c>
    </row>
    <row r="136" spans="1:44">
      <c r="A136" s="1">
        <f>HYPERLINK("https://lsnyc.legalserver.org/matter/dynamic-profile/view/1895941","19-1895941")</f>
        <v>0</v>
      </c>
      <c r="B136" t="s">
        <v>178</v>
      </c>
      <c r="C136" t="s">
        <v>535</v>
      </c>
      <c r="D136" t="s">
        <v>550</v>
      </c>
      <c r="E136" t="s">
        <v>561</v>
      </c>
      <c r="F136" t="s">
        <v>580</v>
      </c>
      <c r="G136" t="s">
        <v>581</v>
      </c>
      <c r="H136">
        <v>141.36</v>
      </c>
      <c r="I136" t="s">
        <v>633</v>
      </c>
      <c r="K136" t="s">
        <v>581</v>
      </c>
      <c r="L136" t="s">
        <v>816</v>
      </c>
      <c r="N136" t="s">
        <v>820</v>
      </c>
      <c r="O136" t="s">
        <v>825</v>
      </c>
      <c r="P136" t="s">
        <v>828</v>
      </c>
      <c r="Q136">
        <v>19073</v>
      </c>
      <c r="R136" t="s">
        <v>835</v>
      </c>
      <c r="S136" t="s">
        <v>861</v>
      </c>
      <c r="T136" t="s">
        <v>993</v>
      </c>
      <c r="U136" t="s">
        <v>1049</v>
      </c>
      <c r="W136" t="s">
        <v>1684</v>
      </c>
      <c r="X136">
        <v>1.9</v>
      </c>
      <c r="Y136">
        <v>2</v>
      </c>
      <c r="Z136">
        <v>2</v>
      </c>
      <c r="AA136" t="s">
        <v>1691</v>
      </c>
      <c r="AB136" t="s">
        <v>1826</v>
      </c>
      <c r="AC136">
        <v>41</v>
      </c>
      <c r="AD136" t="s">
        <v>2236</v>
      </c>
      <c r="AI136" t="s">
        <v>581</v>
      </c>
      <c r="AJ136" t="s">
        <v>2511</v>
      </c>
      <c r="AK136" t="s">
        <v>2514</v>
      </c>
      <c r="AL136" t="s">
        <v>2520</v>
      </c>
      <c r="AM136" t="s">
        <v>2523</v>
      </c>
      <c r="AR136">
        <v>1896583</v>
      </c>
    </row>
    <row r="137" spans="1:44">
      <c r="A137" s="1">
        <f>HYPERLINK("https://lsnyc.legalserver.org/matter/dynamic-profile/view/1895684","19-1895684")</f>
        <v>0</v>
      </c>
      <c r="B137" t="s">
        <v>179</v>
      </c>
      <c r="C137" t="s">
        <v>537</v>
      </c>
      <c r="D137" t="s">
        <v>545</v>
      </c>
      <c r="E137" t="s">
        <v>568</v>
      </c>
      <c r="F137" t="s">
        <v>581</v>
      </c>
      <c r="G137" t="s">
        <v>581</v>
      </c>
      <c r="H137">
        <v>2.05</v>
      </c>
      <c r="I137" t="s">
        <v>634</v>
      </c>
      <c r="J137" t="s">
        <v>791</v>
      </c>
      <c r="K137" t="s">
        <v>582</v>
      </c>
      <c r="L137" t="s">
        <v>816</v>
      </c>
      <c r="N137" t="s">
        <v>820</v>
      </c>
      <c r="O137" t="s">
        <v>824</v>
      </c>
      <c r="P137" t="s">
        <v>828</v>
      </c>
      <c r="Q137">
        <v>11412</v>
      </c>
      <c r="S137" t="s">
        <v>861</v>
      </c>
      <c r="T137" t="s">
        <v>952</v>
      </c>
      <c r="U137" t="s">
        <v>1304</v>
      </c>
      <c r="V137" t="s">
        <v>1678</v>
      </c>
      <c r="W137" t="s">
        <v>1684</v>
      </c>
      <c r="X137">
        <v>3.75</v>
      </c>
      <c r="Y137">
        <v>2</v>
      </c>
      <c r="Z137">
        <v>2</v>
      </c>
      <c r="AA137" t="s">
        <v>1692</v>
      </c>
      <c r="AB137" t="s">
        <v>1827</v>
      </c>
      <c r="AC137">
        <v>47</v>
      </c>
      <c r="AD137" t="s">
        <v>2237</v>
      </c>
      <c r="AI137" t="s">
        <v>581</v>
      </c>
      <c r="AJ137" t="s">
        <v>2511</v>
      </c>
      <c r="AK137" t="s">
        <v>2514</v>
      </c>
      <c r="AL137" t="s">
        <v>2520</v>
      </c>
      <c r="AM137" t="s">
        <v>2523</v>
      </c>
      <c r="AR137">
        <v>1896326</v>
      </c>
    </row>
    <row r="138" spans="1:44">
      <c r="A138" s="1">
        <f>HYPERLINK("https://lsnyc.legalserver.org/matter/dynamic-profile/view/1895614","19-1895614")</f>
        <v>0</v>
      </c>
      <c r="B138" t="s">
        <v>180</v>
      </c>
      <c r="C138" t="s">
        <v>536</v>
      </c>
      <c r="D138" t="s">
        <v>544</v>
      </c>
      <c r="E138" t="s">
        <v>569</v>
      </c>
      <c r="F138" t="s">
        <v>580</v>
      </c>
      <c r="G138" t="s">
        <v>581</v>
      </c>
      <c r="H138">
        <v>0</v>
      </c>
      <c r="I138" t="s">
        <v>634</v>
      </c>
      <c r="L138" t="s">
        <v>816</v>
      </c>
      <c r="N138" t="s">
        <v>821</v>
      </c>
      <c r="O138" t="s">
        <v>825</v>
      </c>
      <c r="P138" t="s">
        <v>829</v>
      </c>
      <c r="Q138">
        <v>11226</v>
      </c>
      <c r="S138" t="s">
        <v>863</v>
      </c>
      <c r="T138" t="s">
        <v>994</v>
      </c>
      <c r="U138" t="s">
        <v>1405</v>
      </c>
      <c r="W138" t="s">
        <v>1686</v>
      </c>
      <c r="X138">
        <v>23.45</v>
      </c>
      <c r="Y138">
        <v>0</v>
      </c>
      <c r="Z138">
        <v>2</v>
      </c>
      <c r="AA138" t="s">
        <v>1691</v>
      </c>
      <c r="AB138" t="s">
        <v>1828</v>
      </c>
      <c r="AC138">
        <v>44</v>
      </c>
      <c r="AD138" t="s">
        <v>2171</v>
      </c>
      <c r="AI138" t="s">
        <v>582</v>
      </c>
      <c r="AJ138" t="s">
        <v>2511</v>
      </c>
      <c r="AM138" t="s">
        <v>2526</v>
      </c>
      <c r="AR138">
        <v>1896256</v>
      </c>
    </row>
    <row r="139" spans="1:44">
      <c r="A139" s="1">
        <f>HYPERLINK("https://lsnyc.legalserver.org/matter/dynamic-profile/view/1895495","19-1895495")</f>
        <v>0</v>
      </c>
      <c r="B139" t="s">
        <v>181</v>
      </c>
      <c r="C139" t="s">
        <v>535</v>
      </c>
      <c r="D139" t="s">
        <v>541</v>
      </c>
      <c r="E139" t="s">
        <v>563</v>
      </c>
      <c r="F139" t="s">
        <v>580</v>
      </c>
      <c r="G139" t="s">
        <v>581</v>
      </c>
      <c r="H139">
        <v>0</v>
      </c>
      <c r="I139" t="s">
        <v>635</v>
      </c>
      <c r="J139" t="s">
        <v>795</v>
      </c>
      <c r="K139" t="s">
        <v>581</v>
      </c>
      <c r="L139" t="s">
        <v>816</v>
      </c>
      <c r="N139" t="s">
        <v>820</v>
      </c>
      <c r="O139" t="s">
        <v>825</v>
      </c>
      <c r="P139" t="s">
        <v>828</v>
      </c>
      <c r="Q139">
        <v>10029</v>
      </c>
      <c r="R139" t="s">
        <v>835</v>
      </c>
      <c r="S139" t="s">
        <v>863</v>
      </c>
      <c r="T139" t="s">
        <v>995</v>
      </c>
      <c r="U139" t="s">
        <v>1406</v>
      </c>
      <c r="V139" t="s">
        <v>1678</v>
      </c>
      <c r="W139" t="s">
        <v>1684</v>
      </c>
      <c r="X139">
        <v>4.25</v>
      </c>
      <c r="Y139">
        <v>0</v>
      </c>
      <c r="Z139">
        <v>1</v>
      </c>
      <c r="AA139" t="s">
        <v>1692</v>
      </c>
      <c r="AB139" t="s">
        <v>1829</v>
      </c>
      <c r="AC139">
        <v>62</v>
      </c>
      <c r="AD139" t="s">
        <v>2171</v>
      </c>
      <c r="AH139" t="s">
        <v>2409</v>
      </c>
      <c r="AI139" t="s">
        <v>581</v>
      </c>
      <c r="AJ139" t="s">
        <v>2511</v>
      </c>
      <c r="AL139" t="s">
        <v>2520</v>
      </c>
      <c r="AM139" t="s">
        <v>2523</v>
      </c>
      <c r="AR139">
        <v>1896137</v>
      </c>
    </row>
    <row r="140" spans="1:44">
      <c r="A140" s="1">
        <f>HYPERLINK("https://lsnyc.legalserver.org/matter/dynamic-profile/view/1895498","19-1895498")</f>
        <v>0</v>
      </c>
      <c r="B140" t="s">
        <v>182</v>
      </c>
      <c r="C140" t="s">
        <v>536</v>
      </c>
      <c r="D140" t="s">
        <v>544</v>
      </c>
      <c r="E140" t="s">
        <v>562</v>
      </c>
      <c r="F140" t="s">
        <v>580</v>
      </c>
      <c r="G140" t="s">
        <v>581</v>
      </c>
      <c r="H140">
        <v>0</v>
      </c>
      <c r="I140" t="s">
        <v>635</v>
      </c>
      <c r="J140" t="s">
        <v>630</v>
      </c>
      <c r="K140" t="s">
        <v>581</v>
      </c>
      <c r="L140" t="s">
        <v>816</v>
      </c>
      <c r="N140" t="s">
        <v>821</v>
      </c>
      <c r="O140" t="s">
        <v>824</v>
      </c>
      <c r="P140" t="s">
        <v>833</v>
      </c>
      <c r="Q140">
        <v>11220</v>
      </c>
      <c r="S140" t="s">
        <v>861</v>
      </c>
      <c r="T140" t="s">
        <v>996</v>
      </c>
      <c r="U140" t="s">
        <v>1356</v>
      </c>
      <c r="V140" t="s">
        <v>1678</v>
      </c>
      <c r="W140" t="s">
        <v>1684</v>
      </c>
      <c r="X140">
        <v>2.1</v>
      </c>
      <c r="Y140">
        <v>0</v>
      </c>
      <c r="Z140">
        <v>1</v>
      </c>
      <c r="AA140" t="s">
        <v>1692</v>
      </c>
      <c r="AB140" t="s">
        <v>1830</v>
      </c>
      <c r="AC140">
        <v>61</v>
      </c>
      <c r="AD140" t="s">
        <v>2171</v>
      </c>
      <c r="AH140" t="s">
        <v>2410</v>
      </c>
      <c r="AJ140" t="s">
        <v>2511</v>
      </c>
      <c r="AK140" t="s">
        <v>2514</v>
      </c>
      <c r="AL140" t="s">
        <v>2520</v>
      </c>
      <c r="AM140" t="s">
        <v>2523</v>
      </c>
      <c r="AR140">
        <v>1866617</v>
      </c>
    </row>
    <row r="141" spans="1:44">
      <c r="A141" s="1">
        <f>HYPERLINK("https://lsnyc.legalserver.org/matter/dynamic-profile/view/1895480","19-1895480")</f>
        <v>0</v>
      </c>
      <c r="B141" t="s">
        <v>183</v>
      </c>
      <c r="C141" t="s">
        <v>535</v>
      </c>
      <c r="D141" t="s">
        <v>541</v>
      </c>
      <c r="E141" t="s">
        <v>561</v>
      </c>
      <c r="F141" t="s">
        <v>580</v>
      </c>
      <c r="G141" t="s">
        <v>581</v>
      </c>
      <c r="H141">
        <v>16.31</v>
      </c>
      <c r="I141" t="s">
        <v>635</v>
      </c>
      <c r="J141" t="s">
        <v>796</v>
      </c>
      <c r="K141" t="s">
        <v>582</v>
      </c>
      <c r="L141" t="s">
        <v>816</v>
      </c>
      <c r="N141" t="s">
        <v>820</v>
      </c>
      <c r="O141" t="s">
        <v>825</v>
      </c>
      <c r="P141" t="s">
        <v>828</v>
      </c>
      <c r="Q141">
        <v>10033</v>
      </c>
      <c r="R141" t="s">
        <v>835</v>
      </c>
      <c r="S141" t="s">
        <v>861</v>
      </c>
      <c r="T141" t="s">
        <v>997</v>
      </c>
      <c r="U141" t="s">
        <v>1407</v>
      </c>
      <c r="V141" t="s">
        <v>1678</v>
      </c>
      <c r="W141" t="s">
        <v>1684</v>
      </c>
      <c r="X141">
        <v>7</v>
      </c>
      <c r="Y141">
        <v>2</v>
      </c>
      <c r="Z141">
        <v>2</v>
      </c>
      <c r="AA141" t="s">
        <v>1692</v>
      </c>
      <c r="AB141" t="s">
        <v>1831</v>
      </c>
      <c r="AC141">
        <v>51</v>
      </c>
      <c r="AD141" t="s">
        <v>2238</v>
      </c>
      <c r="AI141" t="s">
        <v>582</v>
      </c>
      <c r="AJ141" t="s">
        <v>2511</v>
      </c>
      <c r="AK141" t="s">
        <v>2514</v>
      </c>
      <c r="AL141" t="s">
        <v>2519</v>
      </c>
      <c r="AM141" t="s">
        <v>2522</v>
      </c>
      <c r="AR141">
        <v>1896122</v>
      </c>
    </row>
    <row r="142" spans="1:44">
      <c r="A142" s="1">
        <f>HYPERLINK("https://lsnyc.legalserver.org/matter/dynamic-profile/view/1895232","19-1895232")</f>
        <v>0</v>
      </c>
      <c r="B142" t="s">
        <v>184</v>
      </c>
      <c r="C142" t="s">
        <v>536</v>
      </c>
      <c r="D142" t="s">
        <v>544</v>
      </c>
      <c r="E142" t="s">
        <v>562</v>
      </c>
      <c r="F142" t="s">
        <v>580</v>
      </c>
      <c r="G142" t="s">
        <v>581</v>
      </c>
      <c r="H142">
        <v>146.5</v>
      </c>
      <c r="I142" t="s">
        <v>636</v>
      </c>
      <c r="J142" t="s">
        <v>797</v>
      </c>
      <c r="K142" t="s">
        <v>582</v>
      </c>
      <c r="L142" t="s">
        <v>816</v>
      </c>
      <c r="M142" t="s">
        <v>816</v>
      </c>
      <c r="N142" t="s">
        <v>821</v>
      </c>
      <c r="O142" t="s">
        <v>825</v>
      </c>
      <c r="P142" t="s">
        <v>829</v>
      </c>
      <c r="Q142">
        <v>11213</v>
      </c>
      <c r="S142" t="s">
        <v>861</v>
      </c>
      <c r="T142" t="s">
        <v>998</v>
      </c>
      <c r="U142" t="s">
        <v>1408</v>
      </c>
      <c r="V142" t="s">
        <v>1678</v>
      </c>
      <c r="W142" t="s">
        <v>1684</v>
      </c>
      <c r="X142">
        <v>2.16</v>
      </c>
      <c r="Y142">
        <v>3</v>
      </c>
      <c r="Z142">
        <v>2</v>
      </c>
      <c r="AA142" t="s">
        <v>1692</v>
      </c>
      <c r="AB142" t="s">
        <v>1832</v>
      </c>
      <c r="AC142">
        <v>50</v>
      </c>
      <c r="AD142" t="s">
        <v>2239</v>
      </c>
      <c r="AH142" t="s">
        <v>2411</v>
      </c>
      <c r="AJ142" t="s">
        <v>2511</v>
      </c>
      <c r="AK142" t="s">
        <v>2514</v>
      </c>
      <c r="AL142" t="s">
        <v>2520</v>
      </c>
      <c r="AM142" t="s">
        <v>2523</v>
      </c>
      <c r="AR142">
        <v>1895874</v>
      </c>
    </row>
    <row r="143" spans="1:44">
      <c r="A143" s="1">
        <f>HYPERLINK("https://lsnyc.legalserver.org/matter/dynamic-profile/view/1895134","19-1895134")</f>
        <v>0</v>
      </c>
      <c r="B143" t="s">
        <v>185</v>
      </c>
      <c r="C143" t="s">
        <v>535</v>
      </c>
      <c r="D143" t="s">
        <v>541</v>
      </c>
      <c r="E143" t="s">
        <v>563</v>
      </c>
      <c r="F143" t="s">
        <v>580</v>
      </c>
      <c r="G143" t="s">
        <v>581</v>
      </c>
      <c r="H143">
        <v>189.24</v>
      </c>
      <c r="I143" t="s">
        <v>636</v>
      </c>
      <c r="K143" t="s">
        <v>582</v>
      </c>
      <c r="L143" t="s">
        <v>816</v>
      </c>
      <c r="N143" t="s">
        <v>821</v>
      </c>
      <c r="O143" t="s">
        <v>824</v>
      </c>
      <c r="P143" t="s">
        <v>830</v>
      </c>
      <c r="Q143">
        <v>10019</v>
      </c>
      <c r="R143" t="s">
        <v>840</v>
      </c>
      <c r="S143" t="s">
        <v>861</v>
      </c>
      <c r="T143" t="s">
        <v>999</v>
      </c>
      <c r="U143" t="s">
        <v>1409</v>
      </c>
      <c r="W143" t="s">
        <v>1687</v>
      </c>
      <c r="X143">
        <v>3.3</v>
      </c>
      <c r="Y143">
        <v>1</v>
      </c>
      <c r="Z143">
        <v>1</v>
      </c>
      <c r="AA143" t="s">
        <v>1691</v>
      </c>
      <c r="AB143" t="s">
        <v>1833</v>
      </c>
      <c r="AC143">
        <v>34</v>
      </c>
      <c r="AD143" t="s">
        <v>2240</v>
      </c>
      <c r="AH143" t="s">
        <v>2393</v>
      </c>
      <c r="AI143" t="s">
        <v>582</v>
      </c>
      <c r="AJ143" t="s">
        <v>2512</v>
      </c>
      <c r="AK143" t="s">
        <v>2514</v>
      </c>
      <c r="AM143" t="s">
        <v>2522</v>
      </c>
      <c r="AR143">
        <v>198582</v>
      </c>
    </row>
    <row r="144" spans="1:44">
      <c r="A144" s="1">
        <f>HYPERLINK("https://lsnyc.legalserver.org/matter/dynamic-profile/view/1895094","19-1895094")</f>
        <v>0</v>
      </c>
      <c r="B144" t="s">
        <v>186</v>
      </c>
      <c r="C144" t="s">
        <v>535</v>
      </c>
      <c r="D144" t="s">
        <v>541</v>
      </c>
      <c r="E144" t="s">
        <v>561</v>
      </c>
      <c r="F144" t="s">
        <v>580</v>
      </c>
      <c r="G144" t="s">
        <v>581</v>
      </c>
      <c r="H144">
        <v>43.23</v>
      </c>
      <c r="I144" t="s">
        <v>637</v>
      </c>
      <c r="J144" t="s">
        <v>633</v>
      </c>
      <c r="K144" t="s">
        <v>582</v>
      </c>
      <c r="L144" t="s">
        <v>816</v>
      </c>
      <c r="N144" t="s">
        <v>820</v>
      </c>
      <c r="O144" t="s">
        <v>824</v>
      </c>
      <c r="P144" t="s">
        <v>828</v>
      </c>
      <c r="Q144">
        <v>10128</v>
      </c>
      <c r="R144" t="s">
        <v>835</v>
      </c>
      <c r="S144" t="s">
        <v>861</v>
      </c>
      <c r="T144" t="s">
        <v>1000</v>
      </c>
      <c r="U144" t="s">
        <v>1410</v>
      </c>
      <c r="V144" t="s">
        <v>1678</v>
      </c>
      <c r="W144" t="s">
        <v>1684</v>
      </c>
      <c r="X144">
        <v>2</v>
      </c>
      <c r="Y144">
        <v>0</v>
      </c>
      <c r="Z144">
        <v>1</v>
      </c>
      <c r="AA144" t="s">
        <v>1692</v>
      </c>
      <c r="AB144" t="s">
        <v>1834</v>
      </c>
      <c r="AC144">
        <v>28</v>
      </c>
      <c r="AD144" t="s">
        <v>2213</v>
      </c>
      <c r="AI144" t="s">
        <v>581</v>
      </c>
      <c r="AJ144" t="s">
        <v>2511</v>
      </c>
      <c r="AK144" t="s">
        <v>2514</v>
      </c>
      <c r="AL144" t="s">
        <v>2520</v>
      </c>
      <c r="AM144" t="s">
        <v>2523</v>
      </c>
      <c r="AR144">
        <v>1895735</v>
      </c>
    </row>
    <row r="145" spans="1:44">
      <c r="A145" s="1">
        <f>HYPERLINK("https://lsnyc.legalserver.org/matter/dynamic-profile/view/1895104","19-1895104")</f>
        <v>0</v>
      </c>
      <c r="B145" t="s">
        <v>187</v>
      </c>
      <c r="C145" t="s">
        <v>535</v>
      </c>
      <c r="D145" t="s">
        <v>541</v>
      </c>
      <c r="E145" t="s">
        <v>561</v>
      </c>
      <c r="F145" t="s">
        <v>580</v>
      </c>
      <c r="G145" t="s">
        <v>581</v>
      </c>
      <c r="H145">
        <v>0</v>
      </c>
      <c r="I145" t="s">
        <v>637</v>
      </c>
      <c r="J145" t="s">
        <v>784</v>
      </c>
      <c r="K145" t="s">
        <v>582</v>
      </c>
      <c r="L145" t="s">
        <v>816</v>
      </c>
      <c r="N145" t="s">
        <v>820</v>
      </c>
      <c r="O145" t="s">
        <v>824</v>
      </c>
      <c r="P145" t="s">
        <v>828</v>
      </c>
      <c r="Q145">
        <v>10011</v>
      </c>
      <c r="R145" t="s">
        <v>835</v>
      </c>
      <c r="S145" t="s">
        <v>861</v>
      </c>
      <c r="T145" t="s">
        <v>1001</v>
      </c>
      <c r="U145" t="s">
        <v>1411</v>
      </c>
      <c r="V145" t="s">
        <v>1678</v>
      </c>
      <c r="W145" t="s">
        <v>1684</v>
      </c>
      <c r="X145">
        <v>3.5</v>
      </c>
      <c r="Y145">
        <v>0</v>
      </c>
      <c r="Z145">
        <v>1</v>
      </c>
      <c r="AA145" t="s">
        <v>1692</v>
      </c>
      <c r="AB145" t="s">
        <v>1835</v>
      </c>
      <c r="AC145">
        <v>60</v>
      </c>
      <c r="AD145" t="s">
        <v>2171</v>
      </c>
      <c r="AI145" t="s">
        <v>581</v>
      </c>
      <c r="AJ145" t="s">
        <v>2511</v>
      </c>
      <c r="AL145" t="s">
        <v>2520</v>
      </c>
      <c r="AM145" t="s">
        <v>2523</v>
      </c>
      <c r="AR145">
        <v>1895745</v>
      </c>
    </row>
    <row r="146" spans="1:44">
      <c r="A146" s="1">
        <f>HYPERLINK("https://lsnyc.legalserver.org/matter/dynamic-profile/view/1894831","19-1894831")</f>
        <v>0</v>
      </c>
      <c r="B146" t="s">
        <v>188</v>
      </c>
      <c r="C146" t="s">
        <v>537</v>
      </c>
      <c r="D146" t="s">
        <v>545</v>
      </c>
      <c r="E146" t="s">
        <v>568</v>
      </c>
      <c r="F146" t="s">
        <v>581</v>
      </c>
      <c r="G146" t="s">
        <v>581</v>
      </c>
      <c r="H146">
        <v>62.07</v>
      </c>
      <c r="I146" t="s">
        <v>638</v>
      </c>
      <c r="J146" t="s">
        <v>798</v>
      </c>
      <c r="K146" t="s">
        <v>582</v>
      </c>
      <c r="L146" t="s">
        <v>816</v>
      </c>
      <c r="N146" t="s">
        <v>820</v>
      </c>
      <c r="O146" t="s">
        <v>824</v>
      </c>
      <c r="P146" t="s">
        <v>828</v>
      </c>
      <c r="Q146">
        <v>11367</v>
      </c>
      <c r="S146" t="s">
        <v>861</v>
      </c>
      <c r="T146" t="s">
        <v>1002</v>
      </c>
      <c r="U146" t="s">
        <v>1412</v>
      </c>
      <c r="V146" t="s">
        <v>1678</v>
      </c>
      <c r="W146" t="s">
        <v>1684</v>
      </c>
      <c r="X146">
        <v>2.05</v>
      </c>
      <c r="Y146">
        <v>0</v>
      </c>
      <c r="Z146">
        <v>1</v>
      </c>
      <c r="AA146" t="s">
        <v>1692</v>
      </c>
      <c r="AB146" t="s">
        <v>1836</v>
      </c>
      <c r="AC146">
        <v>54</v>
      </c>
      <c r="AD146" t="s">
        <v>2241</v>
      </c>
      <c r="AH146" t="s">
        <v>2409</v>
      </c>
      <c r="AI146" t="s">
        <v>581</v>
      </c>
      <c r="AJ146" t="s">
        <v>2511</v>
      </c>
      <c r="AK146" t="s">
        <v>2514</v>
      </c>
      <c r="AM146" t="s">
        <v>2523</v>
      </c>
      <c r="AR146">
        <v>1895472</v>
      </c>
    </row>
    <row r="147" spans="1:44">
      <c r="A147" s="1">
        <f>HYPERLINK("https://lsnyc.legalserver.org/matter/dynamic-profile/view/1894546","19-1894546")</f>
        <v>0</v>
      </c>
      <c r="B147" t="s">
        <v>189</v>
      </c>
      <c r="C147" t="s">
        <v>535</v>
      </c>
      <c r="D147" t="s">
        <v>541</v>
      </c>
      <c r="E147" t="s">
        <v>561</v>
      </c>
      <c r="F147" t="s">
        <v>580</v>
      </c>
      <c r="G147" t="s">
        <v>581</v>
      </c>
      <c r="H147">
        <v>0</v>
      </c>
      <c r="I147" t="s">
        <v>639</v>
      </c>
      <c r="J147" t="s">
        <v>595</v>
      </c>
      <c r="K147" t="s">
        <v>582</v>
      </c>
      <c r="L147" t="s">
        <v>816</v>
      </c>
      <c r="N147" t="s">
        <v>820</v>
      </c>
      <c r="O147" t="s">
        <v>825</v>
      </c>
      <c r="P147" t="s">
        <v>828</v>
      </c>
      <c r="Q147">
        <v>10026</v>
      </c>
      <c r="R147" t="s">
        <v>835</v>
      </c>
      <c r="S147" t="s">
        <v>861</v>
      </c>
      <c r="T147" t="s">
        <v>1003</v>
      </c>
      <c r="U147" t="s">
        <v>1413</v>
      </c>
      <c r="V147" t="s">
        <v>1678</v>
      </c>
      <c r="W147" t="s">
        <v>1684</v>
      </c>
      <c r="X147">
        <v>8.6</v>
      </c>
      <c r="Y147">
        <v>0</v>
      </c>
      <c r="Z147">
        <v>1</v>
      </c>
      <c r="AA147" t="s">
        <v>1692</v>
      </c>
      <c r="AB147" t="s">
        <v>1837</v>
      </c>
      <c r="AC147">
        <v>56</v>
      </c>
      <c r="AD147" t="s">
        <v>2171</v>
      </c>
      <c r="AH147" t="s">
        <v>2373</v>
      </c>
      <c r="AI147" t="s">
        <v>582</v>
      </c>
      <c r="AJ147" t="s">
        <v>2512</v>
      </c>
      <c r="AK147" t="s">
        <v>2514</v>
      </c>
      <c r="AL147" t="s">
        <v>2519</v>
      </c>
      <c r="AM147" t="s">
        <v>2522</v>
      </c>
      <c r="AR147">
        <v>1895187</v>
      </c>
    </row>
    <row r="148" spans="1:44">
      <c r="A148" s="1">
        <f>HYPERLINK("https://lsnyc.legalserver.org/matter/dynamic-profile/view/1894384","19-1894384")</f>
        <v>0</v>
      </c>
      <c r="B148" t="s">
        <v>190</v>
      </c>
      <c r="C148" t="s">
        <v>535</v>
      </c>
      <c r="D148" t="s">
        <v>541</v>
      </c>
      <c r="E148" t="s">
        <v>563</v>
      </c>
      <c r="F148" t="s">
        <v>580</v>
      </c>
      <c r="G148" t="s">
        <v>581</v>
      </c>
      <c r="H148">
        <v>0</v>
      </c>
      <c r="I148" t="s">
        <v>640</v>
      </c>
      <c r="J148" t="s">
        <v>626</v>
      </c>
      <c r="K148" t="s">
        <v>581</v>
      </c>
      <c r="L148" t="s">
        <v>816</v>
      </c>
      <c r="N148" t="s">
        <v>821</v>
      </c>
      <c r="O148" t="s">
        <v>825</v>
      </c>
      <c r="P148" t="s">
        <v>833</v>
      </c>
      <c r="Q148">
        <v>10035</v>
      </c>
      <c r="R148" t="s">
        <v>843</v>
      </c>
      <c r="S148" t="s">
        <v>861</v>
      </c>
      <c r="T148" t="s">
        <v>1004</v>
      </c>
      <c r="U148" t="s">
        <v>1402</v>
      </c>
      <c r="V148" t="s">
        <v>1678</v>
      </c>
      <c r="W148" t="s">
        <v>1684</v>
      </c>
      <c r="X148">
        <v>1.2</v>
      </c>
      <c r="Y148">
        <v>0</v>
      </c>
      <c r="Z148">
        <v>1</v>
      </c>
      <c r="AA148" t="s">
        <v>1692</v>
      </c>
      <c r="AB148" t="s">
        <v>1838</v>
      </c>
      <c r="AC148">
        <v>24</v>
      </c>
      <c r="AD148" t="s">
        <v>2171</v>
      </c>
      <c r="AH148" t="s">
        <v>2412</v>
      </c>
      <c r="AJ148" t="s">
        <v>2511</v>
      </c>
      <c r="AK148" t="s">
        <v>2514</v>
      </c>
      <c r="AM148" t="s">
        <v>2523</v>
      </c>
      <c r="AR148">
        <v>1895023</v>
      </c>
    </row>
    <row r="149" spans="1:44">
      <c r="A149" s="1">
        <f>HYPERLINK("https://lsnyc.legalserver.org/matter/dynamic-profile/view/1894393","19-1894393")</f>
        <v>0</v>
      </c>
      <c r="B149" t="s">
        <v>191</v>
      </c>
      <c r="C149" t="s">
        <v>536</v>
      </c>
      <c r="D149" t="s">
        <v>544</v>
      </c>
      <c r="E149" t="s">
        <v>562</v>
      </c>
      <c r="F149" t="s">
        <v>580</v>
      </c>
      <c r="G149" t="s">
        <v>581</v>
      </c>
      <c r="H149">
        <v>0</v>
      </c>
      <c r="I149" t="s">
        <v>640</v>
      </c>
      <c r="J149" t="s">
        <v>613</v>
      </c>
      <c r="K149" t="s">
        <v>581</v>
      </c>
      <c r="L149" t="s">
        <v>816</v>
      </c>
      <c r="N149" t="s">
        <v>821</v>
      </c>
      <c r="O149" t="s">
        <v>825</v>
      </c>
      <c r="P149" t="s">
        <v>833</v>
      </c>
      <c r="Q149">
        <v>11221</v>
      </c>
      <c r="S149" t="s">
        <v>861</v>
      </c>
      <c r="T149" t="s">
        <v>1005</v>
      </c>
      <c r="U149" t="s">
        <v>1414</v>
      </c>
      <c r="V149" t="s">
        <v>1678</v>
      </c>
      <c r="W149" t="s">
        <v>1684</v>
      </c>
      <c r="X149">
        <v>12.4</v>
      </c>
      <c r="Y149">
        <v>0</v>
      </c>
      <c r="Z149">
        <v>1</v>
      </c>
      <c r="AA149" t="s">
        <v>1692</v>
      </c>
      <c r="AB149" t="s">
        <v>1839</v>
      </c>
      <c r="AC149">
        <v>44</v>
      </c>
      <c r="AD149" t="s">
        <v>2171</v>
      </c>
      <c r="AH149" t="s">
        <v>2404</v>
      </c>
      <c r="AI149" t="s">
        <v>581</v>
      </c>
      <c r="AJ149" t="s">
        <v>2511</v>
      </c>
      <c r="AK149" t="s">
        <v>2514</v>
      </c>
      <c r="AL149" t="s">
        <v>2520</v>
      </c>
      <c r="AM149" t="s">
        <v>2523</v>
      </c>
      <c r="AR149">
        <v>1891024</v>
      </c>
    </row>
    <row r="150" spans="1:44">
      <c r="A150" s="1">
        <f>HYPERLINK("https://lsnyc.legalserver.org/matter/dynamic-profile/view/1894418","19-1894418")</f>
        <v>0</v>
      </c>
      <c r="B150" t="s">
        <v>192</v>
      </c>
      <c r="C150" t="s">
        <v>537</v>
      </c>
      <c r="D150" t="s">
        <v>545</v>
      </c>
      <c r="E150" t="s">
        <v>568</v>
      </c>
      <c r="F150" t="s">
        <v>581</v>
      </c>
      <c r="G150" t="s">
        <v>581</v>
      </c>
      <c r="H150">
        <v>2.95</v>
      </c>
      <c r="I150" t="s">
        <v>640</v>
      </c>
      <c r="J150" t="s">
        <v>601</v>
      </c>
      <c r="K150" t="s">
        <v>582</v>
      </c>
      <c r="L150" t="s">
        <v>816</v>
      </c>
      <c r="N150" t="s">
        <v>820</v>
      </c>
      <c r="O150" t="s">
        <v>824</v>
      </c>
      <c r="P150" t="s">
        <v>828</v>
      </c>
      <c r="Q150">
        <v>11369</v>
      </c>
      <c r="S150" t="s">
        <v>861</v>
      </c>
      <c r="T150" t="s">
        <v>1006</v>
      </c>
      <c r="U150" t="s">
        <v>1415</v>
      </c>
      <c r="V150" t="s">
        <v>1678</v>
      </c>
      <c r="X150">
        <v>1.62</v>
      </c>
      <c r="Y150">
        <v>0</v>
      </c>
      <c r="Z150">
        <v>1</v>
      </c>
      <c r="AA150" t="s">
        <v>1692</v>
      </c>
      <c r="AB150" t="s">
        <v>1840</v>
      </c>
      <c r="AC150">
        <v>27</v>
      </c>
      <c r="AD150" t="s">
        <v>2242</v>
      </c>
      <c r="AJ150" t="s">
        <v>2511</v>
      </c>
      <c r="AK150" t="s">
        <v>2514</v>
      </c>
      <c r="AL150" t="s">
        <v>2520</v>
      </c>
      <c r="AM150" t="s">
        <v>2523</v>
      </c>
      <c r="AR150">
        <v>1895058</v>
      </c>
    </row>
    <row r="151" spans="1:44">
      <c r="A151" s="1">
        <f>HYPERLINK("https://lsnyc.legalserver.org/matter/dynamic-profile/view/1894423","19-1894423")</f>
        <v>0</v>
      </c>
      <c r="B151" t="s">
        <v>193</v>
      </c>
      <c r="C151" t="s">
        <v>537</v>
      </c>
      <c r="D151" t="s">
        <v>545</v>
      </c>
      <c r="E151" t="s">
        <v>568</v>
      </c>
      <c r="F151" t="s">
        <v>581</v>
      </c>
      <c r="G151" t="s">
        <v>581</v>
      </c>
      <c r="H151">
        <v>0</v>
      </c>
      <c r="I151" t="s">
        <v>640</v>
      </c>
      <c r="J151" t="s">
        <v>601</v>
      </c>
      <c r="L151" t="s">
        <v>816</v>
      </c>
      <c r="N151" t="s">
        <v>820</v>
      </c>
      <c r="O151" t="s">
        <v>825</v>
      </c>
      <c r="P151" t="s">
        <v>828</v>
      </c>
      <c r="Q151">
        <v>11368</v>
      </c>
      <c r="S151" t="s">
        <v>861</v>
      </c>
      <c r="T151" t="s">
        <v>1007</v>
      </c>
      <c r="U151" t="s">
        <v>1416</v>
      </c>
      <c r="V151" t="s">
        <v>1678</v>
      </c>
      <c r="W151" t="s">
        <v>1684</v>
      </c>
      <c r="X151">
        <v>1</v>
      </c>
      <c r="Y151">
        <v>0</v>
      </c>
      <c r="Z151">
        <v>1</v>
      </c>
      <c r="AA151" t="s">
        <v>1692</v>
      </c>
      <c r="AB151" t="s">
        <v>1841</v>
      </c>
      <c r="AC151">
        <v>42</v>
      </c>
      <c r="AD151" t="s">
        <v>2171</v>
      </c>
      <c r="AJ151" t="s">
        <v>2511</v>
      </c>
      <c r="AK151" t="s">
        <v>2514</v>
      </c>
      <c r="AM151" t="s">
        <v>2523</v>
      </c>
      <c r="AR151">
        <v>1888426</v>
      </c>
    </row>
    <row r="152" spans="1:44">
      <c r="A152" s="1">
        <f>HYPERLINK("https://lsnyc.legalserver.org/matter/dynamic-profile/view/1894396","19-1894396")</f>
        <v>0</v>
      </c>
      <c r="B152" t="s">
        <v>194</v>
      </c>
      <c r="C152" t="s">
        <v>537</v>
      </c>
      <c r="D152" t="s">
        <v>545</v>
      </c>
      <c r="E152" t="s">
        <v>568</v>
      </c>
      <c r="F152" t="s">
        <v>581</v>
      </c>
      <c r="G152" t="s">
        <v>581</v>
      </c>
      <c r="H152">
        <v>0</v>
      </c>
      <c r="I152" t="s">
        <v>640</v>
      </c>
      <c r="J152" t="s">
        <v>599</v>
      </c>
      <c r="K152" t="s">
        <v>582</v>
      </c>
      <c r="L152" t="s">
        <v>816</v>
      </c>
      <c r="N152" t="s">
        <v>820</v>
      </c>
      <c r="O152" t="s">
        <v>824</v>
      </c>
      <c r="P152" t="s">
        <v>828</v>
      </c>
      <c r="Q152">
        <v>11434</v>
      </c>
      <c r="S152" t="s">
        <v>861</v>
      </c>
      <c r="T152" t="s">
        <v>1008</v>
      </c>
      <c r="U152" t="s">
        <v>1417</v>
      </c>
      <c r="V152" t="s">
        <v>1678</v>
      </c>
      <c r="X152">
        <v>2.85</v>
      </c>
      <c r="Y152">
        <v>0</v>
      </c>
      <c r="Z152">
        <v>1</v>
      </c>
      <c r="AA152" t="s">
        <v>1692</v>
      </c>
      <c r="AB152" t="s">
        <v>1842</v>
      </c>
      <c r="AC152">
        <v>46</v>
      </c>
      <c r="AD152" t="s">
        <v>2171</v>
      </c>
      <c r="AH152" t="s">
        <v>2367</v>
      </c>
      <c r="AJ152" t="s">
        <v>2511</v>
      </c>
      <c r="AK152" t="s">
        <v>2514</v>
      </c>
      <c r="AM152" t="s">
        <v>2523</v>
      </c>
      <c r="AR152">
        <v>1895035</v>
      </c>
    </row>
    <row r="153" spans="1:44">
      <c r="A153" s="1">
        <f>HYPERLINK("https://lsnyc.legalserver.org/matter/dynamic-profile/view/1894334","19-1894334")</f>
        <v>0</v>
      </c>
      <c r="B153" t="s">
        <v>195</v>
      </c>
      <c r="C153" t="s">
        <v>535</v>
      </c>
      <c r="D153" t="s">
        <v>543</v>
      </c>
      <c r="E153" t="s">
        <v>561</v>
      </c>
      <c r="F153" t="s">
        <v>580</v>
      </c>
      <c r="G153" t="s">
        <v>581</v>
      </c>
      <c r="H153">
        <v>0</v>
      </c>
      <c r="I153" t="s">
        <v>640</v>
      </c>
      <c r="J153" t="s">
        <v>796</v>
      </c>
      <c r="K153" t="s">
        <v>582</v>
      </c>
      <c r="L153" t="s">
        <v>816</v>
      </c>
      <c r="N153" t="s">
        <v>820</v>
      </c>
      <c r="O153" t="s">
        <v>824</v>
      </c>
      <c r="P153" t="s">
        <v>828</v>
      </c>
      <c r="Q153">
        <v>10468</v>
      </c>
      <c r="R153" t="s">
        <v>835</v>
      </c>
      <c r="S153" t="s">
        <v>863</v>
      </c>
      <c r="T153" t="s">
        <v>1009</v>
      </c>
      <c r="U153" t="s">
        <v>1418</v>
      </c>
      <c r="V153" t="s">
        <v>1678</v>
      </c>
      <c r="W153" t="s">
        <v>1684</v>
      </c>
      <c r="X153">
        <v>3.95</v>
      </c>
      <c r="Y153">
        <v>1</v>
      </c>
      <c r="Z153">
        <v>1</v>
      </c>
      <c r="AA153" t="s">
        <v>1692</v>
      </c>
      <c r="AB153" t="s">
        <v>1843</v>
      </c>
      <c r="AC153">
        <v>32</v>
      </c>
      <c r="AD153" t="s">
        <v>2171</v>
      </c>
      <c r="AG153" t="s">
        <v>2362</v>
      </c>
      <c r="AH153" t="s">
        <v>2413</v>
      </c>
      <c r="AI153" t="s">
        <v>581</v>
      </c>
      <c r="AJ153" t="s">
        <v>2511</v>
      </c>
      <c r="AL153" t="s">
        <v>2520</v>
      </c>
      <c r="AM153" t="s">
        <v>2523</v>
      </c>
      <c r="AR153">
        <v>1894973</v>
      </c>
    </row>
    <row r="154" spans="1:44">
      <c r="A154" s="1">
        <f>HYPERLINK("https://lsnyc.legalserver.org/matter/dynamic-profile/view/1894322","19-1894322")</f>
        <v>0</v>
      </c>
      <c r="B154" t="s">
        <v>196</v>
      </c>
      <c r="C154" t="s">
        <v>536</v>
      </c>
      <c r="D154" t="s">
        <v>544</v>
      </c>
      <c r="E154" t="s">
        <v>572</v>
      </c>
      <c r="F154" t="s">
        <v>580</v>
      </c>
      <c r="G154" t="s">
        <v>581</v>
      </c>
      <c r="H154">
        <v>0</v>
      </c>
      <c r="I154" t="s">
        <v>641</v>
      </c>
      <c r="J154" t="s">
        <v>634</v>
      </c>
      <c r="L154" t="s">
        <v>816</v>
      </c>
      <c r="N154" t="s">
        <v>821</v>
      </c>
      <c r="O154" t="s">
        <v>825</v>
      </c>
      <c r="P154" t="s">
        <v>830</v>
      </c>
      <c r="Q154">
        <v>11217</v>
      </c>
      <c r="R154" t="s">
        <v>840</v>
      </c>
      <c r="T154" t="s">
        <v>1010</v>
      </c>
      <c r="U154" t="s">
        <v>1419</v>
      </c>
      <c r="V154" t="s">
        <v>1678</v>
      </c>
      <c r="W154" t="s">
        <v>1684</v>
      </c>
      <c r="X154">
        <v>0.95</v>
      </c>
      <c r="Y154">
        <v>0</v>
      </c>
      <c r="Z154">
        <v>1</v>
      </c>
      <c r="AA154" t="s">
        <v>1692</v>
      </c>
      <c r="AB154" t="s">
        <v>1844</v>
      </c>
      <c r="AC154">
        <v>32</v>
      </c>
      <c r="AD154" t="s">
        <v>2171</v>
      </c>
      <c r="AI154" t="s">
        <v>582</v>
      </c>
      <c r="AJ154" t="s">
        <v>2512</v>
      </c>
      <c r="AL154" t="s">
        <v>2520</v>
      </c>
      <c r="AM154" t="s">
        <v>2523</v>
      </c>
      <c r="AR154">
        <v>1893590</v>
      </c>
    </row>
    <row r="155" spans="1:44">
      <c r="A155" s="1">
        <f>HYPERLINK("https://lsnyc.legalserver.org/matter/dynamic-profile/view/1894186","19-1894186")</f>
        <v>0</v>
      </c>
      <c r="B155" t="s">
        <v>197</v>
      </c>
      <c r="C155" t="s">
        <v>537</v>
      </c>
      <c r="D155" t="s">
        <v>545</v>
      </c>
      <c r="E155" t="s">
        <v>568</v>
      </c>
      <c r="F155" t="s">
        <v>581</v>
      </c>
      <c r="G155" t="s">
        <v>581</v>
      </c>
      <c r="H155">
        <v>0</v>
      </c>
      <c r="I155" t="s">
        <v>641</v>
      </c>
      <c r="J155" t="s">
        <v>798</v>
      </c>
      <c r="K155" t="s">
        <v>582</v>
      </c>
      <c r="L155" t="s">
        <v>816</v>
      </c>
      <c r="N155" t="s">
        <v>820</v>
      </c>
      <c r="O155" t="s">
        <v>824</v>
      </c>
      <c r="P155" t="s">
        <v>828</v>
      </c>
      <c r="Q155">
        <v>11417</v>
      </c>
      <c r="S155" t="s">
        <v>861</v>
      </c>
      <c r="T155" t="s">
        <v>1011</v>
      </c>
      <c r="U155" t="s">
        <v>1420</v>
      </c>
      <c r="V155" t="s">
        <v>1678</v>
      </c>
      <c r="W155" t="s">
        <v>1684</v>
      </c>
      <c r="X155">
        <v>0.98</v>
      </c>
      <c r="Y155">
        <v>1</v>
      </c>
      <c r="Z155">
        <v>1</v>
      </c>
      <c r="AA155" t="s">
        <v>1692</v>
      </c>
      <c r="AB155" t="s">
        <v>1845</v>
      </c>
      <c r="AC155">
        <v>33</v>
      </c>
      <c r="AD155" t="s">
        <v>2171</v>
      </c>
      <c r="AJ155" t="s">
        <v>2511</v>
      </c>
      <c r="AK155" t="s">
        <v>2514</v>
      </c>
      <c r="AM155" t="s">
        <v>2523</v>
      </c>
      <c r="AR155">
        <v>1894825</v>
      </c>
    </row>
    <row r="156" spans="1:44">
      <c r="A156" s="1">
        <f>HYPERLINK("https://lsnyc.legalserver.org/matter/dynamic-profile/view/1894213","19-1894213")</f>
        <v>0</v>
      </c>
      <c r="B156" t="s">
        <v>198</v>
      </c>
      <c r="C156" t="s">
        <v>537</v>
      </c>
      <c r="D156" t="s">
        <v>545</v>
      </c>
      <c r="E156" t="s">
        <v>568</v>
      </c>
      <c r="F156" t="s">
        <v>581</v>
      </c>
      <c r="G156" t="s">
        <v>581</v>
      </c>
      <c r="H156">
        <v>0</v>
      </c>
      <c r="I156" t="s">
        <v>641</v>
      </c>
      <c r="J156" t="s">
        <v>601</v>
      </c>
      <c r="K156" t="s">
        <v>582</v>
      </c>
      <c r="L156" t="s">
        <v>816</v>
      </c>
      <c r="N156" t="s">
        <v>820</v>
      </c>
      <c r="O156" t="s">
        <v>824</v>
      </c>
      <c r="P156" t="s">
        <v>828</v>
      </c>
      <c r="Q156">
        <v>11106</v>
      </c>
      <c r="S156" t="s">
        <v>861</v>
      </c>
      <c r="T156" t="s">
        <v>1012</v>
      </c>
      <c r="U156" t="s">
        <v>1421</v>
      </c>
      <c r="V156" t="s">
        <v>1678</v>
      </c>
      <c r="W156" t="s">
        <v>1684</v>
      </c>
      <c r="X156">
        <v>3.38</v>
      </c>
      <c r="Y156">
        <v>0</v>
      </c>
      <c r="Z156">
        <v>1</v>
      </c>
      <c r="AA156" t="s">
        <v>1692</v>
      </c>
      <c r="AB156" t="s">
        <v>1846</v>
      </c>
      <c r="AC156">
        <v>51</v>
      </c>
      <c r="AD156" t="s">
        <v>2171</v>
      </c>
      <c r="AJ156" t="s">
        <v>2511</v>
      </c>
      <c r="AK156" t="s">
        <v>2514</v>
      </c>
      <c r="AM156" t="s">
        <v>2523</v>
      </c>
      <c r="AR156">
        <v>1894852</v>
      </c>
    </row>
    <row r="157" spans="1:44">
      <c r="A157" s="1">
        <f>HYPERLINK("https://lsnyc.legalserver.org/matter/dynamic-profile/view/1894215","19-1894215")</f>
        <v>0</v>
      </c>
      <c r="B157" t="s">
        <v>199</v>
      </c>
      <c r="C157" t="s">
        <v>535</v>
      </c>
      <c r="D157" t="s">
        <v>541</v>
      </c>
      <c r="E157" t="s">
        <v>563</v>
      </c>
      <c r="F157" t="s">
        <v>580</v>
      </c>
      <c r="G157" t="s">
        <v>581</v>
      </c>
      <c r="H157">
        <v>105.68</v>
      </c>
      <c r="I157" t="s">
        <v>641</v>
      </c>
      <c r="J157" t="s">
        <v>784</v>
      </c>
      <c r="K157" t="s">
        <v>581</v>
      </c>
      <c r="L157" t="s">
        <v>816</v>
      </c>
      <c r="N157" t="s">
        <v>821</v>
      </c>
      <c r="O157" t="s">
        <v>825</v>
      </c>
      <c r="P157" t="s">
        <v>829</v>
      </c>
      <c r="Q157">
        <v>10003</v>
      </c>
      <c r="R157" t="s">
        <v>848</v>
      </c>
      <c r="S157" t="s">
        <v>861</v>
      </c>
      <c r="T157" t="s">
        <v>1013</v>
      </c>
      <c r="U157" t="s">
        <v>1422</v>
      </c>
      <c r="V157" t="s">
        <v>1678</v>
      </c>
      <c r="W157" t="s">
        <v>1684</v>
      </c>
      <c r="X157">
        <v>2.75</v>
      </c>
      <c r="Y157">
        <v>0</v>
      </c>
      <c r="Z157">
        <v>1</v>
      </c>
      <c r="AA157" t="s">
        <v>1692</v>
      </c>
      <c r="AB157" t="s">
        <v>1847</v>
      </c>
      <c r="AC157">
        <v>67</v>
      </c>
      <c r="AD157" t="s">
        <v>2243</v>
      </c>
      <c r="AH157" t="s">
        <v>2414</v>
      </c>
      <c r="AJ157" t="s">
        <v>2511</v>
      </c>
      <c r="AK157" t="s">
        <v>2514</v>
      </c>
      <c r="AL157" t="s">
        <v>2520</v>
      </c>
      <c r="AM157" t="s">
        <v>2523</v>
      </c>
      <c r="AR157">
        <v>1894854</v>
      </c>
    </row>
    <row r="158" spans="1:44">
      <c r="A158" s="1">
        <f>HYPERLINK("https://lsnyc.legalserver.org/matter/dynamic-profile/view/1894100","19-1894100")</f>
        <v>0</v>
      </c>
      <c r="B158" t="s">
        <v>200</v>
      </c>
      <c r="C158" t="s">
        <v>536</v>
      </c>
      <c r="D158" t="s">
        <v>551</v>
      </c>
      <c r="E158" t="s">
        <v>564</v>
      </c>
      <c r="F158" t="s">
        <v>580</v>
      </c>
      <c r="G158" t="s">
        <v>581</v>
      </c>
      <c r="H158">
        <v>0</v>
      </c>
      <c r="I158" t="s">
        <v>642</v>
      </c>
      <c r="J158" t="s">
        <v>797</v>
      </c>
      <c r="L158" t="s">
        <v>816</v>
      </c>
      <c r="N158" t="s">
        <v>820</v>
      </c>
      <c r="O158" t="s">
        <v>824</v>
      </c>
      <c r="P158" t="s">
        <v>828</v>
      </c>
      <c r="Q158">
        <v>78732</v>
      </c>
      <c r="S158" t="s">
        <v>861</v>
      </c>
      <c r="T158" t="s">
        <v>1014</v>
      </c>
      <c r="U158" t="s">
        <v>1423</v>
      </c>
      <c r="V158" t="s">
        <v>1678</v>
      </c>
      <c r="W158" t="s">
        <v>1684</v>
      </c>
      <c r="X158">
        <v>0.85</v>
      </c>
      <c r="Y158">
        <v>0</v>
      </c>
      <c r="Z158">
        <v>2</v>
      </c>
      <c r="AA158" t="s">
        <v>1692</v>
      </c>
      <c r="AB158" t="s">
        <v>1848</v>
      </c>
      <c r="AC158">
        <v>61</v>
      </c>
      <c r="AD158" t="s">
        <v>2171</v>
      </c>
      <c r="AH158" t="s">
        <v>2414</v>
      </c>
      <c r="AJ158" t="s">
        <v>2511</v>
      </c>
      <c r="AK158" t="s">
        <v>2514</v>
      </c>
      <c r="AL158" t="s">
        <v>2520</v>
      </c>
      <c r="AM158" t="s">
        <v>2523</v>
      </c>
      <c r="AR158">
        <v>1894739</v>
      </c>
    </row>
    <row r="159" spans="1:44">
      <c r="A159" s="1">
        <f>HYPERLINK("https://lsnyc.legalserver.org/matter/dynamic-profile/view/1894054","19-1894054")</f>
        <v>0</v>
      </c>
      <c r="B159" t="s">
        <v>201</v>
      </c>
      <c r="C159" t="s">
        <v>537</v>
      </c>
      <c r="D159" t="s">
        <v>545</v>
      </c>
      <c r="E159" t="s">
        <v>568</v>
      </c>
      <c r="F159" t="s">
        <v>581</v>
      </c>
      <c r="G159" t="s">
        <v>581</v>
      </c>
      <c r="H159">
        <v>0</v>
      </c>
      <c r="I159" t="s">
        <v>642</v>
      </c>
      <c r="J159" t="s">
        <v>612</v>
      </c>
      <c r="K159" t="s">
        <v>582</v>
      </c>
      <c r="L159" t="s">
        <v>816</v>
      </c>
      <c r="N159" t="s">
        <v>820</v>
      </c>
      <c r="O159" t="s">
        <v>824</v>
      </c>
      <c r="P159" t="s">
        <v>828</v>
      </c>
      <c r="Q159">
        <v>11435</v>
      </c>
      <c r="S159" t="s">
        <v>861</v>
      </c>
      <c r="T159" t="s">
        <v>1015</v>
      </c>
      <c r="U159" t="s">
        <v>1304</v>
      </c>
      <c r="V159" t="s">
        <v>1678</v>
      </c>
      <c r="W159" t="s">
        <v>1684</v>
      </c>
      <c r="X159">
        <v>15.12</v>
      </c>
      <c r="Y159">
        <v>0</v>
      </c>
      <c r="Z159">
        <v>1</v>
      </c>
      <c r="AA159" t="s">
        <v>1692</v>
      </c>
      <c r="AB159" t="s">
        <v>1849</v>
      </c>
      <c r="AC159">
        <v>35</v>
      </c>
      <c r="AD159" t="s">
        <v>2171</v>
      </c>
      <c r="AJ159" t="s">
        <v>2513</v>
      </c>
      <c r="AK159" t="s">
        <v>2514</v>
      </c>
      <c r="AM159" t="s">
        <v>2523</v>
      </c>
      <c r="AR159">
        <v>1894693</v>
      </c>
    </row>
    <row r="160" spans="1:44">
      <c r="A160" s="1">
        <f>HYPERLINK("https://lsnyc.legalserver.org/matter/dynamic-profile/view/1894129","19-1894129")</f>
        <v>0</v>
      </c>
      <c r="B160" t="s">
        <v>202</v>
      </c>
      <c r="C160" t="s">
        <v>537</v>
      </c>
      <c r="D160" t="s">
        <v>548</v>
      </c>
      <c r="E160" t="s">
        <v>568</v>
      </c>
      <c r="F160" t="s">
        <v>581</v>
      </c>
      <c r="G160" t="s">
        <v>581</v>
      </c>
      <c r="H160">
        <v>0</v>
      </c>
      <c r="I160" t="s">
        <v>642</v>
      </c>
      <c r="J160" t="s">
        <v>603</v>
      </c>
      <c r="K160" t="s">
        <v>582</v>
      </c>
      <c r="L160" t="s">
        <v>816</v>
      </c>
      <c r="N160" t="s">
        <v>820</v>
      </c>
      <c r="O160" t="s">
        <v>825</v>
      </c>
      <c r="P160" t="s">
        <v>828</v>
      </c>
      <c r="Q160">
        <v>11951</v>
      </c>
      <c r="S160" t="s">
        <v>861</v>
      </c>
      <c r="T160" t="s">
        <v>1016</v>
      </c>
      <c r="U160" t="s">
        <v>1424</v>
      </c>
      <c r="V160" t="s">
        <v>1678</v>
      </c>
      <c r="W160" t="s">
        <v>1684</v>
      </c>
      <c r="X160">
        <v>5.75</v>
      </c>
      <c r="Y160">
        <v>0</v>
      </c>
      <c r="Z160">
        <v>1</v>
      </c>
      <c r="AA160" t="s">
        <v>1692</v>
      </c>
      <c r="AB160" t="s">
        <v>1850</v>
      </c>
      <c r="AC160">
        <v>53</v>
      </c>
      <c r="AD160" t="s">
        <v>2171</v>
      </c>
      <c r="AJ160" t="s">
        <v>2511</v>
      </c>
      <c r="AK160" t="s">
        <v>2514</v>
      </c>
      <c r="AM160" t="s">
        <v>2523</v>
      </c>
      <c r="AR160">
        <v>1894768</v>
      </c>
    </row>
    <row r="161" spans="1:44">
      <c r="A161" s="1">
        <f>HYPERLINK("https://lsnyc.legalserver.org/matter/dynamic-profile/view/1893972","19-1893972")</f>
        <v>0</v>
      </c>
      <c r="B161" t="s">
        <v>203</v>
      </c>
      <c r="C161" t="s">
        <v>536</v>
      </c>
      <c r="D161" t="s">
        <v>544</v>
      </c>
      <c r="E161" t="s">
        <v>566</v>
      </c>
      <c r="F161" t="s">
        <v>580</v>
      </c>
      <c r="G161" t="s">
        <v>581</v>
      </c>
      <c r="H161">
        <v>0</v>
      </c>
      <c r="I161" t="s">
        <v>643</v>
      </c>
      <c r="J161" t="s">
        <v>643</v>
      </c>
      <c r="K161" t="s">
        <v>581</v>
      </c>
      <c r="L161" t="s">
        <v>816</v>
      </c>
      <c r="N161" t="s">
        <v>821</v>
      </c>
      <c r="O161" t="s">
        <v>825</v>
      </c>
      <c r="P161" t="s">
        <v>830</v>
      </c>
      <c r="Q161">
        <v>11210</v>
      </c>
      <c r="R161" t="s">
        <v>840</v>
      </c>
      <c r="S161" t="s">
        <v>861</v>
      </c>
      <c r="T161" t="s">
        <v>880</v>
      </c>
      <c r="U161" t="s">
        <v>1264</v>
      </c>
      <c r="V161" t="s">
        <v>1678</v>
      </c>
      <c r="W161" t="s">
        <v>1684</v>
      </c>
      <c r="X161">
        <v>0.55</v>
      </c>
      <c r="Y161">
        <v>1</v>
      </c>
      <c r="Z161">
        <v>2</v>
      </c>
      <c r="AA161" t="s">
        <v>1692</v>
      </c>
      <c r="AB161" t="s">
        <v>1851</v>
      </c>
      <c r="AC161">
        <v>41</v>
      </c>
      <c r="AD161" t="s">
        <v>2171</v>
      </c>
      <c r="AI161" t="s">
        <v>581</v>
      </c>
      <c r="AJ161" t="s">
        <v>2511</v>
      </c>
      <c r="AM161" t="s">
        <v>2523</v>
      </c>
      <c r="AR161">
        <v>1887436</v>
      </c>
    </row>
    <row r="162" spans="1:44">
      <c r="A162" s="1">
        <f>HYPERLINK("https://lsnyc.legalserver.org/matter/dynamic-profile/view/1893954","19-1893954")</f>
        <v>0</v>
      </c>
      <c r="B162" t="s">
        <v>204</v>
      </c>
      <c r="C162" t="s">
        <v>536</v>
      </c>
      <c r="D162" t="s">
        <v>544</v>
      </c>
      <c r="E162" t="s">
        <v>562</v>
      </c>
      <c r="F162" t="s">
        <v>580</v>
      </c>
      <c r="G162" t="s">
        <v>581</v>
      </c>
      <c r="H162">
        <v>38.91</v>
      </c>
      <c r="I162" t="s">
        <v>643</v>
      </c>
      <c r="J162" t="s">
        <v>623</v>
      </c>
      <c r="K162" t="s">
        <v>581</v>
      </c>
      <c r="L162" t="s">
        <v>816</v>
      </c>
      <c r="N162" t="s">
        <v>821</v>
      </c>
      <c r="O162" t="s">
        <v>824</v>
      </c>
      <c r="P162" t="s">
        <v>829</v>
      </c>
      <c r="Q162">
        <v>11230</v>
      </c>
      <c r="S162" t="s">
        <v>861</v>
      </c>
      <c r="T162" t="s">
        <v>1017</v>
      </c>
      <c r="U162" t="s">
        <v>1425</v>
      </c>
      <c r="V162" t="s">
        <v>1678</v>
      </c>
      <c r="W162" t="s">
        <v>1684</v>
      </c>
      <c r="X162">
        <v>1.6</v>
      </c>
      <c r="Y162">
        <v>0</v>
      </c>
      <c r="Z162">
        <v>1</v>
      </c>
      <c r="AA162" t="s">
        <v>1692</v>
      </c>
      <c r="AB162" t="s">
        <v>1852</v>
      </c>
      <c r="AC162">
        <v>68</v>
      </c>
      <c r="AD162" t="s">
        <v>2244</v>
      </c>
      <c r="AI162" t="s">
        <v>581</v>
      </c>
      <c r="AJ162" t="s">
        <v>2511</v>
      </c>
      <c r="AL162" t="s">
        <v>2520</v>
      </c>
      <c r="AM162" t="s">
        <v>2523</v>
      </c>
      <c r="AR162">
        <v>1893727</v>
      </c>
    </row>
    <row r="163" spans="1:44">
      <c r="A163" s="1">
        <f>HYPERLINK("https://lsnyc.legalserver.org/matter/dynamic-profile/view/1893884","19-1893884")</f>
        <v>0</v>
      </c>
      <c r="B163" t="s">
        <v>205</v>
      </c>
      <c r="C163" t="s">
        <v>537</v>
      </c>
      <c r="D163" t="s">
        <v>545</v>
      </c>
      <c r="E163" t="s">
        <v>568</v>
      </c>
      <c r="F163" t="s">
        <v>581</v>
      </c>
      <c r="G163" t="s">
        <v>581</v>
      </c>
      <c r="H163">
        <v>0</v>
      </c>
      <c r="I163" t="s">
        <v>643</v>
      </c>
      <c r="J163" t="s">
        <v>787</v>
      </c>
      <c r="K163" t="s">
        <v>582</v>
      </c>
      <c r="L163" t="s">
        <v>816</v>
      </c>
      <c r="N163" t="s">
        <v>820</v>
      </c>
      <c r="O163" t="s">
        <v>825</v>
      </c>
      <c r="P163" t="s">
        <v>828</v>
      </c>
      <c r="Q163">
        <v>11365</v>
      </c>
      <c r="S163" t="s">
        <v>861</v>
      </c>
      <c r="T163" t="s">
        <v>1018</v>
      </c>
      <c r="U163" t="s">
        <v>1426</v>
      </c>
      <c r="V163" t="s">
        <v>1678</v>
      </c>
      <c r="W163" t="s">
        <v>1684</v>
      </c>
      <c r="X163">
        <v>11.6</v>
      </c>
      <c r="Y163">
        <v>2</v>
      </c>
      <c r="Z163">
        <v>2</v>
      </c>
      <c r="AA163" t="s">
        <v>1692</v>
      </c>
      <c r="AB163" t="s">
        <v>1853</v>
      </c>
      <c r="AC163">
        <v>43</v>
      </c>
      <c r="AD163" t="s">
        <v>2171</v>
      </c>
      <c r="AI163" t="s">
        <v>582</v>
      </c>
      <c r="AJ163" t="s">
        <v>2512</v>
      </c>
      <c r="AK163" t="s">
        <v>2514</v>
      </c>
      <c r="AL163" t="s">
        <v>2519</v>
      </c>
      <c r="AM163" t="s">
        <v>2522</v>
      </c>
      <c r="AR163">
        <v>1894522</v>
      </c>
    </row>
    <row r="164" spans="1:44">
      <c r="A164" s="1">
        <f>HYPERLINK("https://lsnyc.legalserver.org/matter/dynamic-profile/view/1893880","19-1893880")</f>
        <v>0</v>
      </c>
      <c r="B164" t="s">
        <v>206</v>
      </c>
      <c r="C164" t="s">
        <v>535</v>
      </c>
      <c r="D164" t="s">
        <v>552</v>
      </c>
      <c r="E164" t="s">
        <v>561</v>
      </c>
      <c r="F164" t="s">
        <v>580</v>
      </c>
      <c r="G164" t="s">
        <v>581</v>
      </c>
      <c r="H164">
        <v>140.65</v>
      </c>
      <c r="I164" t="s">
        <v>643</v>
      </c>
      <c r="K164" t="s">
        <v>582</v>
      </c>
      <c r="L164" t="s">
        <v>816</v>
      </c>
      <c r="N164" t="s">
        <v>820</v>
      </c>
      <c r="O164" t="s">
        <v>824</v>
      </c>
      <c r="P164" t="s">
        <v>828</v>
      </c>
      <c r="Q164">
        <v>10606</v>
      </c>
      <c r="S164" t="s">
        <v>861</v>
      </c>
      <c r="T164" t="s">
        <v>877</v>
      </c>
      <c r="U164" t="s">
        <v>1427</v>
      </c>
      <c r="X164">
        <v>3.85</v>
      </c>
      <c r="Y164">
        <v>2</v>
      </c>
      <c r="Z164">
        <v>1</v>
      </c>
      <c r="AA164" t="s">
        <v>1691</v>
      </c>
      <c r="AB164" t="s">
        <v>1854</v>
      </c>
      <c r="AC164">
        <v>31</v>
      </c>
      <c r="AD164" t="s">
        <v>2193</v>
      </c>
      <c r="AJ164" t="s">
        <v>2511</v>
      </c>
      <c r="AM164" t="s">
        <v>2523</v>
      </c>
      <c r="AR164">
        <v>1894518</v>
      </c>
    </row>
    <row r="165" spans="1:44">
      <c r="A165" s="1">
        <f>HYPERLINK("https://lsnyc.legalserver.org/matter/dynamic-profile/view/1893939","19-1893939")</f>
        <v>0</v>
      </c>
      <c r="B165" t="s">
        <v>207</v>
      </c>
      <c r="C165" t="s">
        <v>535</v>
      </c>
      <c r="D165" t="s">
        <v>541</v>
      </c>
      <c r="E165" t="s">
        <v>561</v>
      </c>
      <c r="F165" t="s">
        <v>580</v>
      </c>
      <c r="G165" t="s">
        <v>581</v>
      </c>
      <c r="H165">
        <v>0</v>
      </c>
      <c r="I165" t="s">
        <v>643</v>
      </c>
      <c r="K165" t="s">
        <v>582</v>
      </c>
      <c r="L165" t="s">
        <v>816</v>
      </c>
      <c r="N165" t="s">
        <v>820</v>
      </c>
      <c r="O165" t="s">
        <v>824</v>
      </c>
      <c r="P165" t="s">
        <v>828</v>
      </c>
      <c r="Q165">
        <v>10009</v>
      </c>
      <c r="S165" t="s">
        <v>861</v>
      </c>
      <c r="T165" t="s">
        <v>1019</v>
      </c>
      <c r="U165" t="s">
        <v>1428</v>
      </c>
      <c r="X165">
        <v>2.75</v>
      </c>
      <c r="Y165">
        <v>0</v>
      </c>
      <c r="Z165">
        <v>1</v>
      </c>
      <c r="AA165" t="s">
        <v>1691</v>
      </c>
      <c r="AB165" t="s">
        <v>1855</v>
      </c>
      <c r="AC165">
        <v>46</v>
      </c>
      <c r="AD165" t="s">
        <v>2171</v>
      </c>
      <c r="AJ165" t="s">
        <v>2511</v>
      </c>
      <c r="AM165" t="s">
        <v>2523</v>
      </c>
      <c r="AR165">
        <v>1894577</v>
      </c>
    </row>
    <row r="166" spans="1:44">
      <c r="A166" s="1">
        <f>HYPERLINK("https://lsnyc.legalserver.org/matter/dynamic-profile/view/1893765","19-1893765")</f>
        <v>0</v>
      </c>
      <c r="B166" t="s">
        <v>208</v>
      </c>
      <c r="C166" t="s">
        <v>538</v>
      </c>
      <c r="D166" t="s">
        <v>542</v>
      </c>
      <c r="E166" t="s">
        <v>561</v>
      </c>
      <c r="F166" t="s">
        <v>580</v>
      </c>
      <c r="G166" t="s">
        <v>581</v>
      </c>
      <c r="H166">
        <v>11.14</v>
      </c>
      <c r="I166" t="s">
        <v>644</v>
      </c>
      <c r="J166" t="s">
        <v>588</v>
      </c>
      <c r="K166" t="s">
        <v>582</v>
      </c>
      <c r="L166" t="s">
        <v>816</v>
      </c>
      <c r="N166" t="s">
        <v>820</v>
      </c>
      <c r="O166" t="s">
        <v>824</v>
      </c>
      <c r="P166" t="s">
        <v>828</v>
      </c>
      <c r="Q166">
        <v>10310</v>
      </c>
      <c r="R166" t="s">
        <v>835</v>
      </c>
      <c r="S166" t="s">
        <v>861</v>
      </c>
      <c r="T166" t="s">
        <v>1020</v>
      </c>
      <c r="U166" t="s">
        <v>1429</v>
      </c>
      <c r="V166" t="s">
        <v>1678</v>
      </c>
      <c r="W166" t="s">
        <v>1684</v>
      </c>
      <c r="X166">
        <v>2.75</v>
      </c>
      <c r="Y166">
        <v>0</v>
      </c>
      <c r="Z166">
        <v>1</v>
      </c>
      <c r="AA166" t="s">
        <v>1692</v>
      </c>
      <c r="AB166" t="s">
        <v>1856</v>
      </c>
      <c r="AC166">
        <v>47</v>
      </c>
      <c r="AD166" t="s">
        <v>2245</v>
      </c>
      <c r="AI166" t="s">
        <v>581</v>
      </c>
      <c r="AJ166" t="s">
        <v>2511</v>
      </c>
      <c r="AL166" t="s">
        <v>2520</v>
      </c>
      <c r="AM166" t="s">
        <v>2523</v>
      </c>
      <c r="AR166">
        <v>1847650</v>
      </c>
    </row>
    <row r="167" spans="1:44">
      <c r="A167" s="1">
        <f>HYPERLINK("https://lsnyc.legalserver.org/matter/dynamic-profile/view/1893682","19-1893682")</f>
        <v>0</v>
      </c>
      <c r="B167" t="s">
        <v>209</v>
      </c>
      <c r="C167" t="s">
        <v>536</v>
      </c>
      <c r="D167" t="s">
        <v>544</v>
      </c>
      <c r="E167" t="s">
        <v>562</v>
      </c>
      <c r="F167" t="s">
        <v>580</v>
      </c>
      <c r="G167" t="s">
        <v>581</v>
      </c>
      <c r="H167">
        <v>30.29</v>
      </c>
      <c r="I167" t="s">
        <v>645</v>
      </c>
      <c r="J167" t="s">
        <v>616</v>
      </c>
      <c r="K167" t="s">
        <v>582</v>
      </c>
      <c r="L167" t="s">
        <v>816</v>
      </c>
      <c r="M167" t="s">
        <v>816</v>
      </c>
      <c r="N167" t="s">
        <v>821</v>
      </c>
      <c r="O167" t="s">
        <v>825</v>
      </c>
      <c r="P167" t="s">
        <v>833</v>
      </c>
      <c r="Q167">
        <v>11207</v>
      </c>
      <c r="S167" t="s">
        <v>863</v>
      </c>
      <c r="T167" t="s">
        <v>1021</v>
      </c>
      <c r="U167" t="s">
        <v>1334</v>
      </c>
      <c r="V167" t="s">
        <v>1678</v>
      </c>
      <c r="W167" t="s">
        <v>1684</v>
      </c>
      <c r="X167">
        <v>8.949999999999999</v>
      </c>
      <c r="Y167">
        <v>2</v>
      </c>
      <c r="Z167">
        <v>2</v>
      </c>
      <c r="AA167" t="s">
        <v>1692</v>
      </c>
      <c r="AB167" t="s">
        <v>1857</v>
      </c>
      <c r="AC167">
        <v>40</v>
      </c>
      <c r="AD167" t="s">
        <v>2246</v>
      </c>
      <c r="AH167" t="s">
        <v>2407</v>
      </c>
      <c r="AJ167" t="s">
        <v>2511</v>
      </c>
      <c r="AK167" t="s">
        <v>2514</v>
      </c>
      <c r="AL167" t="s">
        <v>2520</v>
      </c>
      <c r="AM167" t="s">
        <v>2523</v>
      </c>
      <c r="AR167">
        <v>1894320</v>
      </c>
    </row>
    <row r="168" spans="1:44">
      <c r="A168" s="1">
        <f>HYPERLINK("https://lsnyc.legalserver.org/matter/dynamic-profile/view/1893640","19-1893640")</f>
        <v>0</v>
      </c>
      <c r="B168" t="s">
        <v>210</v>
      </c>
      <c r="C168" t="s">
        <v>535</v>
      </c>
      <c r="D168" t="s">
        <v>543</v>
      </c>
      <c r="E168" t="s">
        <v>561</v>
      </c>
      <c r="F168" t="s">
        <v>580</v>
      </c>
      <c r="G168" t="s">
        <v>581</v>
      </c>
      <c r="H168">
        <v>0</v>
      </c>
      <c r="I168" t="s">
        <v>645</v>
      </c>
      <c r="J168" t="s">
        <v>588</v>
      </c>
      <c r="K168" t="s">
        <v>582</v>
      </c>
      <c r="L168" t="s">
        <v>816</v>
      </c>
      <c r="N168" t="s">
        <v>820</v>
      </c>
      <c r="O168" t="s">
        <v>825</v>
      </c>
      <c r="P168" t="s">
        <v>828</v>
      </c>
      <c r="Q168">
        <v>10469</v>
      </c>
      <c r="R168" t="s">
        <v>835</v>
      </c>
      <c r="S168" t="s">
        <v>861</v>
      </c>
      <c r="T168" t="s">
        <v>912</v>
      </c>
      <c r="U168" t="s">
        <v>1413</v>
      </c>
      <c r="V168" t="s">
        <v>1678</v>
      </c>
      <c r="W168" t="s">
        <v>1684</v>
      </c>
      <c r="X168">
        <v>7.95</v>
      </c>
      <c r="Y168">
        <v>0</v>
      </c>
      <c r="Z168">
        <v>1</v>
      </c>
      <c r="AA168" t="s">
        <v>1692</v>
      </c>
      <c r="AB168" t="s">
        <v>1858</v>
      </c>
      <c r="AC168">
        <v>37</v>
      </c>
      <c r="AD168" t="s">
        <v>2171</v>
      </c>
      <c r="AI168" t="s">
        <v>581</v>
      </c>
      <c r="AJ168" t="s">
        <v>2511</v>
      </c>
      <c r="AL168" t="s">
        <v>2520</v>
      </c>
      <c r="AM168" t="s">
        <v>2523</v>
      </c>
      <c r="AR168">
        <v>1894278</v>
      </c>
    </row>
    <row r="169" spans="1:44">
      <c r="A169" s="1">
        <f>HYPERLINK("https://lsnyc.legalserver.org/matter/dynamic-profile/view/1893669","19-1893669")</f>
        <v>0</v>
      </c>
      <c r="B169" t="s">
        <v>211</v>
      </c>
      <c r="C169" t="s">
        <v>535</v>
      </c>
      <c r="D169" t="s">
        <v>541</v>
      </c>
      <c r="E169" t="s">
        <v>563</v>
      </c>
      <c r="F169" t="s">
        <v>580</v>
      </c>
      <c r="G169" t="s">
        <v>581</v>
      </c>
      <c r="H169">
        <v>0</v>
      </c>
      <c r="I169" t="s">
        <v>645</v>
      </c>
      <c r="K169" t="s">
        <v>581</v>
      </c>
      <c r="L169" t="s">
        <v>816</v>
      </c>
      <c r="N169" t="s">
        <v>821</v>
      </c>
      <c r="O169" t="s">
        <v>824</v>
      </c>
      <c r="P169" t="s">
        <v>830</v>
      </c>
      <c r="Q169">
        <v>10030</v>
      </c>
      <c r="R169" t="s">
        <v>840</v>
      </c>
      <c r="S169" t="s">
        <v>861</v>
      </c>
      <c r="T169" t="s">
        <v>1022</v>
      </c>
      <c r="U169" t="s">
        <v>1430</v>
      </c>
      <c r="W169" t="s">
        <v>1684</v>
      </c>
      <c r="X169">
        <v>4.35</v>
      </c>
      <c r="Y169">
        <v>0</v>
      </c>
      <c r="Z169">
        <v>1</v>
      </c>
      <c r="AA169" t="s">
        <v>1691</v>
      </c>
      <c r="AB169" t="s">
        <v>1859</v>
      </c>
      <c r="AC169">
        <v>39</v>
      </c>
      <c r="AD169" t="s">
        <v>2171</v>
      </c>
      <c r="AH169" t="s">
        <v>2415</v>
      </c>
      <c r="AI169" t="s">
        <v>582</v>
      </c>
      <c r="AJ169" t="s">
        <v>2511</v>
      </c>
      <c r="AK169" t="s">
        <v>2514</v>
      </c>
      <c r="AL169" t="s">
        <v>2520</v>
      </c>
      <c r="AM169" t="s">
        <v>2523</v>
      </c>
      <c r="AR169">
        <v>1894307</v>
      </c>
    </row>
    <row r="170" spans="1:44">
      <c r="A170" s="1">
        <f>HYPERLINK("https://lsnyc.legalserver.org/matter/dynamic-profile/view/1893512","19-1893512")</f>
        <v>0</v>
      </c>
      <c r="B170" t="s">
        <v>212</v>
      </c>
      <c r="C170" t="s">
        <v>537</v>
      </c>
      <c r="D170" t="s">
        <v>545</v>
      </c>
      <c r="E170" t="s">
        <v>568</v>
      </c>
      <c r="F170" t="s">
        <v>581</v>
      </c>
      <c r="G170" t="s">
        <v>581</v>
      </c>
      <c r="H170">
        <v>0</v>
      </c>
      <c r="I170" t="s">
        <v>646</v>
      </c>
      <c r="J170" t="s">
        <v>798</v>
      </c>
      <c r="K170" t="s">
        <v>582</v>
      </c>
      <c r="L170" t="s">
        <v>816</v>
      </c>
      <c r="N170" t="s">
        <v>820</v>
      </c>
      <c r="O170" t="s">
        <v>824</v>
      </c>
      <c r="P170" t="s">
        <v>828</v>
      </c>
      <c r="Q170">
        <v>11004</v>
      </c>
      <c r="S170" t="s">
        <v>861</v>
      </c>
      <c r="T170" t="s">
        <v>1023</v>
      </c>
      <c r="U170" t="s">
        <v>1431</v>
      </c>
      <c r="V170" t="s">
        <v>1678</v>
      </c>
      <c r="W170" t="s">
        <v>1684</v>
      </c>
      <c r="X170">
        <v>1.35</v>
      </c>
      <c r="Y170">
        <v>0</v>
      </c>
      <c r="Z170">
        <v>1</v>
      </c>
      <c r="AA170" t="s">
        <v>1692</v>
      </c>
      <c r="AB170" t="s">
        <v>1860</v>
      </c>
      <c r="AC170">
        <v>60</v>
      </c>
      <c r="AD170" t="s">
        <v>2171</v>
      </c>
      <c r="AJ170" t="s">
        <v>2513</v>
      </c>
      <c r="AK170" t="s">
        <v>2514</v>
      </c>
      <c r="AM170" t="s">
        <v>2523</v>
      </c>
      <c r="AR170">
        <v>1894149</v>
      </c>
    </row>
    <row r="171" spans="1:44">
      <c r="A171" s="1">
        <f>HYPERLINK("https://lsnyc.legalserver.org/matter/dynamic-profile/view/1893475","19-1893475")</f>
        <v>0</v>
      </c>
      <c r="B171" t="s">
        <v>213</v>
      </c>
      <c r="C171" t="s">
        <v>535</v>
      </c>
      <c r="D171" t="s">
        <v>541</v>
      </c>
      <c r="E171" t="s">
        <v>561</v>
      </c>
      <c r="F171" t="s">
        <v>580</v>
      </c>
      <c r="G171" t="s">
        <v>581</v>
      </c>
      <c r="H171">
        <v>0</v>
      </c>
      <c r="I171" t="s">
        <v>646</v>
      </c>
      <c r="J171" t="s">
        <v>796</v>
      </c>
      <c r="K171" t="s">
        <v>582</v>
      </c>
      <c r="L171" t="s">
        <v>816</v>
      </c>
      <c r="N171" t="s">
        <v>820</v>
      </c>
      <c r="O171" t="s">
        <v>824</v>
      </c>
      <c r="P171" t="s">
        <v>828</v>
      </c>
      <c r="Q171">
        <v>10032</v>
      </c>
      <c r="R171" t="s">
        <v>835</v>
      </c>
      <c r="S171" t="s">
        <v>863</v>
      </c>
      <c r="T171" t="s">
        <v>1024</v>
      </c>
      <c r="U171" t="s">
        <v>1321</v>
      </c>
      <c r="V171" t="s">
        <v>1678</v>
      </c>
      <c r="W171" t="s">
        <v>1684</v>
      </c>
      <c r="X171">
        <v>2.85</v>
      </c>
      <c r="Y171">
        <v>0</v>
      </c>
      <c r="Z171">
        <v>1</v>
      </c>
      <c r="AA171" t="s">
        <v>1692</v>
      </c>
      <c r="AB171" t="s">
        <v>1861</v>
      </c>
      <c r="AC171">
        <v>40</v>
      </c>
      <c r="AD171" t="s">
        <v>2171</v>
      </c>
      <c r="AI171" t="s">
        <v>581</v>
      </c>
      <c r="AJ171" t="s">
        <v>2511</v>
      </c>
      <c r="AL171" t="s">
        <v>2520</v>
      </c>
      <c r="AM171" t="s">
        <v>2523</v>
      </c>
      <c r="AR171">
        <v>1894112</v>
      </c>
    </row>
    <row r="172" spans="1:44">
      <c r="A172" s="1">
        <f>HYPERLINK("https://lsnyc.legalserver.org/matter/dynamic-profile/view/1893307","19-1893307")</f>
        <v>0</v>
      </c>
      <c r="B172" t="s">
        <v>214</v>
      </c>
      <c r="C172" t="s">
        <v>536</v>
      </c>
      <c r="D172" t="s">
        <v>543</v>
      </c>
      <c r="E172" t="s">
        <v>564</v>
      </c>
      <c r="F172" t="s">
        <v>580</v>
      </c>
      <c r="G172" t="s">
        <v>581</v>
      </c>
      <c r="H172">
        <v>112.41</v>
      </c>
      <c r="I172" t="s">
        <v>647</v>
      </c>
      <c r="J172" t="s">
        <v>589</v>
      </c>
      <c r="L172" t="s">
        <v>816</v>
      </c>
      <c r="N172" t="s">
        <v>821</v>
      </c>
      <c r="O172" t="s">
        <v>825</v>
      </c>
      <c r="P172" t="s">
        <v>830</v>
      </c>
      <c r="Q172">
        <v>10474</v>
      </c>
      <c r="S172" t="s">
        <v>861</v>
      </c>
      <c r="T172" t="s">
        <v>1025</v>
      </c>
      <c r="U172" t="s">
        <v>1432</v>
      </c>
      <c r="V172" t="s">
        <v>1681</v>
      </c>
      <c r="W172" t="s">
        <v>1686</v>
      </c>
      <c r="X172">
        <v>13.95</v>
      </c>
      <c r="Y172">
        <v>0</v>
      </c>
      <c r="Z172">
        <v>1</v>
      </c>
      <c r="AA172" t="s">
        <v>1692</v>
      </c>
      <c r="AB172" t="s">
        <v>1862</v>
      </c>
      <c r="AC172">
        <v>59</v>
      </c>
      <c r="AD172" t="s">
        <v>2247</v>
      </c>
      <c r="AH172" t="s">
        <v>2359</v>
      </c>
      <c r="AI172" t="s">
        <v>582</v>
      </c>
      <c r="AJ172" t="s">
        <v>2512</v>
      </c>
      <c r="AK172" t="s">
        <v>2517</v>
      </c>
      <c r="AL172" t="s">
        <v>2521</v>
      </c>
      <c r="AM172" t="s">
        <v>2526</v>
      </c>
      <c r="AR172">
        <v>183719</v>
      </c>
    </row>
    <row r="173" spans="1:44">
      <c r="A173" s="1">
        <f>HYPERLINK("https://lsnyc.legalserver.org/matter/dynamic-profile/view/1893297","19-1893297")</f>
        <v>0</v>
      </c>
      <c r="B173" t="s">
        <v>215</v>
      </c>
      <c r="C173" t="s">
        <v>535</v>
      </c>
      <c r="D173" t="s">
        <v>543</v>
      </c>
      <c r="E173" t="s">
        <v>561</v>
      </c>
      <c r="F173" t="s">
        <v>580</v>
      </c>
      <c r="G173" t="s">
        <v>581</v>
      </c>
      <c r="H173">
        <v>41.63</v>
      </c>
      <c r="I173" t="s">
        <v>647</v>
      </c>
      <c r="K173" t="s">
        <v>582</v>
      </c>
      <c r="L173" t="s">
        <v>816</v>
      </c>
      <c r="N173" t="s">
        <v>820</v>
      </c>
      <c r="O173" t="s">
        <v>825</v>
      </c>
      <c r="P173" t="s">
        <v>828</v>
      </c>
      <c r="Q173">
        <v>10458</v>
      </c>
      <c r="S173" t="s">
        <v>861</v>
      </c>
      <c r="T173" t="s">
        <v>1026</v>
      </c>
      <c r="U173" t="s">
        <v>1433</v>
      </c>
      <c r="W173" t="s">
        <v>1685</v>
      </c>
      <c r="X173">
        <v>30.05</v>
      </c>
      <c r="Y173">
        <v>0</v>
      </c>
      <c r="Z173">
        <v>1</v>
      </c>
      <c r="AA173" t="s">
        <v>1691</v>
      </c>
      <c r="AB173" t="s">
        <v>1863</v>
      </c>
      <c r="AC173">
        <v>28</v>
      </c>
      <c r="AD173" t="s">
        <v>2248</v>
      </c>
      <c r="AI173" t="s">
        <v>582</v>
      </c>
      <c r="AJ173" t="s">
        <v>2512</v>
      </c>
      <c r="AL173" t="s">
        <v>2521</v>
      </c>
      <c r="AM173" t="s">
        <v>2525</v>
      </c>
      <c r="AR173">
        <v>1893934</v>
      </c>
    </row>
    <row r="174" spans="1:44">
      <c r="A174" s="1">
        <f>HYPERLINK("https://lsnyc.legalserver.org/matter/dynamic-profile/view/1893157","19-1893157")</f>
        <v>0</v>
      </c>
      <c r="B174" t="s">
        <v>216</v>
      </c>
      <c r="C174" t="s">
        <v>536</v>
      </c>
      <c r="D174" t="s">
        <v>544</v>
      </c>
      <c r="E174" t="s">
        <v>564</v>
      </c>
      <c r="F174" t="s">
        <v>580</v>
      </c>
      <c r="G174" t="s">
        <v>581</v>
      </c>
      <c r="H174">
        <v>0</v>
      </c>
      <c r="I174" t="s">
        <v>648</v>
      </c>
      <c r="J174" t="s">
        <v>648</v>
      </c>
      <c r="L174" t="s">
        <v>816</v>
      </c>
      <c r="N174" t="s">
        <v>821</v>
      </c>
      <c r="O174" t="s">
        <v>824</v>
      </c>
      <c r="P174" t="s">
        <v>830</v>
      </c>
      <c r="Q174">
        <v>11203</v>
      </c>
      <c r="S174" t="s">
        <v>861</v>
      </c>
      <c r="T174" t="s">
        <v>1027</v>
      </c>
      <c r="U174" t="s">
        <v>1211</v>
      </c>
      <c r="V174" t="s">
        <v>1679</v>
      </c>
      <c r="W174" t="s">
        <v>1684</v>
      </c>
      <c r="X174">
        <v>0.5</v>
      </c>
      <c r="Y174">
        <v>0</v>
      </c>
      <c r="Z174">
        <v>4</v>
      </c>
      <c r="AA174" t="s">
        <v>1692</v>
      </c>
      <c r="AB174" t="s">
        <v>1864</v>
      </c>
      <c r="AC174">
        <v>31</v>
      </c>
      <c r="AD174" t="s">
        <v>2171</v>
      </c>
      <c r="AH174" t="s">
        <v>2365</v>
      </c>
      <c r="AJ174" t="s">
        <v>2511</v>
      </c>
      <c r="AK174" t="s">
        <v>2514</v>
      </c>
      <c r="AL174" t="s">
        <v>2520</v>
      </c>
      <c r="AM174" t="s">
        <v>2523</v>
      </c>
      <c r="AR174">
        <v>1893793</v>
      </c>
    </row>
    <row r="175" spans="1:44">
      <c r="A175" s="1">
        <f>HYPERLINK("https://lsnyc.legalserver.org/matter/dynamic-profile/view/1893158","19-1893158")</f>
        <v>0</v>
      </c>
      <c r="B175" t="s">
        <v>217</v>
      </c>
      <c r="C175" t="s">
        <v>536</v>
      </c>
      <c r="D175" t="s">
        <v>544</v>
      </c>
      <c r="E175" t="s">
        <v>562</v>
      </c>
      <c r="F175" t="s">
        <v>580</v>
      </c>
      <c r="G175" t="s">
        <v>581</v>
      </c>
      <c r="H175">
        <v>93.54000000000001</v>
      </c>
      <c r="I175" t="s">
        <v>648</v>
      </c>
      <c r="J175" t="s">
        <v>632</v>
      </c>
      <c r="K175" t="s">
        <v>582</v>
      </c>
      <c r="L175" t="s">
        <v>816</v>
      </c>
      <c r="N175" t="s">
        <v>821</v>
      </c>
      <c r="O175" t="s">
        <v>825</v>
      </c>
      <c r="P175" t="s">
        <v>829</v>
      </c>
      <c r="Q175">
        <v>11234</v>
      </c>
      <c r="S175" t="s">
        <v>861</v>
      </c>
      <c r="T175" t="s">
        <v>899</v>
      </c>
      <c r="U175" t="s">
        <v>1434</v>
      </c>
      <c r="V175" t="s">
        <v>1678</v>
      </c>
      <c r="W175" t="s">
        <v>1687</v>
      </c>
      <c r="X175">
        <v>1.84</v>
      </c>
      <c r="Y175">
        <v>0</v>
      </c>
      <c r="Z175">
        <v>1</v>
      </c>
      <c r="AA175" t="s">
        <v>1692</v>
      </c>
      <c r="AB175" t="s">
        <v>1865</v>
      </c>
      <c r="AC175">
        <v>22</v>
      </c>
      <c r="AD175" t="s">
        <v>2249</v>
      </c>
      <c r="AI175" t="s">
        <v>581</v>
      </c>
      <c r="AJ175" t="s">
        <v>2511</v>
      </c>
      <c r="AL175" t="s">
        <v>2520</v>
      </c>
      <c r="AM175" t="s">
        <v>2523</v>
      </c>
      <c r="AR175">
        <v>1893794</v>
      </c>
    </row>
    <row r="176" spans="1:44">
      <c r="A176" s="1">
        <f>HYPERLINK("https://lsnyc.legalserver.org/matter/dynamic-profile/view/1893174","19-1893174")</f>
        <v>0</v>
      </c>
      <c r="B176" t="s">
        <v>218</v>
      </c>
      <c r="C176" t="s">
        <v>536</v>
      </c>
      <c r="D176" t="s">
        <v>544</v>
      </c>
      <c r="E176" t="s">
        <v>562</v>
      </c>
      <c r="F176" t="s">
        <v>580</v>
      </c>
      <c r="G176" t="s">
        <v>581</v>
      </c>
      <c r="H176">
        <v>18.64</v>
      </c>
      <c r="I176" t="s">
        <v>648</v>
      </c>
      <c r="J176" t="s">
        <v>616</v>
      </c>
      <c r="K176" t="s">
        <v>582</v>
      </c>
      <c r="L176" t="s">
        <v>816</v>
      </c>
      <c r="N176" t="s">
        <v>821</v>
      </c>
      <c r="O176" t="s">
        <v>825</v>
      </c>
      <c r="P176" t="s">
        <v>833</v>
      </c>
      <c r="Q176">
        <v>11203</v>
      </c>
      <c r="R176" t="s">
        <v>847</v>
      </c>
      <c r="S176" t="s">
        <v>861</v>
      </c>
      <c r="T176" t="s">
        <v>1028</v>
      </c>
      <c r="U176" t="s">
        <v>1435</v>
      </c>
      <c r="V176" t="s">
        <v>1682</v>
      </c>
      <c r="W176" t="s">
        <v>1685</v>
      </c>
      <c r="X176">
        <v>20.5</v>
      </c>
      <c r="Y176">
        <v>2</v>
      </c>
      <c r="Z176">
        <v>2</v>
      </c>
      <c r="AA176" t="s">
        <v>1692</v>
      </c>
      <c r="AB176" t="s">
        <v>1866</v>
      </c>
      <c r="AC176">
        <v>38</v>
      </c>
      <c r="AD176" t="s">
        <v>2230</v>
      </c>
      <c r="AH176" t="s">
        <v>2410</v>
      </c>
      <c r="AI176" t="s">
        <v>582</v>
      </c>
      <c r="AJ176" t="s">
        <v>2511</v>
      </c>
      <c r="AK176" t="s">
        <v>2518</v>
      </c>
      <c r="AL176" t="s">
        <v>2521</v>
      </c>
      <c r="AM176" t="s">
        <v>2526</v>
      </c>
      <c r="AR176">
        <v>1852987</v>
      </c>
    </row>
    <row r="177" spans="1:44">
      <c r="A177" s="1">
        <f>HYPERLINK("https://lsnyc.legalserver.org/matter/dynamic-profile/view/1893241","19-1893241")</f>
        <v>0</v>
      </c>
      <c r="B177" t="s">
        <v>219</v>
      </c>
      <c r="C177" t="s">
        <v>535</v>
      </c>
      <c r="D177" t="s">
        <v>541</v>
      </c>
      <c r="E177" t="s">
        <v>561</v>
      </c>
      <c r="F177" t="s">
        <v>580</v>
      </c>
      <c r="G177" t="s">
        <v>581</v>
      </c>
      <c r="H177">
        <v>0</v>
      </c>
      <c r="I177" t="s">
        <v>648</v>
      </c>
      <c r="J177" t="s">
        <v>799</v>
      </c>
      <c r="K177" t="s">
        <v>582</v>
      </c>
      <c r="L177" t="s">
        <v>816</v>
      </c>
      <c r="N177" t="s">
        <v>820</v>
      </c>
      <c r="O177" t="s">
        <v>825</v>
      </c>
      <c r="P177" t="s">
        <v>828</v>
      </c>
      <c r="Q177">
        <v>10040</v>
      </c>
      <c r="S177" t="s">
        <v>861</v>
      </c>
      <c r="T177" t="s">
        <v>899</v>
      </c>
      <c r="U177" t="s">
        <v>1436</v>
      </c>
      <c r="V177" t="s">
        <v>1678</v>
      </c>
      <c r="W177" t="s">
        <v>1684</v>
      </c>
      <c r="X177">
        <v>7.25</v>
      </c>
      <c r="Y177">
        <v>0</v>
      </c>
      <c r="Z177">
        <v>1</v>
      </c>
      <c r="AA177" t="s">
        <v>1692</v>
      </c>
      <c r="AB177" t="s">
        <v>1867</v>
      </c>
      <c r="AC177">
        <v>30</v>
      </c>
      <c r="AD177" t="s">
        <v>2171</v>
      </c>
      <c r="AG177" t="s">
        <v>2363</v>
      </c>
      <c r="AH177" t="s">
        <v>2416</v>
      </c>
      <c r="AI177" t="s">
        <v>582</v>
      </c>
      <c r="AJ177" t="s">
        <v>2511</v>
      </c>
      <c r="AK177" t="s">
        <v>2514</v>
      </c>
      <c r="AL177" t="s">
        <v>2519</v>
      </c>
      <c r="AM177" t="s">
        <v>2522</v>
      </c>
      <c r="AR177">
        <v>1893877</v>
      </c>
    </row>
    <row r="178" spans="1:44">
      <c r="A178" s="1">
        <f>HYPERLINK("https://lsnyc.legalserver.org/matter/dynamic-profile/view/1893182","19-1893182")</f>
        <v>0</v>
      </c>
      <c r="B178" t="s">
        <v>220</v>
      </c>
      <c r="C178" t="s">
        <v>537</v>
      </c>
      <c r="D178" t="s">
        <v>545</v>
      </c>
      <c r="E178" t="s">
        <v>568</v>
      </c>
      <c r="F178" t="s">
        <v>581</v>
      </c>
      <c r="G178" t="s">
        <v>581</v>
      </c>
      <c r="H178">
        <v>80.61</v>
      </c>
      <c r="I178" t="s">
        <v>648</v>
      </c>
      <c r="J178" t="s">
        <v>791</v>
      </c>
      <c r="K178" t="s">
        <v>582</v>
      </c>
      <c r="L178" t="s">
        <v>816</v>
      </c>
      <c r="N178" t="s">
        <v>820</v>
      </c>
      <c r="O178" t="s">
        <v>825</v>
      </c>
      <c r="P178" t="s">
        <v>828</v>
      </c>
      <c r="Q178">
        <v>11414</v>
      </c>
      <c r="S178" t="s">
        <v>861</v>
      </c>
      <c r="T178" t="s">
        <v>1029</v>
      </c>
      <c r="U178" t="s">
        <v>1329</v>
      </c>
      <c r="V178" t="s">
        <v>1678</v>
      </c>
      <c r="W178" t="s">
        <v>1684</v>
      </c>
      <c r="X178">
        <v>6.25</v>
      </c>
      <c r="Y178">
        <v>0</v>
      </c>
      <c r="Z178">
        <v>1</v>
      </c>
      <c r="AA178" t="s">
        <v>1692</v>
      </c>
      <c r="AB178" t="s">
        <v>1868</v>
      </c>
      <c r="AC178">
        <v>58</v>
      </c>
      <c r="AD178" t="s">
        <v>2250</v>
      </c>
      <c r="AI178" t="s">
        <v>581</v>
      </c>
      <c r="AJ178" t="s">
        <v>2511</v>
      </c>
      <c r="AK178" t="s">
        <v>2514</v>
      </c>
      <c r="AL178" t="s">
        <v>2520</v>
      </c>
      <c r="AM178" t="s">
        <v>2523</v>
      </c>
      <c r="AR178">
        <v>1893818</v>
      </c>
    </row>
    <row r="179" spans="1:44">
      <c r="A179" s="1">
        <f>HYPERLINK("https://lsnyc.legalserver.org/matter/dynamic-profile/view/1893156","19-1893156")</f>
        <v>0</v>
      </c>
      <c r="B179" t="s">
        <v>221</v>
      </c>
      <c r="C179" t="s">
        <v>535</v>
      </c>
      <c r="D179" t="s">
        <v>541</v>
      </c>
      <c r="E179" t="s">
        <v>561</v>
      </c>
      <c r="F179" t="s">
        <v>580</v>
      </c>
      <c r="G179" t="s">
        <v>581</v>
      </c>
      <c r="H179">
        <v>0</v>
      </c>
      <c r="I179" t="s">
        <v>648</v>
      </c>
      <c r="K179" t="s">
        <v>582</v>
      </c>
      <c r="L179" t="s">
        <v>816</v>
      </c>
      <c r="N179" t="s">
        <v>820</v>
      </c>
      <c r="O179" t="s">
        <v>825</v>
      </c>
      <c r="P179" t="s">
        <v>828</v>
      </c>
      <c r="Q179">
        <v>10027</v>
      </c>
      <c r="R179" t="s">
        <v>835</v>
      </c>
      <c r="S179" t="s">
        <v>861</v>
      </c>
      <c r="T179" t="s">
        <v>1030</v>
      </c>
      <c r="U179" t="s">
        <v>1437</v>
      </c>
      <c r="W179" t="s">
        <v>1684</v>
      </c>
      <c r="X179">
        <v>9</v>
      </c>
      <c r="Y179">
        <v>0</v>
      </c>
      <c r="Z179">
        <v>1</v>
      </c>
      <c r="AA179" t="s">
        <v>1691</v>
      </c>
      <c r="AB179" t="s">
        <v>1869</v>
      </c>
      <c r="AC179">
        <v>64</v>
      </c>
      <c r="AD179" t="s">
        <v>2171</v>
      </c>
      <c r="AI179" t="s">
        <v>582</v>
      </c>
      <c r="AJ179" t="s">
        <v>2511</v>
      </c>
      <c r="AM179" t="s">
        <v>2523</v>
      </c>
      <c r="AR179">
        <v>1893792</v>
      </c>
    </row>
    <row r="180" spans="1:44">
      <c r="A180" s="1">
        <f>HYPERLINK("https://lsnyc.legalserver.org/matter/dynamic-profile/view/1893221","19-1893221")</f>
        <v>0</v>
      </c>
      <c r="B180" t="s">
        <v>222</v>
      </c>
      <c r="C180" t="s">
        <v>535</v>
      </c>
      <c r="D180" t="s">
        <v>541</v>
      </c>
      <c r="E180" t="s">
        <v>561</v>
      </c>
      <c r="F180" t="s">
        <v>580</v>
      </c>
      <c r="G180" t="s">
        <v>581</v>
      </c>
      <c r="H180">
        <v>149.88</v>
      </c>
      <c r="I180" t="s">
        <v>648</v>
      </c>
      <c r="K180" t="s">
        <v>582</v>
      </c>
      <c r="L180" t="s">
        <v>816</v>
      </c>
      <c r="N180" t="s">
        <v>820</v>
      </c>
      <c r="O180" t="s">
        <v>824</v>
      </c>
      <c r="P180" t="s">
        <v>828</v>
      </c>
      <c r="Q180">
        <v>10026</v>
      </c>
      <c r="S180" t="s">
        <v>861</v>
      </c>
      <c r="T180" t="s">
        <v>1031</v>
      </c>
      <c r="U180" t="s">
        <v>1438</v>
      </c>
      <c r="X180">
        <v>0.95</v>
      </c>
      <c r="Y180">
        <v>0</v>
      </c>
      <c r="Z180">
        <v>1</v>
      </c>
      <c r="AA180" t="s">
        <v>1691</v>
      </c>
      <c r="AB180" t="s">
        <v>1870</v>
      </c>
      <c r="AC180">
        <v>55</v>
      </c>
      <c r="AD180" t="s">
        <v>2251</v>
      </c>
      <c r="AJ180" t="s">
        <v>2511</v>
      </c>
      <c r="AM180" t="s">
        <v>2523</v>
      </c>
      <c r="AR180">
        <v>1893857</v>
      </c>
    </row>
    <row r="181" spans="1:44">
      <c r="A181" s="1">
        <f>HYPERLINK("https://lsnyc.legalserver.org/matter/dynamic-profile/view/1893017","19-1893017")</f>
        <v>0</v>
      </c>
      <c r="B181" t="s">
        <v>223</v>
      </c>
      <c r="C181" t="s">
        <v>536</v>
      </c>
      <c r="D181" t="s">
        <v>544</v>
      </c>
      <c r="E181" t="s">
        <v>562</v>
      </c>
      <c r="F181" t="s">
        <v>580</v>
      </c>
      <c r="G181" t="s">
        <v>581</v>
      </c>
      <c r="H181">
        <v>82.43000000000001</v>
      </c>
      <c r="I181" t="s">
        <v>649</v>
      </c>
      <c r="J181" t="s">
        <v>627</v>
      </c>
      <c r="K181" t="s">
        <v>581</v>
      </c>
      <c r="L181" t="s">
        <v>816</v>
      </c>
      <c r="N181" t="s">
        <v>821</v>
      </c>
      <c r="O181" t="s">
        <v>824</v>
      </c>
      <c r="P181" t="s">
        <v>833</v>
      </c>
      <c r="Q181">
        <v>11216</v>
      </c>
      <c r="S181" t="s">
        <v>861</v>
      </c>
      <c r="T181" t="s">
        <v>1032</v>
      </c>
      <c r="U181" t="s">
        <v>1402</v>
      </c>
      <c r="V181" t="s">
        <v>1678</v>
      </c>
      <c r="W181" t="s">
        <v>1684</v>
      </c>
      <c r="X181">
        <v>6</v>
      </c>
      <c r="Y181">
        <v>0</v>
      </c>
      <c r="Z181">
        <v>1</v>
      </c>
      <c r="AA181" t="s">
        <v>1692</v>
      </c>
      <c r="AB181" t="s">
        <v>1871</v>
      </c>
      <c r="AC181">
        <v>50</v>
      </c>
      <c r="AD181" t="s">
        <v>2252</v>
      </c>
      <c r="AI181" t="s">
        <v>581</v>
      </c>
      <c r="AJ181" t="s">
        <v>2511</v>
      </c>
      <c r="AL181" t="s">
        <v>2520</v>
      </c>
      <c r="AM181" t="s">
        <v>2523</v>
      </c>
      <c r="AR181">
        <v>1893653</v>
      </c>
    </row>
    <row r="182" spans="1:44">
      <c r="A182" s="1">
        <f>HYPERLINK("https://lsnyc.legalserver.org/matter/dynamic-profile/view/1893004","19-1893004")</f>
        <v>0</v>
      </c>
      <c r="B182" t="s">
        <v>224</v>
      </c>
      <c r="C182" t="s">
        <v>537</v>
      </c>
      <c r="D182" t="s">
        <v>545</v>
      </c>
      <c r="E182" t="s">
        <v>568</v>
      </c>
      <c r="F182" t="s">
        <v>581</v>
      </c>
      <c r="G182" t="s">
        <v>581</v>
      </c>
      <c r="H182">
        <v>165.73</v>
      </c>
      <c r="I182" t="s">
        <v>649</v>
      </c>
      <c r="J182" t="s">
        <v>602</v>
      </c>
      <c r="K182" t="s">
        <v>582</v>
      </c>
      <c r="L182" t="s">
        <v>816</v>
      </c>
      <c r="N182" t="s">
        <v>820</v>
      </c>
      <c r="O182" t="s">
        <v>825</v>
      </c>
      <c r="P182" t="s">
        <v>828</v>
      </c>
      <c r="Q182">
        <v>11365</v>
      </c>
      <c r="S182" t="s">
        <v>861</v>
      </c>
      <c r="T182" t="s">
        <v>1033</v>
      </c>
      <c r="U182" t="s">
        <v>1439</v>
      </c>
      <c r="V182" t="s">
        <v>1678</v>
      </c>
      <c r="W182" t="s">
        <v>1684</v>
      </c>
      <c r="X182">
        <v>5.25</v>
      </c>
      <c r="Y182">
        <v>2</v>
      </c>
      <c r="Z182">
        <v>3</v>
      </c>
      <c r="AA182" t="s">
        <v>1692</v>
      </c>
      <c r="AB182" t="s">
        <v>1872</v>
      </c>
      <c r="AC182">
        <v>55</v>
      </c>
      <c r="AD182" t="s">
        <v>2253</v>
      </c>
      <c r="AJ182" t="s">
        <v>2511</v>
      </c>
      <c r="AK182" t="s">
        <v>2514</v>
      </c>
      <c r="AM182" t="s">
        <v>2523</v>
      </c>
      <c r="AR182">
        <v>1893640</v>
      </c>
    </row>
    <row r="183" spans="1:44">
      <c r="A183" s="1">
        <f>HYPERLINK("https://lsnyc.legalserver.org/matter/dynamic-profile/view/1893005","19-1893005")</f>
        <v>0</v>
      </c>
      <c r="B183" t="s">
        <v>225</v>
      </c>
      <c r="C183" t="s">
        <v>535</v>
      </c>
      <c r="D183" t="s">
        <v>553</v>
      </c>
      <c r="E183" t="s">
        <v>561</v>
      </c>
      <c r="F183" t="s">
        <v>580</v>
      </c>
      <c r="G183" t="s">
        <v>581</v>
      </c>
      <c r="H183">
        <v>0</v>
      </c>
      <c r="I183" t="s">
        <v>649</v>
      </c>
      <c r="K183" t="s">
        <v>582</v>
      </c>
      <c r="L183" t="s">
        <v>816</v>
      </c>
      <c r="N183" t="s">
        <v>820</v>
      </c>
      <c r="O183" t="s">
        <v>824</v>
      </c>
      <c r="P183" t="s">
        <v>828</v>
      </c>
      <c r="Q183">
        <v>751</v>
      </c>
      <c r="S183" t="s">
        <v>861</v>
      </c>
      <c r="T183" t="s">
        <v>1034</v>
      </c>
      <c r="U183" t="s">
        <v>1281</v>
      </c>
      <c r="X183">
        <v>1.35</v>
      </c>
      <c r="Y183">
        <v>0</v>
      </c>
      <c r="Z183">
        <v>1</v>
      </c>
      <c r="AA183" t="s">
        <v>1691</v>
      </c>
      <c r="AB183" t="s">
        <v>1873</v>
      </c>
      <c r="AC183">
        <v>47</v>
      </c>
      <c r="AD183" t="s">
        <v>2171</v>
      </c>
      <c r="AJ183" t="s">
        <v>2511</v>
      </c>
      <c r="AM183" t="s">
        <v>2523</v>
      </c>
      <c r="AR183">
        <v>1893641</v>
      </c>
    </row>
    <row r="184" spans="1:44">
      <c r="A184" s="1">
        <f>HYPERLINK("https://lsnyc.legalserver.org/matter/dynamic-profile/view/1892909","19-1892909")</f>
        <v>0</v>
      </c>
      <c r="B184" t="s">
        <v>226</v>
      </c>
      <c r="C184" t="s">
        <v>539</v>
      </c>
      <c r="D184" t="s">
        <v>543</v>
      </c>
      <c r="E184" t="s">
        <v>571</v>
      </c>
      <c r="F184" t="s">
        <v>580</v>
      </c>
      <c r="G184" t="s">
        <v>581</v>
      </c>
      <c r="H184">
        <v>72.06</v>
      </c>
      <c r="I184" t="s">
        <v>650</v>
      </c>
      <c r="J184" t="s">
        <v>591</v>
      </c>
      <c r="K184" t="s">
        <v>581</v>
      </c>
      <c r="L184" t="s">
        <v>817</v>
      </c>
      <c r="M184" t="s">
        <v>816</v>
      </c>
      <c r="N184" t="s">
        <v>821</v>
      </c>
      <c r="O184" t="s">
        <v>824</v>
      </c>
      <c r="P184" t="s">
        <v>833</v>
      </c>
      <c r="Q184">
        <v>10463</v>
      </c>
      <c r="S184" t="s">
        <v>861</v>
      </c>
      <c r="T184" t="s">
        <v>1035</v>
      </c>
      <c r="U184" t="s">
        <v>1440</v>
      </c>
      <c r="V184" t="s">
        <v>1678</v>
      </c>
      <c r="X184">
        <v>2.1</v>
      </c>
      <c r="Y184">
        <v>0</v>
      </c>
      <c r="Z184">
        <v>1</v>
      </c>
      <c r="AA184" t="s">
        <v>1692</v>
      </c>
      <c r="AB184" t="s">
        <v>1874</v>
      </c>
      <c r="AC184">
        <v>63</v>
      </c>
      <c r="AD184" t="s">
        <v>2254</v>
      </c>
      <c r="AH184" t="s">
        <v>2359</v>
      </c>
      <c r="AJ184" t="s">
        <v>2511</v>
      </c>
      <c r="AK184" t="s">
        <v>2514</v>
      </c>
      <c r="AM184" t="s">
        <v>2523</v>
      </c>
      <c r="AR184">
        <v>1893545</v>
      </c>
    </row>
    <row r="185" spans="1:44">
      <c r="A185" s="1">
        <f>HYPERLINK("https://lsnyc.legalserver.org/matter/dynamic-profile/view/1892894","19-1892894")</f>
        <v>0</v>
      </c>
      <c r="B185" t="s">
        <v>227</v>
      </c>
      <c r="C185" t="s">
        <v>535</v>
      </c>
      <c r="D185" t="s">
        <v>543</v>
      </c>
      <c r="E185" t="s">
        <v>561</v>
      </c>
      <c r="F185" t="s">
        <v>580</v>
      </c>
      <c r="G185" t="s">
        <v>581</v>
      </c>
      <c r="H185">
        <v>0</v>
      </c>
      <c r="I185" t="s">
        <v>650</v>
      </c>
      <c r="J185" t="s">
        <v>588</v>
      </c>
      <c r="K185" t="s">
        <v>582</v>
      </c>
      <c r="L185" t="s">
        <v>816</v>
      </c>
      <c r="N185" t="s">
        <v>820</v>
      </c>
      <c r="O185" t="s">
        <v>825</v>
      </c>
      <c r="P185" t="s">
        <v>828</v>
      </c>
      <c r="Q185">
        <v>10457</v>
      </c>
      <c r="S185" t="s">
        <v>863</v>
      </c>
      <c r="T185" t="s">
        <v>904</v>
      </c>
      <c r="U185" t="s">
        <v>1441</v>
      </c>
      <c r="V185" t="s">
        <v>1678</v>
      </c>
      <c r="X185">
        <v>11.05</v>
      </c>
      <c r="Y185">
        <v>0</v>
      </c>
      <c r="Z185">
        <v>1</v>
      </c>
      <c r="AA185" t="s">
        <v>1692</v>
      </c>
      <c r="AB185" t="s">
        <v>1875</v>
      </c>
      <c r="AC185">
        <v>37</v>
      </c>
      <c r="AD185" t="s">
        <v>2171</v>
      </c>
      <c r="AI185" t="s">
        <v>582</v>
      </c>
      <c r="AJ185" t="s">
        <v>2512</v>
      </c>
      <c r="AL185" t="s">
        <v>2519</v>
      </c>
      <c r="AM185" t="s">
        <v>2522</v>
      </c>
      <c r="AR185">
        <v>1893530</v>
      </c>
    </row>
    <row r="186" spans="1:44">
      <c r="A186" s="1">
        <f>HYPERLINK("https://lsnyc.legalserver.org/matter/dynamic-profile/view/1892725","19-1892725")</f>
        <v>0</v>
      </c>
      <c r="B186" t="s">
        <v>228</v>
      </c>
      <c r="C186" t="s">
        <v>539</v>
      </c>
      <c r="D186" t="s">
        <v>545</v>
      </c>
      <c r="E186" t="s">
        <v>571</v>
      </c>
      <c r="F186" t="s">
        <v>580</v>
      </c>
      <c r="G186" t="s">
        <v>581</v>
      </c>
      <c r="H186">
        <v>99.06999999999999</v>
      </c>
      <c r="I186" t="s">
        <v>651</v>
      </c>
      <c r="J186" t="s">
        <v>633</v>
      </c>
      <c r="K186" t="s">
        <v>581</v>
      </c>
      <c r="L186" t="s">
        <v>816</v>
      </c>
      <c r="N186" t="s">
        <v>821</v>
      </c>
      <c r="O186" t="s">
        <v>824</v>
      </c>
      <c r="P186" t="s">
        <v>833</v>
      </c>
      <c r="Q186">
        <v>11354</v>
      </c>
      <c r="R186" t="s">
        <v>845</v>
      </c>
      <c r="S186" t="s">
        <v>868</v>
      </c>
      <c r="T186" t="s">
        <v>1036</v>
      </c>
      <c r="U186" t="s">
        <v>1442</v>
      </c>
      <c r="V186" t="s">
        <v>1678</v>
      </c>
      <c r="W186" t="s">
        <v>1684</v>
      </c>
      <c r="X186">
        <v>3.8</v>
      </c>
      <c r="Y186">
        <v>0</v>
      </c>
      <c r="Z186">
        <v>2</v>
      </c>
      <c r="AA186" t="s">
        <v>1692</v>
      </c>
      <c r="AB186" t="s">
        <v>1876</v>
      </c>
      <c r="AC186">
        <v>62</v>
      </c>
      <c r="AD186" t="s">
        <v>2255</v>
      </c>
      <c r="AH186" t="s">
        <v>2417</v>
      </c>
      <c r="AJ186" t="s">
        <v>2511</v>
      </c>
      <c r="AK186" t="s">
        <v>2514</v>
      </c>
      <c r="AM186" t="s">
        <v>2523</v>
      </c>
      <c r="AR186">
        <v>1893361</v>
      </c>
    </row>
    <row r="187" spans="1:44">
      <c r="A187" s="1">
        <f>HYPERLINK("https://lsnyc.legalserver.org/matter/dynamic-profile/view/1892529","19-1892529")</f>
        <v>0</v>
      </c>
      <c r="B187" t="s">
        <v>229</v>
      </c>
      <c r="C187" t="s">
        <v>536</v>
      </c>
      <c r="D187" t="s">
        <v>542</v>
      </c>
      <c r="E187" t="s">
        <v>564</v>
      </c>
      <c r="F187" t="s">
        <v>580</v>
      </c>
      <c r="G187" t="s">
        <v>581</v>
      </c>
      <c r="H187">
        <v>134.51</v>
      </c>
      <c r="I187" t="s">
        <v>652</v>
      </c>
      <c r="J187" t="s">
        <v>792</v>
      </c>
      <c r="L187" t="s">
        <v>816</v>
      </c>
      <c r="N187" t="s">
        <v>820</v>
      </c>
      <c r="O187" t="s">
        <v>825</v>
      </c>
      <c r="P187" t="s">
        <v>828</v>
      </c>
      <c r="Q187">
        <v>10314</v>
      </c>
      <c r="S187" t="s">
        <v>861</v>
      </c>
      <c r="T187" t="s">
        <v>1037</v>
      </c>
      <c r="U187" t="s">
        <v>1443</v>
      </c>
      <c r="V187" t="s">
        <v>1681</v>
      </c>
      <c r="W187" t="s">
        <v>1685</v>
      </c>
      <c r="X187">
        <v>13.25</v>
      </c>
      <c r="Y187">
        <v>0</v>
      </c>
      <c r="Z187">
        <v>1</v>
      </c>
      <c r="AA187" t="s">
        <v>1692</v>
      </c>
      <c r="AB187" t="s">
        <v>1877</v>
      </c>
      <c r="AC187">
        <v>34</v>
      </c>
      <c r="AD187" t="s">
        <v>2256</v>
      </c>
      <c r="AG187" t="s">
        <v>2364</v>
      </c>
      <c r="AH187" t="s">
        <v>2373</v>
      </c>
      <c r="AI187" t="s">
        <v>582</v>
      </c>
      <c r="AJ187" t="s">
        <v>2512</v>
      </c>
      <c r="AK187" t="s">
        <v>2516</v>
      </c>
      <c r="AL187" t="s">
        <v>2521</v>
      </c>
      <c r="AM187" t="s">
        <v>2525</v>
      </c>
      <c r="AO187" t="s">
        <v>2528</v>
      </c>
      <c r="AR187">
        <v>1863567</v>
      </c>
    </row>
    <row r="188" spans="1:44">
      <c r="A188" s="1">
        <f>HYPERLINK("https://lsnyc.legalserver.org/matter/dynamic-profile/view/1892582","19-1892582")</f>
        <v>0</v>
      </c>
      <c r="B188" t="s">
        <v>230</v>
      </c>
      <c r="C188" t="s">
        <v>535</v>
      </c>
      <c r="D188" t="s">
        <v>541</v>
      </c>
      <c r="E188" t="s">
        <v>561</v>
      </c>
      <c r="F188" t="s">
        <v>580</v>
      </c>
      <c r="G188" t="s">
        <v>581</v>
      </c>
      <c r="H188">
        <v>29.37</v>
      </c>
      <c r="I188" t="s">
        <v>652</v>
      </c>
      <c r="K188" t="s">
        <v>582</v>
      </c>
      <c r="L188" t="s">
        <v>816</v>
      </c>
      <c r="N188" t="s">
        <v>820</v>
      </c>
      <c r="O188" t="s">
        <v>824</v>
      </c>
      <c r="P188" t="s">
        <v>828</v>
      </c>
      <c r="Q188">
        <v>10032</v>
      </c>
      <c r="R188" t="s">
        <v>835</v>
      </c>
      <c r="S188" t="s">
        <v>861</v>
      </c>
      <c r="T188" t="s">
        <v>1038</v>
      </c>
      <c r="U188" t="s">
        <v>1444</v>
      </c>
      <c r="W188" t="s">
        <v>1684</v>
      </c>
      <c r="X188">
        <v>24.45</v>
      </c>
      <c r="Y188">
        <v>1</v>
      </c>
      <c r="Z188">
        <v>1</v>
      </c>
      <c r="AA188" t="s">
        <v>1691</v>
      </c>
      <c r="AB188" t="s">
        <v>1878</v>
      </c>
      <c r="AC188">
        <v>32</v>
      </c>
      <c r="AD188" t="s">
        <v>2257</v>
      </c>
      <c r="AH188" t="s">
        <v>2418</v>
      </c>
      <c r="AI188" t="s">
        <v>582</v>
      </c>
      <c r="AJ188" t="s">
        <v>2512</v>
      </c>
      <c r="AK188" t="s">
        <v>2514</v>
      </c>
      <c r="AL188" t="s">
        <v>2519</v>
      </c>
      <c r="AM188" t="s">
        <v>2522</v>
      </c>
      <c r="AR188">
        <v>1893218</v>
      </c>
    </row>
    <row r="189" spans="1:44">
      <c r="A189" s="1">
        <f>HYPERLINK("https://lsnyc.legalserver.org/matter/dynamic-profile/view/1892374","19-1892374")</f>
        <v>0</v>
      </c>
      <c r="B189" t="s">
        <v>231</v>
      </c>
      <c r="C189" t="s">
        <v>535</v>
      </c>
      <c r="D189" t="s">
        <v>541</v>
      </c>
      <c r="E189" t="s">
        <v>561</v>
      </c>
      <c r="F189" t="s">
        <v>580</v>
      </c>
      <c r="G189" t="s">
        <v>581</v>
      </c>
      <c r="H189">
        <v>0</v>
      </c>
      <c r="I189" t="s">
        <v>653</v>
      </c>
      <c r="K189" t="s">
        <v>582</v>
      </c>
      <c r="L189" t="s">
        <v>816</v>
      </c>
      <c r="N189" t="s">
        <v>821</v>
      </c>
      <c r="O189" t="s">
        <v>825</v>
      </c>
      <c r="P189" t="s">
        <v>833</v>
      </c>
      <c r="Q189">
        <v>10031</v>
      </c>
      <c r="S189" t="s">
        <v>861</v>
      </c>
      <c r="T189" t="s">
        <v>899</v>
      </c>
      <c r="U189" t="s">
        <v>1445</v>
      </c>
      <c r="X189">
        <v>1.05</v>
      </c>
      <c r="Y189">
        <v>0</v>
      </c>
      <c r="Z189">
        <v>1</v>
      </c>
      <c r="AA189" t="s">
        <v>1691</v>
      </c>
      <c r="AB189" t="s">
        <v>1879</v>
      </c>
      <c r="AC189">
        <v>39</v>
      </c>
      <c r="AD189" t="s">
        <v>2171</v>
      </c>
      <c r="AJ189" t="s">
        <v>2511</v>
      </c>
      <c r="AM189" t="s">
        <v>2523</v>
      </c>
      <c r="AR189">
        <v>1893000</v>
      </c>
    </row>
    <row r="190" spans="1:44">
      <c r="A190" s="1">
        <f>HYPERLINK("https://lsnyc.legalserver.org/matter/dynamic-profile/view/1892263","19-1892263")</f>
        <v>0</v>
      </c>
      <c r="B190" t="s">
        <v>232</v>
      </c>
      <c r="C190" t="s">
        <v>535</v>
      </c>
      <c r="D190" t="s">
        <v>554</v>
      </c>
      <c r="E190" t="s">
        <v>563</v>
      </c>
      <c r="F190" t="s">
        <v>580</v>
      </c>
      <c r="G190" t="s">
        <v>581</v>
      </c>
      <c r="H190">
        <v>16.65</v>
      </c>
      <c r="I190" t="s">
        <v>654</v>
      </c>
      <c r="J190" t="s">
        <v>637</v>
      </c>
      <c r="K190" t="s">
        <v>581</v>
      </c>
      <c r="L190" t="s">
        <v>816</v>
      </c>
      <c r="N190" t="s">
        <v>820</v>
      </c>
      <c r="O190" t="s">
        <v>824</v>
      </c>
      <c r="P190" t="s">
        <v>828</v>
      </c>
      <c r="Q190">
        <v>60617</v>
      </c>
      <c r="S190" t="s">
        <v>861</v>
      </c>
      <c r="T190" t="s">
        <v>1039</v>
      </c>
      <c r="U190" t="s">
        <v>1446</v>
      </c>
      <c r="V190" t="s">
        <v>1678</v>
      </c>
      <c r="W190" t="s">
        <v>1687</v>
      </c>
      <c r="X190">
        <v>4.5</v>
      </c>
      <c r="Y190">
        <v>0</v>
      </c>
      <c r="Z190">
        <v>1</v>
      </c>
      <c r="AA190" t="s">
        <v>1692</v>
      </c>
      <c r="AB190" t="s">
        <v>1880</v>
      </c>
      <c r="AC190">
        <v>26</v>
      </c>
      <c r="AD190" t="s">
        <v>2258</v>
      </c>
      <c r="AH190" t="s">
        <v>2414</v>
      </c>
      <c r="AI190" t="s">
        <v>582</v>
      </c>
      <c r="AJ190" t="s">
        <v>2512</v>
      </c>
      <c r="AK190" t="s">
        <v>2514</v>
      </c>
      <c r="AM190" t="s">
        <v>2522</v>
      </c>
      <c r="AR190">
        <v>1892899</v>
      </c>
    </row>
    <row r="191" spans="1:44">
      <c r="A191" s="1">
        <f>HYPERLINK("https://lsnyc.legalserver.org/matter/dynamic-profile/view/1892286","19-1892286")</f>
        <v>0</v>
      </c>
      <c r="B191" t="s">
        <v>233</v>
      </c>
      <c r="C191" t="s">
        <v>535</v>
      </c>
      <c r="D191" t="s">
        <v>541</v>
      </c>
      <c r="E191" t="s">
        <v>563</v>
      </c>
      <c r="F191" t="s">
        <v>580</v>
      </c>
      <c r="G191" t="s">
        <v>581</v>
      </c>
      <c r="H191">
        <v>103.89</v>
      </c>
      <c r="I191" t="s">
        <v>654</v>
      </c>
      <c r="L191" t="s">
        <v>816</v>
      </c>
      <c r="N191" t="s">
        <v>821</v>
      </c>
      <c r="O191" t="s">
        <v>825</v>
      </c>
      <c r="P191" t="s">
        <v>829</v>
      </c>
      <c r="Q191">
        <v>10031</v>
      </c>
      <c r="R191" t="s">
        <v>838</v>
      </c>
      <c r="S191" t="s">
        <v>863</v>
      </c>
      <c r="T191" t="s">
        <v>1040</v>
      </c>
      <c r="U191" t="s">
        <v>1447</v>
      </c>
      <c r="W191" t="s">
        <v>1688</v>
      </c>
      <c r="X191">
        <v>125.39</v>
      </c>
      <c r="Y191">
        <v>1</v>
      </c>
      <c r="Z191">
        <v>2</v>
      </c>
      <c r="AA191" t="s">
        <v>1691</v>
      </c>
      <c r="AB191" t="s">
        <v>1881</v>
      </c>
      <c r="AC191">
        <v>70</v>
      </c>
      <c r="AD191" t="s">
        <v>2259</v>
      </c>
      <c r="AH191" t="s">
        <v>2419</v>
      </c>
      <c r="AI191" t="s">
        <v>582</v>
      </c>
      <c r="AJ191" t="s">
        <v>2512</v>
      </c>
      <c r="AK191" t="s">
        <v>2518</v>
      </c>
      <c r="AL191" t="s">
        <v>2521</v>
      </c>
      <c r="AM191" t="s">
        <v>2524</v>
      </c>
      <c r="AR191">
        <v>1863546</v>
      </c>
    </row>
    <row r="192" spans="1:44">
      <c r="A192" s="1">
        <f>HYPERLINK("https://lsnyc.legalserver.org/matter/dynamic-profile/view/1892078","19-1892078")</f>
        <v>0</v>
      </c>
      <c r="B192" t="s">
        <v>234</v>
      </c>
      <c r="C192" t="s">
        <v>536</v>
      </c>
      <c r="D192" t="s">
        <v>545</v>
      </c>
      <c r="E192" t="s">
        <v>564</v>
      </c>
      <c r="F192" t="s">
        <v>580</v>
      </c>
      <c r="G192" t="s">
        <v>581</v>
      </c>
      <c r="H192">
        <v>0</v>
      </c>
      <c r="I192" t="s">
        <v>655</v>
      </c>
      <c r="J192" t="s">
        <v>797</v>
      </c>
      <c r="K192" t="s">
        <v>581</v>
      </c>
      <c r="L192" t="s">
        <v>816</v>
      </c>
      <c r="N192" t="s">
        <v>820</v>
      </c>
      <c r="O192" t="s">
        <v>825</v>
      </c>
      <c r="P192" t="s">
        <v>828</v>
      </c>
      <c r="Q192">
        <v>30046</v>
      </c>
      <c r="S192" t="s">
        <v>861</v>
      </c>
      <c r="T192" t="s">
        <v>1041</v>
      </c>
      <c r="U192" t="s">
        <v>1448</v>
      </c>
      <c r="V192" t="s">
        <v>1681</v>
      </c>
      <c r="W192" t="s">
        <v>1685</v>
      </c>
      <c r="X192">
        <v>9.050000000000001</v>
      </c>
      <c r="Y192">
        <v>0</v>
      </c>
      <c r="Z192">
        <v>1</v>
      </c>
      <c r="AA192" t="s">
        <v>1692</v>
      </c>
      <c r="AB192" t="s">
        <v>1882</v>
      </c>
      <c r="AC192">
        <v>34</v>
      </c>
      <c r="AD192" t="s">
        <v>2171</v>
      </c>
      <c r="AG192" t="s">
        <v>2365</v>
      </c>
      <c r="AH192" t="s">
        <v>2365</v>
      </c>
      <c r="AI192" t="s">
        <v>582</v>
      </c>
      <c r="AJ192" t="s">
        <v>2512</v>
      </c>
      <c r="AK192" t="s">
        <v>2516</v>
      </c>
      <c r="AL192" t="s">
        <v>2521</v>
      </c>
      <c r="AM192" t="s">
        <v>2525</v>
      </c>
      <c r="AO192" t="s">
        <v>2528</v>
      </c>
      <c r="AR192">
        <v>1892714</v>
      </c>
    </row>
    <row r="193" spans="1:44">
      <c r="A193" s="1">
        <f>HYPERLINK("https://lsnyc.legalserver.org/matter/dynamic-profile/view/1892096","19-1892096")</f>
        <v>0</v>
      </c>
      <c r="B193" t="s">
        <v>235</v>
      </c>
      <c r="C193" t="s">
        <v>536</v>
      </c>
      <c r="D193" t="s">
        <v>544</v>
      </c>
      <c r="E193" t="s">
        <v>562</v>
      </c>
      <c r="F193" t="s">
        <v>580</v>
      </c>
      <c r="G193" t="s">
        <v>581</v>
      </c>
      <c r="H193">
        <v>199.88</v>
      </c>
      <c r="I193" t="s">
        <v>655</v>
      </c>
      <c r="J193" t="s">
        <v>797</v>
      </c>
      <c r="K193" t="s">
        <v>582</v>
      </c>
      <c r="L193" t="s">
        <v>816</v>
      </c>
      <c r="N193" t="s">
        <v>821</v>
      </c>
      <c r="O193" t="s">
        <v>825</v>
      </c>
      <c r="P193" t="s">
        <v>833</v>
      </c>
      <c r="Q193">
        <v>11214</v>
      </c>
      <c r="S193" t="s">
        <v>864</v>
      </c>
      <c r="T193" t="s">
        <v>1042</v>
      </c>
      <c r="U193" t="s">
        <v>1449</v>
      </c>
      <c r="V193" t="s">
        <v>1678</v>
      </c>
      <c r="W193" t="s">
        <v>1684</v>
      </c>
      <c r="X193">
        <v>2.7</v>
      </c>
      <c r="Y193">
        <v>0</v>
      </c>
      <c r="Z193">
        <v>2</v>
      </c>
      <c r="AA193" t="s">
        <v>1692</v>
      </c>
      <c r="AB193" t="s">
        <v>1883</v>
      </c>
      <c r="AC193">
        <v>36</v>
      </c>
      <c r="AD193" t="s">
        <v>2260</v>
      </c>
      <c r="AI193" t="s">
        <v>581</v>
      </c>
      <c r="AJ193" t="s">
        <v>2511</v>
      </c>
      <c r="AL193" t="s">
        <v>2520</v>
      </c>
      <c r="AM193" t="s">
        <v>2523</v>
      </c>
      <c r="AR193">
        <v>1892732</v>
      </c>
    </row>
    <row r="194" spans="1:44">
      <c r="A194" s="1">
        <f>HYPERLINK("https://lsnyc.legalserver.org/matter/dynamic-profile/view/1892097","19-1892097")</f>
        <v>0</v>
      </c>
      <c r="B194" t="s">
        <v>236</v>
      </c>
      <c r="C194" t="s">
        <v>537</v>
      </c>
      <c r="D194" t="s">
        <v>545</v>
      </c>
      <c r="E194" t="s">
        <v>568</v>
      </c>
      <c r="F194" t="s">
        <v>581</v>
      </c>
      <c r="G194" t="s">
        <v>581</v>
      </c>
      <c r="H194">
        <v>0</v>
      </c>
      <c r="I194" t="s">
        <v>655</v>
      </c>
      <c r="J194" t="s">
        <v>615</v>
      </c>
      <c r="K194" t="s">
        <v>582</v>
      </c>
      <c r="L194" t="s">
        <v>816</v>
      </c>
      <c r="N194" t="s">
        <v>820</v>
      </c>
      <c r="O194" t="s">
        <v>825</v>
      </c>
      <c r="P194" t="s">
        <v>828</v>
      </c>
      <c r="Q194">
        <v>11103</v>
      </c>
      <c r="S194" t="s">
        <v>861</v>
      </c>
      <c r="T194" t="s">
        <v>899</v>
      </c>
      <c r="U194" t="s">
        <v>1450</v>
      </c>
      <c r="V194" t="s">
        <v>1678</v>
      </c>
      <c r="W194" t="s">
        <v>1684</v>
      </c>
      <c r="X194">
        <v>4.25</v>
      </c>
      <c r="Y194">
        <v>0</v>
      </c>
      <c r="Z194">
        <v>1</v>
      </c>
      <c r="AA194" t="s">
        <v>1692</v>
      </c>
      <c r="AB194" t="s">
        <v>1884</v>
      </c>
      <c r="AC194">
        <v>49</v>
      </c>
      <c r="AD194" t="s">
        <v>2171</v>
      </c>
      <c r="AH194" t="s">
        <v>2420</v>
      </c>
      <c r="AJ194" t="s">
        <v>2513</v>
      </c>
      <c r="AK194" t="s">
        <v>2514</v>
      </c>
      <c r="AM194" t="s">
        <v>2523</v>
      </c>
      <c r="AR194">
        <v>1892733</v>
      </c>
    </row>
    <row r="195" spans="1:44">
      <c r="A195" s="1">
        <f>HYPERLINK("https://lsnyc.legalserver.org/matter/dynamic-profile/view/1892125","19-1892125")</f>
        <v>0</v>
      </c>
      <c r="B195" t="s">
        <v>237</v>
      </c>
      <c r="C195" t="s">
        <v>535</v>
      </c>
      <c r="D195" t="s">
        <v>541</v>
      </c>
      <c r="E195" t="s">
        <v>563</v>
      </c>
      <c r="F195" t="s">
        <v>580</v>
      </c>
      <c r="G195" t="s">
        <v>581</v>
      </c>
      <c r="H195">
        <v>0</v>
      </c>
      <c r="I195" t="s">
        <v>655</v>
      </c>
      <c r="J195" t="s">
        <v>798</v>
      </c>
      <c r="K195" t="s">
        <v>581</v>
      </c>
      <c r="L195" t="s">
        <v>816</v>
      </c>
      <c r="N195" t="s">
        <v>821</v>
      </c>
      <c r="O195" t="s">
        <v>827</v>
      </c>
      <c r="P195" t="s">
        <v>829</v>
      </c>
      <c r="Q195">
        <v>10031</v>
      </c>
      <c r="R195" t="s">
        <v>849</v>
      </c>
      <c r="S195" t="s">
        <v>861</v>
      </c>
      <c r="T195" t="s">
        <v>1043</v>
      </c>
      <c r="U195" t="s">
        <v>1391</v>
      </c>
      <c r="V195" t="s">
        <v>1678</v>
      </c>
      <c r="W195" t="s">
        <v>1687</v>
      </c>
      <c r="X195">
        <v>2.7</v>
      </c>
      <c r="Y195">
        <v>0</v>
      </c>
      <c r="Z195">
        <v>1</v>
      </c>
      <c r="AA195" t="s">
        <v>1692</v>
      </c>
      <c r="AB195" t="s">
        <v>1885</v>
      </c>
      <c r="AC195">
        <v>39</v>
      </c>
      <c r="AD195" t="s">
        <v>2171</v>
      </c>
      <c r="AH195" t="s">
        <v>2404</v>
      </c>
      <c r="AI195" t="s">
        <v>582</v>
      </c>
      <c r="AJ195" t="s">
        <v>2512</v>
      </c>
      <c r="AK195" t="s">
        <v>2514</v>
      </c>
      <c r="AL195" t="s">
        <v>2519</v>
      </c>
      <c r="AM195" t="s">
        <v>2522</v>
      </c>
      <c r="AP195" t="s">
        <v>581</v>
      </c>
      <c r="AR195">
        <v>1892761</v>
      </c>
    </row>
    <row r="196" spans="1:44">
      <c r="A196" s="1">
        <f>HYPERLINK("https://lsnyc.legalserver.org/matter/dynamic-profile/view/1891898","19-1891898")</f>
        <v>0</v>
      </c>
      <c r="B196" t="s">
        <v>238</v>
      </c>
      <c r="C196" t="s">
        <v>537</v>
      </c>
      <c r="D196" t="s">
        <v>545</v>
      </c>
      <c r="E196" t="s">
        <v>568</v>
      </c>
      <c r="F196" t="s">
        <v>581</v>
      </c>
      <c r="G196" t="s">
        <v>581</v>
      </c>
      <c r="H196">
        <v>0</v>
      </c>
      <c r="I196" t="s">
        <v>656</v>
      </c>
      <c r="J196" t="s">
        <v>618</v>
      </c>
      <c r="K196" t="s">
        <v>582</v>
      </c>
      <c r="L196" t="s">
        <v>816</v>
      </c>
      <c r="N196" t="s">
        <v>820</v>
      </c>
      <c r="O196" t="s">
        <v>825</v>
      </c>
      <c r="P196" t="s">
        <v>828</v>
      </c>
      <c r="Q196">
        <v>11369</v>
      </c>
      <c r="S196" t="s">
        <v>861</v>
      </c>
      <c r="T196" t="s">
        <v>1044</v>
      </c>
      <c r="U196" t="s">
        <v>1451</v>
      </c>
      <c r="V196" t="s">
        <v>1678</v>
      </c>
      <c r="W196" t="s">
        <v>1684</v>
      </c>
      <c r="X196">
        <v>6</v>
      </c>
      <c r="Y196">
        <v>0</v>
      </c>
      <c r="Z196">
        <v>1</v>
      </c>
      <c r="AA196" t="s">
        <v>1692</v>
      </c>
      <c r="AB196" t="s">
        <v>1886</v>
      </c>
      <c r="AC196">
        <v>31</v>
      </c>
      <c r="AD196" t="s">
        <v>2171</v>
      </c>
      <c r="AI196" t="s">
        <v>582</v>
      </c>
      <c r="AJ196" t="s">
        <v>2511</v>
      </c>
      <c r="AK196" t="s">
        <v>2514</v>
      </c>
      <c r="AL196" t="s">
        <v>2519</v>
      </c>
      <c r="AM196" t="s">
        <v>2523</v>
      </c>
      <c r="AR196">
        <v>1892534</v>
      </c>
    </row>
    <row r="197" spans="1:44">
      <c r="A197" s="1">
        <f>HYPERLINK("https://lsnyc.legalserver.org/matter/dynamic-profile/view/1891760","19-1891760")</f>
        <v>0</v>
      </c>
      <c r="B197" t="s">
        <v>239</v>
      </c>
      <c r="C197" t="s">
        <v>536</v>
      </c>
      <c r="D197" t="s">
        <v>544</v>
      </c>
      <c r="E197" t="s">
        <v>562</v>
      </c>
      <c r="F197" t="s">
        <v>580</v>
      </c>
      <c r="G197" t="s">
        <v>581</v>
      </c>
      <c r="H197">
        <v>96.08</v>
      </c>
      <c r="I197" t="s">
        <v>657</v>
      </c>
      <c r="J197" t="s">
        <v>628</v>
      </c>
      <c r="K197" t="s">
        <v>581</v>
      </c>
      <c r="L197" t="s">
        <v>816</v>
      </c>
      <c r="N197" t="s">
        <v>821</v>
      </c>
      <c r="O197" t="s">
        <v>824</v>
      </c>
      <c r="P197" t="s">
        <v>833</v>
      </c>
      <c r="Q197">
        <v>11215</v>
      </c>
      <c r="S197" t="s">
        <v>861</v>
      </c>
      <c r="T197" t="s">
        <v>1045</v>
      </c>
      <c r="U197" t="s">
        <v>1404</v>
      </c>
      <c r="V197" t="s">
        <v>1678</v>
      </c>
      <c r="W197" t="s">
        <v>1684</v>
      </c>
      <c r="X197">
        <v>1.7</v>
      </c>
      <c r="Y197">
        <v>0</v>
      </c>
      <c r="Z197">
        <v>1</v>
      </c>
      <c r="AA197" t="s">
        <v>1692</v>
      </c>
      <c r="AB197" t="s">
        <v>1887</v>
      </c>
      <c r="AC197">
        <v>61</v>
      </c>
      <c r="AD197" t="s">
        <v>2173</v>
      </c>
      <c r="AH197" t="s">
        <v>2411</v>
      </c>
      <c r="AJ197" t="s">
        <v>2511</v>
      </c>
      <c r="AL197" t="s">
        <v>2520</v>
      </c>
      <c r="AM197" t="s">
        <v>2523</v>
      </c>
      <c r="AR197">
        <v>1892396</v>
      </c>
    </row>
    <row r="198" spans="1:44">
      <c r="A198" s="1">
        <f>HYPERLINK("https://lsnyc.legalserver.org/matter/dynamic-profile/view/1891821","19-1891821")</f>
        <v>0</v>
      </c>
      <c r="B198" t="s">
        <v>240</v>
      </c>
      <c r="C198" t="s">
        <v>536</v>
      </c>
      <c r="D198" t="s">
        <v>544</v>
      </c>
      <c r="E198" t="s">
        <v>562</v>
      </c>
      <c r="F198" t="s">
        <v>580</v>
      </c>
      <c r="G198" t="s">
        <v>581</v>
      </c>
      <c r="H198">
        <v>0</v>
      </c>
      <c r="I198" t="s">
        <v>657</v>
      </c>
      <c r="J198" t="s">
        <v>604</v>
      </c>
      <c r="K198" t="s">
        <v>581</v>
      </c>
      <c r="L198" t="s">
        <v>816</v>
      </c>
      <c r="N198" t="s">
        <v>821</v>
      </c>
      <c r="O198" t="s">
        <v>824</v>
      </c>
      <c r="P198" t="s">
        <v>833</v>
      </c>
      <c r="Q198">
        <v>11207</v>
      </c>
      <c r="S198" t="s">
        <v>861</v>
      </c>
      <c r="T198" t="s">
        <v>1046</v>
      </c>
      <c r="U198" t="s">
        <v>1452</v>
      </c>
      <c r="V198" t="s">
        <v>1678</v>
      </c>
      <c r="W198" t="s">
        <v>1684</v>
      </c>
      <c r="X198">
        <v>0.9</v>
      </c>
      <c r="Y198">
        <v>0</v>
      </c>
      <c r="Z198">
        <v>1</v>
      </c>
      <c r="AA198" t="s">
        <v>1692</v>
      </c>
      <c r="AB198" t="s">
        <v>1888</v>
      </c>
      <c r="AC198">
        <v>47</v>
      </c>
      <c r="AD198" t="s">
        <v>2171</v>
      </c>
      <c r="AI198" t="s">
        <v>581</v>
      </c>
      <c r="AJ198" t="s">
        <v>2511</v>
      </c>
      <c r="AL198" t="s">
        <v>2520</v>
      </c>
      <c r="AM198" t="s">
        <v>2523</v>
      </c>
      <c r="AR198">
        <v>1892457</v>
      </c>
    </row>
    <row r="199" spans="1:44">
      <c r="A199" s="1">
        <f>HYPERLINK("https://lsnyc.legalserver.org/matter/dynamic-profile/view/1891574","19-1891574")</f>
        <v>0</v>
      </c>
      <c r="B199" t="s">
        <v>241</v>
      </c>
      <c r="C199" t="s">
        <v>536</v>
      </c>
      <c r="D199" t="s">
        <v>544</v>
      </c>
      <c r="E199" t="s">
        <v>569</v>
      </c>
      <c r="F199" t="s">
        <v>581</v>
      </c>
      <c r="G199" t="s">
        <v>581</v>
      </c>
      <c r="H199">
        <v>96.08</v>
      </c>
      <c r="I199" t="s">
        <v>658</v>
      </c>
      <c r="J199" t="s">
        <v>625</v>
      </c>
      <c r="K199" t="s">
        <v>581</v>
      </c>
      <c r="L199" t="s">
        <v>816</v>
      </c>
      <c r="N199" t="s">
        <v>821</v>
      </c>
      <c r="O199" t="s">
        <v>825</v>
      </c>
      <c r="P199" t="s">
        <v>830</v>
      </c>
      <c r="Q199">
        <v>11209</v>
      </c>
      <c r="S199" t="s">
        <v>861</v>
      </c>
      <c r="T199" t="s">
        <v>912</v>
      </c>
      <c r="U199" t="s">
        <v>1453</v>
      </c>
      <c r="V199" t="s">
        <v>1678</v>
      </c>
      <c r="X199">
        <v>0.3</v>
      </c>
      <c r="Y199">
        <v>0</v>
      </c>
      <c r="Z199">
        <v>1</v>
      </c>
      <c r="AA199" t="s">
        <v>1692</v>
      </c>
      <c r="AB199" t="s">
        <v>1889</v>
      </c>
      <c r="AC199">
        <v>39</v>
      </c>
      <c r="AD199" t="s">
        <v>2173</v>
      </c>
      <c r="AI199" t="s">
        <v>581</v>
      </c>
      <c r="AM199" t="s">
        <v>2523</v>
      </c>
      <c r="AR199">
        <v>822429</v>
      </c>
    </row>
    <row r="200" spans="1:44">
      <c r="A200" s="1">
        <f>HYPERLINK("https://lsnyc.legalserver.org/matter/dynamic-profile/view/1891442","19-1891442")</f>
        <v>0</v>
      </c>
      <c r="B200" t="s">
        <v>242</v>
      </c>
      <c r="C200" t="s">
        <v>536</v>
      </c>
      <c r="D200" t="s">
        <v>541</v>
      </c>
      <c r="E200" t="s">
        <v>564</v>
      </c>
      <c r="F200" t="s">
        <v>580</v>
      </c>
      <c r="G200" t="s">
        <v>581</v>
      </c>
      <c r="H200">
        <v>139.47</v>
      </c>
      <c r="I200" t="s">
        <v>659</v>
      </c>
      <c r="J200" t="s">
        <v>655</v>
      </c>
      <c r="K200" t="s">
        <v>581</v>
      </c>
      <c r="L200" t="s">
        <v>816</v>
      </c>
      <c r="N200" t="s">
        <v>821</v>
      </c>
      <c r="O200" t="s">
        <v>824</v>
      </c>
      <c r="P200" t="s">
        <v>833</v>
      </c>
      <c r="Q200">
        <v>11210</v>
      </c>
      <c r="R200" t="s">
        <v>850</v>
      </c>
      <c r="S200" t="s">
        <v>861</v>
      </c>
      <c r="T200" t="s">
        <v>1047</v>
      </c>
      <c r="U200" t="s">
        <v>1454</v>
      </c>
      <c r="V200" t="s">
        <v>1678</v>
      </c>
      <c r="W200" t="s">
        <v>1684</v>
      </c>
      <c r="X200">
        <v>1.3</v>
      </c>
      <c r="Y200">
        <v>0</v>
      </c>
      <c r="Z200">
        <v>1</v>
      </c>
      <c r="AA200" t="s">
        <v>1692</v>
      </c>
      <c r="AB200" t="s">
        <v>1890</v>
      </c>
      <c r="AC200">
        <v>36</v>
      </c>
      <c r="AD200" t="s">
        <v>2261</v>
      </c>
      <c r="AH200" t="s">
        <v>2421</v>
      </c>
      <c r="AJ200" t="s">
        <v>2511</v>
      </c>
      <c r="AK200" t="s">
        <v>2514</v>
      </c>
      <c r="AL200" t="s">
        <v>2520</v>
      </c>
      <c r="AM200" t="s">
        <v>2523</v>
      </c>
      <c r="AR200">
        <v>238956</v>
      </c>
    </row>
    <row r="201" spans="1:44">
      <c r="A201" s="1">
        <f>HYPERLINK("https://lsnyc.legalserver.org/matter/dynamic-profile/view/1891483","19-1891483")</f>
        <v>0</v>
      </c>
      <c r="B201" t="s">
        <v>243</v>
      </c>
      <c r="C201" t="s">
        <v>537</v>
      </c>
      <c r="D201" t="s">
        <v>555</v>
      </c>
      <c r="E201" t="s">
        <v>568</v>
      </c>
      <c r="F201" t="s">
        <v>581</v>
      </c>
      <c r="G201" t="s">
        <v>581</v>
      </c>
      <c r="H201">
        <v>136.56</v>
      </c>
      <c r="I201" t="s">
        <v>659</v>
      </c>
      <c r="J201" t="s">
        <v>602</v>
      </c>
      <c r="K201" t="s">
        <v>582</v>
      </c>
      <c r="L201" t="s">
        <v>816</v>
      </c>
      <c r="N201" t="s">
        <v>820</v>
      </c>
      <c r="O201" t="s">
        <v>824</v>
      </c>
      <c r="P201" t="s">
        <v>828</v>
      </c>
      <c r="Q201">
        <v>11096</v>
      </c>
      <c r="S201" t="s">
        <v>861</v>
      </c>
      <c r="T201" t="s">
        <v>1048</v>
      </c>
      <c r="U201" t="s">
        <v>1455</v>
      </c>
      <c r="V201" t="s">
        <v>1678</v>
      </c>
      <c r="W201" t="s">
        <v>1684</v>
      </c>
      <c r="X201">
        <v>5.2</v>
      </c>
      <c r="Y201">
        <v>0</v>
      </c>
      <c r="Z201">
        <v>1</v>
      </c>
      <c r="AA201" t="s">
        <v>1692</v>
      </c>
      <c r="AB201" t="s">
        <v>1891</v>
      </c>
      <c r="AC201">
        <v>45</v>
      </c>
      <c r="AD201" t="s">
        <v>2262</v>
      </c>
      <c r="AJ201" t="s">
        <v>2511</v>
      </c>
      <c r="AK201" t="s">
        <v>2514</v>
      </c>
      <c r="AM201" t="s">
        <v>2523</v>
      </c>
      <c r="AR201">
        <v>1892116</v>
      </c>
    </row>
    <row r="202" spans="1:44">
      <c r="A202" s="1">
        <f>HYPERLINK("https://lsnyc.legalserver.org/matter/dynamic-profile/view/1891440","19-1891440")</f>
        <v>0</v>
      </c>
      <c r="B202" t="s">
        <v>244</v>
      </c>
      <c r="C202" t="s">
        <v>536</v>
      </c>
      <c r="D202" t="s">
        <v>544</v>
      </c>
      <c r="E202" t="s">
        <v>564</v>
      </c>
      <c r="F202" t="s">
        <v>580</v>
      </c>
      <c r="G202" t="s">
        <v>581</v>
      </c>
      <c r="H202">
        <v>182.84</v>
      </c>
      <c r="I202" t="s">
        <v>659</v>
      </c>
      <c r="K202" t="s">
        <v>581</v>
      </c>
      <c r="L202" t="s">
        <v>816</v>
      </c>
      <c r="N202" t="s">
        <v>821</v>
      </c>
      <c r="O202" t="s">
        <v>825</v>
      </c>
      <c r="P202" t="s">
        <v>833</v>
      </c>
      <c r="Q202">
        <v>11224</v>
      </c>
      <c r="R202" t="s">
        <v>851</v>
      </c>
      <c r="S202" t="s">
        <v>861</v>
      </c>
      <c r="T202" t="s">
        <v>1049</v>
      </c>
      <c r="U202" t="s">
        <v>1456</v>
      </c>
      <c r="W202" t="s">
        <v>1686</v>
      </c>
      <c r="X202">
        <v>33.9</v>
      </c>
      <c r="Y202">
        <v>1</v>
      </c>
      <c r="Z202">
        <v>2</v>
      </c>
      <c r="AA202" t="s">
        <v>1691</v>
      </c>
      <c r="AB202" t="s">
        <v>1892</v>
      </c>
      <c r="AC202">
        <v>39</v>
      </c>
      <c r="AD202" t="s">
        <v>2263</v>
      </c>
      <c r="AI202" t="s">
        <v>582</v>
      </c>
      <c r="AJ202" t="s">
        <v>2512</v>
      </c>
      <c r="AL202" t="s">
        <v>2521</v>
      </c>
      <c r="AM202" t="s">
        <v>2527</v>
      </c>
      <c r="AR202">
        <v>797126</v>
      </c>
    </row>
    <row r="203" spans="1:44">
      <c r="A203" s="1">
        <f>HYPERLINK("https://lsnyc.legalserver.org/matter/dynamic-profile/view/1891299","19-1891299")</f>
        <v>0</v>
      </c>
      <c r="B203" t="s">
        <v>245</v>
      </c>
      <c r="C203" t="s">
        <v>537</v>
      </c>
      <c r="D203" t="s">
        <v>545</v>
      </c>
      <c r="E203" t="s">
        <v>568</v>
      </c>
      <c r="F203" t="s">
        <v>581</v>
      </c>
      <c r="G203" t="s">
        <v>581</v>
      </c>
      <c r="H203">
        <v>187.35</v>
      </c>
      <c r="I203" t="s">
        <v>660</v>
      </c>
      <c r="J203" t="s">
        <v>611</v>
      </c>
      <c r="K203" t="s">
        <v>582</v>
      </c>
      <c r="L203" t="s">
        <v>816</v>
      </c>
      <c r="N203" t="s">
        <v>820</v>
      </c>
      <c r="O203" t="s">
        <v>824</v>
      </c>
      <c r="P203" t="s">
        <v>828</v>
      </c>
      <c r="Q203">
        <v>11373</v>
      </c>
      <c r="S203" t="s">
        <v>861</v>
      </c>
      <c r="T203" t="s">
        <v>1050</v>
      </c>
      <c r="U203" t="s">
        <v>1359</v>
      </c>
      <c r="V203" t="s">
        <v>1681</v>
      </c>
      <c r="W203" t="s">
        <v>1685</v>
      </c>
      <c r="X203">
        <v>18.63</v>
      </c>
      <c r="Y203">
        <v>0</v>
      </c>
      <c r="Z203">
        <v>1</v>
      </c>
      <c r="AA203" t="s">
        <v>1692</v>
      </c>
      <c r="AB203" t="s">
        <v>1893</v>
      </c>
      <c r="AC203">
        <v>28</v>
      </c>
      <c r="AD203" t="s">
        <v>2198</v>
      </c>
      <c r="AG203" t="s">
        <v>2366</v>
      </c>
      <c r="AH203" t="s">
        <v>2416</v>
      </c>
      <c r="AI203" t="s">
        <v>582</v>
      </c>
      <c r="AJ203" t="s">
        <v>2511</v>
      </c>
      <c r="AM203" t="s">
        <v>2525</v>
      </c>
      <c r="AO203" t="s">
        <v>2529</v>
      </c>
      <c r="AR203">
        <v>1891931</v>
      </c>
    </row>
    <row r="204" spans="1:44">
      <c r="A204" s="1">
        <f>HYPERLINK("https://lsnyc.legalserver.org/matter/dynamic-profile/view/1891189","19-1891189")</f>
        <v>0</v>
      </c>
      <c r="B204" t="s">
        <v>246</v>
      </c>
      <c r="C204" t="s">
        <v>539</v>
      </c>
      <c r="D204" t="s">
        <v>543</v>
      </c>
      <c r="E204" t="s">
        <v>571</v>
      </c>
      <c r="F204" t="s">
        <v>580</v>
      </c>
      <c r="G204" t="s">
        <v>581</v>
      </c>
      <c r="H204">
        <v>119.9</v>
      </c>
      <c r="I204" t="s">
        <v>661</v>
      </c>
      <c r="J204" t="s">
        <v>800</v>
      </c>
      <c r="K204" t="s">
        <v>581</v>
      </c>
      <c r="L204" t="s">
        <v>816</v>
      </c>
      <c r="N204" t="s">
        <v>821</v>
      </c>
      <c r="O204" t="s">
        <v>824</v>
      </c>
      <c r="P204" t="s">
        <v>833</v>
      </c>
      <c r="Q204">
        <v>10458</v>
      </c>
      <c r="R204" t="s">
        <v>847</v>
      </c>
      <c r="S204" t="s">
        <v>861</v>
      </c>
      <c r="T204" t="s">
        <v>1051</v>
      </c>
      <c r="U204" t="s">
        <v>1457</v>
      </c>
      <c r="V204" t="s">
        <v>1678</v>
      </c>
      <c r="W204" t="s">
        <v>1684</v>
      </c>
      <c r="X204">
        <v>1.7</v>
      </c>
      <c r="Y204">
        <v>0</v>
      </c>
      <c r="Z204">
        <v>1</v>
      </c>
      <c r="AA204" t="s">
        <v>1692</v>
      </c>
      <c r="AB204" t="s">
        <v>1894</v>
      </c>
      <c r="AC204">
        <v>55</v>
      </c>
      <c r="AD204" t="s">
        <v>2264</v>
      </c>
      <c r="AJ204" t="s">
        <v>2511</v>
      </c>
      <c r="AK204" t="s">
        <v>2514</v>
      </c>
      <c r="AL204" t="s">
        <v>2520</v>
      </c>
      <c r="AM204" t="s">
        <v>2523</v>
      </c>
      <c r="AR204">
        <v>1889631</v>
      </c>
    </row>
    <row r="205" spans="1:44">
      <c r="A205" s="1">
        <f>HYPERLINK("https://lsnyc.legalserver.org/matter/dynamic-profile/view/1891125","19-1891125")</f>
        <v>0</v>
      </c>
      <c r="B205" t="s">
        <v>247</v>
      </c>
      <c r="C205" t="s">
        <v>536</v>
      </c>
      <c r="D205" t="s">
        <v>544</v>
      </c>
      <c r="E205" t="s">
        <v>562</v>
      </c>
      <c r="F205" t="s">
        <v>580</v>
      </c>
      <c r="G205" t="s">
        <v>581</v>
      </c>
      <c r="H205">
        <v>153.14</v>
      </c>
      <c r="I205" t="s">
        <v>662</v>
      </c>
      <c r="J205" t="s">
        <v>621</v>
      </c>
      <c r="K205" t="s">
        <v>581</v>
      </c>
      <c r="L205" t="s">
        <v>816</v>
      </c>
      <c r="N205" t="s">
        <v>821</v>
      </c>
      <c r="O205" t="s">
        <v>824</v>
      </c>
      <c r="P205" t="s">
        <v>833</v>
      </c>
      <c r="Q205">
        <v>11224</v>
      </c>
      <c r="R205" t="s">
        <v>852</v>
      </c>
      <c r="S205" t="s">
        <v>861</v>
      </c>
      <c r="T205" t="s">
        <v>1052</v>
      </c>
      <c r="U205" t="s">
        <v>1458</v>
      </c>
      <c r="V205" t="s">
        <v>1678</v>
      </c>
      <c r="W205" t="s">
        <v>1684</v>
      </c>
      <c r="X205">
        <v>3.65</v>
      </c>
      <c r="Y205">
        <v>1</v>
      </c>
      <c r="Z205">
        <v>1</v>
      </c>
      <c r="AA205" t="s">
        <v>1692</v>
      </c>
      <c r="AB205" t="s">
        <v>1895</v>
      </c>
      <c r="AC205">
        <v>34</v>
      </c>
      <c r="AD205" t="s">
        <v>2265</v>
      </c>
      <c r="AI205" t="s">
        <v>581</v>
      </c>
      <c r="AJ205" t="s">
        <v>2511</v>
      </c>
      <c r="AL205" t="s">
        <v>2520</v>
      </c>
      <c r="AM205" t="s">
        <v>2523</v>
      </c>
      <c r="AR205">
        <v>1848029</v>
      </c>
    </row>
    <row r="206" spans="1:44">
      <c r="A206" s="1">
        <f>HYPERLINK("https://lsnyc.legalserver.org/matter/dynamic-profile/view/1891078","19-1891078")</f>
        <v>0</v>
      </c>
      <c r="B206" t="s">
        <v>248</v>
      </c>
      <c r="C206" t="s">
        <v>537</v>
      </c>
      <c r="D206" t="s">
        <v>545</v>
      </c>
      <c r="E206" t="s">
        <v>568</v>
      </c>
      <c r="F206" t="s">
        <v>581</v>
      </c>
      <c r="G206" t="s">
        <v>581</v>
      </c>
      <c r="H206">
        <v>0</v>
      </c>
      <c r="I206" t="s">
        <v>662</v>
      </c>
      <c r="J206" t="s">
        <v>618</v>
      </c>
      <c r="K206" t="s">
        <v>582</v>
      </c>
      <c r="L206" t="s">
        <v>816</v>
      </c>
      <c r="N206" t="s">
        <v>820</v>
      </c>
      <c r="O206" t="s">
        <v>825</v>
      </c>
      <c r="P206" t="s">
        <v>828</v>
      </c>
      <c r="Q206">
        <v>11429</v>
      </c>
      <c r="S206" t="s">
        <v>861</v>
      </c>
      <c r="T206" t="s">
        <v>899</v>
      </c>
      <c r="U206" t="s">
        <v>1459</v>
      </c>
      <c r="V206" t="s">
        <v>1678</v>
      </c>
      <c r="W206" t="s">
        <v>1684</v>
      </c>
      <c r="X206">
        <v>5.65</v>
      </c>
      <c r="Y206">
        <v>0</v>
      </c>
      <c r="Z206">
        <v>1</v>
      </c>
      <c r="AA206" t="s">
        <v>1692</v>
      </c>
      <c r="AB206" t="s">
        <v>1896</v>
      </c>
      <c r="AC206">
        <v>40</v>
      </c>
      <c r="AD206" t="s">
        <v>2171</v>
      </c>
      <c r="AI206" t="s">
        <v>581</v>
      </c>
      <c r="AJ206" t="s">
        <v>2511</v>
      </c>
      <c r="AK206" t="s">
        <v>2514</v>
      </c>
      <c r="AL206" t="s">
        <v>2520</v>
      </c>
      <c r="AM206" t="s">
        <v>2523</v>
      </c>
      <c r="AR206">
        <v>1891710</v>
      </c>
    </row>
    <row r="207" spans="1:44">
      <c r="A207" s="1">
        <f>HYPERLINK("https://lsnyc.legalserver.org/matter/dynamic-profile/view/1891032","19-1891032")</f>
        <v>0</v>
      </c>
      <c r="B207" t="s">
        <v>249</v>
      </c>
      <c r="C207" t="s">
        <v>537</v>
      </c>
      <c r="D207" t="s">
        <v>545</v>
      </c>
      <c r="E207" t="s">
        <v>568</v>
      </c>
      <c r="F207" t="s">
        <v>581</v>
      </c>
      <c r="G207" t="s">
        <v>581</v>
      </c>
      <c r="H207">
        <v>0</v>
      </c>
      <c r="I207" t="s">
        <v>662</v>
      </c>
      <c r="J207" t="s">
        <v>602</v>
      </c>
      <c r="K207" t="s">
        <v>582</v>
      </c>
      <c r="L207" t="s">
        <v>816</v>
      </c>
      <c r="N207" t="s">
        <v>820</v>
      </c>
      <c r="O207" t="s">
        <v>825</v>
      </c>
      <c r="P207" t="s">
        <v>828</v>
      </c>
      <c r="Q207">
        <v>11106</v>
      </c>
      <c r="S207" t="s">
        <v>861</v>
      </c>
      <c r="T207" t="s">
        <v>870</v>
      </c>
      <c r="U207" t="s">
        <v>1460</v>
      </c>
      <c r="V207" t="s">
        <v>1678</v>
      </c>
      <c r="W207" t="s">
        <v>1684</v>
      </c>
      <c r="X207">
        <v>4</v>
      </c>
      <c r="Y207">
        <v>0</v>
      </c>
      <c r="Z207">
        <v>1</v>
      </c>
      <c r="AA207" t="s">
        <v>1692</v>
      </c>
      <c r="AB207" t="s">
        <v>1897</v>
      </c>
      <c r="AC207">
        <v>29</v>
      </c>
      <c r="AD207" t="s">
        <v>2171</v>
      </c>
      <c r="AJ207" t="s">
        <v>2513</v>
      </c>
      <c r="AK207" t="s">
        <v>2514</v>
      </c>
      <c r="AM207" t="s">
        <v>2523</v>
      </c>
      <c r="AR207">
        <v>1891664</v>
      </c>
    </row>
    <row r="208" spans="1:44">
      <c r="A208" s="1">
        <f>HYPERLINK("https://lsnyc.legalserver.org/matter/dynamic-profile/view/1890847","19-1890847")</f>
        <v>0</v>
      </c>
      <c r="B208" t="s">
        <v>250</v>
      </c>
      <c r="C208" t="s">
        <v>536</v>
      </c>
      <c r="D208" t="s">
        <v>544</v>
      </c>
      <c r="E208" t="s">
        <v>566</v>
      </c>
      <c r="F208" t="s">
        <v>580</v>
      </c>
      <c r="G208" t="s">
        <v>581</v>
      </c>
      <c r="H208">
        <v>141.93</v>
      </c>
      <c r="I208" t="s">
        <v>663</v>
      </c>
      <c r="J208" t="s">
        <v>657</v>
      </c>
      <c r="K208" t="s">
        <v>581</v>
      </c>
      <c r="L208" t="s">
        <v>816</v>
      </c>
      <c r="N208" t="s">
        <v>821</v>
      </c>
      <c r="O208" t="s">
        <v>824</v>
      </c>
      <c r="P208" t="s">
        <v>833</v>
      </c>
      <c r="Q208">
        <v>11209</v>
      </c>
      <c r="R208" t="s">
        <v>853</v>
      </c>
      <c r="S208" t="s">
        <v>861</v>
      </c>
      <c r="T208" t="s">
        <v>1053</v>
      </c>
      <c r="U208" t="s">
        <v>1461</v>
      </c>
      <c r="V208" t="s">
        <v>1678</v>
      </c>
      <c r="X208">
        <v>1.25</v>
      </c>
      <c r="Y208">
        <v>0</v>
      </c>
      <c r="Z208">
        <v>2</v>
      </c>
      <c r="AA208" t="s">
        <v>1692</v>
      </c>
      <c r="AB208" t="s">
        <v>1898</v>
      </c>
      <c r="AC208">
        <v>42</v>
      </c>
      <c r="AD208" t="s">
        <v>2218</v>
      </c>
      <c r="AI208" t="s">
        <v>581</v>
      </c>
      <c r="AJ208" t="s">
        <v>2511</v>
      </c>
      <c r="AM208" t="s">
        <v>2523</v>
      </c>
      <c r="AR208">
        <v>1878508</v>
      </c>
    </row>
    <row r="209" spans="1:44">
      <c r="A209" s="1">
        <f>HYPERLINK("https://lsnyc.legalserver.org/matter/dynamic-profile/view/1890985","19-1890985")</f>
        <v>0</v>
      </c>
      <c r="B209" t="s">
        <v>251</v>
      </c>
      <c r="C209" t="s">
        <v>536</v>
      </c>
      <c r="D209" t="s">
        <v>544</v>
      </c>
      <c r="E209" t="s">
        <v>569</v>
      </c>
      <c r="F209" t="s">
        <v>580</v>
      </c>
      <c r="G209" t="s">
        <v>581</v>
      </c>
      <c r="H209">
        <v>0</v>
      </c>
      <c r="I209" t="s">
        <v>663</v>
      </c>
      <c r="J209" t="s">
        <v>624</v>
      </c>
      <c r="L209" t="s">
        <v>816</v>
      </c>
      <c r="N209" t="s">
        <v>821</v>
      </c>
      <c r="O209" t="s">
        <v>824</v>
      </c>
      <c r="P209" t="s">
        <v>830</v>
      </c>
      <c r="Q209">
        <v>10467</v>
      </c>
      <c r="R209" t="s">
        <v>840</v>
      </c>
      <c r="T209" t="s">
        <v>1054</v>
      </c>
      <c r="U209" t="s">
        <v>1462</v>
      </c>
      <c r="V209" t="s">
        <v>1678</v>
      </c>
      <c r="X209">
        <v>2</v>
      </c>
      <c r="Y209">
        <v>0</v>
      </c>
      <c r="Z209">
        <v>1</v>
      </c>
      <c r="AA209" t="s">
        <v>1692</v>
      </c>
      <c r="AB209" t="s">
        <v>1770</v>
      </c>
      <c r="AC209">
        <v>26</v>
      </c>
      <c r="AD209" t="s">
        <v>2171</v>
      </c>
      <c r="AJ209" t="s">
        <v>2511</v>
      </c>
      <c r="AM209" t="s">
        <v>2523</v>
      </c>
      <c r="AR209">
        <v>1891617</v>
      </c>
    </row>
    <row r="210" spans="1:44">
      <c r="A210" s="1">
        <f>HYPERLINK("https://lsnyc.legalserver.org/matter/dynamic-profile/view/1890901","19-1890901")</f>
        <v>0</v>
      </c>
      <c r="B210" t="s">
        <v>252</v>
      </c>
      <c r="C210" t="s">
        <v>536</v>
      </c>
      <c r="D210" t="s">
        <v>544</v>
      </c>
      <c r="E210" t="s">
        <v>564</v>
      </c>
      <c r="F210" t="s">
        <v>580</v>
      </c>
      <c r="G210" t="s">
        <v>581</v>
      </c>
      <c r="H210">
        <v>189.24</v>
      </c>
      <c r="I210" t="s">
        <v>663</v>
      </c>
      <c r="L210" t="s">
        <v>816</v>
      </c>
      <c r="N210" t="s">
        <v>821</v>
      </c>
      <c r="O210" t="s">
        <v>825</v>
      </c>
      <c r="P210" t="s">
        <v>833</v>
      </c>
      <c r="Q210">
        <v>11226</v>
      </c>
      <c r="S210" t="s">
        <v>861</v>
      </c>
      <c r="T210" t="s">
        <v>1055</v>
      </c>
      <c r="U210" t="s">
        <v>1463</v>
      </c>
      <c r="W210" t="s">
        <v>1685</v>
      </c>
      <c r="X210">
        <v>42.6</v>
      </c>
      <c r="Y210">
        <v>0</v>
      </c>
      <c r="Z210">
        <v>2</v>
      </c>
      <c r="AA210" t="s">
        <v>1691</v>
      </c>
      <c r="AB210" t="s">
        <v>1899</v>
      </c>
      <c r="AC210">
        <v>67</v>
      </c>
      <c r="AD210" t="s">
        <v>2240</v>
      </c>
      <c r="AI210" t="s">
        <v>582</v>
      </c>
      <c r="AJ210" t="s">
        <v>2512</v>
      </c>
      <c r="AL210" t="s">
        <v>2521</v>
      </c>
      <c r="AM210" t="s">
        <v>2526</v>
      </c>
      <c r="AR210">
        <v>1891533</v>
      </c>
    </row>
    <row r="211" spans="1:44">
      <c r="A211" s="1">
        <f>HYPERLINK("https://lsnyc.legalserver.org/matter/dynamic-profile/view/1890917","19-1890917")</f>
        <v>0</v>
      </c>
      <c r="B211" t="s">
        <v>253</v>
      </c>
      <c r="C211" t="s">
        <v>535</v>
      </c>
      <c r="D211" t="s">
        <v>541</v>
      </c>
      <c r="E211" t="s">
        <v>563</v>
      </c>
      <c r="F211" t="s">
        <v>580</v>
      </c>
      <c r="G211" t="s">
        <v>581</v>
      </c>
      <c r="H211">
        <v>105.01</v>
      </c>
      <c r="I211" t="s">
        <v>663</v>
      </c>
      <c r="K211" t="s">
        <v>582</v>
      </c>
      <c r="L211" t="s">
        <v>816</v>
      </c>
      <c r="N211" t="s">
        <v>821</v>
      </c>
      <c r="O211" t="s">
        <v>825</v>
      </c>
      <c r="P211" t="s">
        <v>833</v>
      </c>
      <c r="Q211">
        <v>10030</v>
      </c>
      <c r="R211" t="s">
        <v>851</v>
      </c>
      <c r="S211" t="s">
        <v>861</v>
      </c>
      <c r="T211" t="s">
        <v>1056</v>
      </c>
      <c r="U211" t="s">
        <v>1464</v>
      </c>
      <c r="W211" t="s">
        <v>1684</v>
      </c>
      <c r="X211">
        <v>1.55</v>
      </c>
      <c r="Y211">
        <v>3</v>
      </c>
      <c r="Z211">
        <v>1</v>
      </c>
      <c r="AA211" t="s">
        <v>1691</v>
      </c>
      <c r="AB211" t="s">
        <v>1900</v>
      </c>
      <c r="AC211">
        <v>39</v>
      </c>
      <c r="AD211" t="s">
        <v>2266</v>
      </c>
      <c r="AH211" t="s">
        <v>2422</v>
      </c>
      <c r="AJ211" t="s">
        <v>2511</v>
      </c>
      <c r="AM211" t="s">
        <v>2523</v>
      </c>
      <c r="AR211">
        <v>1891549</v>
      </c>
    </row>
    <row r="212" spans="1:44">
      <c r="A212" s="1">
        <f>HYPERLINK("https://lsnyc.legalserver.org/matter/dynamic-profile/view/1890615","19-1890615")</f>
        <v>0</v>
      </c>
      <c r="B212" t="s">
        <v>254</v>
      </c>
      <c r="C212" t="s">
        <v>535</v>
      </c>
      <c r="D212" t="s">
        <v>543</v>
      </c>
      <c r="E212" t="s">
        <v>561</v>
      </c>
      <c r="F212" t="s">
        <v>580</v>
      </c>
      <c r="G212" t="s">
        <v>581</v>
      </c>
      <c r="H212">
        <v>187.35</v>
      </c>
      <c r="I212" t="s">
        <v>664</v>
      </c>
      <c r="J212" t="s">
        <v>796</v>
      </c>
      <c r="K212" t="s">
        <v>582</v>
      </c>
      <c r="L212" t="s">
        <v>816</v>
      </c>
      <c r="N212" t="s">
        <v>820</v>
      </c>
      <c r="O212" t="s">
        <v>824</v>
      </c>
      <c r="P212" t="s">
        <v>828</v>
      </c>
      <c r="Q212">
        <v>10453</v>
      </c>
      <c r="R212" t="s">
        <v>835</v>
      </c>
      <c r="S212" t="s">
        <v>863</v>
      </c>
      <c r="T212" t="s">
        <v>1051</v>
      </c>
      <c r="U212" t="s">
        <v>1465</v>
      </c>
      <c r="V212" t="s">
        <v>1678</v>
      </c>
      <c r="W212" t="s">
        <v>1684</v>
      </c>
      <c r="X212">
        <v>2.1</v>
      </c>
      <c r="Y212">
        <v>0</v>
      </c>
      <c r="Z212">
        <v>1</v>
      </c>
      <c r="AA212" t="s">
        <v>1692</v>
      </c>
      <c r="AB212" t="s">
        <v>1901</v>
      </c>
      <c r="AC212">
        <v>51</v>
      </c>
      <c r="AD212" t="s">
        <v>2198</v>
      </c>
      <c r="AI212" t="s">
        <v>581</v>
      </c>
      <c r="AJ212" t="s">
        <v>2511</v>
      </c>
      <c r="AL212" t="s">
        <v>2520</v>
      </c>
      <c r="AM212" t="s">
        <v>2523</v>
      </c>
      <c r="AR212">
        <v>1891247</v>
      </c>
    </row>
    <row r="213" spans="1:44">
      <c r="A213" s="1">
        <f>HYPERLINK("https://lsnyc.legalserver.org/matter/dynamic-profile/view/1890593","19-1890593")</f>
        <v>0</v>
      </c>
      <c r="B213" t="s">
        <v>255</v>
      </c>
      <c r="C213" t="s">
        <v>536</v>
      </c>
      <c r="D213" t="s">
        <v>544</v>
      </c>
      <c r="E213" t="s">
        <v>562</v>
      </c>
      <c r="F213" t="s">
        <v>580</v>
      </c>
      <c r="G213" t="s">
        <v>581</v>
      </c>
      <c r="H213">
        <v>22.37</v>
      </c>
      <c r="I213" t="s">
        <v>664</v>
      </c>
      <c r="K213" t="s">
        <v>581</v>
      </c>
      <c r="L213" t="s">
        <v>816</v>
      </c>
      <c r="N213" t="s">
        <v>821</v>
      </c>
      <c r="O213" t="s">
        <v>824</v>
      </c>
      <c r="P213" t="s">
        <v>833</v>
      </c>
      <c r="Q213">
        <v>11233</v>
      </c>
      <c r="R213" t="s">
        <v>854</v>
      </c>
      <c r="S213" t="s">
        <v>861</v>
      </c>
      <c r="T213" t="s">
        <v>1057</v>
      </c>
      <c r="U213" t="s">
        <v>1316</v>
      </c>
      <c r="W213" t="s">
        <v>1686</v>
      </c>
      <c r="X213">
        <v>49.95</v>
      </c>
      <c r="Y213">
        <v>1</v>
      </c>
      <c r="Z213">
        <v>1</v>
      </c>
      <c r="AA213" t="s">
        <v>1691</v>
      </c>
      <c r="AB213" t="s">
        <v>1902</v>
      </c>
      <c r="AC213">
        <v>39</v>
      </c>
      <c r="AD213" t="s">
        <v>2267</v>
      </c>
      <c r="AI213" t="s">
        <v>582</v>
      </c>
      <c r="AJ213" t="s">
        <v>2511</v>
      </c>
      <c r="AL213" t="s">
        <v>2519</v>
      </c>
      <c r="AM213" t="s">
        <v>2527</v>
      </c>
      <c r="AR213">
        <v>1886964</v>
      </c>
    </row>
    <row r="214" spans="1:44">
      <c r="A214" s="1">
        <f>HYPERLINK("https://lsnyc.legalserver.org/matter/dynamic-profile/view/1890400","19-1890400")</f>
        <v>0</v>
      </c>
      <c r="B214" t="s">
        <v>256</v>
      </c>
      <c r="C214" t="s">
        <v>535</v>
      </c>
      <c r="D214" t="s">
        <v>541</v>
      </c>
      <c r="E214" t="s">
        <v>563</v>
      </c>
      <c r="F214" t="s">
        <v>580</v>
      </c>
      <c r="G214" t="s">
        <v>581</v>
      </c>
      <c r="H214">
        <v>124.9</v>
      </c>
      <c r="I214" t="s">
        <v>665</v>
      </c>
      <c r="J214" t="s">
        <v>605</v>
      </c>
      <c r="K214" t="s">
        <v>581</v>
      </c>
      <c r="L214" t="s">
        <v>816</v>
      </c>
      <c r="N214" t="s">
        <v>821</v>
      </c>
      <c r="O214" t="s">
        <v>825</v>
      </c>
      <c r="P214" t="s">
        <v>832</v>
      </c>
      <c r="Q214">
        <v>10018</v>
      </c>
      <c r="S214" t="s">
        <v>869</v>
      </c>
      <c r="T214" t="s">
        <v>1058</v>
      </c>
      <c r="U214" t="s">
        <v>1466</v>
      </c>
      <c r="V214" t="s">
        <v>1678</v>
      </c>
      <c r="X214">
        <v>1.75</v>
      </c>
      <c r="Y214">
        <v>0</v>
      </c>
      <c r="Z214">
        <v>1</v>
      </c>
      <c r="AA214" t="s">
        <v>1692</v>
      </c>
      <c r="AB214" t="s">
        <v>1903</v>
      </c>
      <c r="AC214">
        <v>30</v>
      </c>
      <c r="AD214" t="s">
        <v>2268</v>
      </c>
      <c r="AH214" t="s">
        <v>2423</v>
      </c>
      <c r="AI214" t="s">
        <v>581</v>
      </c>
      <c r="AJ214" t="s">
        <v>2511</v>
      </c>
      <c r="AK214" t="s">
        <v>2514</v>
      </c>
      <c r="AL214" t="s">
        <v>2520</v>
      </c>
      <c r="AM214" t="s">
        <v>2523</v>
      </c>
      <c r="AR214">
        <v>1891032</v>
      </c>
    </row>
    <row r="215" spans="1:44">
      <c r="A215" s="1">
        <f>HYPERLINK("https://lsnyc.legalserver.org/matter/dynamic-profile/view/1890252","19-1890252")</f>
        <v>0</v>
      </c>
      <c r="B215" t="s">
        <v>257</v>
      </c>
      <c r="C215" t="s">
        <v>535</v>
      </c>
      <c r="D215" t="s">
        <v>541</v>
      </c>
      <c r="E215" t="s">
        <v>563</v>
      </c>
      <c r="F215" t="s">
        <v>580</v>
      </c>
      <c r="G215" t="s">
        <v>581</v>
      </c>
      <c r="H215">
        <v>105.68</v>
      </c>
      <c r="I215" t="s">
        <v>666</v>
      </c>
      <c r="J215" t="s">
        <v>612</v>
      </c>
      <c r="L215" t="s">
        <v>816</v>
      </c>
      <c r="N215" t="s">
        <v>821</v>
      </c>
      <c r="O215" t="s">
        <v>825</v>
      </c>
      <c r="P215" t="s">
        <v>830</v>
      </c>
      <c r="Q215">
        <v>10024</v>
      </c>
      <c r="R215" t="s">
        <v>855</v>
      </c>
      <c r="S215" t="s">
        <v>863</v>
      </c>
      <c r="T215" t="s">
        <v>1055</v>
      </c>
      <c r="U215" t="s">
        <v>1467</v>
      </c>
      <c r="V215" t="s">
        <v>1678</v>
      </c>
      <c r="X215">
        <v>2.6</v>
      </c>
      <c r="Y215">
        <v>0</v>
      </c>
      <c r="Z215">
        <v>1</v>
      </c>
      <c r="AA215" t="s">
        <v>1692</v>
      </c>
      <c r="AB215" t="s">
        <v>1904</v>
      </c>
      <c r="AC215">
        <v>76</v>
      </c>
      <c r="AD215" t="s">
        <v>2243</v>
      </c>
      <c r="AH215" t="s">
        <v>2424</v>
      </c>
      <c r="AI215" t="s">
        <v>582</v>
      </c>
      <c r="AJ215" t="s">
        <v>2512</v>
      </c>
      <c r="AK215" t="s">
        <v>2514</v>
      </c>
      <c r="AL215" t="s">
        <v>2519</v>
      </c>
      <c r="AM215" t="s">
        <v>2522</v>
      </c>
      <c r="AP215" t="s">
        <v>581</v>
      </c>
      <c r="AR215">
        <v>768402</v>
      </c>
    </row>
    <row r="216" spans="1:44">
      <c r="A216" s="1">
        <f>HYPERLINK("https://lsnyc.legalserver.org/matter/dynamic-profile/view/1890288","19-1890288")</f>
        <v>0</v>
      </c>
      <c r="B216" t="s">
        <v>258</v>
      </c>
      <c r="C216" t="s">
        <v>535</v>
      </c>
      <c r="D216" t="s">
        <v>541</v>
      </c>
      <c r="E216" t="s">
        <v>561</v>
      </c>
      <c r="F216" t="s">
        <v>580</v>
      </c>
      <c r="G216" t="s">
        <v>581</v>
      </c>
      <c r="H216">
        <v>0</v>
      </c>
      <c r="I216" t="s">
        <v>666</v>
      </c>
      <c r="J216" t="s">
        <v>588</v>
      </c>
      <c r="K216" t="s">
        <v>582</v>
      </c>
      <c r="L216" t="s">
        <v>816</v>
      </c>
      <c r="N216" t="s">
        <v>820</v>
      </c>
      <c r="O216" t="s">
        <v>824</v>
      </c>
      <c r="P216" t="s">
        <v>828</v>
      </c>
      <c r="Q216">
        <v>10034</v>
      </c>
      <c r="R216" t="s">
        <v>835</v>
      </c>
      <c r="S216" t="s">
        <v>861</v>
      </c>
      <c r="T216" t="s">
        <v>1059</v>
      </c>
      <c r="U216" t="s">
        <v>1334</v>
      </c>
      <c r="V216" t="s">
        <v>1678</v>
      </c>
      <c r="W216" t="s">
        <v>1684</v>
      </c>
      <c r="X216">
        <v>4.25</v>
      </c>
      <c r="Y216">
        <v>0</v>
      </c>
      <c r="Z216">
        <v>1</v>
      </c>
      <c r="AA216" t="s">
        <v>1692</v>
      </c>
      <c r="AB216" t="s">
        <v>1905</v>
      </c>
      <c r="AC216">
        <v>40</v>
      </c>
      <c r="AD216" t="s">
        <v>2171</v>
      </c>
      <c r="AI216" t="s">
        <v>581</v>
      </c>
      <c r="AJ216" t="s">
        <v>2511</v>
      </c>
      <c r="AL216" t="s">
        <v>2520</v>
      </c>
      <c r="AM216" t="s">
        <v>2523</v>
      </c>
      <c r="AR216">
        <v>1890920</v>
      </c>
    </row>
    <row r="217" spans="1:44">
      <c r="A217" s="1">
        <f>HYPERLINK("https://lsnyc.legalserver.org/matter/dynamic-profile/view/1890062","19-1890062")</f>
        <v>0</v>
      </c>
      <c r="B217" t="s">
        <v>259</v>
      </c>
      <c r="C217" t="s">
        <v>536</v>
      </c>
      <c r="D217" t="s">
        <v>544</v>
      </c>
      <c r="E217" t="s">
        <v>569</v>
      </c>
      <c r="F217" t="s">
        <v>580</v>
      </c>
      <c r="G217" t="s">
        <v>581</v>
      </c>
      <c r="H217">
        <v>0</v>
      </c>
      <c r="I217" t="s">
        <v>667</v>
      </c>
      <c r="J217" t="s">
        <v>626</v>
      </c>
      <c r="K217" t="s">
        <v>581</v>
      </c>
      <c r="L217" t="s">
        <v>816</v>
      </c>
      <c r="N217" t="s">
        <v>820</v>
      </c>
      <c r="O217" t="s">
        <v>824</v>
      </c>
      <c r="P217" t="s">
        <v>828</v>
      </c>
      <c r="Q217">
        <v>11209</v>
      </c>
      <c r="S217" t="s">
        <v>869</v>
      </c>
      <c r="T217" t="s">
        <v>1060</v>
      </c>
      <c r="U217" t="s">
        <v>1468</v>
      </c>
      <c r="V217" t="s">
        <v>1681</v>
      </c>
      <c r="W217" t="s">
        <v>1685</v>
      </c>
      <c r="X217">
        <v>7.9</v>
      </c>
      <c r="Y217">
        <v>0</v>
      </c>
      <c r="Z217">
        <v>2</v>
      </c>
      <c r="AA217" t="s">
        <v>1692</v>
      </c>
      <c r="AB217" t="s">
        <v>1906</v>
      </c>
      <c r="AC217">
        <v>45</v>
      </c>
      <c r="AD217" t="s">
        <v>2171</v>
      </c>
      <c r="AI217" t="s">
        <v>582</v>
      </c>
      <c r="AJ217" t="s">
        <v>2512</v>
      </c>
      <c r="AM217" t="s">
        <v>2525</v>
      </c>
      <c r="AO217" t="s">
        <v>2528</v>
      </c>
      <c r="AR217">
        <v>1890694</v>
      </c>
    </row>
    <row r="218" spans="1:44">
      <c r="A218" s="1">
        <f>HYPERLINK("https://lsnyc.legalserver.org/matter/dynamic-profile/view/1890182","19-1890182")</f>
        <v>0</v>
      </c>
      <c r="B218" t="s">
        <v>260</v>
      </c>
      <c r="C218" t="s">
        <v>537</v>
      </c>
      <c r="D218" t="s">
        <v>545</v>
      </c>
      <c r="E218" t="s">
        <v>568</v>
      </c>
      <c r="F218" t="s">
        <v>581</v>
      </c>
      <c r="G218" t="s">
        <v>581</v>
      </c>
      <c r="H218">
        <v>0</v>
      </c>
      <c r="I218" t="s">
        <v>667</v>
      </c>
      <c r="J218" t="s">
        <v>618</v>
      </c>
      <c r="K218" t="s">
        <v>582</v>
      </c>
      <c r="L218" t="s">
        <v>816</v>
      </c>
      <c r="N218" t="s">
        <v>820</v>
      </c>
      <c r="O218" t="s">
        <v>824</v>
      </c>
      <c r="P218" t="s">
        <v>828</v>
      </c>
      <c r="Q218">
        <v>11367</v>
      </c>
      <c r="S218" t="s">
        <v>861</v>
      </c>
      <c r="T218" t="s">
        <v>1061</v>
      </c>
      <c r="U218" t="s">
        <v>1469</v>
      </c>
      <c r="V218" t="s">
        <v>1678</v>
      </c>
      <c r="W218" t="s">
        <v>1684</v>
      </c>
      <c r="X218">
        <v>4.25</v>
      </c>
      <c r="Y218">
        <v>0</v>
      </c>
      <c r="Z218">
        <v>1</v>
      </c>
      <c r="AA218" t="s">
        <v>1692</v>
      </c>
      <c r="AB218" t="s">
        <v>1907</v>
      </c>
      <c r="AC218">
        <v>52</v>
      </c>
      <c r="AD218" t="s">
        <v>2171</v>
      </c>
      <c r="AI218" t="s">
        <v>582</v>
      </c>
      <c r="AJ218" t="s">
        <v>2511</v>
      </c>
      <c r="AK218" t="s">
        <v>2514</v>
      </c>
      <c r="AM218" t="s">
        <v>2522</v>
      </c>
      <c r="AR218">
        <v>1890814</v>
      </c>
    </row>
    <row r="219" spans="1:44">
      <c r="A219" s="1">
        <f>HYPERLINK("https://lsnyc.legalserver.org/matter/dynamic-profile/view/1890093","19-1890093")</f>
        <v>0</v>
      </c>
      <c r="B219" t="s">
        <v>261</v>
      </c>
      <c r="C219" t="s">
        <v>535</v>
      </c>
      <c r="D219" t="s">
        <v>543</v>
      </c>
      <c r="E219" t="s">
        <v>561</v>
      </c>
      <c r="F219" t="s">
        <v>580</v>
      </c>
      <c r="G219" t="s">
        <v>581</v>
      </c>
      <c r="H219">
        <v>156.12</v>
      </c>
      <c r="I219" t="s">
        <v>667</v>
      </c>
      <c r="J219" t="s">
        <v>588</v>
      </c>
      <c r="K219" t="s">
        <v>582</v>
      </c>
      <c r="L219" t="s">
        <v>816</v>
      </c>
      <c r="N219" t="s">
        <v>820</v>
      </c>
      <c r="O219" t="s">
        <v>824</v>
      </c>
      <c r="P219" t="s">
        <v>828</v>
      </c>
      <c r="Q219">
        <v>10452</v>
      </c>
      <c r="S219" t="s">
        <v>863</v>
      </c>
      <c r="T219" t="s">
        <v>1062</v>
      </c>
      <c r="U219" t="s">
        <v>1470</v>
      </c>
      <c r="V219" t="s">
        <v>1679</v>
      </c>
      <c r="W219" t="s">
        <v>1684</v>
      </c>
      <c r="X219">
        <v>9.949999999999999</v>
      </c>
      <c r="Y219">
        <v>0</v>
      </c>
      <c r="Z219">
        <v>1</v>
      </c>
      <c r="AA219" t="s">
        <v>1692</v>
      </c>
      <c r="AB219" t="s">
        <v>1908</v>
      </c>
      <c r="AC219">
        <v>42</v>
      </c>
      <c r="AD219" t="s">
        <v>2210</v>
      </c>
      <c r="AH219" t="s">
        <v>2425</v>
      </c>
      <c r="AI219" t="s">
        <v>582</v>
      </c>
      <c r="AJ219" t="s">
        <v>2512</v>
      </c>
      <c r="AK219" t="s">
        <v>2514</v>
      </c>
      <c r="AL219" t="s">
        <v>2519</v>
      </c>
      <c r="AM219" t="s">
        <v>2522</v>
      </c>
      <c r="AR219">
        <v>1890725</v>
      </c>
    </row>
    <row r="220" spans="1:44">
      <c r="A220" s="1">
        <f>HYPERLINK("https://lsnyc.legalserver.org/matter/dynamic-profile/view/1890134","19-1890134")</f>
        <v>0</v>
      </c>
      <c r="B220" t="s">
        <v>262</v>
      </c>
      <c r="C220" t="s">
        <v>535</v>
      </c>
      <c r="D220" t="s">
        <v>543</v>
      </c>
      <c r="E220" t="s">
        <v>561</v>
      </c>
      <c r="F220" t="s">
        <v>580</v>
      </c>
      <c r="G220" t="s">
        <v>581</v>
      </c>
      <c r="H220">
        <v>187.35</v>
      </c>
      <c r="I220" t="s">
        <v>667</v>
      </c>
      <c r="J220" t="s">
        <v>588</v>
      </c>
      <c r="K220" t="s">
        <v>582</v>
      </c>
      <c r="L220" t="s">
        <v>816</v>
      </c>
      <c r="N220" t="s">
        <v>820</v>
      </c>
      <c r="O220" t="s">
        <v>825</v>
      </c>
      <c r="P220" t="s">
        <v>828</v>
      </c>
      <c r="Q220">
        <v>10468</v>
      </c>
      <c r="R220" t="s">
        <v>835</v>
      </c>
      <c r="S220" t="s">
        <v>863</v>
      </c>
      <c r="T220" t="s">
        <v>872</v>
      </c>
      <c r="U220" t="s">
        <v>1471</v>
      </c>
      <c r="V220" t="s">
        <v>1678</v>
      </c>
      <c r="W220" t="s">
        <v>1684</v>
      </c>
      <c r="X220">
        <v>7.5</v>
      </c>
      <c r="Y220">
        <v>0</v>
      </c>
      <c r="Z220">
        <v>1</v>
      </c>
      <c r="AA220" t="s">
        <v>1692</v>
      </c>
      <c r="AB220" t="s">
        <v>1909</v>
      </c>
      <c r="AC220">
        <v>51</v>
      </c>
      <c r="AD220" t="s">
        <v>2198</v>
      </c>
      <c r="AI220" t="s">
        <v>582</v>
      </c>
      <c r="AJ220" t="s">
        <v>2512</v>
      </c>
      <c r="AL220" t="s">
        <v>2519</v>
      </c>
      <c r="AM220" t="s">
        <v>2522</v>
      </c>
      <c r="AR220">
        <v>1890766</v>
      </c>
    </row>
    <row r="221" spans="1:44">
      <c r="A221" s="1">
        <f>HYPERLINK("https://lsnyc.legalserver.org/matter/dynamic-profile/view/1890199","19-1890199")</f>
        <v>0</v>
      </c>
      <c r="B221" t="s">
        <v>263</v>
      </c>
      <c r="C221" t="s">
        <v>536</v>
      </c>
      <c r="D221" t="s">
        <v>544</v>
      </c>
      <c r="E221" t="s">
        <v>564</v>
      </c>
      <c r="F221" t="s">
        <v>580</v>
      </c>
      <c r="G221" t="s">
        <v>581</v>
      </c>
      <c r="H221">
        <v>260.19</v>
      </c>
      <c r="I221" t="s">
        <v>667</v>
      </c>
      <c r="J221" t="s">
        <v>787</v>
      </c>
      <c r="L221" t="s">
        <v>816</v>
      </c>
      <c r="N221" t="s">
        <v>821</v>
      </c>
      <c r="O221" t="s">
        <v>824</v>
      </c>
      <c r="P221" t="s">
        <v>830</v>
      </c>
      <c r="Q221">
        <v>11213</v>
      </c>
      <c r="R221" t="s">
        <v>840</v>
      </c>
      <c r="S221" t="s">
        <v>861</v>
      </c>
      <c r="T221" t="s">
        <v>1063</v>
      </c>
      <c r="U221" t="s">
        <v>1472</v>
      </c>
      <c r="V221" t="s">
        <v>1681</v>
      </c>
      <c r="W221" t="s">
        <v>1685</v>
      </c>
      <c r="X221">
        <v>42.55</v>
      </c>
      <c r="Y221">
        <v>2</v>
      </c>
      <c r="Z221">
        <v>2</v>
      </c>
      <c r="AA221" t="s">
        <v>1692</v>
      </c>
      <c r="AB221" t="s">
        <v>1910</v>
      </c>
      <c r="AC221">
        <v>34</v>
      </c>
      <c r="AD221" t="s">
        <v>2269</v>
      </c>
      <c r="AE221" t="s">
        <v>2355</v>
      </c>
      <c r="AH221" t="s">
        <v>2426</v>
      </c>
      <c r="AI221" t="s">
        <v>582</v>
      </c>
      <c r="AJ221" t="s">
        <v>2512</v>
      </c>
      <c r="AL221" t="s">
        <v>2521</v>
      </c>
      <c r="AM221" t="s">
        <v>2526</v>
      </c>
      <c r="AP221" t="s">
        <v>582</v>
      </c>
      <c r="AR221">
        <v>1874717</v>
      </c>
    </row>
    <row r="222" spans="1:44">
      <c r="A222" s="1">
        <f>HYPERLINK("https://lsnyc.legalserver.org/matter/dynamic-profile/view/1890202","19-1890202")</f>
        <v>0</v>
      </c>
      <c r="B222" t="s">
        <v>264</v>
      </c>
      <c r="C222" t="s">
        <v>535</v>
      </c>
      <c r="D222" t="s">
        <v>541</v>
      </c>
      <c r="E222" t="s">
        <v>561</v>
      </c>
      <c r="F222" t="s">
        <v>580</v>
      </c>
      <c r="G222" t="s">
        <v>581</v>
      </c>
      <c r="H222">
        <v>0</v>
      </c>
      <c r="I222" t="s">
        <v>667</v>
      </c>
      <c r="J222" t="s">
        <v>801</v>
      </c>
      <c r="L222" t="s">
        <v>816</v>
      </c>
      <c r="N222" t="s">
        <v>820</v>
      </c>
      <c r="O222" t="s">
        <v>825</v>
      </c>
      <c r="P222" t="s">
        <v>828</v>
      </c>
      <c r="Q222">
        <v>10033</v>
      </c>
      <c r="T222" t="s">
        <v>1064</v>
      </c>
      <c r="U222" t="s">
        <v>1473</v>
      </c>
      <c r="V222" t="s">
        <v>1683</v>
      </c>
      <c r="X222">
        <v>3.55</v>
      </c>
      <c r="Y222">
        <v>0</v>
      </c>
      <c r="Z222">
        <v>3</v>
      </c>
      <c r="AA222" t="s">
        <v>1692</v>
      </c>
      <c r="AB222" t="s">
        <v>1911</v>
      </c>
      <c r="AC222">
        <v>31</v>
      </c>
      <c r="AD222" t="s">
        <v>2171</v>
      </c>
      <c r="AI222" t="s">
        <v>581</v>
      </c>
      <c r="AL222" t="s">
        <v>2520</v>
      </c>
      <c r="AM222" t="s">
        <v>2523</v>
      </c>
      <c r="AR222">
        <v>821737</v>
      </c>
    </row>
    <row r="223" spans="1:44">
      <c r="A223" s="1">
        <f>HYPERLINK("https://lsnyc.legalserver.org/matter/dynamic-profile/view/1889940","19-1889940")</f>
        <v>0</v>
      </c>
      <c r="B223" t="s">
        <v>265</v>
      </c>
      <c r="C223" t="s">
        <v>537</v>
      </c>
      <c r="D223" t="s">
        <v>545</v>
      </c>
      <c r="E223" t="s">
        <v>568</v>
      </c>
      <c r="F223" t="s">
        <v>581</v>
      </c>
      <c r="G223" t="s">
        <v>581</v>
      </c>
      <c r="H223">
        <v>123</v>
      </c>
      <c r="I223" t="s">
        <v>668</v>
      </c>
      <c r="J223" t="s">
        <v>602</v>
      </c>
      <c r="K223" t="s">
        <v>581</v>
      </c>
      <c r="L223" t="s">
        <v>816</v>
      </c>
      <c r="N223" t="s">
        <v>820</v>
      </c>
      <c r="O223" t="s">
        <v>824</v>
      </c>
      <c r="P223" t="s">
        <v>828</v>
      </c>
      <c r="Q223">
        <v>11385</v>
      </c>
      <c r="S223" t="s">
        <v>861</v>
      </c>
      <c r="T223" t="s">
        <v>1065</v>
      </c>
      <c r="U223" t="s">
        <v>1474</v>
      </c>
      <c r="V223" t="s">
        <v>1678</v>
      </c>
      <c r="W223" t="s">
        <v>1684</v>
      </c>
      <c r="X223">
        <v>2.75</v>
      </c>
      <c r="Y223">
        <v>0</v>
      </c>
      <c r="Z223">
        <v>2</v>
      </c>
      <c r="AA223" t="s">
        <v>1692</v>
      </c>
      <c r="AB223" t="s">
        <v>1912</v>
      </c>
      <c r="AC223">
        <v>64</v>
      </c>
      <c r="AD223" t="s">
        <v>2201</v>
      </c>
      <c r="AJ223" t="s">
        <v>2511</v>
      </c>
      <c r="AK223" t="s">
        <v>2514</v>
      </c>
      <c r="AM223" t="s">
        <v>2523</v>
      </c>
      <c r="AR223">
        <v>1890572</v>
      </c>
    </row>
    <row r="224" spans="1:44">
      <c r="A224" s="1">
        <f>HYPERLINK("https://lsnyc.legalserver.org/matter/dynamic-profile/view/1889982","19-1889982")</f>
        <v>0</v>
      </c>
      <c r="B224" t="s">
        <v>266</v>
      </c>
      <c r="C224" t="s">
        <v>537</v>
      </c>
      <c r="D224" t="s">
        <v>545</v>
      </c>
      <c r="E224" t="s">
        <v>568</v>
      </c>
      <c r="F224" t="s">
        <v>581</v>
      </c>
      <c r="G224" t="s">
        <v>581</v>
      </c>
      <c r="H224">
        <v>15.76</v>
      </c>
      <c r="I224" t="s">
        <v>668</v>
      </c>
      <c r="J224" t="s">
        <v>599</v>
      </c>
      <c r="K224" t="s">
        <v>581</v>
      </c>
      <c r="L224" t="s">
        <v>816</v>
      </c>
      <c r="N224" t="s">
        <v>820</v>
      </c>
      <c r="O224" t="s">
        <v>824</v>
      </c>
      <c r="P224" t="s">
        <v>828</v>
      </c>
      <c r="Q224">
        <v>11355</v>
      </c>
      <c r="S224" t="s">
        <v>861</v>
      </c>
      <c r="T224" t="s">
        <v>1066</v>
      </c>
      <c r="U224" t="s">
        <v>1475</v>
      </c>
      <c r="V224" t="s">
        <v>1678</v>
      </c>
      <c r="X224">
        <v>16.25</v>
      </c>
      <c r="Y224">
        <v>0</v>
      </c>
      <c r="Z224">
        <v>1</v>
      </c>
      <c r="AA224" t="s">
        <v>1692</v>
      </c>
      <c r="AB224" t="s">
        <v>1913</v>
      </c>
      <c r="AC224">
        <v>35</v>
      </c>
      <c r="AD224" t="s">
        <v>2270</v>
      </c>
      <c r="AH224" t="s">
        <v>2363</v>
      </c>
      <c r="AJ224" t="s">
        <v>2511</v>
      </c>
      <c r="AK224" t="s">
        <v>2514</v>
      </c>
      <c r="AM224" t="s">
        <v>2523</v>
      </c>
      <c r="AR224">
        <v>1890614</v>
      </c>
    </row>
    <row r="225" spans="1:44">
      <c r="A225" s="1">
        <f>HYPERLINK("https://lsnyc.legalserver.org/matter/dynamic-profile/view/1889857","19-1889857")</f>
        <v>0</v>
      </c>
      <c r="B225" t="s">
        <v>267</v>
      </c>
      <c r="C225" t="s">
        <v>537</v>
      </c>
      <c r="D225" t="s">
        <v>545</v>
      </c>
      <c r="E225" t="s">
        <v>568</v>
      </c>
      <c r="F225" t="s">
        <v>581</v>
      </c>
      <c r="G225" t="s">
        <v>581</v>
      </c>
      <c r="H225">
        <v>0</v>
      </c>
      <c r="I225" t="s">
        <v>669</v>
      </c>
      <c r="J225" t="s">
        <v>599</v>
      </c>
      <c r="K225" t="s">
        <v>582</v>
      </c>
      <c r="L225" t="s">
        <v>816</v>
      </c>
      <c r="N225" t="s">
        <v>820</v>
      </c>
      <c r="O225" t="s">
        <v>824</v>
      </c>
      <c r="P225" t="s">
        <v>828</v>
      </c>
      <c r="Q225">
        <v>11375</v>
      </c>
      <c r="S225" t="s">
        <v>861</v>
      </c>
      <c r="T225" t="s">
        <v>1067</v>
      </c>
      <c r="U225" t="s">
        <v>1476</v>
      </c>
      <c r="V225" t="s">
        <v>1678</v>
      </c>
      <c r="W225" t="s">
        <v>1684</v>
      </c>
      <c r="X225">
        <v>4.65</v>
      </c>
      <c r="Y225">
        <v>0</v>
      </c>
      <c r="Z225">
        <v>1</v>
      </c>
      <c r="AA225" t="s">
        <v>1692</v>
      </c>
      <c r="AB225" t="s">
        <v>1914</v>
      </c>
      <c r="AC225">
        <v>50</v>
      </c>
      <c r="AD225" t="s">
        <v>2171</v>
      </c>
      <c r="AH225" t="s">
        <v>2427</v>
      </c>
      <c r="AJ225" t="s">
        <v>2511</v>
      </c>
      <c r="AK225" t="s">
        <v>2514</v>
      </c>
      <c r="AM225" t="s">
        <v>2523</v>
      </c>
      <c r="AR225">
        <v>1890489</v>
      </c>
    </row>
    <row r="226" spans="1:44">
      <c r="A226" s="1">
        <f>HYPERLINK("https://lsnyc.legalserver.org/matter/dynamic-profile/view/1889761","19-1889761")</f>
        <v>0</v>
      </c>
      <c r="B226" t="s">
        <v>268</v>
      </c>
      <c r="C226" t="s">
        <v>535</v>
      </c>
      <c r="D226" t="s">
        <v>543</v>
      </c>
      <c r="E226" t="s">
        <v>561</v>
      </c>
      <c r="F226" t="s">
        <v>580</v>
      </c>
      <c r="G226" t="s">
        <v>581</v>
      </c>
      <c r="H226">
        <v>138.22</v>
      </c>
      <c r="I226" t="s">
        <v>669</v>
      </c>
      <c r="J226" t="s">
        <v>779</v>
      </c>
      <c r="K226" t="s">
        <v>582</v>
      </c>
      <c r="L226" t="s">
        <v>816</v>
      </c>
      <c r="N226" t="s">
        <v>820</v>
      </c>
      <c r="O226" t="s">
        <v>824</v>
      </c>
      <c r="P226" t="s">
        <v>828</v>
      </c>
      <c r="Q226">
        <v>10472</v>
      </c>
      <c r="R226" t="s">
        <v>835</v>
      </c>
      <c r="S226" t="s">
        <v>867</v>
      </c>
      <c r="T226" t="s">
        <v>1068</v>
      </c>
      <c r="U226" t="s">
        <v>1477</v>
      </c>
      <c r="V226" t="s">
        <v>1678</v>
      </c>
      <c r="W226" t="s">
        <v>1684</v>
      </c>
      <c r="X226">
        <v>1.83</v>
      </c>
      <c r="Y226">
        <v>0</v>
      </c>
      <c r="Z226">
        <v>1</v>
      </c>
      <c r="AA226" t="s">
        <v>1692</v>
      </c>
      <c r="AB226" t="s">
        <v>1915</v>
      </c>
      <c r="AC226">
        <v>34</v>
      </c>
      <c r="AD226" t="s">
        <v>2271</v>
      </c>
      <c r="AI226" t="s">
        <v>581</v>
      </c>
      <c r="AJ226" t="s">
        <v>2511</v>
      </c>
      <c r="AL226" t="s">
        <v>2520</v>
      </c>
      <c r="AM226" t="s">
        <v>2523</v>
      </c>
      <c r="AR226">
        <v>1890393</v>
      </c>
    </row>
    <row r="227" spans="1:44">
      <c r="A227" s="1">
        <f>HYPERLINK("https://lsnyc.legalserver.org/matter/dynamic-profile/view/1889855","19-1889855")</f>
        <v>0</v>
      </c>
      <c r="B227" t="s">
        <v>269</v>
      </c>
      <c r="C227" t="s">
        <v>535</v>
      </c>
      <c r="D227" t="s">
        <v>543</v>
      </c>
      <c r="E227" t="s">
        <v>561</v>
      </c>
      <c r="F227" t="s">
        <v>580</v>
      </c>
      <c r="G227" t="s">
        <v>581</v>
      </c>
      <c r="H227">
        <v>105.75</v>
      </c>
      <c r="I227" t="s">
        <v>669</v>
      </c>
      <c r="K227" t="s">
        <v>582</v>
      </c>
      <c r="L227" t="s">
        <v>816</v>
      </c>
      <c r="N227" t="s">
        <v>820</v>
      </c>
      <c r="O227" t="s">
        <v>825</v>
      </c>
      <c r="P227" t="s">
        <v>828</v>
      </c>
      <c r="Q227">
        <v>10468</v>
      </c>
      <c r="S227" t="s">
        <v>861</v>
      </c>
      <c r="T227" t="s">
        <v>1069</v>
      </c>
      <c r="U227" t="s">
        <v>1454</v>
      </c>
      <c r="X227">
        <v>3.35</v>
      </c>
      <c r="Y227">
        <v>0</v>
      </c>
      <c r="Z227">
        <v>1</v>
      </c>
      <c r="AA227" t="s">
        <v>1691</v>
      </c>
      <c r="AB227" t="s">
        <v>1916</v>
      </c>
      <c r="AC227">
        <v>33</v>
      </c>
      <c r="AD227" t="s">
        <v>2272</v>
      </c>
      <c r="AJ227" t="s">
        <v>2511</v>
      </c>
      <c r="AM227" t="s">
        <v>2523</v>
      </c>
      <c r="AR227">
        <v>1890487</v>
      </c>
    </row>
    <row r="228" spans="1:44">
      <c r="A228" s="1">
        <f>HYPERLINK("https://lsnyc.legalserver.org/matter/dynamic-profile/view/1889674","19-1889674")</f>
        <v>0</v>
      </c>
      <c r="B228" t="s">
        <v>270</v>
      </c>
      <c r="C228" t="s">
        <v>537</v>
      </c>
      <c r="D228" t="s">
        <v>545</v>
      </c>
      <c r="E228" t="s">
        <v>568</v>
      </c>
      <c r="F228" t="s">
        <v>581</v>
      </c>
      <c r="G228" t="s">
        <v>581</v>
      </c>
      <c r="H228">
        <v>0</v>
      </c>
      <c r="I228" t="s">
        <v>670</v>
      </c>
      <c r="J228" t="s">
        <v>599</v>
      </c>
      <c r="K228" t="s">
        <v>582</v>
      </c>
      <c r="L228" t="s">
        <v>816</v>
      </c>
      <c r="N228" t="s">
        <v>820</v>
      </c>
      <c r="O228" t="s">
        <v>824</v>
      </c>
      <c r="P228" t="s">
        <v>828</v>
      </c>
      <c r="Q228">
        <v>11368</v>
      </c>
      <c r="S228" t="s">
        <v>861</v>
      </c>
      <c r="T228" t="s">
        <v>949</v>
      </c>
      <c r="U228" t="s">
        <v>1478</v>
      </c>
      <c r="V228" t="s">
        <v>1678</v>
      </c>
      <c r="W228" t="s">
        <v>1684</v>
      </c>
      <c r="X228">
        <v>2.85</v>
      </c>
      <c r="Y228">
        <v>0</v>
      </c>
      <c r="Z228">
        <v>1</v>
      </c>
      <c r="AA228" t="s">
        <v>1692</v>
      </c>
      <c r="AB228" t="s">
        <v>1917</v>
      </c>
      <c r="AC228">
        <v>26</v>
      </c>
      <c r="AD228" t="s">
        <v>2171</v>
      </c>
      <c r="AJ228" t="s">
        <v>2511</v>
      </c>
      <c r="AK228" t="s">
        <v>2514</v>
      </c>
      <c r="AM228" t="s">
        <v>2523</v>
      </c>
      <c r="AR228">
        <v>1890306</v>
      </c>
    </row>
    <row r="229" spans="1:44">
      <c r="A229" s="1">
        <f>HYPERLINK("https://lsnyc.legalserver.org/matter/dynamic-profile/view/1889689","19-1889689")</f>
        <v>0</v>
      </c>
      <c r="B229" t="s">
        <v>271</v>
      </c>
      <c r="C229" t="s">
        <v>535</v>
      </c>
      <c r="D229" t="s">
        <v>545</v>
      </c>
      <c r="E229" t="s">
        <v>561</v>
      </c>
      <c r="F229" t="s">
        <v>580</v>
      </c>
      <c r="G229" t="s">
        <v>581</v>
      </c>
      <c r="H229">
        <v>192.15</v>
      </c>
      <c r="I229" t="s">
        <v>670</v>
      </c>
      <c r="K229" t="s">
        <v>582</v>
      </c>
      <c r="L229" t="s">
        <v>816</v>
      </c>
      <c r="N229" t="s">
        <v>820</v>
      </c>
      <c r="O229" t="s">
        <v>825</v>
      </c>
      <c r="P229" t="s">
        <v>828</v>
      </c>
      <c r="Q229">
        <v>11367</v>
      </c>
      <c r="R229" t="s">
        <v>835</v>
      </c>
      <c r="S229" t="s">
        <v>861</v>
      </c>
      <c r="T229" t="s">
        <v>1070</v>
      </c>
      <c r="U229" t="s">
        <v>1479</v>
      </c>
      <c r="W229" t="s">
        <v>1684</v>
      </c>
      <c r="X229">
        <v>4.9</v>
      </c>
      <c r="Y229">
        <v>0</v>
      </c>
      <c r="Z229">
        <v>1</v>
      </c>
      <c r="AA229" t="s">
        <v>1691</v>
      </c>
      <c r="AB229" t="s">
        <v>1918</v>
      </c>
      <c r="AC229">
        <v>69</v>
      </c>
      <c r="AD229" t="s">
        <v>2218</v>
      </c>
      <c r="AI229" t="s">
        <v>581</v>
      </c>
      <c r="AJ229" t="s">
        <v>2511</v>
      </c>
      <c r="AL229" t="s">
        <v>2520</v>
      </c>
      <c r="AM229" t="s">
        <v>2523</v>
      </c>
      <c r="AR229">
        <v>1890321</v>
      </c>
    </row>
    <row r="230" spans="1:44">
      <c r="A230" s="1">
        <f>HYPERLINK("https://lsnyc.legalserver.org/matter/dynamic-profile/view/1889594","19-1889594")</f>
        <v>0</v>
      </c>
      <c r="B230" t="s">
        <v>272</v>
      </c>
      <c r="C230" t="s">
        <v>537</v>
      </c>
      <c r="D230" t="s">
        <v>545</v>
      </c>
      <c r="E230" t="s">
        <v>568</v>
      </c>
      <c r="F230" t="s">
        <v>581</v>
      </c>
      <c r="G230" t="s">
        <v>581</v>
      </c>
      <c r="H230">
        <v>0</v>
      </c>
      <c r="I230" t="s">
        <v>671</v>
      </c>
      <c r="J230" t="s">
        <v>611</v>
      </c>
      <c r="K230" t="s">
        <v>582</v>
      </c>
      <c r="L230" t="s">
        <v>816</v>
      </c>
      <c r="N230" t="s">
        <v>820</v>
      </c>
      <c r="O230" t="s">
        <v>825</v>
      </c>
      <c r="P230" t="s">
        <v>828</v>
      </c>
      <c r="Q230">
        <v>11101</v>
      </c>
      <c r="S230" t="s">
        <v>861</v>
      </c>
      <c r="T230" t="s">
        <v>1071</v>
      </c>
      <c r="U230" t="s">
        <v>1447</v>
      </c>
      <c r="V230" t="s">
        <v>1681</v>
      </c>
      <c r="W230" t="s">
        <v>1685</v>
      </c>
      <c r="X230">
        <v>23</v>
      </c>
      <c r="Y230">
        <v>0</v>
      </c>
      <c r="Z230">
        <v>1</v>
      </c>
      <c r="AA230" t="s">
        <v>1692</v>
      </c>
      <c r="AB230" t="s">
        <v>1919</v>
      </c>
      <c r="AC230">
        <v>50</v>
      </c>
      <c r="AD230" t="s">
        <v>2171</v>
      </c>
      <c r="AG230" t="s">
        <v>2367</v>
      </c>
      <c r="AH230" t="s">
        <v>2409</v>
      </c>
      <c r="AI230" t="s">
        <v>582</v>
      </c>
      <c r="AJ230" t="s">
        <v>2512</v>
      </c>
      <c r="AL230" t="s">
        <v>2521</v>
      </c>
      <c r="AM230" t="s">
        <v>2525</v>
      </c>
      <c r="AO230" t="s">
        <v>2528</v>
      </c>
      <c r="AR230">
        <v>1890226</v>
      </c>
    </row>
    <row r="231" spans="1:44">
      <c r="A231" s="1">
        <f>HYPERLINK("https://lsnyc.legalserver.org/matter/dynamic-profile/view/1889602","19-1889602")</f>
        <v>0</v>
      </c>
      <c r="B231" t="s">
        <v>273</v>
      </c>
      <c r="C231" t="s">
        <v>536</v>
      </c>
      <c r="D231" t="s">
        <v>544</v>
      </c>
      <c r="E231" t="s">
        <v>566</v>
      </c>
      <c r="F231" t="s">
        <v>580</v>
      </c>
      <c r="G231" t="s">
        <v>581</v>
      </c>
      <c r="H231">
        <v>144.12</v>
      </c>
      <c r="I231" t="s">
        <v>671</v>
      </c>
      <c r="J231" t="s">
        <v>591</v>
      </c>
      <c r="K231" t="s">
        <v>582</v>
      </c>
      <c r="L231" t="s">
        <v>816</v>
      </c>
      <c r="N231" t="s">
        <v>820</v>
      </c>
      <c r="O231" t="s">
        <v>824</v>
      </c>
      <c r="P231" t="s">
        <v>828</v>
      </c>
      <c r="Q231">
        <v>11207</v>
      </c>
      <c r="S231" t="s">
        <v>861</v>
      </c>
      <c r="T231" t="s">
        <v>1072</v>
      </c>
      <c r="U231" t="s">
        <v>1480</v>
      </c>
      <c r="V231" t="s">
        <v>1678</v>
      </c>
      <c r="W231" t="s">
        <v>1684</v>
      </c>
      <c r="X231">
        <v>1.75</v>
      </c>
      <c r="Y231">
        <v>0</v>
      </c>
      <c r="Z231">
        <v>1</v>
      </c>
      <c r="AA231" t="s">
        <v>1692</v>
      </c>
      <c r="AB231" t="s">
        <v>1920</v>
      </c>
      <c r="AC231">
        <v>32</v>
      </c>
      <c r="AD231" t="s">
        <v>2178</v>
      </c>
      <c r="AI231" t="s">
        <v>581</v>
      </c>
      <c r="AJ231" t="s">
        <v>2511</v>
      </c>
      <c r="AL231" t="s">
        <v>2520</v>
      </c>
      <c r="AM231" t="s">
        <v>2523</v>
      </c>
      <c r="AR231">
        <v>1890234</v>
      </c>
    </row>
    <row r="232" spans="1:44">
      <c r="A232" s="1">
        <f>HYPERLINK("https://lsnyc.legalserver.org/matter/dynamic-profile/view/1889586","19-1889586")</f>
        <v>0</v>
      </c>
      <c r="B232" t="s">
        <v>274</v>
      </c>
      <c r="C232" t="s">
        <v>535</v>
      </c>
      <c r="D232" t="s">
        <v>544</v>
      </c>
      <c r="E232" t="s">
        <v>561</v>
      </c>
      <c r="F232" t="s">
        <v>580</v>
      </c>
      <c r="G232" t="s">
        <v>581</v>
      </c>
      <c r="H232">
        <v>56.2</v>
      </c>
      <c r="I232" t="s">
        <v>671</v>
      </c>
      <c r="J232" t="s">
        <v>588</v>
      </c>
      <c r="K232" t="s">
        <v>582</v>
      </c>
      <c r="L232" t="s">
        <v>816</v>
      </c>
      <c r="N232" t="s">
        <v>820</v>
      </c>
      <c r="O232" t="s">
        <v>825</v>
      </c>
      <c r="P232" t="s">
        <v>828</v>
      </c>
      <c r="Q232">
        <v>11210</v>
      </c>
      <c r="R232" t="s">
        <v>835</v>
      </c>
      <c r="S232" t="s">
        <v>861</v>
      </c>
      <c r="T232" t="s">
        <v>1073</v>
      </c>
      <c r="U232" t="s">
        <v>1481</v>
      </c>
      <c r="V232" t="s">
        <v>1678</v>
      </c>
      <c r="W232" t="s">
        <v>1687</v>
      </c>
      <c r="X232">
        <v>3.95</v>
      </c>
      <c r="Y232">
        <v>0</v>
      </c>
      <c r="Z232">
        <v>1</v>
      </c>
      <c r="AA232" t="s">
        <v>1692</v>
      </c>
      <c r="AB232" t="s">
        <v>1921</v>
      </c>
      <c r="AC232">
        <v>58</v>
      </c>
      <c r="AD232" t="s">
        <v>2273</v>
      </c>
      <c r="AH232" t="s">
        <v>2428</v>
      </c>
      <c r="AI232" t="s">
        <v>581</v>
      </c>
      <c r="AJ232" t="s">
        <v>2511</v>
      </c>
      <c r="AK232" t="s">
        <v>2514</v>
      </c>
      <c r="AL232" t="s">
        <v>2520</v>
      </c>
      <c r="AM232" t="s">
        <v>2523</v>
      </c>
      <c r="AR232">
        <v>273917</v>
      </c>
    </row>
    <row r="233" spans="1:44">
      <c r="A233" s="1">
        <f>HYPERLINK("https://lsnyc.legalserver.org/matter/dynamic-profile/view/1889426","19-1889426")</f>
        <v>0</v>
      </c>
      <c r="B233" t="s">
        <v>275</v>
      </c>
      <c r="C233" t="s">
        <v>537</v>
      </c>
      <c r="D233" t="s">
        <v>545</v>
      </c>
      <c r="E233" t="s">
        <v>568</v>
      </c>
      <c r="F233" t="s">
        <v>581</v>
      </c>
      <c r="G233" t="s">
        <v>581</v>
      </c>
      <c r="H233">
        <v>0</v>
      </c>
      <c r="I233" t="s">
        <v>672</v>
      </c>
      <c r="J233" t="s">
        <v>599</v>
      </c>
      <c r="K233" t="s">
        <v>581</v>
      </c>
      <c r="L233" t="s">
        <v>816</v>
      </c>
      <c r="N233" t="s">
        <v>820</v>
      </c>
      <c r="O233" t="s">
        <v>824</v>
      </c>
      <c r="P233" t="s">
        <v>828</v>
      </c>
      <c r="Q233">
        <v>11419</v>
      </c>
      <c r="S233" t="s">
        <v>861</v>
      </c>
      <c r="T233" t="s">
        <v>1031</v>
      </c>
      <c r="U233" t="s">
        <v>1482</v>
      </c>
      <c r="V233" t="s">
        <v>1678</v>
      </c>
      <c r="W233" t="s">
        <v>1684</v>
      </c>
      <c r="X233">
        <v>3.75</v>
      </c>
      <c r="Y233">
        <v>0</v>
      </c>
      <c r="Z233">
        <v>1</v>
      </c>
      <c r="AA233" t="s">
        <v>1692</v>
      </c>
      <c r="AB233" t="s">
        <v>1922</v>
      </c>
      <c r="AC233">
        <v>55</v>
      </c>
      <c r="AD233" t="s">
        <v>2171</v>
      </c>
      <c r="AJ233" t="s">
        <v>2511</v>
      </c>
      <c r="AK233" t="s">
        <v>2514</v>
      </c>
      <c r="AM233" t="s">
        <v>2523</v>
      </c>
      <c r="AR233">
        <v>1888481</v>
      </c>
    </row>
    <row r="234" spans="1:44">
      <c r="A234" s="1">
        <f>HYPERLINK("https://lsnyc.legalserver.org/matter/dynamic-profile/view/1889457","19-1889457")</f>
        <v>0</v>
      </c>
      <c r="B234" t="s">
        <v>276</v>
      </c>
      <c r="C234" t="s">
        <v>536</v>
      </c>
      <c r="D234" t="s">
        <v>545</v>
      </c>
      <c r="E234" t="s">
        <v>562</v>
      </c>
      <c r="F234" t="s">
        <v>580</v>
      </c>
      <c r="G234" t="s">
        <v>581</v>
      </c>
      <c r="H234">
        <v>0</v>
      </c>
      <c r="I234" t="s">
        <v>672</v>
      </c>
      <c r="J234" t="s">
        <v>595</v>
      </c>
      <c r="K234" t="s">
        <v>581</v>
      </c>
      <c r="L234" t="s">
        <v>816</v>
      </c>
      <c r="M234" t="s">
        <v>816</v>
      </c>
      <c r="N234" t="s">
        <v>821</v>
      </c>
      <c r="O234" t="s">
        <v>825</v>
      </c>
      <c r="P234" t="s">
        <v>833</v>
      </c>
      <c r="Q234">
        <v>11385</v>
      </c>
      <c r="R234" t="s">
        <v>847</v>
      </c>
      <c r="S234" t="s">
        <v>863</v>
      </c>
      <c r="T234" t="s">
        <v>1074</v>
      </c>
      <c r="U234" t="s">
        <v>1483</v>
      </c>
      <c r="V234" t="s">
        <v>1678</v>
      </c>
      <c r="W234" t="s">
        <v>1684</v>
      </c>
      <c r="X234">
        <v>5.6</v>
      </c>
      <c r="Y234">
        <v>0</v>
      </c>
      <c r="Z234">
        <v>1</v>
      </c>
      <c r="AA234" t="s">
        <v>1692</v>
      </c>
      <c r="AB234" t="s">
        <v>1923</v>
      </c>
      <c r="AC234">
        <v>44</v>
      </c>
      <c r="AD234" t="s">
        <v>2171</v>
      </c>
      <c r="AH234" t="s">
        <v>2391</v>
      </c>
      <c r="AI234" t="s">
        <v>581</v>
      </c>
      <c r="AJ234" t="s">
        <v>2512</v>
      </c>
      <c r="AK234" t="s">
        <v>2514</v>
      </c>
      <c r="AL234" t="s">
        <v>2520</v>
      </c>
      <c r="AM234" t="s">
        <v>2523</v>
      </c>
      <c r="AR234">
        <v>1890089</v>
      </c>
    </row>
    <row r="235" spans="1:44">
      <c r="A235" s="1">
        <f>HYPERLINK("https://lsnyc.legalserver.org/matter/dynamic-profile/view/1889437","19-1889437")</f>
        <v>0</v>
      </c>
      <c r="B235" t="s">
        <v>277</v>
      </c>
      <c r="C235" t="s">
        <v>535</v>
      </c>
      <c r="D235" t="s">
        <v>542</v>
      </c>
      <c r="E235" t="s">
        <v>561</v>
      </c>
      <c r="F235" t="s">
        <v>580</v>
      </c>
      <c r="G235" t="s">
        <v>581</v>
      </c>
      <c r="H235">
        <v>26.9</v>
      </c>
      <c r="I235" t="s">
        <v>672</v>
      </c>
      <c r="J235" t="s">
        <v>796</v>
      </c>
      <c r="K235" t="s">
        <v>581</v>
      </c>
      <c r="L235" t="s">
        <v>816</v>
      </c>
      <c r="N235" t="s">
        <v>820</v>
      </c>
      <c r="O235" t="s">
        <v>824</v>
      </c>
      <c r="P235" t="s">
        <v>828</v>
      </c>
      <c r="Q235">
        <v>10305</v>
      </c>
      <c r="R235" t="s">
        <v>835</v>
      </c>
      <c r="S235" t="s">
        <v>861</v>
      </c>
      <c r="T235" t="s">
        <v>1075</v>
      </c>
      <c r="U235" t="s">
        <v>1484</v>
      </c>
      <c r="V235" t="s">
        <v>1678</v>
      </c>
      <c r="W235" t="s">
        <v>1684</v>
      </c>
      <c r="X235">
        <v>2.6</v>
      </c>
      <c r="Y235">
        <v>0</v>
      </c>
      <c r="Z235">
        <v>1</v>
      </c>
      <c r="AA235" t="s">
        <v>1692</v>
      </c>
      <c r="AB235" t="s">
        <v>1924</v>
      </c>
      <c r="AC235">
        <v>35</v>
      </c>
      <c r="AD235" t="s">
        <v>2274</v>
      </c>
      <c r="AI235" t="s">
        <v>581</v>
      </c>
      <c r="AJ235" t="s">
        <v>2511</v>
      </c>
      <c r="AL235" t="s">
        <v>2520</v>
      </c>
      <c r="AM235" t="s">
        <v>2523</v>
      </c>
      <c r="AR235">
        <v>1890069</v>
      </c>
    </row>
    <row r="236" spans="1:44">
      <c r="A236" s="1">
        <f>HYPERLINK("https://lsnyc.legalserver.org/matter/dynamic-profile/view/1889458","19-1889458")</f>
        <v>0</v>
      </c>
      <c r="B236" t="s">
        <v>278</v>
      </c>
      <c r="C236" t="s">
        <v>535</v>
      </c>
      <c r="D236" t="s">
        <v>541</v>
      </c>
      <c r="E236" t="s">
        <v>563</v>
      </c>
      <c r="F236" t="s">
        <v>580</v>
      </c>
      <c r="G236" t="s">
        <v>581</v>
      </c>
      <c r="H236">
        <v>0</v>
      </c>
      <c r="I236" t="s">
        <v>672</v>
      </c>
      <c r="K236" t="s">
        <v>581</v>
      </c>
      <c r="L236" t="s">
        <v>816</v>
      </c>
      <c r="N236" t="s">
        <v>820</v>
      </c>
      <c r="O236" t="s">
        <v>824</v>
      </c>
      <c r="P236" t="s">
        <v>828</v>
      </c>
      <c r="Q236">
        <v>10040</v>
      </c>
      <c r="S236" t="s">
        <v>863</v>
      </c>
      <c r="T236" t="s">
        <v>1076</v>
      </c>
      <c r="U236" t="s">
        <v>1485</v>
      </c>
      <c r="X236">
        <v>15</v>
      </c>
      <c r="Y236">
        <v>0</v>
      </c>
      <c r="Z236">
        <v>1</v>
      </c>
      <c r="AA236" t="s">
        <v>1691</v>
      </c>
      <c r="AB236" t="s">
        <v>1925</v>
      </c>
      <c r="AC236">
        <v>52</v>
      </c>
      <c r="AD236" t="s">
        <v>2171</v>
      </c>
      <c r="AI236" t="s">
        <v>582</v>
      </c>
      <c r="AJ236" t="s">
        <v>2512</v>
      </c>
      <c r="AL236" t="s">
        <v>2519</v>
      </c>
      <c r="AM236" t="s">
        <v>2522</v>
      </c>
      <c r="AP236" t="s">
        <v>581</v>
      </c>
      <c r="AR236">
        <v>1890075</v>
      </c>
    </row>
    <row r="237" spans="1:44">
      <c r="A237" s="1">
        <f>HYPERLINK("https://lsnyc.legalserver.org/matter/dynamic-profile/view/1889551","19-1889551")</f>
        <v>0</v>
      </c>
      <c r="B237" t="s">
        <v>279</v>
      </c>
      <c r="C237" t="s">
        <v>535</v>
      </c>
      <c r="D237" t="s">
        <v>544</v>
      </c>
      <c r="E237" t="s">
        <v>563</v>
      </c>
      <c r="F237" t="s">
        <v>580</v>
      </c>
      <c r="G237" t="s">
        <v>581</v>
      </c>
      <c r="H237">
        <v>85.16</v>
      </c>
      <c r="I237" t="s">
        <v>672</v>
      </c>
      <c r="L237" t="s">
        <v>816</v>
      </c>
      <c r="N237" t="s">
        <v>821</v>
      </c>
      <c r="O237" t="s">
        <v>824</v>
      </c>
      <c r="P237" t="s">
        <v>829</v>
      </c>
      <c r="Q237">
        <v>11229</v>
      </c>
      <c r="S237" t="s">
        <v>861</v>
      </c>
      <c r="T237" t="s">
        <v>1077</v>
      </c>
      <c r="U237" t="s">
        <v>1486</v>
      </c>
      <c r="W237" t="s">
        <v>1689</v>
      </c>
      <c r="X237">
        <v>2.4</v>
      </c>
      <c r="Y237">
        <v>1</v>
      </c>
      <c r="Z237">
        <v>1</v>
      </c>
      <c r="AA237" t="s">
        <v>1691</v>
      </c>
      <c r="AB237" t="s">
        <v>1897</v>
      </c>
      <c r="AC237">
        <v>29</v>
      </c>
      <c r="AD237" t="s">
        <v>2181</v>
      </c>
      <c r="AI237" t="s">
        <v>582</v>
      </c>
      <c r="AJ237" t="s">
        <v>2512</v>
      </c>
      <c r="AL237" t="s">
        <v>2519</v>
      </c>
      <c r="AM237" t="s">
        <v>2522</v>
      </c>
      <c r="AP237" t="s">
        <v>581</v>
      </c>
      <c r="AR237">
        <v>1890183</v>
      </c>
    </row>
    <row r="238" spans="1:44">
      <c r="A238" s="1">
        <f>HYPERLINK("https://lsnyc.legalserver.org/matter/dynamic-profile/view/1889308","19-1889308")</f>
        <v>0</v>
      </c>
      <c r="B238" t="s">
        <v>280</v>
      </c>
      <c r="C238" t="s">
        <v>539</v>
      </c>
      <c r="D238" t="s">
        <v>545</v>
      </c>
      <c r="E238" t="s">
        <v>571</v>
      </c>
      <c r="F238" t="s">
        <v>580</v>
      </c>
      <c r="G238" t="s">
        <v>581</v>
      </c>
      <c r="H238">
        <v>147.6</v>
      </c>
      <c r="I238" t="s">
        <v>673</v>
      </c>
      <c r="J238" t="s">
        <v>643</v>
      </c>
      <c r="K238" t="s">
        <v>581</v>
      </c>
      <c r="L238" t="s">
        <v>816</v>
      </c>
      <c r="N238" t="s">
        <v>821</v>
      </c>
      <c r="O238" t="s">
        <v>825</v>
      </c>
      <c r="P238" t="s">
        <v>833</v>
      </c>
      <c r="Q238">
        <v>11385</v>
      </c>
      <c r="S238" t="s">
        <v>861</v>
      </c>
      <c r="T238" t="s">
        <v>1078</v>
      </c>
      <c r="U238" t="s">
        <v>1487</v>
      </c>
      <c r="V238" t="s">
        <v>1678</v>
      </c>
      <c r="X238">
        <v>1.95</v>
      </c>
      <c r="Y238">
        <v>0</v>
      </c>
      <c r="Z238">
        <v>2</v>
      </c>
      <c r="AA238" t="s">
        <v>1692</v>
      </c>
      <c r="AB238" t="s">
        <v>1926</v>
      </c>
      <c r="AC238">
        <v>51</v>
      </c>
      <c r="AD238" t="s">
        <v>2275</v>
      </c>
      <c r="AH238" t="s">
        <v>2416</v>
      </c>
      <c r="AJ238" t="s">
        <v>2511</v>
      </c>
      <c r="AK238" t="s">
        <v>2514</v>
      </c>
      <c r="AM238" t="s">
        <v>2523</v>
      </c>
      <c r="AR238">
        <v>1880875</v>
      </c>
    </row>
    <row r="239" spans="1:44">
      <c r="A239" s="1">
        <f>HYPERLINK("https://lsnyc.legalserver.org/matter/dynamic-profile/view/1889311","19-1889311")</f>
        <v>0</v>
      </c>
      <c r="B239" t="s">
        <v>281</v>
      </c>
      <c r="C239" t="s">
        <v>535</v>
      </c>
      <c r="D239" t="s">
        <v>544</v>
      </c>
      <c r="E239" t="s">
        <v>561</v>
      </c>
      <c r="F239" t="s">
        <v>580</v>
      </c>
      <c r="G239" t="s">
        <v>581</v>
      </c>
      <c r="H239">
        <v>37.76</v>
      </c>
      <c r="I239" t="s">
        <v>673</v>
      </c>
      <c r="J239" t="s">
        <v>620</v>
      </c>
      <c r="K239" t="s">
        <v>582</v>
      </c>
      <c r="L239" t="s">
        <v>816</v>
      </c>
      <c r="N239" t="s">
        <v>820</v>
      </c>
      <c r="O239" t="s">
        <v>824</v>
      </c>
      <c r="P239" t="s">
        <v>828</v>
      </c>
      <c r="Q239">
        <v>11219</v>
      </c>
      <c r="R239" t="s">
        <v>835</v>
      </c>
      <c r="S239" t="s">
        <v>861</v>
      </c>
      <c r="T239" t="s">
        <v>1079</v>
      </c>
      <c r="U239" t="s">
        <v>1488</v>
      </c>
      <c r="V239" t="s">
        <v>1681</v>
      </c>
      <c r="W239" t="s">
        <v>1685</v>
      </c>
      <c r="X239">
        <v>26.15</v>
      </c>
      <c r="Y239">
        <v>0</v>
      </c>
      <c r="Z239">
        <v>1</v>
      </c>
      <c r="AA239" t="s">
        <v>1692</v>
      </c>
      <c r="AB239" t="s">
        <v>1927</v>
      </c>
      <c r="AC239">
        <v>55</v>
      </c>
      <c r="AD239" t="s">
        <v>2276</v>
      </c>
      <c r="AG239" t="s">
        <v>2366</v>
      </c>
      <c r="AI239" t="s">
        <v>582</v>
      </c>
      <c r="AJ239" t="s">
        <v>2512</v>
      </c>
      <c r="AL239" t="s">
        <v>2521</v>
      </c>
      <c r="AM239" t="s">
        <v>2525</v>
      </c>
      <c r="AO239" t="s">
        <v>2528</v>
      </c>
      <c r="AR239">
        <v>1889943</v>
      </c>
    </row>
    <row r="240" spans="1:44">
      <c r="A240" s="1">
        <f>HYPERLINK("https://lsnyc.legalserver.org/matter/dynamic-profile/view/1889317","19-1889317")</f>
        <v>0</v>
      </c>
      <c r="B240" t="s">
        <v>282</v>
      </c>
      <c r="C240" t="s">
        <v>537</v>
      </c>
      <c r="D240" t="s">
        <v>545</v>
      </c>
      <c r="E240" t="s">
        <v>568</v>
      </c>
      <c r="F240" t="s">
        <v>581</v>
      </c>
      <c r="G240" t="s">
        <v>581</v>
      </c>
      <c r="H240">
        <v>0</v>
      </c>
      <c r="I240" t="s">
        <v>673</v>
      </c>
      <c r="J240" t="s">
        <v>601</v>
      </c>
      <c r="K240" t="s">
        <v>582</v>
      </c>
      <c r="L240" t="s">
        <v>816</v>
      </c>
      <c r="N240" t="s">
        <v>820</v>
      </c>
      <c r="O240" t="s">
        <v>825</v>
      </c>
      <c r="P240" t="s">
        <v>828</v>
      </c>
      <c r="Q240">
        <v>11103</v>
      </c>
      <c r="S240" t="s">
        <v>861</v>
      </c>
      <c r="T240" t="s">
        <v>1080</v>
      </c>
      <c r="U240" t="s">
        <v>1489</v>
      </c>
      <c r="V240" t="s">
        <v>1678</v>
      </c>
      <c r="W240" t="s">
        <v>1684</v>
      </c>
      <c r="X240">
        <v>0.75</v>
      </c>
      <c r="Y240">
        <v>0</v>
      </c>
      <c r="Z240">
        <v>1</v>
      </c>
      <c r="AA240" t="s">
        <v>1692</v>
      </c>
      <c r="AB240" t="s">
        <v>1928</v>
      </c>
      <c r="AC240">
        <v>39</v>
      </c>
      <c r="AD240" t="s">
        <v>2171</v>
      </c>
      <c r="AJ240" t="s">
        <v>2511</v>
      </c>
      <c r="AK240" t="s">
        <v>2514</v>
      </c>
      <c r="AM240" t="s">
        <v>2523</v>
      </c>
      <c r="AR240">
        <v>1889949</v>
      </c>
    </row>
    <row r="241" spans="1:44">
      <c r="A241" s="1">
        <f>HYPERLINK("https://lsnyc.legalserver.org/matter/dynamic-profile/view/1889347","19-1889347")</f>
        <v>0</v>
      </c>
      <c r="B241" t="s">
        <v>283</v>
      </c>
      <c r="C241" t="s">
        <v>537</v>
      </c>
      <c r="D241" t="s">
        <v>545</v>
      </c>
      <c r="E241" t="s">
        <v>568</v>
      </c>
      <c r="F241" t="s">
        <v>581</v>
      </c>
      <c r="G241" t="s">
        <v>581</v>
      </c>
      <c r="H241">
        <v>0</v>
      </c>
      <c r="I241" t="s">
        <v>673</v>
      </c>
      <c r="J241" t="s">
        <v>601</v>
      </c>
      <c r="K241" t="s">
        <v>582</v>
      </c>
      <c r="L241" t="s">
        <v>816</v>
      </c>
      <c r="N241" t="s">
        <v>820</v>
      </c>
      <c r="O241" t="s">
        <v>824</v>
      </c>
      <c r="P241" t="s">
        <v>828</v>
      </c>
      <c r="Q241">
        <v>11368</v>
      </c>
      <c r="S241" t="s">
        <v>863</v>
      </c>
      <c r="T241" t="s">
        <v>1062</v>
      </c>
      <c r="U241" t="s">
        <v>1490</v>
      </c>
      <c r="V241" t="s">
        <v>1678</v>
      </c>
      <c r="W241" t="s">
        <v>1684</v>
      </c>
      <c r="X241">
        <v>1.66</v>
      </c>
      <c r="Y241">
        <v>1</v>
      </c>
      <c r="Z241">
        <v>2</v>
      </c>
      <c r="AA241" t="s">
        <v>1692</v>
      </c>
      <c r="AB241" t="s">
        <v>1929</v>
      </c>
      <c r="AC241">
        <v>44</v>
      </c>
      <c r="AD241" t="s">
        <v>2171</v>
      </c>
      <c r="AJ241" t="s">
        <v>2511</v>
      </c>
      <c r="AK241" t="s">
        <v>2514</v>
      </c>
      <c r="AM241" t="s">
        <v>2523</v>
      </c>
      <c r="AR241">
        <v>1889979</v>
      </c>
    </row>
    <row r="242" spans="1:44">
      <c r="A242" s="1">
        <f>HYPERLINK("https://lsnyc.legalserver.org/matter/dynamic-profile/view/1889352","19-1889352")</f>
        <v>0</v>
      </c>
      <c r="B242" t="s">
        <v>284</v>
      </c>
      <c r="C242" t="s">
        <v>537</v>
      </c>
      <c r="D242" t="s">
        <v>545</v>
      </c>
      <c r="E242" t="s">
        <v>568</v>
      </c>
      <c r="F242" t="s">
        <v>581</v>
      </c>
      <c r="G242" t="s">
        <v>581</v>
      </c>
      <c r="H242">
        <v>76.86</v>
      </c>
      <c r="I242" t="s">
        <v>673</v>
      </c>
      <c r="J242" t="s">
        <v>599</v>
      </c>
      <c r="K242" t="s">
        <v>582</v>
      </c>
      <c r="L242" t="s">
        <v>816</v>
      </c>
      <c r="N242" t="s">
        <v>820</v>
      </c>
      <c r="O242" t="s">
        <v>824</v>
      </c>
      <c r="P242" t="s">
        <v>828</v>
      </c>
      <c r="Q242">
        <v>11368</v>
      </c>
      <c r="S242" t="s">
        <v>861</v>
      </c>
      <c r="T242" t="s">
        <v>1031</v>
      </c>
      <c r="U242" t="s">
        <v>1491</v>
      </c>
      <c r="V242" t="s">
        <v>1678</v>
      </c>
      <c r="W242" t="s">
        <v>1684</v>
      </c>
      <c r="X242">
        <v>3</v>
      </c>
      <c r="Y242">
        <v>0</v>
      </c>
      <c r="Z242">
        <v>1</v>
      </c>
      <c r="AA242" t="s">
        <v>1692</v>
      </c>
      <c r="AB242" t="s">
        <v>1930</v>
      </c>
      <c r="AC242">
        <v>66</v>
      </c>
      <c r="AD242" t="s">
        <v>2184</v>
      </c>
      <c r="AJ242" t="s">
        <v>2511</v>
      </c>
      <c r="AK242" t="s">
        <v>2514</v>
      </c>
      <c r="AM242" t="s">
        <v>2523</v>
      </c>
      <c r="AR242">
        <v>1889984</v>
      </c>
    </row>
    <row r="243" spans="1:44">
      <c r="A243" s="1">
        <f>HYPERLINK("https://lsnyc.legalserver.org/matter/dynamic-profile/view/1889396","19-1889396")</f>
        <v>0</v>
      </c>
      <c r="B243" t="s">
        <v>285</v>
      </c>
      <c r="C243" t="s">
        <v>537</v>
      </c>
      <c r="D243" t="s">
        <v>545</v>
      </c>
      <c r="E243" t="s">
        <v>568</v>
      </c>
      <c r="F243" t="s">
        <v>581</v>
      </c>
      <c r="G243" t="s">
        <v>581</v>
      </c>
      <c r="H243">
        <v>145.72</v>
      </c>
      <c r="I243" t="s">
        <v>673</v>
      </c>
      <c r="J243" t="s">
        <v>599</v>
      </c>
      <c r="K243" t="s">
        <v>582</v>
      </c>
      <c r="L243" t="s">
        <v>816</v>
      </c>
      <c r="N243" t="s">
        <v>820</v>
      </c>
      <c r="O243" t="s">
        <v>825</v>
      </c>
      <c r="P243" t="s">
        <v>828</v>
      </c>
      <c r="Q243">
        <v>11436</v>
      </c>
      <c r="S243" t="s">
        <v>861</v>
      </c>
      <c r="T243" t="s">
        <v>1081</v>
      </c>
      <c r="U243" t="s">
        <v>1492</v>
      </c>
      <c r="V243" t="s">
        <v>1678</v>
      </c>
      <c r="W243" t="s">
        <v>1684</v>
      </c>
      <c r="X243">
        <v>1.5</v>
      </c>
      <c r="Y243">
        <v>0</v>
      </c>
      <c r="Z243">
        <v>1</v>
      </c>
      <c r="AA243" t="s">
        <v>1692</v>
      </c>
      <c r="AB243" t="s">
        <v>1931</v>
      </c>
      <c r="AC243">
        <v>58</v>
      </c>
      <c r="AD243" t="s">
        <v>2179</v>
      </c>
      <c r="AJ243" t="s">
        <v>2511</v>
      </c>
      <c r="AK243" t="s">
        <v>2514</v>
      </c>
      <c r="AM243" t="s">
        <v>2523</v>
      </c>
      <c r="AR243">
        <v>1890028</v>
      </c>
    </row>
    <row r="244" spans="1:44">
      <c r="A244" s="1">
        <f>HYPERLINK("https://lsnyc.legalserver.org/matter/dynamic-profile/view/1889336","19-1889336")</f>
        <v>0</v>
      </c>
      <c r="B244" t="s">
        <v>98</v>
      </c>
      <c r="C244" t="s">
        <v>535</v>
      </c>
      <c r="D244" t="s">
        <v>541</v>
      </c>
      <c r="E244" t="s">
        <v>570</v>
      </c>
      <c r="F244" t="s">
        <v>580</v>
      </c>
      <c r="G244" t="s">
        <v>581</v>
      </c>
      <c r="H244">
        <v>60.13</v>
      </c>
      <c r="I244" t="s">
        <v>673</v>
      </c>
      <c r="J244" t="s">
        <v>598</v>
      </c>
      <c r="L244" t="s">
        <v>816</v>
      </c>
      <c r="N244" t="s">
        <v>821</v>
      </c>
      <c r="O244" t="s">
        <v>824</v>
      </c>
      <c r="P244" t="s">
        <v>833</v>
      </c>
      <c r="Q244">
        <v>10030</v>
      </c>
      <c r="R244" t="s">
        <v>844</v>
      </c>
      <c r="S244" t="s">
        <v>861</v>
      </c>
      <c r="T244" t="s">
        <v>924</v>
      </c>
      <c r="U244" t="s">
        <v>1335</v>
      </c>
      <c r="V244" t="s">
        <v>1679</v>
      </c>
      <c r="W244" t="s">
        <v>1686</v>
      </c>
      <c r="X244">
        <v>19.4</v>
      </c>
      <c r="Y244">
        <v>4</v>
      </c>
      <c r="Z244">
        <v>2</v>
      </c>
      <c r="AA244" t="s">
        <v>1692</v>
      </c>
      <c r="AB244" t="s">
        <v>1747</v>
      </c>
      <c r="AC244">
        <v>36</v>
      </c>
      <c r="AD244" t="s">
        <v>2201</v>
      </c>
      <c r="AH244" t="s">
        <v>2429</v>
      </c>
      <c r="AI244" t="s">
        <v>582</v>
      </c>
      <c r="AJ244" t="s">
        <v>2512</v>
      </c>
      <c r="AL244" t="s">
        <v>2521</v>
      </c>
      <c r="AM244" t="s">
        <v>2527</v>
      </c>
      <c r="AR244">
        <v>1879658</v>
      </c>
    </row>
    <row r="245" spans="1:44">
      <c r="A245" s="1">
        <f>HYPERLINK("https://lsnyc.legalserver.org/matter/dynamic-profile/view/1889319","19-1889319")</f>
        <v>0</v>
      </c>
      <c r="B245" t="s">
        <v>286</v>
      </c>
      <c r="C245" t="s">
        <v>535</v>
      </c>
      <c r="D245" t="s">
        <v>552</v>
      </c>
      <c r="E245" t="s">
        <v>561</v>
      </c>
      <c r="F245" t="s">
        <v>580</v>
      </c>
      <c r="G245" t="s">
        <v>581</v>
      </c>
      <c r="H245">
        <v>0</v>
      </c>
      <c r="I245" t="s">
        <v>673</v>
      </c>
      <c r="J245" t="s">
        <v>781</v>
      </c>
      <c r="K245" t="s">
        <v>582</v>
      </c>
      <c r="L245" t="s">
        <v>816</v>
      </c>
      <c r="N245" t="s">
        <v>820</v>
      </c>
      <c r="O245" t="s">
        <v>825</v>
      </c>
      <c r="P245" t="s">
        <v>828</v>
      </c>
      <c r="Q245">
        <v>10701</v>
      </c>
      <c r="R245" t="s">
        <v>835</v>
      </c>
      <c r="S245" t="s">
        <v>861</v>
      </c>
      <c r="T245" t="s">
        <v>1082</v>
      </c>
      <c r="U245" t="s">
        <v>1493</v>
      </c>
      <c r="V245" t="s">
        <v>1678</v>
      </c>
      <c r="W245" t="s">
        <v>1684</v>
      </c>
      <c r="X245">
        <v>4.65</v>
      </c>
      <c r="Y245">
        <v>0</v>
      </c>
      <c r="Z245">
        <v>1</v>
      </c>
      <c r="AA245" t="s">
        <v>1692</v>
      </c>
      <c r="AB245" t="s">
        <v>1932</v>
      </c>
      <c r="AC245">
        <v>52</v>
      </c>
      <c r="AD245" t="s">
        <v>2171</v>
      </c>
      <c r="AI245" t="s">
        <v>581</v>
      </c>
      <c r="AJ245" t="s">
        <v>2511</v>
      </c>
      <c r="AL245" t="s">
        <v>2520</v>
      </c>
      <c r="AM245" t="s">
        <v>2523</v>
      </c>
      <c r="AR245">
        <v>1889951</v>
      </c>
    </row>
    <row r="246" spans="1:44">
      <c r="A246" s="1">
        <f>HYPERLINK("https://lsnyc.legalserver.org/matter/dynamic-profile/view/1889243","19-1889243")</f>
        <v>0</v>
      </c>
      <c r="B246" t="s">
        <v>287</v>
      </c>
      <c r="C246" t="s">
        <v>539</v>
      </c>
      <c r="D246" t="s">
        <v>543</v>
      </c>
      <c r="E246" t="s">
        <v>571</v>
      </c>
      <c r="F246" t="s">
        <v>580</v>
      </c>
      <c r="G246" t="s">
        <v>581</v>
      </c>
      <c r="H246">
        <v>0</v>
      </c>
      <c r="I246" t="s">
        <v>674</v>
      </c>
      <c r="J246" t="s">
        <v>654</v>
      </c>
      <c r="K246" t="s">
        <v>581</v>
      </c>
      <c r="L246" t="s">
        <v>816</v>
      </c>
      <c r="N246" t="s">
        <v>821</v>
      </c>
      <c r="O246" t="s">
        <v>824</v>
      </c>
      <c r="P246" t="s">
        <v>833</v>
      </c>
      <c r="Q246">
        <v>10466</v>
      </c>
      <c r="S246" t="s">
        <v>861</v>
      </c>
      <c r="T246" t="s">
        <v>1083</v>
      </c>
      <c r="U246" t="s">
        <v>1494</v>
      </c>
      <c r="V246" t="s">
        <v>1678</v>
      </c>
      <c r="X246">
        <v>1.7</v>
      </c>
      <c r="Y246">
        <v>0</v>
      </c>
      <c r="Z246">
        <v>1</v>
      </c>
      <c r="AA246" t="s">
        <v>1692</v>
      </c>
      <c r="AB246" t="s">
        <v>1933</v>
      </c>
      <c r="AC246">
        <v>41</v>
      </c>
      <c r="AD246" t="s">
        <v>2171</v>
      </c>
      <c r="AH246" t="s">
        <v>2419</v>
      </c>
      <c r="AJ246" t="s">
        <v>2511</v>
      </c>
      <c r="AK246" t="s">
        <v>2514</v>
      </c>
      <c r="AM246" t="s">
        <v>2523</v>
      </c>
      <c r="AR246">
        <v>1889875</v>
      </c>
    </row>
    <row r="247" spans="1:44">
      <c r="A247" s="1">
        <f>HYPERLINK("https://lsnyc.legalserver.org/matter/dynamic-profile/view/1889233","19-1889233")</f>
        <v>0</v>
      </c>
      <c r="B247" t="s">
        <v>288</v>
      </c>
      <c r="C247" t="s">
        <v>536</v>
      </c>
      <c r="D247" t="s">
        <v>544</v>
      </c>
      <c r="E247" t="s">
        <v>562</v>
      </c>
      <c r="F247" t="s">
        <v>580</v>
      </c>
      <c r="G247" t="s">
        <v>581</v>
      </c>
      <c r="H247">
        <v>0</v>
      </c>
      <c r="I247" t="s">
        <v>674</v>
      </c>
      <c r="J247" t="s">
        <v>640</v>
      </c>
      <c r="K247" t="s">
        <v>581</v>
      </c>
      <c r="L247" t="s">
        <v>816</v>
      </c>
      <c r="N247" t="s">
        <v>821</v>
      </c>
      <c r="O247" t="s">
        <v>824</v>
      </c>
      <c r="P247" t="s">
        <v>832</v>
      </c>
      <c r="Q247">
        <v>11219</v>
      </c>
      <c r="S247" t="s">
        <v>861</v>
      </c>
      <c r="T247" t="s">
        <v>1084</v>
      </c>
      <c r="U247" t="s">
        <v>1495</v>
      </c>
      <c r="V247" t="s">
        <v>1678</v>
      </c>
      <c r="W247" t="s">
        <v>1684</v>
      </c>
      <c r="X247">
        <v>1</v>
      </c>
      <c r="Y247">
        <v>0</v>
      </c>
      <c r="Z247">
        <v>2</v>
      </c>
      <c r="AA247" t="s">
        <v>1692</v>
      </c>
      <c r="AB247" t="s">
        <v>1934</v>
      </c>
      <c r="AC247">
        <v>56</v>
      </c>
      <c r="AD247" t="s">
        <v>2171</v>
      </c>
      <c r="AI247" t="s">
        <v>581</v>
      </c>
      <c r="AJ247" t="s">
        <v>2511</v>
      </c>
      <c r="AL247" t="s">
        <v>2520</v>
      </c>
      <c r="AM247" t="s">
        <v>2523</v>
      </c>
      <c r="AR247">
        <v>1889865</v>
      </c>
    </row>
    <row r="248" spans="1:44">
      <c r="A248" s="1">
        <f>HYPERLINK("https://lsnyc.legalserver.org/matter/dynamic-profile/view/1889145","19-1889145")</f>
        <v>0</v>
      </c>
      <c r="B248" t="s">
        <v>289</v>
      </c>
      <c r="C248" t="s">
        <v>537</v>
      </c>
      <c r="D248" t="s">
        <v>545</v>
      </c>
      <c r="E248" t="s">
        <v>568</v>
      </c>
      <c r="F248" t="s">
        <v>581</v>
      </c>
      <c r="G248" t="s">
        <v>581</v>
      </c>
      <c r="H248">
        <v>0</v>
      </c>
      <c r="I248" t="s">
        <v>674</v>
      </c>
      <c r="J248" t="s">
        <v>618</v>
      </c>
      <c r="K248" t="s">
        <v>582</v>
      </c>
      <c r="L248" t="s">
        <v>816</v>
      </c>
      <c r="N248" t="s">
        <v>820</v>
      </c>
      <c r="O248" t="s">
        <v>824</v>
      </c>
      <c r="P248" t="s">
        <v>828</v>
      </c>
      <c r="Q248">
        <v>11104</v>
      </c>
      <c r="S248" t="s">
        <v>861</v>
      </c>
      <c r="T248" t="s">
        <v>1085</v>
      </c>
      <c r="U248" t="s">
        <v>1496</v>
      </c>
      <c r="V248" t="s">
        <v>1678</v>
      </c>
      <c r="W248" t="s">
        <v>1684</v>
      </c>
      <c r="X248">
        <v>6.6</v>
      </c>
      <c r="Y248">
        <v>0</v>
      </c>
      <c r="Z248">
        <v>2</v>
      </c>
      <c r="AA248" t="s">
        <v>1692</v>
      </c>
      <c r="AB248" t="s">
        <v>1935</v>
      </c>
      <c r="AC248">
        <v>57</v>
      </c>
      <c r="AD248" t="s">
        <v>2171</v>
      </c>
      <c r="AJ248" t="s">
        <v>2511</v>
      </c>
      <c r="AK248" t="s">
        <v>2514</v>
      </c>
      <c r="AM248" t="s">
        <v>2523</v>
      </c>
      <c r="AR248">
        <v>1889777</v>
      </c>
    </row>
    <row r="249" spans="1:44">
      <c r="A249" s="1">
        <f>HYPERLINK("https://lsnyc.legalserver.org/matter/dynamic-profile/view/1889133","19-1889133")</f>
        <v>0</v>
      </c>
      <c r="B249" t="s">
        <v>290</v>
      </c>
      <c r="C249" t="s">
        <v>536</v>
      </c>
      <c r="D249" t="s">
        <v>544</v>
      </c>
      <c r="E249" t="s">
        <v>562</v>
      </c>
      <c r="F249" t="s">
        <v>580</v>
      </c>
      <c r="G249" t="s">
        <v>581</v>
      </c>
      <c r="H249">
        <v>85.33</v>
      </c>
      <c r="I249" t="s">
        <v>674</v>
      </c>
      <c r="J249" t="s">
        <v>612</v>
      </c>
      <c r="K249" t="s">
        <v>581</v>
      </c>
      <c r="L249" t="s">
        <v>816</v>
      </c>
      <c r="N249" t="s">
        <v>821</v>
      </c>
      <c r="O249" t="s">
        <v>824</v>
      </c>
      <c r="P249" t="s">
        <v>833</v>
      </c>
      <c r="Q249">
        <v>11208</v>
      </c>
      <c r="S249" t="s">
        <v>861</v>
      </c>
      <c r="T249" t="s">
        <v>1086</v>
      </c>
      <c r="U249" t="s">
        <v>1497</v>
      </c>
      <c r="V249" t="s">
        <v>1678</v>
      </c>
      <c r="W249" t="s">
        <v>1684</v>
      </c>
      <c r="X249">
        <v>4.95</v>
      </c>
      <c r="Y249">
        <v>2</v>
      </c>
      <c r="Z249">
        <v>1</v>
      </c>
      <c r="AA249" t="s">
        <v>1692</v>
      </c>
      <c r="AB249" t="s">
        <v>1936</v>
      </c>
      <c r="AC249">
        <v>43</v>
      </c>
      <c r="AD249" t="s">
        <v>2179</v>
      </c>
      <c r="AH249" t="s">
        <v>2360</v>
      </c>
      <c r="AJ249" t="s">
        <v>2511</v>
      </c>
      <c r="AK249" t="s">
        <v>2514</v>
      </c>
      <c r="AM249" t="s">
        <v>2523</v>
      </c>
      <c r="AR249">
        <v>1889765</v>
      </c>
    </row>
    <row r="250" spans="1:44">
      <c r="A250" s="1">
        <f>HYPERLINK("https://lsnyc.legalserver.org/matter/dynamic-profile/view/1889226","19-1889226")</f>
        <v>0</v>
      </c>
      <c r="B250" t="s">
        <v>291</v>
      </c>
      <c r="C250" t="s">
        <v>537</v>
      </c>
      <c r="D250" t="s">
        <v>545</v>
      </c>
      <c r="E250" t="s">
        <v>568</v>
      </c>
      <c r="F250" t="s">
        <v>581</v>
      </c>
      <c r="G250" t="s">
        <v>581</v>
      </c>
      <c r="H250">
        <v>187.35</v>
      </c>
      <c r="I250" t="s">
        <v>674</v>
      </c>
      <c r="J250" t="s">
        <v>611</v>
      </c>
      <c r="K250" t="s">
        <v>582</v>
      </c>
      <c r="L250" t="s">
        <v>816</v>
      </c>
      <c r="N250" t="s">
        <v>820</v>
      </c>
      <c r="O250" t="s">
        <v>825</v>
      </c>
      <c r="P250" t="s">
        <v>828</v>
      </c>
      <c r="Q250">
        <v>11434</v>
      </c>
      <c r="S250" t="s">
        <v>861</v>
      </c>
      <c r="T250" t="s">
        <v>1087</v>
      </c>
      <c r="U250" t="s">
        <v>1498</v>
      </c>
      <c r="V250" t="s">
        <v>1678</v>
      </c>
      <c r="W250" t="s">
        <v>1684</v>
      </c>
      <c r="X250">
        <v>3.85</v>
      </c>
      <c r="Y250">
        <v>0</v>
      </c>
      <c r="Z250">
        <v>1</v>
      </c>
      <c r="AA250" t="s">
        <v>1692</v>
      </c>
      <c r="AB250" t="s">
        <v>1937</v>
      </c>
      <c r="AC250">
        <v>26</v>
      </c>
      <c r="AD250" t="s">
        <v>2198</v>
      </c>
      <c r="AH250" t="s">
        <v>2430</v>
      </c>
      <c r="AI250" t="s">
        <v>581</v>
      </c>
      <c r="AJ250" t="s">
        <v>2511</v>
      </c>
      <c r="AK250" t="s">
        <v>2514</v>
      </c>
      <c r="AM250" t="s">
        <v>2523</v>
      </c>
      <c r="AR250">
        <v>1889858</v>
      </c>
    </row>
    <row r="251" spans="1:44">
      <c r="A251" s="1">
        <f>HYPERLINK("https://lsnyc.legalserver.org/matter/dynamic-profile/view/1889224","19-1889224")</f>
        <v>0</v>
      </c>
      <c r="B251" t="s">
        <v>292</v>
      </c>
      <c r="C251" t="s">
        <v>535</v>
      </c>
      <c r="D251" t="s">
        <v>541</v>
      </c>
      <c r="E251" t="s">
        <v>563</v>
      </c>
      <c r="F251" t="s">
        <v>580</v>
      </c>
      <c r="G251" t="s">
        <v>581</v>
      </c>
      <c r="H251">
        <v>64.81999999999999</v>
      </c>
      <c r="I251" t="s">
        <v>674</v>
      </c>
      <c r="J251" t="s">
        <v>595</v>
      </c>
      <c r="K251" t="s">
        <v>582</v>
      </c>
      <c r="L251" t="s">
        <v>816</v>
      </c>
      <c r="N251" t="s">
        <v>820</v>
      </c>
      <c r="O251" t="s">
        <v>824</v>
      </c>
      <c r="P251" t="s">
        <v>828</v>
      </c>
      <c r="Q251">
        <v>10039</v>
      </c>
      <c r="S251" t="s">
        <v>861</v>
      </c>
      <c r="T251" t="s">
        <v>1088</v>
      </c>
      <c r="U251" t="s">
        <v>1499</v>
      </c>
      <c r="V251" t="s">
        <v>1679</v>
      </c>
      <c r="W251" t="s">
        <v>1684</v>
      </c>
      <c r="X251">
        <v>10.9</v>
      </c>
      <c r="Y251">
        <v>3</v>
      </c>
      <c r="Z251">
        <v>1</v>
      </c>
      <c r="AA251" t="s">
        <v>1692</v>
      </c>
      <c r="AB251" t="s">
        <v>1938</v>
      </c>
      <c r="AC251">
        <v>42</v>
      </c>
      <c r="AD251" t="s">
        <v>2277</v>
      </c>
      <c r="AH251" t="s">
        <v>2428</v>
      </c>
      <c r="AI251" t="s">
        <v>582</v>
      </c>
      <c r="AJ251" t="s">
        <v>2512</v>
      </c>
      <c r="AK251" t="s">
        <v>2514</v>
      </c>
      <c r="AL251" t="s">
        <v>2519</v>
      </c>
      <c r="AM251" t="s">
        <v>2522</v>
      </c>
      <c r="AR251">
        <v>1889856</v>
      </c>
    </row>
    <row r="252" spans="1:44">
      <c r="A252" s="1">
        <f>HYPERLINK("https://lsnyc.legalserver.org/matter/dynamic-profile/view/1889209","19-1889209")</f>
        <v>0</v>
      </c>
      <c r="B252" t="s">
        <v>293</v>
      </c>
      <c r="C252" t="s">
        <v>535</v>
      </c>
      <c r="D252" t="s">
        <v>541</v>
      </c>
      <c r="E252" t="s">
        <v>561</v>
      </c>
      <c r="F252" t="s">
        <v>580</v>
      </c>
      <c r="G252" t="s">
        <v>581</v>
      </c>
      <c r="H252">
        <v>195.03</v>
      </c>
      <c r="I252" t="s">
        <v>674</v>
      </c>
      <c r="K252" t="s">
        <v>582</v>
      </c>
      <c r="L252" t="s">
        <v>816</v>
      </c>
      <c r="N252" t="s">
        <v>820</v>
      </c>
      <c r="O252" t="s">
        <v>824</v>
      </c>
      <c r="P252" t="s">
        <v>828</v>
      </c>
      <c r="Q252">
        <v>10009</v>
      </c>
      <c r="S252" t="s">
        <v>861</v>
      </c>
      <c r="T252" t="s">
        <v>1089</v>
      </c>
      <c r="U252" t="s">
        <v>1500</v>
      </c>
      <c r="X252">
        <v>7.4</v>
      </c>
      <c r="Y252">
        <v>0</v>
      </c>
      <c r="Z252">
        <v>3</v>
      </c>
      <c r="AA252" t="s">
        <v>1691</v>
      </c>
      <c r="AB252" t="s">
        <v>1939</v>
      </c>
      <c r="AC252">
        <v>57</v>
      </c>
      <c r="AD252" t="s">
        <v>2278</v>
      </c>
      <c r="AI252" t="s">
        <v>582</v>
      </c>
      <c r="AJ252" t="s">
        <v>2512</v>
      </c>
      <c r="AL252" t="s">
        <v>2519</v>
      </c>
      <c r="AM252" t="s">
        <v>2522</v>
      </c>
      <c r="AP252" t="s">
        <v>581</v>
      </c>
      <c r="AR252">
        <v>747482</v>
      </c>
    </row>
    <row r="253" spans="1:44">
      <c r="A253" s="1">
        <f>HYPERLINK("https://lsnyc.legalserver.org/matter/dynamic-profile/view/1889064","19-1889064")</f>
        <v>0</v>
      </c>
      <c r="B253" t="s">
        <v>294</v>
      </c>
      <c r="C253" t="s">
        <v>536</v>
      </c>
      <c r="D253" t="s">
        <v>544</v>
      </c>
      <c r="E253" t="s">
        <v>566</v>
      </c>
      <c r="F253" t="s">
        <v>580</v>
      </c>
      <c r="G253" t="s">
        <v>581</v>
      </c>
      <c r="H253">
        <v>0</v>
      </c>
      <c r="I253" t="s">
        <v>675</v>
      </c>
      <c r="J253" t="s">
        <v>668</v>
      </c>
      <c r="K253" t="s">
        <v>582</v>
      </c>
      <c r="L253" t="s">
        <v>816</v>
      </c>
      <c r="N253" t="s">
        <v>820</v>
      </c>
      <c r="O253" t="s">
        <v>824</v>
      </c>
      <c r="P253" t="s">
        <v>828</v>
      </c>
      <c r="Q253">
        <v>11222</v>
      </c>
      <c r="S253" t="s">
        <v>861</v>
      </c>
      <c r="T253" t="s">
        <v>1090</v>
      </c>
      <c r="U253" t="s">
        <v>1501</v>
      </c>
      <c r="V253" t="s">
        <v>1678</v>
      </c>
      <c r="X253">
        <v>0.4</v>
      </c>
      <c r="Y253">
        <v>0</v>
      </c>
      <c r="Z253">
        <v>1</v>
      </c>
      <c r="AA253" t="s">
        <v>1692</v>
      </c>
      <c r="AB253" t="s">
        <v>1940</v>
      </c>
      <c r="AC253">
        <v>26</v>
      </c>
      <c r="AD253" t="s">
        <v>2171</v>
      </c>
      <c r="AH253" t="s">
        <v>2380</v>
      </c>
      <c r="AJ253" t="s">
        <v>2511</v>
      </c>
      <c r="AK253" t="s">
        <v>2514</v>
      </c>
      <c r="AM253" t="s">
        <v>2523</v>
      </c>
      <c r="AR253">
        <v>1889696</v>
      </c>
    </row>
    <row r="254" spans="1:44">
      <c r="A254" s="1">
        <f>HYPERLINK("https://lsnyc.legalserver.org/matter/dynamic-profile/view/1889082","19-1889082")</f>
        <v>0</v>
      </c>
      <c r="B254" t="s">
        <v>295</v>
      </c>
      <c r="C254" t="s">
        <v>537</v>
      </c>
      <c r="D254" t="s">
        <v>545</v>
      </c>
      <c r="E254" t="s">
        <v>568</v>
      </c>
      <c r="F254" t="s">
        <v>581</v>
      </c>
      <c r="G254" t="s">
        <v>581</v>
      </c>
      <c r="H254">
        <v>83.27</v>
      </c>
      <c r="I254" t="s">
        <v>675</v>
      </c>
      <c r="J254" t="s">
        <v>597</v>
      </c>
      <c r="K254" t="s">
        <v>582</v>
      </c>
      <c r="L254" t="s">
        <v>816</v>
      </c>
      <c r="N254" t="s">
        <v>820</v>
      </c>
      <c r="O254" t="s">
        <v>824</v>
      </c>
      <c r="P254" t="s">
        <v>828</v>
      </c>
      <c r="Q254">
        <v>11419</v>
      </c>
      <c r="S254" t="s">
        <v>861</v>
      </c>
      <c r="T254" t="s">
        <v>1091</v>
      </c>
      <c r="U254" t="s">
        <v>1502</v>
      </c>
      <c r="V254" t="s">
        <v>1678</v>
      </c>
      <c r="W254" t="s">
        <v>1684</v>
      </c>
      <c r="X254">
        <v>4</v>
      </c>
      <c r="Y254">
        <v>0</v>
      </c>
      <c r="Z254">
        <v>1</v>
      </c>
      <c r="AA254" t="s">
        <v>1692</v>
      </c>
      <c r="AB254" t="s">
        <v>1941</v>
      </c>
      <c r="AC254">
        <v>39</v>
      </c>
      <c r="AD254" t="s">
        <v>2186</v>
      </c>
      <c r="AJ254" t="s">
        <v>2511</v>
      </c>
      <c r="AK254" t="s">
        <v>2514</v>
      </c>
      <c r="AM254" t="s">
        <v>2523</v>
      </c>
      <c r="AR254">
        <v>1889714</v>
      </c>
    </row>
    <row r="255" spans="1:44">
      <c r="A255" s="1">
        <f>HYPERLINK("https://lsnyc.legalserver.org/matter/dynamic-profile/view/1889047","19-1889047")</f>
        <v>0</v>
      </c>
      <c r="B255" t="s">
        <v>296</v>
      </c>
      <c r="C255" t="s">
        <v>539</v>
      </c>
      <c r="D255" t="s">
        <v>543</v>
      </c>
      <c r="E255" t="s">
        <v>571</v>
      </c>
      <c r="F255" t="s">
        <v>580</v>
      </c>
      <c r="G255" t="s">
        <v>581</v>
      </c>
      <c r="H255">
        <v>194.17</v>
      </c>
      <c r="I255" t="s">
        <v>675</v>
      </c>
      <c r="L255" t="s">
        <v>816</v>
      </c>
      <c r="N255" t="s">
        <v>821</v>
      </c>
      <c r="O255" t="s">
        <v>824</v>
      </c>
      <c r="P255" t="s">
        <v>833</v>
      </c>
      <c r="Q255">
        <v>10461</v>
      </c>
      <c r="R255" t="s">
        <v>841</v>
      </c>
      <c r="S255" t="s">
        <v>861</v>
      </c>
      <c r="T255" t="s">
        <v>1092</v>
      </c>
      <c r="U255" t="s">
        <v>1447</v>
      </c>
      <c r="X255">
        <v>13.7</v>
      </c>
      <c r="Y255">
        <v>2</v>
      </c>
      <c r="Z255">
        <v>2</v>
      </c>
      <c r="AA255" t="s">
        <v>1691</v>
      </c>
      <c r="AB255" t="s">
        <v>1942</v>
      </c>
      <c r="AC255">
        <v>37</v>
      </c>
      <c r="AD255" t="s">
        <v>2253</v>
      </c>
      <c r="AI255" t="s">
        <v>582</v>
      </c>
      <c r="AJ255" t="s">
        <v>2512</v>
      </c>
      <c r="AM255" t="s">
        <v>2524</v>
      </c>
      <c r="AR255">
        <v>1879484</v>
      </c>
    </row>
    <row r="256" spans="1:44">
      <c r="A256" s="1">
        <f>HYPERLINK("https://lsnyc.legalserver.org/matter/dynamic-profile/view/1889079","19-1889079")</f>
        <v>0</v>
      </c>
      <c r="B256" t="s">
        <v>297</v>
      </c>
      <c r="C256" t="s">
        <v>535</v>
      </c>
      <c r="D256" t="s">
        <v>541</v>
      </c>
      <c r="E256" t="s">
        <v>561</v>
      </c>
      <c r="F256" t="s">
        <v>580</v>
      </c>
      <c r="G256" t="s">
        <v>581</v>
      </c>
      <c r="H256">
        <v>0</v>
      </c>
      <c r="I256" t="s">
        <v>675</v>
      </c>
      <c r="K256" t="s">
        <v>582</v>
      </c>
      <c r="L256" t="s">
        <v>816</v>
      </c>
      <c r="N256" t="s">
        <v>820</v>
      </c>
      <c r="O256" t="s">
        <v>824</v>
      </c>
      <c r="P256" t="s">
        <v>828</v>
      </c>
      <c r="Q256">
        <v>10030</v>
      </c>
      <c r="R256" t="s">
        <v>835</v>
      </c>
      <c r="S256" t="s">
        <v>861</v>
      </c>
      <c r="T256" t="s">
        <v>1093</v>
      </c>
      <c r="U256" t="s">
        <v>1503</v>
      </c>
      <c r="W256" t="s">
        <v>1684</v>
      </c>
      <c r="X256">
        <v>7.7</v>
      </c>
      <c r="Y256">
        <v>0</v>
      </c>
      <c r="Z256">
        <v>1</v>
      </c>
      <c r="AA256" t="s">
        <v>1691</v>
      </c>
      <c r="AB256" t="s">
        <v>1943</v>
      </c>
      <c r="AC256">
        <v>36</v>
      </c>
      <c r="AD256" t="s">
        <v>2171</v>
      </c>
      <c r="AH256" t="s">
        <v>2380</v>
      </c>
      <c r="AI256" t="s">
        <v>582</v>
      </c>
      <c r="AJ256" t="s">
        <v>2512</v>
      </c>
      <c r="AK256" t="s">
        <v>2514</v>
      </c>
      <c r="AL256" t="s">
        <v>2519</v>
      </c>
      <c r="AM256" t="s">
        <v>2522</v>
      </c>
      <c r="AR256">
        <v>1889711</v>
      </c>
    </row>
    <row r="257" spans="1:44">
      <c r="A257" s="1">
        <f>HYPERLINK("https://lsnyc.legalserver.org/matter/dynamic-profile/view/1888902","19-1888902")</f>
        <v>0</v>
      </c>
      <c r="B257" t="s">
        <v>298</v>
      </c>
      <c r="C257" t="s">
        <v>535</v>
      </c>
      <c r="D257" t="s">
        <v>544</v>
      </c>
      <c r="E257" t="s">
        <v>561</v>
      </c>
      <c r="F257" t="s">
        <v>580</v>
      </c>
      <c r="G257" t="s">
        <v>581</v>
      </c>
      <c r="H257">
        <v>38.72</v>
      </c>
      <c r="I257" t="s">
        <v>676</v>
      </c>
      <c r="J257" t="s">
        <v>620</v>
      </c>
      <c r="K257" t="s">
        <v>582</v>
      </c>
      <c r="L257" t="s">
        <v>816</v>
      </c>
      <c r="N257" t="s">
        <v>820</v>
      </c>
      <c r="O257" t="s">
        <v>825</v>
      </c>
      <c r="P257" t="s">
        <v>828</v>
      </c>
      <c r="Q257">
        <v>11219</v>
      </c>
      <c r="R257" t="s">
        <v>835</v>
      </c>
      <c r="S257" t="s">
        <v>861</v>
      </c>
      <c r="T257" t="s">
        <v>1094</v>
      </c>
      <c r="U257" t="s">
        <v>1486</v>
      </c>
      <c r="V257" t="s">
        <v>1681</v>
      </c>
      <c r="W257" t="s">
        <v>1685</v>
      </c>
      <c r="X257">
        <v>17.8</v>
      </c>
      <c r="Y257">
        <v>0</v>
      </c>
      <c r="Z257">
        <v>1</v>
      </c>
      <c r="AA257" t="s">
        <v>1692</v>
      </c>
      <c r="AB257" t="s">
        <v>1944</v>
      </c>
      <c r="AC257">
        <v>22</v>
      </c>
      <c r="AD257" t="s">
        <v>2279</v>
      </c>
      <c r="AG257" t="s">
        <v>2368</v>
      </c>
      <c r="AH257" t="s">
        <v>2368</v>
      </c>
      <c r="AI257" t="s">
        <v>582</v>
      </c>
      <c r="AJ257" t="s">
        <v>2512</v>
      </c>
      <c r="AK257" t="s">
        <v>2516</v>
      </c>
      <c r="AL257" t="s">
        <v>2521</v>
      </c>
      <c r="AM257" t="s">
        <v>2525</v>
      </c>
      <c r="AO257" t="s">
        <v>2528</v>
      </c>
      <c r="AR257">
        <v>1889534</v>
      </c>
    </row>
    <row r="258" spans="1:44">
      <c r="A258" s="1">
        <f>HYPERLINK("https://lsnyc.legalserver.org/matter/dynamic-profile/view/1888869","19-1888869")</f>
        <v>0</v>
      </c>
      <c r="B258" t="s">
        <v>299</v>
      </c>
      <c r="C258" t="s">
        <v>536</v>
      </c>
      <c r="D258" t="s">
        <v>544</v>
      </c>
      <c r="E258" t="s">
        <v>566</v>
      </c>
      <c r="F258" t="s">
        <v>580</v>
      </c>
      <c r="G258" t="s">
        <v>581</v>
      </c>
      <c r="H258">
        <v>0</v>
      </c>
      <c r="I258" t="s">
        <v>676</v>
      </c>
      <c r="J258" t="s">
        <v>597</v>
      </c>
      <c r="K258" t="s">
        <v>582</v>
      </c>
      <c r="L258" t="s">
        <v>816</v>
      </c>
      <c r="N258" t="s">
        <v>820</v>
      </c>
      <c r="O258" t="s">
        <v>825</v>
      </c>
      <c r="P258" t="s">
        <v>828</v>
      </c>
      <c r="Q258">
        <v>11212</v>
      </c>
      <c r="S258" t="s">
        <v>861</v>
      </c>
      <c r="T258" t="s">
        <v>1095</v>
      </c>
      <c r="U258" t="s">
        <v>1307</v>
      </c>
      <c r="V258" t="s">
        <v>1678</v>
      </c>
      <c r="W258" t="s">
        <v>1684</v>
      </c>
      <c r="X258">
        <v>10.4</v>
      </c>
      <c r="Y258">
        <v>0</v>
      </c>
      <c r="Z258">
        <v>0</v>
      </c>
      <c r="AA258" t="s">
        <v>1692</v>
      </c>
      <c r="AB258" t="s">
        <v>1945</v>
      </c>
      <c r="AC258">
        <v>46</v>
      </c>
      <c r="AD258" t="s">
        <v>2171</v>
      </c>
      <c r="AI258" t="s">
        <v>581</v>
      </c>
      <c r="AJ258" t="s">
        <v>2511</v>
      </c>
      <c r="AM258" t="s">
        <v>2523</v>
      </c>
      <c r="AR258">
        <v>1889501</v>
      </c>
    </row>
    <row r="259" spans="1:44">
      <c r="A259" s="1">
        <f>HYPERLINK("https://lsnyc.legalserver.org/matter/dynamic-profile/view/1888893","19-1888893")</f>
        <v>0</v>
      </c>
      <c r="B259" t="s">
        <v>300</v>
      </c>
      <c r="C259" t="s">
        <v>535</v>
      </c>
      <c r="D259" t="s">
        <v>541</v>
      </c>
      <c r="E259" t="s">
        <v>561</v>
      </c>
      <c r="F259" t="s">
        <v>580</v>
      </c>
      <c r="G259" t="s">
        <v>581</v>
      </c>
      <c r="H259">
        <v>0</v>
      </c>
      <c r="I259" t="s">
        <v>676</v>
      </c>
      <c r="J259" t="s">
        <v>781</v>
      </c>
      <c r="K259" t="s">
        <v>582</v>
      </c>
      <c r="L259" t="s">
        <v>816</v>
      </c>
      <c r="N259" t="s">
        <v>820</v>
      </c>
      <c r="O259" t="s">
        <v>825</v>
      </c>
      <c r="P259" t="s">
        <v>828</v>
      </c>
      <c r="Q259">
        <v>10009</v>
      </c>
      <c r="R259" t="s">
        <v>835</v>
      </c>
      <c r="S259" t="s">
        <v>861</v>
      </c>
      <c r="T259" t="s">
        <v>1096</v>
      </c>
      <c r="U259" t="s">
        <v>1504</v>
      </c>
      <c r="V259" t="s">
        <v>1678</v>
      </c>
      <c r="W259" t="s">
        <v>1684</v>
      </c>
      <c r="X259">
        <v>2.45</v>
      </c>
      <c r="Y259">
        <v>0</v>
      </c>
      <c r="Z259">
        <v>1</v>
      </c>
      <c r="AA259" t="s">
        <v>1692</v>
      </c>
      <c r="AB259" t="s">
        <v>1946</v>
      </c>
      <c r="AC259">
        <v>25</v>
      </c>
      <c r="AD259" t="s">
        <v>2171</v>
      </c>
      <c r="AI259" t="s">
        <v>582</v>
      </c>
      <c r="AJ259" t="s">
        <v>2511</v>
      </c>
      <c r="AL259" t="s">
        <v>2519</v>
      </c>
      <c r="AM259" t="s">
        <v>2522</v>
      </c>
      <c r="AR259">
        <v>1889525</v>
      </c>
    </row>
    <row r="260" spans="1:44">
      <c r="A260" s="1">
        <f>HYPERLINK("https://lsnyc.legalserver.org/matter/dynamic-profile/view/1888730","19-1888730")</f>
        <v>0</v>
      </c>
      <c r="B260" t="s">
        <v>301</v>
      </c>
      <c r="C260" t="s">
        <v>535</v>
      </c>
      <c r="D260" t="s">
        <v>541</v>
      </c>
      <c r="E260" t="s">
        <v>563</v>
      </c>
      <c r="F260" t="s">
        <v>580</v>
      </c>
      <c r="G260" t="s">
        <v>581</v>
      </c>
      <c r="H260">
        <v>0</v>
      </c>
      <c r="I260" t="s">
        <v>677</v>
      </c>
      <c r="K260" t="s">
        <v>581</v>
      </c>
      <c r="L260" t="s">
        <v>816</v>
      </c>
      <c r="N260" t="s">
        <v>821</v>
      </c>
      <c r="O260" t="s">
        <v>824</v>
      </c>
      <c r="P260" t="s">
        <v>829</v>
      </c>
      <c r="Q260">
        <v>10011</v>
      </c>
      <c r="S260" t="s">
        <v>863</v>
      </c>
      <c r="T260" t="s">
        <v>1097</v>
      </c>
      <c r="U260" t="s">
        <v>1505</v>
      </c>
      <c r="X260">
        <v>5.85</v>
      </c>
      <c r="Y260">
        <v>0</v>
      </c>
      <c r="Z260">
        <v>1</v>
      </c>
      <c r="AA260" t="s">
        <v>1691</v>
      </c>
      <c r="AB260" t="s">
        <v>1947</v>
      </c>
      <c r="AC260">
        <v>30</v>
      </c>
      <c r="AD260" t="s">
        <v>2171</v>
      </c>
      <c r="AH260" t="s">
        <v>2431</v>
      </c>
      <c r="AI260" t="s">
        <v>582</v>
      </c>
      <c r="AJ260" t="s">
        <v>2512</v>
      </c>
      <c r="AK260" t="s">
        <v>2514</v>
      </c>
      <c r="AL260" t="s">
        <v>2519</v>
      </c>
      <c r="AM260" t="s">
        <v>2522</v>
      </c>
      <c r="AP260" t="s">
        <v>581</v>
      </c>
      <c r="AR260">
        <v>1889362</v>
      </c>
    </row>
    <row r="261" spans="1:44">
      <c r="A261" s="1">
        <f>HYPERLINK("https://lsnyc.legalserver.org/matter/dynamic-profile/view/1888766","19-1888766")</f>
        <v>0</v>
      </c>
      <c r="B261" t="s">
        <v>302</v>
      </c>
      <c r="C261" t="s">
        <v>536</v>
      </c>
      <c r="D261" t="s">
        <v>541</v>
      </c>
      <c r="E261" t="s">
        <v>564</v>
      </c>
      <c r="F261" t="s">
        <v>580</v>
      </c>
      <c r="G261" t="s">
        <v>581</v>
      </c>
      <c r="H261">
        <v>275.4</v>
      </c>
      <c r="I261" t="s">
        <v>677</v>
      </c>
      <c r="L261" t="s">
        <v>816</v>
      </c>
      <c r="N261" t="s">
        <v>821</v>
      </c>
      <c r="O261" t="s">
        <v>824</v>
      </c>
      <c r="P261" t="s">
        <v>830</v>
      </c>
      <c r="Q261">
        <v>10003</v>
      </c>
      <c r="S261" t="s">
        <v>861</v>
      </c>
      <c r="T261" t="s">
        <v>955</v>
      </c>
      <c r="U261" t="s">
        <v>1177</v>
      </c>
      <c r="W261" t="s">
        <v>1686</v>
      </c>
      <c r="X261">
        <v>8.85</v>
      </c>
      <c r="Y261">
        <v>0</v>
      </c>
      <c r="Z261">
        <v>1</v>
      </c>
      <c r="AA261" t="s">
        <v>1691</v>
      </c>
      <c r="AB261" t="s">
        <v>1948</v>
      </c>
      <c r="AC261">
        <v>51</v>
      </c>
      <c r="AD261" t="s">
        <v>2280</v>
      </c>
      <c r="AE261" t="s">
        <v>2355</v>
      </c>
      <c r="AI261" t="s">
        <v>582</v>
      </c>
      <c r="AJ261" t="s">
        <v>2511</v>
      </c>
      <c r="AL261" t="s">
        <v>2521</v>
      </c>
      <c r="AM261" t="s">
        <v>2527</v>
      </c>
      <c r="AP261" t="s">
        <v>582</v>
      </c>
      <c r="AR261">
        <v>1889398</v>
      </c>
    </row>
    <row r="262" spans="1:44">
      <c r="A262" s="1">
        <f>HYPERLINK("https://lsnyc.legalserver.org/matter/dynamic-profile/view/1888904","19-1888904")</f>
        <v>0</v>
      </c>
      <c r="B262" t="s">
        <v>303</v>
      </c>
      <c r="C262" t="s">
        <v>535</v>
      </c>
      <c r="D262" t="s">
        <v>544</v>
      </c>
      <c r="E262" t="s">
        <v>563</v>
      </c>
      <c r="F262" t="s">
        <v>580</v>
      </c>
      <c r="G262" t="s">
        <v>581</v>
      </c>
      <c r="H262">
        <v>96.08</v>
      </c>
      <c r="I262" t="s">
        <v>677</v>
      </c>
      <c r="L262" t="s">
        <v>816</v>
      </c>
      <c r="N262" t="s">
        <v>821</v>
      </c>
      <c r="O262" t="s">
        <v>824</v>
      </c>
      <c r="P262" t="s">
        <v>829</v>
      </c>
      <c r="Q262">
        <v>11223</v>
      </c>
      <c r="R262" t="s">
        <v>849</v>
      </c>
      <c r="S262" t="s">
        <v>861</v>
      </c>
      <c r="T262" t="s">
        <v>1098</v>
      </c>
      <c r="U262" t="s">
        <v>1506</v>
      </c>
      <c r="X262">
        <v>2.4</v>
      </c>
      <c r="Y262">
        <v>0</v>
      </c>
      <c r="Z262">
        <v>1</v>
      </c>
      <c r="AA262" t="s">
        <v>1691</v>
      </c>
      <c r="AB262" t="s">
        <v>1949</v>
      </c>
      <c r="AC262">
        <v>61</v>
      </c>
      <c r="AD262" t="s">
        <v>2173</v>
      </c>
      <c r="AI262" t="s">
        <v>582</v>
      </c>
      <c r="AJ262" t="s">
        <v>2512</v>
      </c>
      <c r="AL262" t="s">
        <v>2519</v>
      </c>
      <c r="AM262" t="s">
        <v>2522</v>
      </c>
      <c r="AP262" t="s">
        <v>581</v>
      </c>
      <c r="AR262">
        <v>1889536</v>
      </c>
    </row>
    <row r="263" spans="1:44">
      <c r="A263" s="1">
        <f>HYPERLINK("https://lsnyc.legalserver.org/matter/dynamic-profile/view/1888655","19-1888655")</f>
        <v>0</v>
      </c>
      <c r="B263" t="s">
        <v>304</v>
      </c>
      <c r="C263" t="s">
        <v>536</v>
      </c>
      <c r="D263" t="s">
        <v>544</v>
      </c>
      <c r="E263" t="s">
        <v>562</v>
      </c>
      <c r="F263" t="s">
        <v>580</v>
      </c>
      <c r="G263" t="s">
        <v>581</v>
      </c>
      <c r="H263">
        <v>0</v>
      </c>
      <c r="I263" t="s">
        <v>678</v>
      </c>
      <c r="J263" t="s">
        <v>639</v>
      </c>
      <c r="K263" t="s">
        <v>582</v>
      </c>
      <c r="L263" t="s">
        <v>816</v>
      </c>
      <c r="N263" t="s">
        <v>821</v>
      </c>
      <c r="O263" t="s">
        <v>824</v>
      </c>
      <c r="P263" t="s">
        <v>829</v>
      </c>
      <c r="Q263">
        <v>11228</v>
      </c>
      <c r="S263" t="s">
        <v>861</v>
      </c>
      <c r="T263" t="s">
        <v>1099</v>
      </c>
      <c r="U263" t="s">
        <v>1454</v>
      </c>
      <c r="V263" t="s">
        <v>1678</v>
      </c>
      <c r="W263" t="s">
        <v>1684</v>
      </c>
      <c r="X263">
        <v>3.6</v>
      </c>
      <c r="Y263">
        <v>0</v>
      </c>
      <c r="Z263">
        <v>1</v>
      </c>
      <c r="AA263" t="s">
        <v>1692</v>
      </c>
      <c r="AB263" t="s">
        <v>1950</v>
      </c>
      <c r="AC263">
        <v>24</v>
      </c>
      <c r="AD263" t="s">
        <v>2171</v>
      </c>
      <c r="AI263" t="s">
        <v>581</v>
      </c>
      <c r="AJ263" t="s">
        <v>2513</v>
      </c>
      <c r="AL263" t="s">
        <v>2520</v>
      </c>
      <c r="AM263" t="s">
        <v>2523</v>
      </c>
      <c r="AR263">
        <v>1889287</v>
      </c>
    </row>
    <row r="264" spans="1:44">
      <c r="A264" s="1">
        <f>HYPERLINK("https://lsnyc.legalserver.org/matter/dynamic-profile/view/1888617","19-1888617")</f>
        <v>0</v>
      </c>
      <c r="B264" t="s">
        <v>305</v>
      </c>
      <c r="C264" t="s">
        <v>537</v>
      </c>
      <c r="D264" t="s">
        <v>545</v>
      </c>
      <c r="E264" t="s">
        <v>568</v>
      </c>
      <c r="F264" t="s">
        <v>581</v>
      </c>
      <c r="G264" t="s">
        <v>581</v>
      </c>
      <c r="H264">
        <v>40.35</v>
      </c>
      <c r="I264" t="s">
        <v>678</v>
      </c>
      <c r="J264" t="s">
        <v>599</v>
      </c>
      <c r="K264" t="s">
        <v>582</v>
      </c>
      <c r="L264" t="s">
        <v>816</v>
      </c>
      <c r="N264" t="s">
        <v>820</v>
      </c>
      <c r="O264" t="s">
        <v>825</v>
      </c>
      <c r="P264" t="s">
        <v>828</v>
      </c>
      <c r="Q264">
        <v>11375</v>
      </c>
      <c r="S264" t="s">
        <v>861</v>
      </c>
      <c r="T264" t="s">
        <v>1100</v>
      </c>
      <c r="U264" t="s">
        <v>1307</v>
      </c>
      <c r="V264" t="s">
        <v>1681</v>
      </c>
      <c r="W264" t="s">
        <v>1685</v>
      </c>
      <c r="X264">
        <v>7.5</v>
      </c>
      <c r="Y264">
        <v>0</v>
      </c>
      <c r="Z264">
        <v>1</v>
      </c>
      <c r="AA264" t="s">
        <v>1692</v>
      </c>
      <c r="AB264" t="s">
        <v>1951</v>
      </c>
      <c r="AC264">
        <v>64</v>
      </c>
      <c r="AD264" t="s">
        <v>2281</v>
      </c>
      <c r="AH264" t="s">
        <v>2432</v>
      </c>
      <c r="AI264" t="s">
        <v>582</v>
      </c>
      <c r="AJ264" t="s">
        <v>2512</v>
      </c>
      <c r="AM264" t="s">
        <v>2523</v>
      </c>
      <c r="AO264" t="s">
        <v>2528</v>
      </c>
      <c r="AR264">
        <v>732657</v>
      </c>
    </row>
    <row r="265" spans="1:44">
      <c r="A265" s="1">
        <f>HYPERLINK("https://lsnyc.legalserver.org/matter/dynamic-profile/view/1888662","19-1888662")</f>
        <v>0</v>
      </c>
      <c r="B265" t="s">
        <v>306</v>
      </c>
      <c r="C265" t="s">
        <v>537</v>
      </c>
      <c r="D265" t="s">
        <v>545</v>
      </c>
      <c r="E265" t="s">
        <v>568</v>
      </c>
      <c r="F265" t="s">
        <v>581</v>
      </c>
      <c r="G265" t="s">
        <v>581</v>
      </c>
      <c r="H265">
        <v>0</v>
      </c>
      <c r="I265" t="s">
        <v>678</v>
      </c>
      <c r="J265" t="s">
        <v>596</v>
      </c>
      <c r="K265" t="s">
        <v>582</v>
      </c>
      <c r="L265" t="s">
        <v>816</v>
      </c>
      <c r="N265" t="s">
        <v>820</v>
      </c>
      <c r="O265" t="s">
        <v>824</v>
      </c>
      <c r="P265" t="s">
        <v>828</v>
      </c>
      <c r="Q265">
        <v>11375</v>
      </c>
      <c r="S265" t="s">
        <v>861</v>
      </c>
      <c r="T265" t="s">
        <v>1101</v>
      </c>
      <c r="U265" t="s">
        <v>1507</v>
      </c>
      <c r="V265" t="s">
        <v>1678</v>
      </c>
      <c r="W265" t="s">
        <v>1684</v>
      </c>
      <c r="X265">
        <v>10.75</v>
      </c>
      <c r="Y265">
        <v>0</v>
      </c>
      <c r="Z265">
        <v>1</v>
      </c>
      <c r="AA265" t="s">
        <v>1692</v>
      </c>
      <c r="AB265" t="s">
        <v>1952</v>
      </c>
      <c r="AC265">
        <v>52</v>
      </c>
      <c r="AD265" t="s">
        <v>2171</v>
      </c>
      <c r="AH265" t="s">
        <v>2433</v>
      </c>
      <c r="AI265" t="s">
        <v>582</v>
      </c>
      <c r="AJ265" t="s">
        <v>2512</v>
      </c>
      <c r="AK265" t="s">
        <v>2514</v>
      </c>
      <c r="AM265" t="s">
        <v>2522</v>
      </c>
      <c r="AR265">
        <v>1889294</v>
      </c>
    </row>
    <row r="266" spans="1:44">
      <c r="A266" s="1">
        <f>HYPERLINK("https://lsnyc.legalserver.org/matter/dynamic-profile/view/1888446","19-1888446")</f>
        <v>0</v>
      </c>
      <c r="B266" t="s">
        <v>307</v>
      </c>
      <c r="C266" t="s">
        <v>537</v>
      </c>
      <c r="D266" t="s">
        <v>545</v>
      </c>
      <c r="E266" t="s">
        <v>568</v>
      </c>
      <c r="F266" t="s">
        <v>581</v>
      </c>
      <c r="G266" t="s">
        <v>581</v>
      </c>
      <c r="H266">
        <v>0</v>
      </c>
      <c r="I266" t="s">
        <v>679</v>
      </c>
      <c r="J266" t="s">
        <v>598</v>
      </c>
      <c r="K266" t="s">
        <v>582</v>
      </c>
      <c r="L266" t="s">
        <v>816</v>
      </c>
      <c r="N266" t="s">
        <v>820</v>
      </c>
      <c r="O266" t="s">
        <v>824</v>
      </c>
      <c r="P266" t="s">
        <v>828</v>
      </c>
      <c r="Q266">
        <v>11421</v>
      </c>
      <c r="S266" t="s">
        <v>861</v>
      </c>
      <c r="T266" t="s">
        <v>1102</v>
      </c>
      <c r="U266" t="s">
        <v>1508</v>
      </c>
      <c r="V266" t="s">
        <v>1681</v>
      </c>
      <c r="W266" t="s">
        <v>1685</v>
      </c>
      <c r="X266">
        <v>18.75</v>
      </c>
      <c r="Y266">
        <v>0</v>
      </c>
      <c r="Z266">
        <v>1</v>
      </c>
      <c r="AA266" t="s">
        <v>1692</v>
      </c>
      <c r="AB266" t="s">
        <v>1953</v>
      </c>
      <c r="AC266">
        <v>51</v>
      </c>
      <c r="AD266" t="s">
        <v>2171</v>
      </c>
      <c r="AH266" t="s">
        <v>2432</v>
      </c>
      <c r="AI266" t="s">
        <v>582</v>
      </c>
      <c r="AJ266" t="s">
        <v>2512</v>
      </c>
      <c r="AL266" t="s">
        <v>2521</v>
      </c>
      <c r="AM266" t="s">
        <v>2525</v>
      </c>
      <c r="AR266">
        <v>1889077</v>
      </c>
    </row>
    <row r="267" spans="1:44">
      <c r="A267" s="1">
        <f>HYPERLINK("https://lsnyc.legalserver.org/matter/dynamic-profile/view/1888470","19-1888470")</f>
        <v>0</v>
      </c>
      <c r="B267" t="s">
        <v>308</v>
      </c>
      <c r="C267" t="s">
        <v>535</v>
      </c>
      <c r="D267" t="s">
        <v>541</v>
      </c>
      <c r="E267" t="s">
        <v>563</v>
      </c>
      <c r="F267" t="s">
        <v>580</v>
      </c>
      <c r="G267" t="s">
        <v>581</v>
      </c>
      <c r="H267">
        <v>189.75</v>
      </c>
      <c r="I267" t="s">
        <v>679</v>
      </c>
      <c r="J267" t="s">
        <v>598</v>
      </c>
      <c r="K267" t="s">
        <v>582</v>
      </c>
      <c r="L267" t="s">
        <v>816</v>
      </c>
      <c r="M267" t="s">
        <v>816</v>
      </c>
      <c r="N267" t="s">
        <v>820</v>
      </c>
      <c r="O267" t="s">
        <v>824</v>
      </c>
      <c r="P267" t="s">
        <v>828</v>
      </c>
      <c r="Q267">
        <v>10027</v>
      </c>
      <c r="S267" t="s">
        <v>863</v>
      </c>
      <c r="T267" t="s">
        <v>1103</v>
      </c>
      <c r="U267" t="s">
        <v>1509</v>
      </c>
      <c r="V267" t="s">
        <v>1678</v>
      </c>
      <c r="W267" t="s">
        <v>1684</v>
      </c>
      <c r="X267">
        <v>3.46</v>
      </c>
      <c r="Y267">
        <v>0</v>
      </c>
      <c r="Z267">
        <v>1</v>
      </c>
      <c r="AA267" t="s">
        <v>1692</v>
      </c>
      <c r="AB267" t="s">
        <v>1954</v>
      </c>
      <c r="AC267">
        <v>50</v>
      </c>
      <c r="AD267" t="s">
        <v>2282</v>
      </c>
      <c r="AH267" t="s">
        <v>2434</v>
      </c>
      <c r="AI267" t="s">
        <v>581</v>
      </c>
      <c r="AJ267" t="s">
        <v>2511</v>
      </c>
      <c r="AK267" t="s">
        <v>2514</v>
      </c>
      <c r="AL267" t="s">
        <v>2520</v>
      </c>
      <c r="AM267" t="s">
        <v>2523</v>
      </c>
      <c r="AR267">
        <v>821784</v>
      </c>
    </row>
    <row r="268" spans="1:44">
      <c r="A268" s="1">
        <f>HYPERLINK("https://lsnyc.legalserver.org/matter/dynamic-profile/view/1886591","18-1886591")</f>
        <v>0</v>
      </c>
      <c r="B268" t="s">
        <v>309</v>
      </c>
      <c r="C268" t="s">
        <v>540</v>
      </c>
      <c r="D268" t="s">
        <v>543</v>
      </c>
      <c r="E268" t="s">
        <v>573</v>
      </c>
      <c r="F268" t="s">
        <v>580</v>
      </c>
      <c r="G268" t="s">
        <v>581</v>
      </c>
      <c r="H268">
        <v>151.64</v>
      </c>
      <c r="I268" t="s">
        <v>679</v>
      </c>
      <c r="K268" t="s">
        <v>581</v>
      </c>
      <c r="L268" t="s">
        <v>816</v>
      </c>
      <c r="N268" t="s">
        <v>821</v>
      </c>
      <c r="O268" t="s">
        <v>824</v>
      </c>
      <c r="P268" t="s">
        <v>829</v>
      </c>
      <c r="Q268">
        <v>10459</v>
      </c>
      <c r="R268" t="s">
        <v>849</v>
      </c>
      <c r="S268" t="s">
        <v>863</v>
      </c>
      <c r="T268" t="s">
        <v>1104</v>
      </c>
      <c r="U268" t="s">
        <v>1505</v>
      </c>
      <c r="X268">
        <v>3</v>
      </c>
      <c r="Y268">
        <v>1</v>
      </c>
      <c r="Z268">
        <v>1</v>
      </c>
      <c r="AA268" t="s">
        <v>1691</v>
      </c>
      <c r="AB268" t="s">
        <v>1955</v>
      </c>
      <c r="AC268">
        <v>53</v>
      </c>
      <c r="AD268" t="s">
        <v>2275</v>
      </c>
      <c r="AI268" t="s">
        <v>582</v>
      </c>
      <c r="AJ268" t="s">
        <v>2512</v>
      </c>
      <c r="AM268" t="s">
        <v>2526</v>
      </c>
      <c r="AR268">
        <v>1866416</v>
      </c>
    </row>
    <row r="269" spans="1:44">
      <c r="A269" s="1">
        <f>HYPERLINK("https://lsnyc.legalserver.org/matter/dynamic-profile/view/1888274","19-1888274")</f>
        <v>0</v>
      </c>
      <c r="B269" t="s">
        <v>310</v>
      </c>
      <c r="C269" t="s">
        <v>535</v>
      </c>
      <c r="D269" t="s">
        <v>556</v>
      </c>
      <c r="E269" t="s">
        <v>561</v>
      </c>
      <c r="F269" t="s">
        <v>580</v>
      </c>
      <c r="G269" t="s">
        <v>581</v>
      </c>
      <c r="H269">
        <v>0</v>
      </c>
      <c r="I269" t="s">
        <v>680</v>
      </c>
      <c r="J269" t="s">
        <v>626</v>
      </c>
      <c r="K269" t="s">
        <v>581</v>
      </c>
      <c r="L269" t="s">
        <v>816</v>
      </c>
      <c r="N269" t="s">
        <v>820</v>
      </c>
      <c r="O269" t="s">
        <v>824</v>
      </c>
      <c r="P269" t="s">
        <v>828</v>
      </c>
      <c r="Q269">
        <v>21217</v>
      </c>
      <c r="R269" t="s">
        <v>835</v>
      </c>
      <c r="S269" t="s">
        <v>861</v>
      </c>
      <c r="T269" t="s">
        <v>1105</v>
      </c>
      <c r="U269" t="s">
        <v>1510</v>
      </c>
      <c r="V269" t="s">
        <v>1681</v>
      </c>
      <c r="W269" t="s">
        <v>1685</v>
      </c>
      <c r="X269">
        <v>23.6</v>
      </c>
      <c r="Y269">
        <v>0</v>
      </c>
      <c r="Z269">
        <v>1</v>
      </c>
      <c r="AA269" t="s">
        <v>1692</v>
      </c>
      <c r="AB269" t="s">
        <v>1956</v>
      </c>
      <c r="AC269">
        <v>35</v>
      </c>
      <c r="AD269" t="s">
        <v>2171</v>
      </c>
      <c r="AG269" t="s">
        <v>2369</v>
      </c>
      <c r="AH269" t="s">
        <v>2375</v>
      </c>
      <c r="AI269" t="s">
        <v>582</v>
      </c>
      <c r="AJ269" t="s">
        <v>2512</v>
      </c>
      <c r="AL269" t="s">
        <v>2521</v>
      </c>
      <c r="AM269" t="s">
        <v>2525</v>
      </c>
      <c r="AO269" t="s">
        <v>2528</v>
      </c>
      <c r="AR269">
        <v>1888903</v>
      </c>
    </row>
    <row r="270" spans="1:44">
      <c r="A270" s="1">
        <f>HYPERLINK("https://lsnyc.legalserver.org/matter/dynamic-profile/view/1888359","19-1888359")</f>
        <v>0</v>
      </c>
      <c r="B270" t="s">
        <v>311</v>
      </c>
      <c r="C270" t="s">
        <v>536</v>
      </c>
      <c r="D270" t="s">
        <v>542</v>
      </c>
      <c r="E270" t="s">
        <v>569</v>
      </c>
      <c r="F270" t="s">
        <v>580</v>
      </c>
      <c r="G270" t="s">
        <v>581</v>
      </c>
      <c r="H270">
        <v>8.08</v>
      </c>
      <c r="I270" t="s">
        <v>680</v>
      </c>
      <c r="J270" t="s">
        <v>624</v>
      </c>
      <c r="L270" t="s">
        <v>816</v>
      </c>
      <c r="N270" t="s">
        <v>820</v>
      </c>
      <c r="O270" t="s">
        <v>825</v>
      </c>
      <c r="P270" t="s">
        <v>828</v>
      </c>
      <c r="Q270">
        <v>10303</v>
      </c>
      <c r="S270" t="s">
        <v>861</v>
      </c>
      <c r="T270" t="s">
        <v>1106</v>
      </c>
      <c r="U270" t="s">
        <v>1511</v>
      </c>
      <c r="V270" t="s">
        <v>1681</v>
      </c>
      <c r="W270" t="s">
        <v>1685</v>
      </c>
      <c r="X270">
        <v>1</v>
      </c>
      <c r="Y270">
        <v>3</v>
      </c>
      <c r="Z270">
        <v>2</v>
      </c>
      <c r="AA270" t="s">
        <v>1692</v>
      </c>
      <c r="AB270" t="s">
        <v>1957</v>
      </c>
      <c r="AC270">
        <v>44</v>
      </c>
      <c r="AD270" t="s">
        <v>2283</v>
      </c>
      <c r="AI270" t="s">
        <v>582</v>
      </c>
      <c r="AJ270" t="s">
        <v>2512</v>
      </c>
      <c r="AL270" t="s">
        <v>2521</v>
      </c>
      <c r="AM270" t="s">
        <v>2525</v>
      </c>
      <c r="AR270">
        <v>1878900</v>
      </c>
    </row>
    <row r="271" spans="1:44">
      <c r="A271" s="1">
        <f>HYPERLINK("https://lsnyc.legalserver.org/matter/dynamic-profile/view/1888366","19-1888366")</f>
        <v>0</v>
      </c>
      <c r="B271" t="s">
        <v>312</v>
      </c>
      <c r="C271" t="s">
        <v>535</v>
      </c>
      <c r="D271" t="s">
        <v>541</v>
      </c>
      <c r="E271" t="s">
        <v>570</v>
      </c>
      <c r="F271" t="s">
        <v>580</v>
      </c>
      <c r="G271" t="s">
        <v>581</v>
      </c>
      <c r="H271">
        <v>243.01</v>
      </c>
      <c r="I271" t="s">
        <v>680</v>
      </c>
      <c r="L271" t="s">
        <v>816</v>
      </c>
      <c r="N271" t="s">
        <v>821</v>
      </c>
      <c r="O271" t="s">
        <v>824</v>
      </c>
      <c r="P271" t="s">
        <v>833</v>
      </c>
      <c r="Q271">
        <v>10013</v>
      </c>
      <c r="R271" t="s">
        <v>856</v>
      </c>
      <c r="T271" t="s">
        <v>1107</v>
      </c>
      <c r="U271" t="s">
        <v>1512</v>
      </c>
      <c r="X271">
        <v>93.62</v>
      </c>
      <c r="Y271">
        <v>0</v>
      </c>
      <c r="Z271">
        <v>2</v>
      </c>
      <c r="AA271" t="s">
        <v>1691</v>
      </c>
      <c r="AB271" t="s">
        <v>1958</v>
      </c>
      <c r="AC271">
        <v>48</v>
      </c>
      <c r="AD271" t="s">
        <v>2189</v>
      </c>
      <c r="AE271" t="s">
        <v>2356</v>
      </c>
      <c r="AI271" t="s">
        <v>582</v>
      </c>
      <c r="AJ271" t="s">
        <v>2512</v>
      </c>
      <c r="AL271" t="s">
        <v>2521</v>
      </c>
      <c r="AM271" t="s">
        <v>2526</v>
      </c>
      <c r="AP271" t="s">
        <v>582</v>
      </c>
      <c r="AR271">
        <v>1865592</v>
      </c>
    </row>
    <row r="272" spans="1:44">
      <c r="A272" s="1">
        <f>HYPERLINK("https://lsnyc.legalserver.org/matter/dynamic-profile/view/1888182","19-1888182")</f>
        <v>0</v>
      </c>
      <c r="B272" t="s">
        <v>313</v>
      </c>
      <c r="C272" t="s">
        <v>537</v>
      </c>
      <c r="D272" t="s">
        <v>545</v>
      </c>
      <c r="E272" t="s">
        <v>574</v>
      </c>
      <c r="F272" t="s">
        <v>581</v>
      </c>
      <c r="G272" t="s">
        <v>581</v>
      </c>
      <c r="H272">
        <v>62.15</v>
      </c>
      <c r="I272" t="s">
        <v>681</v>
      </c>
      <c r="J272" t="s">
        <v>636</v>
      </c>
      <c r="K272" t="s">
        <v>581</v>
      </c>
      <c r="L272" t="s">
        <v>816</v>
      </c>
      <c r="N272" t="s">
        <v>820</v>
      </c>
      <c r="O272" t="s">
        <v>824</v>
      </c>
      <c r="P272" t="s">
        <v>828</v>
      </c>
      <c r="Q272">
        <v>11419</v>
      </c>
      <c r="S272" t="s">
        <v>861</v>
      </c>
      <c r="T272" t="s">
        <v>1108</v>
      </c>
      <c r="U272" t="s">
        <v>1513</v>
      </c>
      <c r="V272" t="s">
        <v>1678</v>
      </c>
      <c r="W272" t="s">
        <v>1684</v>
      </c>
      <c r="X272">
        <v>1.2</v>
      </c>
      <c r="Y272">
        <v>2</v>
      </c>
      <c r="Z272">
        <v>2</v>
      </c>
      <c r="AA272" t="s">
        <v>1692</v>
      </c>
      <c r="AB272" t="s">
        <v>1959</v>
      </c>
      <c r="AC272">
        <v>46</v>
      </c>
      <c r="AD272" t="s">
        <v>2268</v>
      </c>
      <c r="AH272" t="s">
        <v>2435</v>
      </c>
      <c r="AJ272" t="s">
        <v>2511</v>
      </c>
      <c r="AK272" t="s">
        <v>2514</v>
      </c>
      <c r="AL272" t="s">
        <v>2520</v>
      </c>
      <c r="AM272" t="s">
        <v>2523</v>
      </c>
      <c r="AR272">
        <v>1885794</v>
      </c>
    </row>
    <row r="273" spans="1:44">
      <c r="A273" s="1">
        <f>HYPERLINK("https://lsnyc.legalserver.org/matter/dynamic-profile/view/1888235","19-1888235")</f>
        <v>0</v>
      </c>
      <c r="B273" t="s">
        <v>314</v>
      </c>
      <c r="C273" t="s">
        <v>535</v>
      </c>
      <c r="D273" t="s">
        <v>541</v>
      </c>
      <c r="E273" t="s">
        <v>561</v>
      </c>
      <c r="F273" t="s">
        <v>580</v>
      </c>
      <c r="G273" t="s">
        <v>581</v>
      </c>
      <c r="H273">
        <v>0</v>
      </c>
      <c r="I273" t="s">
        <v>681</v>
      </c>
      <c r="J273" t="s">
        <v>621</v>
      </c>
      <c r="K273" t="s">
        <v>582</v>
      </c>
      <c r="L273" t="s">
        <v>816</v>
      </c>
      <c r="N273" t="s">
        <v>820</v>
      </c>
      <c r="O273" t="s">
        <v>825</v>
      </c>
      <c r="P273" t="s">
        <v>828</v>
      </c>
      <c r="Q273">
        <v>10025</v>
      </c>
      <c r="R273" t="s">
        <v>835</v>
      </c>
      <c r="S273" t="s">
        <v>861</v>
      </c>
      <c r="T273" t="s">
        <v>1109</v>
      </c>
      <c r="U273" t="s">
        <v>1514</v>
      </c>
      <c r="V273" t="s">
        <v>1678</v>
      </c>
      <c r="W273" t="s">
        <v>1684</v>
      </c>
      <c r="X273">
        <v>1.65</v>
      </c>
      <c r="Y273">
        <v>0</v>
      </c>
      <c r="Z273">
        <v>1</v>
      </c>
      <c r="AA273" t="s">
        <v>1692</v>
      </c>
      <c r="AB273" t="s">
        <v>1960</v>
      </c>
      <c r="AC273">
        <v>61</v>
      </c>
      <c r="AD273" t="s">
        <v>2171</v>
      </c>
      <c r="AG273" t="s">
        <v>2370</v>
      </c>
      <c r="AI273" t="s">
        <v>581</v>
      </c>
      <c r="AJ273" t="s">
        <v>2511</v>
      </c>
      <c r="AL273" t="s">
        <v>2520</v>
      </c>
      <c r="AM273" t="s">
        <v>2523</v>
      </c>
      <c r="AR273">
        <v>1888864</v>
      </c>
    </row>
    <row r="274" spans="1:44">
      <c r="A274" s="1">
        <f>HYPERLINK("https://lsnyc.legalserver.org/matter/dynamic-profile/view/1888180","19-1888180")</f>
        <v>0</v>
      </c>
      <c r="B274" t="s">
        <v>315</v>
      </c>
      <c r="C274" t="s">
        <v>536</v>
      </c>
      <c r="D274" t="s">
        <v>544</v>
      </c>
      <c r="E274" t="s">
        <v>562</v>
      </c>
      <c r="F274" t="s">
        <v>580</v>
      </c>
      <c r="G274" t="s">
        <v>581</v>
      </c>
      <c r="H274">
        <v>61.18</v>
      </c>
      <c r="I274" t="s">
        <v>681</v>
      </c>
      <c r="J274" t="s">
        <v>612</v>
      </c>
      <c r="K274" t="s">
        <v>581</v>
      </c>
      <c r="L274" t="s">
        <v>816</v>
      </c>
      <c r="N274" t="s">
        <v>821</v>
      </c>
      <c r="O274" t="s">
        <v>824</v>
      </c>
      <c r="P274" t="s">
        <v>833</v>
      </c>
      <c r="Q274">
        <v>11213</v>
      </c>
      <c r="S274" t="s">
        <v>867</v>
      </c>
      <c r="T274" t="s">
        <v>1110</v>
      </c>
      <c r="U274" t="s">
        <v>1515</v>
      </c>
      <c r="V274" t="s">
        <v>1678</v>
      </c>
      <c r="W274" t="s">
        <v>1684</v>
      </c>
      <c r="X274">
        <v>2.75</v>
      </c>
      <c r="Y274">
        <v>4</v>
      </c>
      <c r="Z274">
        <v>1</v>
      </c>
      <c r="AA274" t="s">
        <v>1692</v>
      </c>
      <c r="AB274" t="s">
        <v>1961</v>
      </c>
      <c r="AC274">
        <v>34</v>
      </c>
      <c r="AD274" t="s">
        <v>2178</v>
      </c>
      <c r="AH274" t="s">
        <v>2360</v>
      </c>
      <c r="AJ274" t="s">
        <v>2511</v>
      </c>
      <c r="AK274" t="s">
        <v>2514</v>
      </c>
      <c r="AL274" t="s">
        <v>2520</v>
      </c>
      <c r="AM274" t="s">
        <v>2523</v>
      </c>
      <c r="AR274">
        <v>772179</v>
      </c>
    </row>
    <row r="275" spans="1:44">
      <c r="A275" s="1">
        <f>HYPERLINK("https://lsnyc.legalserver.org/matter/dynamic-profile/view/1888244","19-1888244")</f>
        <v>0</v>
      </c>
      <c r="B275" t="s">
        <v>316</v>
      </c>
      <c r="C275" t="s">
        <v>535</v>
      </c>
      <c r="D275" t="s">
        <v>543</v>
      </c>
      <c r="E275" t="s">
        <v>561</v>
      </c>
      <c r="F275" t="s">
        <v>580</v>
      </c>
      <c r="G275" t="s">
        <v>581</v>
      </c>
      <c r="H275">
        <v>171.33</v>
      </c>
      <c r="I275" t="s">
        <v>681</v>
      </c>
      <c r="J275" t="s">
        <v>781</v>
      </c>
      <c r="K275" t="s">
        <v>582</v>
      </c>
      <c r="L275" t="s">
        <v>816</v>
      </c>
      <c r="N275" t="s">
        <v>820</v>
      </c>
      <c r="O275" t="s">
        <v>825</v>
      </c>
      <c r="P275" t="s">
        <v>828</v>
      </c>
      <c r="Q275">
        <v>10453</v>
      </c>
      <c r="R275" t="s">
        <v>835</v>
      </c>
      <c r="S275" t="s">
        <v>861</v>
      </c>
      <c r="T275" t="s">
        <v>1111</v>
      </c>
      <c r="U275" t="s">
        <v>1516</v>
      </c>
      <c r="V275" t="s">
        <v>1678</v>
      </c>
      <c r="W275" t="s">
        <v>1684</v>
      </c>
      <c r="X275">
        <v>2.25</v>
      </c>
      <c r="Y275">
        <v>0</v>
      </c>
      <c r="Z275">
        <v>1</v>
      </c>
      <c r="AA275" t="s">
        <v>1692</v>
      </c>
      <c r="AB275" t="s">
        <v>1962</v>
      </c>
      <c r="AC275">
        <v>33</v>
      </c>
      <c r="AD275" t="s">
        <v>2201</v>
      </c>
      <c r="AI275" t="s">
        <v>581</v>
      </c>
      <c r="AJ275" t="s">
        <v>2511</v>
      </c>
      <c r="AL275" t="s">
        <v>2520</v>
      </c>
      <c r="AM275" t="s">
        <v>2523</v>
      </c>
      <c r="AR275">
        <v>1888873</v>
      </c>
    </row>
    <row r="276" spans="1:44">
      <c r="A276" s="1">
        <f>HYPERLINK("https://lsnyc.legalserver.org/matter/dynamic-profile/view/1888053","19-1888053")</f>
        <v>0</v>
      </c>
      <c r="B276" t="s">
        <v>317</v>
      </c>
      <c r="C276" t="s">
        <v>535</v>
      </c>
      <c r="D276" t="s">
        <v>541</v>
      </c>
      <c r="E276" t="s">
        <v>563</v>
      </c>
      <c r="F276" t="s">
        <v>580</v>
      </c>
      <c r="G276" t="s">
        <v>581</v>
      </c>
      <c r="H276">
        <v>24.42</v>
      </c>
      <c r="I276" t="s">
        <v>682</v>
      </c>
      <c r="K276" t="s">
        <v>581</v>
      </c>
      <c r="L276" t="s">
        <v>816</v>
      </c>
      <c r="N276" t="s">
        <v>821</v>
      </c>
      <c r="O276" t="s">
        <v>824</v>
      </c>
      <c r="P276" t="s">
        <v>829</v>
      </c>
      <c r="Q276">
        <v>10017</v>
      </c>
      <c r="R276" t="s">
        <v>849</v>
      </c>
      <c r="S276" t="s">
        <v>861</v>
      </c>
      <c r="T276" t="s">
        <v>952</v>
      </c>
      <c r="U276" t="s">
        <v>1517</v>
      </c>
      <c r="W276" t="s">
        <v>1687</v>
      </c>
      <c r="X276">
        <v>3.51</v>
      </c>
      <c r="Y276">
        <v>0</v>
      </c>
      <c r="Z276">
        <v>1</v>
      </c>
      <c r="AA276" t="s">
        <v>1691</v>
      </c>
      <c r="AB276" t="s">
        <v>1963</v>
      </c>
      <c r="AC276">
        <v>57</v>
      </c>
      <c r="AD276" t="s">
        <v>2284</v>
      </c>
      <c r="AH276" t="s">
        <v>2433</v>
      </c>
      <c r="AI276" t="s">
        <v>582</v>
      </c>
      <c r="AJ276" t="s">
        <v>2512</v>
      </c>
      <c r="AK276" t="s">
        <v>2514</v>
      </c>
      <c r="AL276" t="s">
        <v>2519</v>
      </c>
      <c r="AM276" t="s">
        <v>2522</v>
      </c>
      <c r="AP276" t="s">
        <v>581</v>
      </c>
      <c r="AR276">
        <v>1888682</v>
      </c>
    </row>
    <row r="277" spans="1:44">
      <c r="A277" s="1">
        <f>HYPERLINK("https://lsnyc.legalserver.org/matter/dynamic-profile/view/1887900","19-1887900")</f>
        <v>0</v>
      </c>
      <c r="B277" t="s">
        <v>318</v>
      </c>
      <c r="C277" t="s">
        <v>537</v>
      </c>
      <c r="D277" t="s">
        <v>545</v>
      </c>
      <c r="E277" t="s">
        <v>568</v>
      </c>
      <c r="F277" t="s">
        <v>581</v>
      </c>
      <c r="G277" t="s">
        <v>581</v>
      </c>
      <c r="H277">
        <v>0</v>
      </c>
      <c r="I277" t="s">
        <v>683</v>
      </c>
      <c r="J277" t="s">
        <v>643</v>
      </c>
      <c r="K277" t="s">
        <v>582</v>
      </c>
      <c r="L277" t="s">
        <v>816</v>
      </c>
      <c r="N277" t="s">
        <v>820</v>
      </c>
      <c r="O277" t="s">
        <v>824</v>
      </c>
      <c r="P277" t="s">
        <v>828</v>
      </c>
      <c r="Q277">
        <v>11385</v>
      </c>
      <c r="S277" t="s">
        <v>861</v>
      </c>
      <c r="T277" t="s">
        <v>1093</v>
      </c>
      <c r="U277" t="s">
        <v>1344</v>
      </c>
      <c r="V277" t="s">
        <v>1678</v>
      </c>
      <c r="W277" t="s">
        <v>1684</v>
      </c>
      <c r="X277">
        <v>1.6</v>
      </c>
      <c r="Y277">
        <v>1</v>
      </c>
      <c r="Z277">
        <v>2</v>
      </c>
      <c r="AA277" t="s">
        <v>1692</v>
      </c>
      <c r="AB277" t="s">
        <v>1964</v>
      </c>
      <c r="AC277">
        <v>50</v>
      </c>
      <c r="AD277" t="s">
        <v>2171</v>
      </c>
      <c r="AJ277" t="s">
        <v>2511</v>
      </c>
      <c r="AK277" t="s">
        <v>2514</v>
      </c>
      <c r="AM277" t="s">
        <v>2523</v>
      </c>
      <c r="AR277">
        <v>1888529</v>
      </c>
    </row>
    <row r="278" spans="1:44">
      <c r="A278" s="1">
        <f>HYPERLINK("https://lsnyc.legalserver.org/matter/dynamic-profile/view/1887720","19-1887720")</f>
        <v>0</v>
      </c>
      <c r="B278" t="s">
        <v>319</v>
      </c>
      <c r="C278" t="s">
        <v>535</v>
      </c>
      <c r="D278" t="s">
        <v>541</v>
      </c>
      <c r="E278" t="s">
        <v>563</v>
      </c>
      <c r="F278" t="s">
        <v>580</v>
      </c>
      <c r="G278" t="s">
        <v>581</v>
      </c>
      <c r="H278">
        <v>148.27</v>
      </c>
      <c r="I278" t="s">
        <v>684</v>
      </c>
      <c r="J278" t="s">
        <v>678</v>
      </c>
      <c r="K278" t="s">
        <v>582</v>
      </c>
      <c r="L278" t="s">
        <v>816</v>
      </c>
      <c r="N278" t="s">
        <v>821</v>
      </c>
      <c r="O278" t="s">
        <v>824</v>
      </c>
      <c r="P278" t="s">
        <v>829</v>
      </c>
      <c r="Q278">
        <v>10002</v>
      </c>
      <c r="R278" t="s">
        <v>849</v>
      </c>
      <c r="S278" t="s">
        <v>861</v>
      </c>
      <c r="T278" t="s">
        <v>1112</v>
      </c>
      <c r="U278" t="s">
        <v>1518</v>
      </c>
      <c r="V278" t="s">
        <v>1678</v>
      </c>
      <c r="W278" t="s">
        <v>1684</v>
      </c>
      <c r="X278">
        <v>1.55</v>
      </c>
      <c r="Y278">
        <v>0</v>
      </c>
      <c r="Z278">
        <v>1</v>
      </c>
      <c r="AA278" t="s">
        <v>1692</v>
      </c>
      <c r="AB278" t="s">
        <v>1965</v>
      </c>
      <c r="AC278">
        <v>49</v>
      </c>
      <c r="AD278" t="s">
        <v>2178</v>
      </c>
      <c r="AH278" t="s">
        <v>2371</v>
      </c>
      <c r="AI278" t="s">
        <v>581</v>
      </c>
      <c r="AJ278" t="s">
        <v>2511</v>
      </c>
      <c r="AK278" t="s">
        <v>2514</v>
      </c>
      <c r="AL278" t="s">
        <v>2520</v>
      </c>
      <c r="AM278" t="s">
        <v>2523</v>
      </c>
      <c r="AR278">
        <v>1888349</v>
      </c>
    </row>
    <row r="279" spans="1:44">
      <c r="A279" s="1">
        <f>HYPERLINK("https://lsnyc.legalserver.org/matter/dynamic-profile/view/1887662","19-1887662")</f>
        <v>0</v>
      </c>
      <c r="B279" t="s">
        <v>320</v>
      </c>
      <c r="C279" t="s">
        <v>536</v>
      </c>
      <c r="D279" t="s">
        <v>544</v>
      </c>
      <c r="E279" t="s">
        <v>564</v>
      </c>
      <c r="F279" t="s">
        <v>580</v>
      </c>
      <c r="G279" t="s">
        <v>581</v>
      </c>
      <c r="H279">
        <v>17.09</v>
      </c>
      <c r="I279" t="s">
        <v>685</v>
      </c>
      <c r="J279" t="s">
        <v>585</v>
      </c>
      <c r="K279" t="s">
        <v>581</v>
      </c>
      <c r="L279" t="s">
        <v>816</v>
      </c>
      <c r="N279" t="s">
        <v>821</v>
      </c>
      <c r="O279" t="s">
        <v>824</v>
      </c>
      <c r="P279" t="s">
        <v>829</v>
      </c>
      <c r="Q279">
        <v>11212</v>
      </c>
      <c r="S279" t="s">
        <v>861</v>
      </c>
      <c r="T279" t="s">
        <v>1050</v>
      </c>
      <c r="U279" t="s">
        <v>1329</v>
      </c>
      <c r="V279" t="s">
        <v>1678</v>
      </c>
      <c r="W279" t="s">
        <v>1684</v>
      </c>
      <c r="X279">
        <v>2.7</v>
      </c>
      <c r="Y279">
        <v>2</v>
      </c>
      <c r="Z279">
        <v>1</v>
      </c>
      <c r="AA279" t="s">
        <v>1692</v>
      </c>
      <c r="AB279" t="s">
        <v>1966</v>
      </c>
      <c r="AC279">
        <v>50</v>
      </c>
      <c r="AD279" t="s">
        <v>2285</v>
      </c>
      <c r="AH279" t="s">
        <v>2434</v>
      </c>
      <c r="AJ279" t="s">
        <v>2511</v>
      </c>
      <c r="AK279" t="s">
        <v>2514</v>
      </c>
      <c r="AL279" t="s">
        <v>2520</v>
      </c>
      <c r="AM279" t="s">
        <v>2523</v>
      </c>
      <c r="AR279">
        <v>1888291</v>
      </c>
    </row>
    <row r="280" spans="1:44">
      <c r="A280" s="1">
        <f>HYPERLINK("https://lsnyc.legalserver.org/matter/dynamic-profile/view/1887318","19-1887318")</f>
        <v>0</v>
      </c>
      <c r="B280" t="s">
        <v>321</v>
      </c>
      <c r="C280" t="s">
        <v>535</v>
      </c>
      <c r="D280" t="s">
        <v>541</v>
      </c>
      <c r="E280" t="s">
        <v>561</v>
      </c>
      <c r="F280" t="s">
        <v>580</v>
      </c>
      <c r="G280" t="s">
        <v>581</v>
      </c>
      <c r="H280">
        <v>0</v>
      </c>
      <c r="I280" t="s">
        <v>686</v>
      </c>
      <c r="J280" t="s">
        <v>657</v>
      </c>
      <c r="K280" t="s">
        <v>582</v>
      </c>
      <c r="L280" t="s">
        <v>816</v>
      </c>
      <c r="N280" t="s">
        <v>820</v>
      </c>
      <c r="O280" t="s">
        <v>825</v>
      </c>
      <c r="P280" t="s">
        <v>828</v>
      </c>
      <c r="Q280">
        <v>10026</v>
      </c>
      <c r="S280" t="s">
        <v>861</v>
      </c>
      <c r="T280" t="s">
        <v>1113</v>
      </c>
      <c r="U280" t="s">
        <v>1519</v>
      </c>
      <c r="V280" t="s">
        <v>1678</v>
      </c>
      <c r="W280" t="s">
        <v>1684</v>
      </c>
      <c r="X280">
        <v>1.25</v>
      </c>
      <c r="Y280">
        <v>0</v>
      </c>
      <c r="Z280">
        <v>1</v>
      </c>
      <c r="AA280" t="s">
        <v>1692</v>
      </c>
      <c r="AB280" t="s">
        <v>1967</v>
      </c>
      <c r="AC280">
        <v>50</v>
      </c>
      <c r="AD280" t="s">
        <v>2171</v>
      </c>
      <c r="AH280" t="s">
        <v>2436</v>
      </c>
      <c r="AI280" t="s">
        <v>581</v>
      </c>
      <c r="AJ280" t="s">
        <v>2513</v>
      </c>
      <c r="AK280" t="s">
        <v>2514</v>
      </c>
      <c r="AL280" t="s">
        <v>2520</v>
      </c>
      <c r="AM280" t="s">
        <v>2523</v>
      </c>
      <c r="AP280" t="s">
        <v>581</v>
      </c>
      <c r="AR280">
        <v>1887946</v>
      </c>
    </row>
    <row r="281" spans="1:44">
      <c r="A281" s="1">
        <f>HYPERLINK("https://lsnyc.legalserver.org/matter/dynamic-profile/view/1887338","19-1887338")</f>
        <v>0</v>
      </c>
      <c r="B281" t="s">
        <v>322</v>
      </c>
      <c r="C281" t="s">
        <v>535</v>
      </c>
      <c r="D281" t="s">
        <v>541</v>
      </c>
      <c r="E281" t="s">
        <v>561</v>
      </c>
      <c r="F281" t="s">
        <v>580</v>
      </c>
      <c r="G281" t="s">
        <v>581</v>
      </c>
      <c r="H281">
        <v>0</v>
      </c>
      <c r="I281" t="s">
        <v>686</v>
      </c>
      <c r="J281" t="s">
        <v>657</v>
      </c>
      <c r="K281" t="s">
        <v>582</v>
      </c>
      <c r="L281" t="s">
        <v>816</v>
      </c>
      <c r="N281" t="s">
        <v>820</v>
      </c>
      <c r="O281" t="s">
        <v>825</v>
      </c>
      <c r="P281" t="s">
        <v>828</v>
      </c>
      <c r="Q281">
        <v>10039</v>
      </c>
      <c r="R281" t="s">
        <v>835</v>
      </c>
      <c r="S281" t="s">
        <v>861</v>
      </c>
      <c r="T281" t="s">
        <v>1056</v>
      </c>
      <c r="U281" t="s">
        <v>1520</v>
      </c>
      <c r="V281" t="s">
        <v>1678</v>
      </c>
      <c r="W281" t="s">
        <v>1684</v>
      </c>
      <c r="X281">
        <v>2.15</v>
      </c>
      <c r="Y281">
        <v>0</v>
      </c>
      <c r="Z281">
        <v>1</v>
      </c>
      <c r="AA281" t="s">
        <v>1692</v>
      </c>
      <c r="AB281" t="s">
        <v>1968</v>
      </c>
      <c r="AC281">
        <v>37</v>
      </c>
      <c r="AD281" t="s">
        <v>2171</v>
      </c>
      <c r="AH281" t="s">
        <v>2372</v>
      </c>
      <c r="AI281" t="s">
        <v>581</v>
      </c>
      <c r="AJ281" t="s">
        <v>2511</v>
      </c>
      <c r="AK281" t="s">
        <v>2514</v>
      </c>
      <c r="AL281" t="s">
        <v>2520</v>
      </c>
      <c r="AM281" t="s">
        <v>2523</v>
      </c>
      <c r="AR281">
        <v>1887966</v>
      </c>
    </row>
    <row r="282" spans="1:44">
      <c r="A282" s="1">
        <f>HYPERLINK("https://lsnyc.legalserver.org/matter/dynamic-profile/view/1887363","19-1887363")</f>
        <v>0</v>
      </c>
      <c r="B282" t="s">
        <v>323</v>
      </c>
      <c r="C282" t="s">
        <v>536</v>
      </c>
      <c r="D282" t="s">
        <v>544</v>
      </c>
      <c r="E282" t="s">
        <v>562</v>
      </c>
      <c r="F282" t="s">
        <v>580</v>
      </c>
      <c r="G282" t="s">
        <v>581</v>
      </c>
      <c r="H282">
        <v>0</v>
      </c>
      <c r="I282" t="s">
        <v>686</v>
      </c>
      <c r="J282" t="s">
        <v>652</v>
      </c>
      <c r="K282" t="s">
        <v>581</v>
      </c>
      <c r="L282" t="s">
        <v>816</v>
      </c>
      <c r="N282" t="s">
        <v>821</v>
      </c>
      <c r="O282" t="s">
        <v>824</v>
      </c>
      <c r="P282" t="s">
        <v>833</v>
      </c>
      <c r="Q282">
        <v>11235</v>
      </c>
      <c r="S282" t="s">
        <v>861</v>
      </c>
      <c r="T282" t="s">
        <v>1114</v>
      </c>
      <c r="U282" t="s">
        <v>1521</v>
      </c>
      <c r="V282" t="s">
        <v>1678</v>
      </c>
      <c r="W282" t="s">
        <v>1684</v>
      </c>
      <c r="X282">
        <v>3.2</v>
      </c>
      <c r="Y282">
        <v>0</v>
      </c>
      <c r="Z282">
        <v>1</v>
      </c>
      <c r="AA282" t="s">
        <v>1692</v>
      </c>
      <c r="AB282" t="s">
        <v>1969</v>
      </c>
      <c r="AC282">
        <v>42</v>
      </c>
      <c r="AD282" t="s">
        <v>2171</v>
      </c>
      <c r="AI282" t="s">
        <v>581</v>
      </c>
      <c r="AJ282" t="s">
        <v>2511</v>
      </c>
      <c r="AL282" t="s">
        <v>2520</v>
      </c>
      <c r="AM282" t="s">
        <v>2523</v>
      </c>
      <c r="AR282">
        <v>1887991</v>
      </c>
    </row>
    <row r="283" spans="1:44">
      <c r="A283" s="1">
        <f>HYPERLINK("https://lsnyc.legalserver.org/matter/dynamic-profile/view/1887170","19-1887170")</f>
        <v>0</v>
      </c>
      <c r="B283" t="s">
        <v>324</v>
      </c>
      <c r="C283" t="s">
        <v>535</v>
      </c>
      <c r="D283" t="s">
        <v>543</v>
      </c>
      <c r="E283" t="s">
        <v>561</v>
      </c>
      <c r="F283" t="s">
        <v>580</v>
      </c>
      <c r="G283" t="s">
        <v>581</v>
      </c>
      <c r="H283">
        <v>0</v>
      </c>
      <c r="I283" t="s">
        <v>687</v>
      </c>
      <c r="J283" t="s">
        <v>620</v>
      </c>
      <c r="K283" t="s">
        <v>582</v>
      </c>
      <c r="L283" t="s">
        <v>816</v>
      </c>
      <c r="N283" t="s">
        <v>820</v>
      </c>
      <c r="O283" t="s">
        <v>824</v>
      </c>
      <c r="P283" t="s">
        <v>828</v>
      </c>
      <c r="Q283">
        <v>10451</v>
      </c>
      <c r="S283" t="s">
        <v>861</v>
      </c>
      <c r="T283" t="s">
        <v>1115</v>
      </c>
      <c r="U283" t="s">
        <v>1522</v>
      </c>
      <c r="V283" t="s">
        <v>1681</v>
      </c>
      <c r="W283" t="s">
        <v>1685</v>
      </c>
      <c r="X283">
        <v>20.15</v>
      </c>
      <c r="Y283">
        <v>0</v>
      </c>
      <c r="Z283">
        <v>1</v>
      </c>
      <c r="AA283" t="s">
        <v>1692</v>
      </c>
      <c r="AB283" t="s">
        <v>1970</v>
      </c>
      <c r="AC283">
        <v>22</v>
      </c>
      <c r="AD283" t="s">
        <v>2171</v>
      </c>
      <c r="AG283" t="s">
        <v>2371</v>
      </c>
      <c r="AH283" t="s">
        <v>2437</v>
      </c>
      <c r="AI283" t="s">
        <v>582</v>
      </c>
      <c r="AJ283" t="s">
        <v>2512</v>
      </c>
      <c r="AK283" t="s">
        <v>2516</v>
      </c>
      <c r="AL283" t="s">
        <v>2521</v>
      </c>
      <c r="AM283" t="s">
        <v>2525</v>
      </c>
      <c r="AO283" t="s">
        <v>2528</v>
      </c>
      <c r="AR283">
        <v>1887798</v>
      </c>
    </row>
    <row r="284" spans="1:44">
      <c r="A284" s="1">
        <f>HYPERLINK("https://lsnyc.legalserver.org/matter/dynamic-profile/view/1887168","19-1887168")</f>
        <v>0</v>
      </c>
      <c r="B284" t="s">
        <v>325</v>
      </c>
      <c r="C284" t="s">
        <v>535</v>
      </c>
      <c r="D284" t="s">
        <v>542</v>
      </c>
      <c r="E284" t="s">
        <v>561</v>
      </c>
      <c r="F284" t="s">
        <v>580</v>
      </c>
      <c r="G284" t="s">
        <v>581</v>
      </c>
      <c r="H284">
        <v>0</v>
      </c>
      <c r="I284" t="s">
        <v>687</v>
      </c>
      <c r="K284" t="s">
        <v>582</v>
      </c>
      <c r="L284" t="s">
        <v>816</v>
      </c>
      <c r="N284" t="s">
        <v>820</v>
      </c>
      <c r="O284" t="s">
        <v>825</v>
      </c>
      <c r="P284" t="s">
        <v>828</v>
      </c>
      <c r="Q284">
        <v>10314</v>
      </c>
      <c r="R284" t="s">
        <v>835</v>
      </c>
      <c r="S284" t="s">
        <v>861</v>
      </c>
      <c r="T284" t="s">
        <v>1116</v>
      </c>
      <c r="U284" t="s">
        <v>1523</v>
      </c>
      <c r="X284">
        <v>3.4</v>
      </c>
      <c r="Y284">
        <v>0</v>
      </c>
      <c r="Z284">
        <v>1</v>
      </c>
      <c r="AA284" t="s">
        <v>1691</v>
      </c>
      <c r="AB284" t="s">
        <v>1971</v>
      </c>
      <c r="AC284">
        <v>28</v>
      </c>
      <c r="AD284" t="s">
        <v>2171</v>
      </c>
      <c r="AH284" t="s">
        <v>2436</v>
      </c>
      <c r="AI284" t="s">
        <v>581</v>
      </c>
      <c r="AJ284" t="s">
        <v>2511</v>
      </c>
      <c r="AK284" t="s">
        <v>2514</v>
      </c>
      <c r="AL284" t="s">
        <v>2520</v>
      </c>
      <c r="AM284" t="s">
        <v>2523</v>
      </c>
      <c r="AR284">
        <v>1887796</v>
      </c>
    </row>
    <row r="285" spans="1:44">
      <c r="A285" s="1">
        <f>HYPERLINK("https://lsnyc.legalserver.org/matter/dynamic-profile/view/1887124","19-1887124")</f>
        <v>0</v>
      </c>
      <c r="B285" t="s">
        <v>326</v>
      </c>
      <c r="C285" t="s">
        <v>537</v>
      </c>
      <c r="D285" t="s">
        <v>545</v>
      </c>
      <c r="E285" t="s">
        <v>568</v>
      </c>
      <c r="F285" t="s">
        <v>581</v>
      </c>
      <c r="G285" t="s">
        <v>581</v>
      </c>
      <c r="H285">
        <v>0</v>
      </c>
      <c r="I285" t="s">
        <v>688</v>
      </c>
      <c r="J285" t="s">
        <v>643</v>
      </c>
      <c r="K285" t="s">
        <v>581</v>
      </c>
      <c r="L285" t="s">
        <v>816</v>
      </c>
      <c r="N285" t="s">
        <v>820</v>
      </c>
      <c r="O285" t="s">
        <v>824</v>
      </c>
      <c r="P285" t="s">
        <v>828</v>
      </c>
      <c r="Q285">
        <v>11373</v>
      </c>
      <c r="S285" t="s">
        <v>865</v>
      </c>
      <c r="T285" t="s">
        <v>1117</v>
      </c>
      <c r="U285" t="s">
        <v>1524</v>
      </c>
      <c r="V285" t="s">
        <v>1678</v>
      </c>
      <c r="W285" t="s">
        <v>1684</v>
      </c>
      <c r="X285">
        <v>0.5</v>
      </c>
      <c r="Y285">
        <v>1</v>
      </c>
      <c r="Z285">
        <v>1</v>
      </c>
      <c r="AA285" t="s">
        <v>1692</v>
      </c>
      <c r="AB285" t="s">
        <v>1972</v>
      </c>
      <c r="AC285">
        <v>27</v>
      </c>
      <c r="AD285" t="s">
        <v>2171</v>
      </c>
      <c r="AL285" t="s">
        <v>2520</v>
      </c>
      <c r="AM285" t="s">
        <v>2523</v>
      </c>
      <c r="AR285">
        <v>1846403</v>
      </c>
    </row>
    <row r="286" spans="1:44">
      <c r="A286" s="1">
        <f>HYPERLINK("https://lsnyc.legalserver.org/matter/dynamic-profile/view/1887048","19-1887048")</f>
        <v>0</v>
      </c>
      <c r="B286" t="s">
        <v>327</v>
      </c>
      <c r="C286" t="s">
        <v>537</v>
      </c>
      <c r="D286" t="s">
        <v>545</v>
      </c>
      <c r="E286" t="s">
        <v>568</v>
      </c>
      <c r="F286" t="s">
        <v>581</v>
      </c>
      <c r="G286" t="s">
        <v>581</v>
      </c>
      <c r="H286">
        <v>0</v>
      </c>
      <c r="I286" t="s">
        <v>688</v>
      </c>
      <c r="J286" t="s">
        <v>629</v>
      </c>
      <c r="K286" t="s">
        <v>582</v>
      </c>
      <c r="L286" t="s">
        <v>816</v>
      </c>
      <c r="N286" t="s">
        <v>820</v>
      </c>
      <c r="O286" t="s">
        <v>825</v>
      </c>
      <c r="P286" t="s">
        <v>828</v>
      </c>
      <c r="Q286">
        <v>11436</v>
      </c>
      <c r="S286" t="s">
        <v>861</v>
      </c>
      <c r="T286" t="s">
        <v>1118</v>
      </c>
      <c r="U286" t="s">
        <v>1525</v>
      </c>
      <c r="V286" t="s">
        <v>1681</v>
      </c>
      <c r="W286" t="s">
        <v>1685</v>
      </c>
      <c r="X286">
        <v>30.6</v>
      </c>
      <c r="Y286">
        <v>0</v>
      </c>
      <c r="Z286">
        <v>2</v>
      </c>
      <c r="AA286" t="s">
        <v>1692</v>
      </c>
      <c r="AB286" t="s">
        <v>1973</v>
      </c>
      <c r="AC286">
        <v>57</v>
      </c>
      <c r="AD286" t="s">
        <v>2171</v>
      </c>
      <c r="AG286" t="s">
        <v>2372</v>
      </c>
      <c r="AH286" t="s">
        <v>2413</v>
      </c>
      <c r="AI286" t="s">
        <v>582</v>
      </c>
      <c r="AJ286" t="s">
        <v>2512</v>
      </c>
      <c r="AK286" t="s">
        <v>2517</v>
      </c>
      <c r="AM286" t="s">
        <v>2525</v>
      </c>
      <c r="AO286" t="s">
        <v>2529</v>
      </c>
      <c r="AR286">
        <v>1887676</v>
      </c>
    </row>
    <row r="287" spans="1:44">
      <c r="A287" s="1">
        <f>HYPERLINK("https://lsnyc.legalserver.org/matter/dynamic-profile/view/1887083","19-1887083")</f>
        <v>0</v>
      </c>
      <c r="B287" t="s">
        <v>328</v>
      </c>
      <c r="C287" t="s">
        <v>535</v>
      </c>
      <c r="D287" t="s">
        <v>543</v>
      </c>
      <c r="E287" t="s">
        <v>561</v>
      </c>
      <c r="F287" t="s">
        <v>580</v>
      </c>
      <c r="G287" t="s">
        <v>581</v>
      </c>
      <c r="H287">
        <v>0</v>
      </c>
      <c r="I287" t="s">
        <v>688</v>
      </c>
      <c r="K287" t="s">
        <v>582</v>
      </c>
      <c r="L287" t="s">
        <v>816</v>
      </c>
      <c r="N287" t="s">
        <v>820</v>
      </c>
      <c r="O287" t="s">
        <v>824</v>
      </c>
      <c r="P287" t="s">
        <v>828</v>
      </c>
      <c r="Q287">
        <v>10466</v>
      </c>
      <c r="R287" t="s">
        <v>835</v>
      </c>
      <c r="S287" t="s">
        <v>861</v>
      </c>
      <c r="T287" t="s">
        <v>1119</v>
      </c>
      <c r="U287" t="s">
        <v>1432</v>
      </c>
      <c r="W287" t="s">
        <v>1684</v>
      </c>
      <c r="X287">
        <v>5</v>
      </c>
      <c r="Y287">
        <v>0</v>
      </c>
      <c r="Z287">
        <v>1</v>
      </c>
      <c r="AA287" t="s">
        <v>1691</v>
      </c>
      <c r="AB287" t="s">
        <v>1974</v>
      </c>
      <c r="AC287">
        <v>20</v>
      </c>
      <c r="AD287" t="s">
        <v>2171</v>
      </c>
      <c r="AH287" t="s">
        <v>2438</v>
      </c>
      <c r="AI287" t="s">
        <v>581</v>
      </c>
      <c r="AJ287" t="s">
        <v>2511</v>
      </c>
      <c r="AK287" t="s">
        <v>2514</v>
      </c>
      <c r="AL287" t="s">
        <v>2520</v>
      </c>
      <c r="AM287" t="s">
        <v>2523</v>
      </c>
      <c r="AR287">
        <v>1887711</v>
      </c>
    </row>
    <row r="288" spans="1:44">
      <c r="A288" s="1">
        <f>HYPERLINK("https://lsnyc.legalserver.org/matter/dynamic-profile/view/1887109","19-1887109")</f>
        <v>0</v>
      </c>
      <c r="B288" t="s">
        <v>329</v>
      </c>
      <c r="C288" t="s">
        <v>535</v>
      </c>
      <c r="D288" t="s">
        <v>541</v>
      </c>
      <c r="E288" t="s">
        <v>575</v>
      </c>
      <c r="F288" t="s">
        <v>580</v>
      </c>
      <c r="G288" t="s">
        <v>581</v>
      </c>
      <c r="H288">
        <v>0</v>
      </c>
      <c r="I288" t="s">
        <v>688</v>
      </c>
      <c r="K288" t="s">
        <v>581</v>
      </c>
      <c r="L288" t="s">
        <v>816</v>
      </c>
      <c r="N288" t="s">
        <v>821</v>
      </c>
      <c r="O288" t="s">
        <v>825</v>
      </c>
      <c r="P288" t="s">
        <v>833</v>
      </c>
      <c r="Q288">
        <v>10039</v>
      </c>
      <c r="S288" t="s">
        <v>861</v>
      </c>
      <c r="T288" t="s">
        <v>1120</v>
      </c>
      <c r="U288" t="s">
        <v>1526</v>
      </c>
      <c r="W288" t="s">
        <v>1684</v>
      </c>
      <c r="X288">
        <v>2.25</v>
      </c>
      <c r="Y288">
        <v>0</v>
      </c>
      <c r="Z288">
        <v>1</v>
      </c>
      <c r="AA288" t="s">
        <v>1691</v>
      </c>
      <c r="AB288" t="s">
        <v>1975</v>
      </c>
      <c r="AC288">
        <v>39</v>
      </c>
      <c r="AD288" t="s">
        <v>2171</v>
      </c>
      <c r="AH288" t="s">
        <v>2436</v>
      </c>
      <c r="AJ288" t="s">
        <v>2511</v>
      </c>
      <c r="AK288" t="s">
        <v>2514</v>
      </c>
      <c r="AL288" t="s">
        <v>2520</v>
      </c>
      <c r="AM288" t="s">
        <v>2523</v>
      </c>
      <c r="AR288">
        <v>1887737</v>
      </c>
    </row>
    <row r="289" spans="1:44">
      <c r="A289" s="1">
        <f>HYPERLINK("https://lsnyc.legalserver.org/matter/dynamic-profile/view/1886970","19-1886970")</f>
        <v>0</v>
      </c>
      <c r="B289" t="s">
        <v>330</v>
      </c>
      <c r="C289" t="s">
        <v>537</v>
      </c>
      <c r="D289" t="s">
        <v>545</v>
      </c>
      <c r="E289" t="s">
        <v>568</v>
      </c>
      <c r="F289" t="s">
        <v>581</v>
      </c>
      <c r="G289" t="s">
        <v>581</v>
      </c>
      <c r="H289">
        <v>100.1</v>
      </c>
      <c r="I289" t="s">
        <v>689</v>
      </c>
      <c r="J289" t="s">
        <v>677</v>
      </c>
      <c r="K289" t="s">
        <v>582</v>
      </c>
      <c r="L289" t="s">
        <v>816</v>
      </c>
      <c r="N289" t="s">
        <v>820</v>
      </c>
      <c r="O289" t="s">
        <v>825</v>
      </c>
      <c r="P289" t="s">
        <v>828</v>
      </c>
      <c r="Q289">
        <v>11423</v>
      </c>
      <c r="S289" t="s">
        <v>861</v>
      </c>
      <c r="T289" t="s">
        <v>1121</v>
      </c>
      <c r="U289" t="s">
        <v>1527</v>
      </c>
      <c r="V289" t="s">
        <v>1678</v>
      </c>
      <c r="W289" t="s">
        <v>1684</v>
      </c>
      <c r="X289">
        <v>3.75</v>
      </c>
      <c r="Y289">
        <v>0</v>
      </c>
      <c r="Z289">
        <v>3</v>
      </c>
      <c r="AA289" t="s">
        <v>1692</v>
      </c>
      <c r="AB289" t="s">
        <v>1976</v>
      </c>
      <c r="AC289">
        <v>52</v>
      </c>
      <c r="AD289" t="s">
        <v>2201</v>
      </c>
      <c r="AJ289" t="s">
        <v>2511</v>
      </c>
      <c r="AM289" t="s">
        <v>2523</v>
      </c>
      <c r="AR289">
        <v>1887598</v>
      </c>
    </row>
    <row r="290" spans="1:44">
      <c r="A290" s="1">
        <f>HYPERLINK("https://lsnyc.legalserver.org/matter/dynamic-profile/view/1886967","19-1886967")</f>
        <v>0</v>
      </c>
      <c r="B290" t="s">
        <v>331</v>
      </c>
      <c r="C290" t="s">
        <v>536</v>
      </c>
      <c r="D290" t="s">
        <v>544</v>
      </c>
      <c r="E290" t="s">
        <v>566</v>
      </c>
      <c r="F290" t="s">
        <v>580</v>
      </c>
      <c r="G290" t="s">
        <v>581</v>
      </c>
      <c r="H290">
        <v>0</v>
      </c>
      <c r="I290" t="s">
        <v>689</v>
      </c>
      <c r="J290" t="s">
        <v>591</v>
      </c>
      <c r="K290" t="s">
        <v>582</v>
      </c>
      <c r="L290" t="s">
        <v>816</v>
      </c>
      <c r="N290" t="s">
        <v>820</v>
      </c>
      <c r="O290" t="s">
        <v>824</v>
      </c>
      <c r="P290" t="s">
        <v>828</v>
      </c>
      <c r="Q290">
        <v>11234</v>
      </c>
      <c r="S290" t="s">
        <v>861</v>
      </c>
      <c r="T290" t="s">
        <v>1122</v>
      </c>
      <c r="U290" t="s">
        <v>1528</v>
      </c>
      <c r="V290" t="s">
        <v>1678</v>
      </c>
      <c r="W290" t="s">
        <v>1684</v>
      </c>
      <c r="X290">
        <v>1.5</v>
      </c>
      <c r="Y290">
        <v>0</v>
      </c>
      <c r="Z290">
        <v>1</v>
      </c>
      <c r="AA290" t="s">
        <v>1692</v>
      </c>
      <c r="AB290" t="s">
        <v>1977</v>
      </c>
      <c r="AC290">
        <v>27</v>
      </c>
      <c r="AD290" t="s">
        <v>2171</v>
      </c>
      <c r="AI290" t="s">
        <v>581</v>
      </c>
      <c r="AJ290" t="s">
        <v>2511</v>
      </c>
      <c r="AL290" t="s">
        <v>2520</v>
      </c>
      <c r="AM290" t="s">
        <v>2523</v>
      </c>
      <c r="AR290">
        <v>1887595</v>
      </c>
    </row>
    <row r="291" spans="1:44">
      <c r="A291" s="1">
        <f>HYPERLINK("https://lsnyc.legalserver.org/matter/dynamic-profile/view/1886803","19-1886803")</f>
        <v>0</v>
      </c>
      <c r="B291" t="s">
        <v>332</v>
      </c>
      <c r="C291" t="s">
        <v>535</v>
      </c>
      <c r="D291" t="s">
        <v>541</v>
      </c>
      <c r="E291" t="s">
        <v>561</v>
      </c>
      <c r="F291" t="s">
        <v>580</v>
      </c>
      <c r="G291" t="s">
        <v>581</v>
      </c>
      <c r="H291">
        <v>18.77</v>
      </c>
      <c r="I291" t="s">
        <v>690</v>
      </c>
      <c r="J291" t="s">
        <v>657</v>
      </c>
      <c r="K291" t="s">
        <v>582</v>
      </c>
      <c r="L291" t="s">
        <v>816</v>
      </c>
      <c r="N291" t="s">
        <v>820</v>
      </c>
      <c r="O291" t="s">
        <v>824</v>
      </c>
      <c r="P291" t="s">
        <v>828</v>
      </c>
      <c r="Q291">
        <v>10039</v>
      </c>
      <c r="R291" t="s">
        <v>835</v>
      </c>
      <c r="S291" t="s">
        <v>861</v>
      </c>
      <c r="T291" t="s">
        <v>1092</v>
      </c>
      <c r="U291" t="s">
        <v>1350</v>
      </c>
      <c r="V291" t="s">
        <v>1678</v>
      </c>
      <c r="W291" t="s">
        <v>1684</v>
      </c>
      <c r="X291">
        <v>5.33</v>
      </c>
      <c r="Y291">
        <v>2</v>
      </c>
      <c r="Z291">
        <v>1</v>
      </c>
      <c r="AA291" t="s">
        <v>1692</v>
      </c>
      <c r="AB291" t="s">
        <v>1978</v>
      </c>
      <c r="AC291">
        <v>27</v>
      </c>
      <c r="AD291" t="s">
        <v>2286</v>
      </c>
      <c r="AH291" t="s">
        <v>2439</v>
      </c>
      <c r="AI291" t="s">
        <v>581</v>
      </c>
      <c r="AJ291" t="s">
        <v>2511</v>
      </c>
      <c r="AK291" t="s">
        <v>2514</v>
      </c>
      <c r="AL291" t="s">
        <v>2520</v>
      </c>
      <c r="AM291" t="s">
        <v>2523</v>
      </c>
      <c r="AR291">
        <v>1887431</v>
      </c>
    </row>
    <row r="292" spans="1:44">
      <c r="A292" s="1">
        <f>HYPERLINK("https://lsnyc.legalserver.org/matter/dynamic-profile/view/1886837","19-1886837")</f>
        <v>0</v>
      </c>
      <c r="B292" t="s">
        <v>333</v>
      </c>
      <c r="C292" t="s">
        <v>535</v>
      </c>
      <c r="D292" t="s">
        <v>543</v>
      </c>
      <c r="E292" t="s">
        <v>561</v>
      </c>
      <c r="F292" t="s">
        <v>580</v>
      </c>
      <c r="G292" t="s">
        <v>581</v>
      </c>
      <c r="H292">
        <v>0</v>
      </c>
      <c r="I292" t="s">
        <v>690</v>
      </c>
      <c r="J292" t="s">
        <v>657</v>
      </c>
      <c r="K292" t="s">
        <v>582</v>
      </c>
      <c r="L292" t="s">
        <v>816</v>
      </c>
      <c r="N292" t="s">
        <v>820</v>
      </c>
      <c r="O292" t="s">
        <v>824</v>
      </c>
      <c r="P292" t="s">
        <v>828</v>
      </c>
      <c r="Q292">
        <v>10458</v>
      </c>
      <c r="R292" t="s">
        <v>835</v>
      </c>
      <c r="S292" t="s">
        <v>861</v>
      </c>
      <c r="T292" t="s">
        <v>1123</v>
      </c>
      <c r="U292" t="s">
        <v>1402</v>
      </c>
      <c r="V292" t="s">
        <v>1678</v>
      </c>
      <c r="W292" t="s">
        <v>1684</v>
      </c>
      <c r="X292">
        <v>6.4</v>
      </c>
      <c r="Y292">
        <v>0</v>
      </c>
      <c r="Z292">
        <v>1</v>
      </c>
      <c r="AA292" t="s">
        <v>1692</v>
      </c>
      <c r="AB292" t="s">
        <v>1979</v>
      </c>
      <c r="AC292">
        <v>28</v>
      </c>
      <c r="AD292" t="s">
        <v>2171</v>
      </c>
      <c r="AH292" t="s">
        <v>2438</v>
      </c>
      <c r="AI292" t="s">
        <v>581</v>
      </c>
      <c r="AJ292" t="s">
        <v>2511</v>
      </c>
      <c r="AK292" t="s">
        <v>2514</v>
      </c>
      <c r="AM292" t="s">
        <v>2523</v>
      </c>
      <c r="AR292">
        <v>1887465</v>
      </c>
    </row>
    <row r="293" spans="1:44">
      <c r="A293" s="1">
        <f>HYPERLINK("https://lsnyc.legalserver.org/matter/dynamic-profile/view/1886863","19-1886863")</f>
        <v>0</v>
      </c>
      <c r="B293" t="s">
        <v>334</v>
      </c>
      <c r="C293" t="s">
        <v>536</v>
      </c>
      <c r="D293" t="s">
        <v>544</v>
      </c>
      <c r="E293" t="s">
        <v>566</v>
      </c>
      <c r="F293" t="s">
        <v>580</v>
      </c>
      <c r="G293" t="s">
        <v>581</v>
      </c>
      <c r="H293">
        <v>138.39</v>
      </c>
      <c r="I293" t="s">
        <v>690</v>
      </c>
      <c r="J293" t="s">
        <v>644</v>
      </c>
      <c r="K293" t="s">
        <v>581</v>
      </c>
      <c r="L293" t="s">
        <v>816</v>
      </c>
      <c r="N293" t="s">
        <v>821</v>
      </c>
      <c r="O293" t="s">
        <v>824</v>
      </c>
      <c r="P293" t="s">
        <v>829</v>
      </c>
      <c r="Q293">
        <v>11233</v>
      </c>
      <c r="S293" t="s">
        <v>861</v>
      </c>
      <c r="T293" t="s">
        <v>1124</v>
      </c>
      <c r="U293" t="s">
        <v>1529</v>
      </c>
      <c r="V293" t="s">
        <v>1678</v>
      </c>
      <c r="W293" t="s">
        <v>1689</v>
      </c>
      <c r="X293">
        <v>4.5</v>
      </c>
      <c r="Y293">
        <v>0</v>
      </c>
      <c r="Z293">
        <v>1</v>
      </c>
      <c r="AA293" t="s">
        <v>1692</v>
      </c>
      <c r="AB293" t="s">
        <v>1980</v>
      </c>
      <c r="AC293">
        <v>27</v>
      </c>
      <c r="AD293" t="s">
        <v>2256</v>
      </c>
      <c r="AI293" t="s">
        <v>581</v>
      </c>
      <c r="AJ293" t="s">
        <v>2513</v>
      </c>
      <c r="AM293" t="s">
        <v>2523</v>
      </c>
      <c r="AR293">
        <v>1887491</v>
      </c>
    </row>
    <row r="294" spans="1:44">
      <c r="A294" s="1">
        <f>HYPERLINK("https://lsnyc.legalserver.org/matter/dynamic-profile/view/1886796","19-1886796")</f>
        <v>0</v>
      </c>
      <c r="B294" t="s">
        <v>335</v>
      </c>
      <c r="C294" t="s">
        <v>537</v>
      </c>
      <c r="D294" t="s">
        <v>545</v>
      </c>
      <c r="E294" t="s">
        <v>568</v>
      </c>
      <c r="F294" t="s">
        <v>581</v>
      </c>
      <c r="G294" t="s">
        <v>581</v>
      </c>
      <c r="H294">
        <v>0</v>
      </c>
      <c r="I294" t="s">
        <v>690</v>
      </c>
      <c r="J294" t="s">
        <v>802</v>
      </c>
      <c r="K294" t="s">
        <v>582</v>
      </c>
      <c r="L294" t="s">
        <v>816</v>
      </c>
      <c r="N294" t="s">
        <v>820</v>
      </c>
      <c r="O294" t="s">
        <v>824</v>
      </c>
      <c r="P294" t="s">
        <v>828</v>
      </c>
      <c r="Q294">
        <v>11421</v>
      </c>
      <c r="S294" t="s">
        <v>861</v>
      </c>
      <c r="T294" t="s">
        <v>1125</v>
      </c>
      <c r="U294" t="s">
        <v>1530</v>
      </c>
      <c r="V294" t="s">
        <v>1678</v>
      </c>
      <c r="W294" t="s">
        <v>1687</v>
      </c>
      <c r="X294">
        <v>3.93</v>
      </c>
      <c r="Y294">
        <v>0</v>
      </c>
      <c r="Z294">
        <v>1</v>
      </c>
      <c r="AA294" t="s">
        <v>1692</v>
      </c>
      <c r="AB294" t="s">
        <v>1981</v>
      </c>
      <c r="AC294">
        <v>41</v>
      </c>
      <c r="AD294" t="s">
        <v>2171</v>
      </c>
      <c r="AH294" t="s">
        <v>2440</v>
      </c>
      <c r="AJ294" t="s">
        <v>2511</v>
      </c>
      <c r="AK294" t="s">
        <v>2514</v>
      </c>
      <c r="AM294" t="s">
        <v>2523</v>
      </c>
      <c r="AR294">
        <v>1887424</v>
      </c>
    </row>
    <row r="295" spans="1:44">
      <c r="A295" s="1">
        <f>HYPERLINK("https://lsnyc.legalserver.org/matter/dynamic-profile/view/1886864","19-1886864")</f>
        <v>0</v>
      </c>
      <c r="B295" t="s">
        <v>336</v>
      </c>
      <c r="C295" t="s">
        <v>535</v>
      </c>
      <c r="D295" t="s">
        <v>543</v>
      </c>
      <c r="E295" t="s">
        <v>561</v>
      </c>
      <c r="F295" t="s">
        <v>580</v>
      </c>
      <c r="G295" t="s">
        <v>581</v>
      </c>
      <c r="H295">
        <v>128.5</v>
      </c>
      <c r="I295" t="s">
        <v>690</v>
      </c>
      <c r="K295" t="s">
        <v>582</v>
      </c>
      <c r="L295" t="s">
        <v>816</v>
      </c>
      <c r="N295" t="s">
        <v>820</v>
      </c>
      <c r="O295" t="s">
        <v>824</v>
      </c>
      <c r="P295" t="s">
        <v>828</v>
      </c>
      <c r="Q295">
        <v>10451</v>
      </c>
      <c r="R295" t="s">
        <v>835</v>
      </c>
      <c r="S295" t="s">
        <v>863</v>
      </c>
      <c r="T295" t="s">
        <v>1126</v>
      </c>
      <c r="U295" t="s">
        <v>1531</v>
      </c>
      <c r="X295">
        <v>2.2</v>
      </c>
      <c r="Y295">
        <v>0</v>
      </c>
      <c r="Z295">
        <v>1</v>
      </c>
      <c r="AA295" t="s">
        <v>1691</v>
      </c>
      <c r="AB295" t="s">
        <v>1982</v>
      </c>
      <c r="AC295">
        <v>44</v>
      </c>
      <c r="AD295" t="s">
        <v>2268</v>
      </c>
      <c r="AH295" t="s">
        <v>2441</v>
      </c>
      <c r="AI295" t="s">
        <v>581</v>
      </c>
      <c r="AJ295" t="s">
        <v>2511</v>
      </c>
      <c r="AK295" t="s">
        <v>2514</v>
      </c>
      <c r="AL295" t="s">
        <v>2520</v>
      </c>
      <c r="AM295" t="s">
        <v>2523</v>
      </c>
      <c r="AR295">
        <v>1841574</v>
      </c>
    </row>
    <row r="296" spans="1:44">
      <c r="A296" s="1">
        <f>HYPERLINK("https://lsnyc.legalserver.org/matter/dynamic-profile/view/1887952","19-1887952")</f>
        <v>0</v>
      </c>
      <c r="B296" t="s">
        <v>337</v>
      </c>
      <c r="C296" t="s">
        <v>535</v>
      </c>
      <c r="D296" t="s">
        <v>548</v>
      </c>
      <c r="E296" t="s">
        <v>563</v>
      </c>
      <c r="F296" t="s">
        <v>580</v>
      </c>
      <c r="G296" t="s">
        <v>581</v>
      </c>
      <c r="H296">
        <v>235.58</v>
      </c>
      <c r="I296" t="s">
        <v>690</v>
      </c>
      <c r="L296" t="s">
        <v>816</v>
      </c>
      <c r="N296" t="s">
        <v>820</v>
      </c>
      <c r="O296" t="s">
        <v>825</v>
      </c>
      <c r="P296" t="s">
        <v>828</v>
      </c>
      <c r="Q296">
        <v>11501</v>
      </c>
      <c r="R296" t="s">
        <v>835</v>
      </c>
      <c r="S296" t="s">
        <v>861</v>
      </c>
      <c r="T296" t="s">
        <v>1127</v>
      </c>
      <c r="U296" t="s">
        <v>1532</v>
      </c>
      <c r="W296" t="s">
        <v>1690</v>
      </c>
      <c r="X296">
        <v>10.95</v>
      </c>
      <c r="Y296">
        <v>0</v>
      </c>
      <c r="Z296">
        <v>1</v>
      </c>
      <c r="AA296" t="s">
        <v>1691</v>
      </c>
      <c r="AB296" t="s">
        <v>1983</v>
      </c>
      <c r="AC296">
        <v>33</v>
      </c>
      <c r="AD296" t="s">
        <v>2287</v>
      </c>
      <c r="AE296" t="s">
        <v>2357</v>
      </c>
      <c r="AI296" t="s">
        <v>582</v>
      </c>
      <c r="AJ296" t="s">
        <v>2512</v>
      </c>
      <c r="AL296" t="s">
        <v>2521</v>
      </c>
      <c r="AM296" t="s">
        <v>2524</v>
      </c>
      <c r="AP296" t="s">
        <v>582</v>
      </c>
      <c r="AR296">
        <v>1848735</v>
      </c>
    </row>
    <row r="297" spans="1:44">
      <c r="A297" s="1">
        <f>HYPERLINK("https://lsnyc.legalserver.org/matter/dynamic-profile/view/1886740","18-1886740")</f>
        <v>0</v>
      </c>
      <c r="B297" t="s">
        <v>338</v>
      </c>
      <c r="C297" t="s">
        <v>536</v>
      </c>
      <c r="D297" t="s">
        <v>544</v>
      </c>
      <c r="E297" t="s">
        <v>566</v>
      </c>
      <c r="F297" t="s">
        <v>580</v>
      </c>
      <c r="G297" t="s">
        <v>581</v>
      </c>
      <c r="H297">
        <v>128.5</v>
      </c>
      <c r="I297" t="s">
        <v>691</v>
      </c>
      <c r="J297" t="s">
        <v>671</v>
      </c>
      <c r="K297" t="s">
        <v>581</v>
      </c>
      <c r="L297" t="s">
        <v>816</v>
      </c>
      <c r="N297" t="s">
        <v>821</v>
      </c>
      <c r="O297" t="s">
        <v>825</v>
      </c>
      <c r="P297" t="s">
        <v>830</v>
      </c>
      <c r="Q297">
        <v>11206</v>
      </c>
      <c r="S297" t="s">
        <v>861</v>
      </c>
      <c r="T297" t="s">
        <v>1128</v>
      </c>
      <c r="U297" t="s">
        <v>1395</v>
      </c>
      <c r="V297" t="s">
        <v>1678</v>
      </c>
      <c r="W297" t="s">
        <v>1684</v>
      </c>
      <c r="X297">
        <v>3.35</v>
      </c>
      <c r="Y297">
        <v>0</v>
      </c>
      <c r="Z297">
        <v>1</v>
      </c>
      <c r="AA297" t="s">
        <v>1692</v>
      </c>
      <c r="AB297" t="s">
        <v>1823</v>
      </c>
      <c r="AC297">
        <v>52</v>
      </c>
      <c r="AD297" t="s">
        <v>2268</v>
      </c>
      <c r="AH297" t="s">
        <v>2435</v>
      </c>
      <c r="AJ297" t="s">
        <v>2511</v>
      </c>
      <c r="AK297" t="s">
        <v>2514</v>
      </c>
      <c r="AM297" t="s">
        <v>2523</v>
      </c>
      <c r="AR297">
        <v>1887368</v>
      </c>
    </row>
    <row r="298" spans="1:44">
      <c r="A298" s="1">
        <f>HYPERLINK("https://lsnyc.legalserver.org/matter/dynamic-profile/view/1886647","18-1886647")</f>
        <v>0</v>
      </c>
      <c r="B298" t="s">
        <v>339</v>
      </c>
      <c r="C298" t="s">
        <v>537</v>
      </c>
      <c r="D298" t="s">
        <v>545</v>
      </c>
      <c r="E298" t="s">
        <v>568</v>
      </c>
      <c r="F298" t="s">
        <v>581</v>
      </c>
      <c r="G298" t="s">
        <v>581</v>
      </c>
      <c r="H298">
        <v>0</v>
      </c>
      <c r="I298" t="s">
        <v>692</v>
      </c>
      <c r="J298" t="s">
        <v>601</v>
      </c>
      <c r="K298" t="s">
        <v>582</v>
      </c>
      <c r="L298" t="s">
        <v>816</v>
      </c>
      <c r="N298" t="s">
        <v>820</v>
      </c>
      <c r="O298" t="s">
        <v>824</v>
      </c>
      <c r="P298" t="s">
        <v>828</v>
      </c>
      <c r="Q298">
        <v>11355</v>
      </c>
      <c r="S298" t="s">
        <v>861</v>
      </c>
      <c r="T298" t="s">
        <v>1129</v>
      </c>
      <c r="U298" t="s">
        <v>1533</v>
      </c>
      <c r="V298" t="s">
        <v>1678</v>
      </c>
      <c r="X298">
        <v>0.73</v>
      </c>
      <c r="Y298">
        <v>0</v>
      </c>
      <c r="Z298">
        <v>1</v>
      </c>
      <c r="AA298" t="s">
        <v>1692</v>
      </c>
      <c r="AB298" t="s">
        <v>1984</v>
      </c>
      <c r="AC298">
        <v>47</v>
      </c>
      <c r="AD298" t="s">
        <v>2171</v>
      </c>
      <c r="AJ298" t="s">
        <v>2513</v>
      </c>
      <c r="AK298" t="s">
        <v>2514</v>
      </c>
      <c r="AM298" t="s">
        <v>2523</v>
      </c>
      <c r="AR298">
        <v>1887275</v>
      </c>
    </row>
    <row r="299" spans="1:44">
      <c r="A299" s="1">
        <f>HYPERLINK("https://lsnyc.legalserver.org/matter/dynamic-profile/view/1886654","18-1886654")</f>
        <v>0</v>
      </c>
      <c r="B299" t="s">
        <v>340</v>
      </c>
      <c r="C299" t="s">
        <v>535</v>
      </c>
      <c r="D299" t="s">
        <v>541</v>
      </c>
      <c r="E299" t="s">
        <v>561</v>
      </c>
      <c r="F299" t="s">
        <v>580</v>
      </c>
      <c r="G299" t="s">
        <v>581</v>
      </c>
      <c r="H299">
        <v>49.78</v>
      </c>
      <c r="I299" t="s">
        <v>692</v>
      </c>
      <c r="J299" t="s">
        <v>781</v>
      </c>
      <c r="L299" t="s">
        <v>816</v>
      </c>
      <c r="N299" t="s">
        <v>820</v>
      </c>
      <c r="O299" t="s">
        <v>825</v>
      </c>
      <c r="P299" t="s">
        <v>828</v>
      </c>
      <c r="Q299">
        <v>10002</v>
      </c>
      <c r="R299" t="s">
        <v>835</v>
      </c>
      <c r="S299" t="s">
        <v>861</v>
      </c>
      <c r="T299" t="s">
        <v>1130</v>
      </c>
      <c r="U299" t="s">
        <v>1534</v>
      </c>
      <c r="V299" t="s">
        <v>1678</v>
      </c>
      <c r="W299" t="s">
        <v>1684</v>
      </c>
      <c r="X299">
        <v>3.95</v>
      </c>
      <c r="Y299">
        <v>0</v>
      </c>
      <c r="Z299">
        <v>3</v>
      </c>
      <c r="AA299" t="s">
        <v>1692</v>
      </c>
      <c r="AB299" t="s">
        <v>1985</v>
      </c>
      <c r="AC299">
        <v>60</v>
      </c>
      <c r="AD299" t="s">
        <v>2288</v>
      </c>
      <c r="AH299" t="s">
        <v>2441</v>
      </c>
      <c r="AI299" t="s">
        <v>581</v>
      </c>
      <c r="AJ299" t="s">
        <v>2511</v>
      </c>
      <c r="AK299" t="s">
        <v>2514</v>
      </c>
      <c r="AL299" t="s">
        <v>2520</v>
      </c>
      <c r="AM299" t="s">
        <v>2523</v>
      </c>
      <c r="AR299">
        <v>1887189</v>
      </c>
    </row>
    <row r="300" spans="1:44">
      <c r="A300" s="1">
        <f>HYPERLINK("https://lsnyc.legalserver.org/matter/dynamic-profile/view/1886598","18-1886598")</f>
        <v>0</v>
      </c>
      <c r="B300" t="s">
        <v>341</v>
      </c>
      <c r="C300" t="s">
        <v>536</v>
      </c>
      <c r="D300" t="s">
        <v>544</v>
      </c>
      <c r="E300" t="s">
        <v>564</v>
      </c>
      <c r="F300" t="s">
        <v>580</v>
      </c>
      <c r="G300" t="s">
        <v>581</v>
      </c>
      <c r="H300">
        <v>0</v>
      </c>
      <c r="I300" t="s">
        <v>693</v>
      </c>
      <c r="J300" t="s">
        <v>635</v>
      </c>
      <c r="K300" t="s">
        <v>582</v>
      </c>
      <c r="L300" t="s">
        <v>816</v>
      </c>
      <c r="N300" t="s">
        <v>821</v>
      </c>
      <c r="O300" t="s">
        <v>825</v>
      </c>
      <c r="P300" t="s">
        <v>830</v>
      </c>
      <c r="Q300">
        <v>11207</v>
      </c>
      <c r="S300" t="s">
        <v>861</v>
      </c>
      <c r="T300" t="s">
        <v>1049</v>
      </c>
      <c r="U300" t="s">
        <v>1344</v>
      </c>
      <c r="V300" t="s">
        <v>1678</v>
      </c>
      <c r="W300" t="s">
        <v>1687</v>
      </c>
      <c r="X300">
        <v>8.35</v>
      </c>
      <c r="Y300">
        <v>0</v>
      </c>
      <c r="Z300">
        <v>1</v>
      </c>
      <c r="AA300" t="s">
        <v>1692</v>
      </c>
      <c r="AB300" t="s">
        <v>1986</v>
      </c>
      <c r="AC300">
        <v>47</v>
      </c>
      <c r="AD300" t="s">
        <v>2171</v>
      </c>
      <c r="AH300" t="s">
        <v>2409</v>
      </c>
      <c r="AI300" t="s">
        <v>582</v>
      </c>
      <c r="AJ300" t="s">
        <v>2512</v>
      </c>
      <c r="AK300" t="s">
        <v>2514</v>
      </c>
      <c r="AL300" t="s">
        <v>2519</v>
      </c>
      <c r="AM300" t="s">
        <v>2522</v>
      </c>
      <c r="AR300">
        <v>1887226</v>
      </c>
    </row>
    <row r="301" spans="1:44">
      <c r="A301" s="1">
        <f>HYPERLINK("https://lsnyc.legalserver.org/matter/dynamic-profile/view/1886465","18-1886465")</f>
        <v>0</v>
      </c>
      <c r="B301" t="s">
        <v>342</v>
      </c>
      <c r="C301" t="s">
        <v>535</v>
      </c>
      <c r="D301" t="s">
        <v>541</v>
      </c>
      <c r="E301" t="s">
        <v>563</v>
      </c>
      <c r="F301" t="s">
        <v>580</v>
      </c>
      <c r="G301" t="s">
        <v>581</v>
      </c>
      <c r="H301">
        <v>0</v>
      </c>
      <c r="I301" t="s">
        <v>694</v>
      </c>
      <c r="K301" t="s">
        <v>582</v>
      </c>
      <c r="L301" t="s">
        <v>816</v>
      </c>
      <c r="N301" t="s">
        <v>821</v>
      </c>
      <c r="O301" t="s">
        <v>825</v>
      </c>
      <c r="P301" t="s">
        <v>833</v>
      </c>
      <c r="Q301">
        <v>10026</v>
      </c>
      <c r="R301" t="s">
        <v>843</v>
      </c>
      <c r="S301" t="s">
        <v>861</v>
      </c>
      <c r="T301" t="s">
        <v>1131</v>
      </c>
      <c r="U301" t="s">
        <v>1535</v>
      </c>
      <c r="W301" t="s">
        <v>1684</v>
      </c>
      <c r="X301">
        <v>1.85</v>
      </c>
      <c r="Y301">
        <v>0</v>
      </c>
      <c r="Z301">
        <v>1</v>
      </c>
      <c r="AA301" t="s">
        <v>1691</v>
      </c>
      <c r="AB301" t="s">
        <v>1987</v>
      </c>
      <c r="AC301">
        <v>32</v>
      </c>
      <c r="AD301" t="s">
        <v>2171</v>
      </c>
      <c r="AH301" t="s">
        <v>2440</v>
      </c>
      <c r="AI301" t="s">
        <v>581</v>
      </c>
      <c r="AJ301" t="s">
        <v>2511</v>
      </c>
      <c r="AK301" t="s">
        <v>2514</v>
      </c>
      <c r="AL301" t="s">
        <v>2520</v>
      </c>
      <c r="AM301" t="s">
        <v>2523</v>
      </c>
      <c r="AR301">
        <v>1887093</v>
      </c>
    </row>
    <row r="302" spans="1:44">
      <c r="A302" s="1">
        <f>HYPERLINK("https://lsnyc.legalserver.org/matter/dynamic-profile/view/1886361","18-1886361")</f>
        <v>0</v>
      </c>
      <c r="B302" t="s">
        <v>343</v>
      </c>
      <c r="C302" t="s">
        <v>536</v>
      </c>
      <c r="D302" t="s">
        <v>544</v>
      </c>
      <c r="E302" t="s">
        <v>564</v>
      </c>
      <c r="F302" t="s">
        <v>580</v>
      </c>
      <c r="G302" t="s">
        <v>581</v>
      </c>
      <c r="H302">
        <v>0</v>
      </c>
      <c r="I302" t="s">
        <v>695</v>
      </c>
      <c r="J302" t="s">
        <v>783</v>
      </c>
      <c r="K302" t="s">
        <v>582</v>
      </c>
      <c r="L302" t="s">
        <v>816</v>
      </c>
      <c r="N302" t="s">
        <v>821</v>
      </c>
      <c r="O302" t="s">
        <v>824</v>
      </c>
      <c r="P302" t="s">
        <v>833</v>
      </c>
      <c r="Q302">
        <v>11226</v>
      </c>
      <c r="S302" t="s">
        <v>861</v>
      </c>
      <c r="T302" t="s">
        <v>1132</v>
      </c>
      <c r="U302" t="s">
        <v>1536</v>
      </c>
      <c r="V302" t="s">
        <v>1678</v>
      </c>
      <c r="W302" t="s">
        <v>1684</v>
      </c>
      <c r="X302">
        <v>3.95</v>
      </c>
      <c r="Y302">
        <v>0</v>
      </c>
      <c r="Z302">
        <v>1</v>
      </c>
      <c r="AA302" t="s">
        <v>1692</v>
      </c>
      <c r="AB302" t="s">
        <v>1988</v>
      </c>
      <c r="AC302">
        <v>43</v>
      </c>
      <c r="AD302" t="s">
        <v>2171</v>
      </c>
      <c r="AH302" t="s">
        <v>2442</v>
      </c>
      <c r="AI302" t="s">
        <v>581</v>
      </c>
      <c r="AJ302" t="s">
        <v>2511</v>
      </c>
      <c r="AK302" t="s">
        <v>2514</v>
      </c>
      <c r="AL302" t="s">
        <v>2520</v>
      </c>
      <c r="AM302" t="s">
        <v>2523</v>
      </c>
      <c r="AR302">
        <v>90380</v>
      </c>
    </row>
    <row r="303" spans="1:44">
      <c r="A303" s="1">
        <f>HYPERLINK("https://lsnyc.legalserver.org/matter/dynamic-profile/view/1886138","18-1886138")</f>
        <v>0</v>
      </c>
      <c r="B303" t="s">
        <v>344</v>
      </c>
      <c r="C303" t="s">
        <v>540</v>
      </c>
      <c r="D303" t="s">
        <v>543</v>
      </c>
      <c r="E303" t="s">
        <v>573</v>
      </c>
      <c r="F303" t="s">
        <v>581</v>
      </c>
      <c r="G303" t="s">
        <v>581</v>
      </c>
      <c r="H303">
        <v>192.75</v>
      </c>
      <c r="I303" t="s">
        <v>696</v>
      </c>
      <c r="J303" t="s">
        <v>803</v>
      </c>
      <c r="K303" t="s">
        <v>582</v>
      </c>
      <c r="L303" t="s">
        <v>816</v>
      </c>
      <c r="N303" t="s">
        <v>821</v>
      </c>
      <c r="O303" t="s">
        <v>825</v>
      </c>
      <c r="P303" t="s">
        <v>833</v>
      </c>
      <c r="Q303">
        <v>10468</v>
      </c>
      <c r="R303" t="s">
        <v>841</v>
      </c>
      <c r="S303" t="s">
        <v>861</v>
      </c>
      <c r="T303" t="s">
        <v>1133</v>
      </c>
      <c r="U303" t="s">
        <v>1537</v>
      </c>
      <c r="V303" t="s">
        <v>1678</v>
      </c>
      <c r="X303">
        <v>1.85</v>
      </c>
      <c r="Y303">
        <v>0</v>
      </c>
      <c r="Z303">
        <v>1</v>
      </c>
      <c r="AA303" t="s">
        <v>1692</v>
      </c>
      <c r="AB303" t="s">
        <v>1989</v>
      </c>
      <c r="AC303">
        <v>28</v>
      </c>
      <c r="AD303" t="s">
        <v>2198</v>
      </c>
      <c r="AI303" t="s">
        <v>581</v>
      </c>
      <c r="AJ303" t="s">
        <v>2511</v>
      </c>
      <c r="AM303" t="s">
        <v>2523</v>
      </c>
      <c r="AR303">
        <v>1886765</v>
      </c>
    </row>
    <row r="304" spans="1:44">
      <c r="A304" s="1">
        <f>HYPERLINK("https://lsnyc.legalserver.org/matter/dynamic-profile/view/1886124","18-1886124")</f>
        <v>0</v>
      </c>
      <c r="B304" t="s">
        <v>345</v>
      </c>
      <c r="C304" t="s">
        <v>535</v>
      </c>
      <c r="D304" t="s">
        <v>541</v>
      </c>
      <c r="E304" t="s">
        <v>561</v>
      </c>
      <c r="F304" t="s">
        <v>580</v>
      </c>
      <c r="G304" t="s">
        <v>581</v>
      </c>
      <c r="H304">
        <v>0</v>
      </c>
      <c r="I304" t="s">
        <v>696</v>
      </c>
      <c r="J304" t="s">
        <v>804</v>
      </c>
      <c r="K304" t="s">
        <v>582</v>
      </c>
      <c r="L304" t="s">
        <v>816</v>
      </c>
      <c r="N304" t="s">
        <v>820</v>
      </c>
      <c r="O304" t="s">
        <v>825</v>
      </c>
      <c r="P304" t="s">
        <v>828</v>
      </c>
      <c r="Q304">
        <v>10031</v>
      </c>
      <c r="R304" t="s">
        <v>835</v>
      </c>
      <c r="S304" t="s">
        <v>863</v>
      </c>
      <c r="T304" t="s">
        <v>1134</v>
      </c>
      <c r="U304" t="s">
        <v>1538</v>
      </c>
      <c r="V304" t="s">
        <v>1678</v>
      </c>
      <c r="W304" t="s">
        <v>1684</v>
      </c>
      <c r="X304">
        <v>3.3</v>
      </c>
      <c r="Y304">
        <v>0</v>
      </c>
      <c r="Z304">
        <v>1</v>
      </c>
      <c r="AA304" t="s">
        <v>1692</v>
      </c>
      <c r="AB304" t="s">
        <v>1990</v>
      </c>
      <c r="AC304">
        <v>24</v>
      </c>
      <c r="AD304" t="s">
        <v>2171</v>
      </c>
      <c r="AH304" t="s">
        <v>2443</v>
      </c>
      <c r="AI304" t="s">
        <v>581</v>
      </c>
      <c r="AJ304" t="s">
        <v>2511</v>
      </c>
      <c r="AK304" t="s">
        <v>2514</v>
      </c>
      <c r="AL304" t="s">
        <v>2520</v>
      </c>
      <c r="AM304" t="s">
        <v>2523</v>
      </c>
      <c r="AR304">
        <v>1886751</v>
      </c>
    </row>
    <row r="305" spans="1:44">
      <c r="A305" s="1">
        <f>HYPERLINK("https://lsnyc.legalserver.org/matter/dynamic-profile/view/1885971","18-1885971")</f>
        <v>0</v>
      </c>
      <c r="B305" t="s">
        <v>346</v>
      </c>
      <c r="C305" t="s">
        <v>537</v>
      </c>
      <c r="D305" t="s">
        <v>545</v>
      </c>
      <c r="E305" t="s">
        <v>568</v>
      </c>
      <c r="F305" t="s">
        <v>581</v>
      </c>
      <c r="G305" t="s">
        <v>581</v>
      </c>
      <c r="H305">
        <v>0</v>
      </c>
      <c r="I305" t="s">
        <v>697</v>
      </c>
      <c r="J305" t="s">
        <v>677</v>
      </c>
      <c r="K305" t="s">
        <v>582</v>
      </c>
      <c r="L305" t="s">
        <v>816</v>
      </c>
      <c r="N305" t="s">
        <v>820</v>
      </c>
      <c r="O305" t="s">
        <v>825</v>
      </c>
      <c r="P305" t="s">
        <v>828</v>
      </c>
      <c r="Q305">
        <v>11368</v>
      </c>
      <c r="S305" t="s">
        <v>861</v>
      </c>
      <c r="T305" t="s">
        <v>1127</v>
      </c>
      <c r="U305" t="s">
        <v>1539</v>
      </c>
      <c r="V305" t="s">
        <v>1678</v>
      </c>
      <c r="W305" t="s">
        <v>1684</v>
      </c>
      <c r="X305">
        <v>9.5</v>
      </c>
      <c r="Y305">
        <v>0</v>
      </c>
      <c r="Z305">
        <v>1</v>
      </c>
      <c r="AA305" t="s">
        <v>1692</v>
      </c>
      <c r="AB305" t="s">
        <v>1991</v>
      </c>
      <c r="AC305">
        <v>36</v>
      </c>
      <c r="AD305" t="s">
        <v>2171</v>
      </c>
      <c r="AH305" t="s">
        <v>2444</v>
      </c>
      <c r="AI305" t="s">
        <v>582</v>
      </c>
      <c r="AJ305" t="s">
        <v>2511</v>
      </c>
      <c r="AK305" t="s">
        <v>2514</v>
      </c>
      <c r="AM305" t="s">
        <v>2523</v>
      </c>
      <c r="AR305">
        <v>1886598</v>
      </c>
    </row>
    <row r="306" spans="1:44">
      <c r="A306" s="1">
        <f>HYPERLINK("https://lsnyc.legalserver.org/matter/dynamic-profile/view/1886028","18-1886028")</f>
        <v>0</v>
      </c>
      <c r="B306" t="s">
        <v>347</v>
      </c>
      <c r="C306" t="s">
        <v>535</v>
      </c>
      <c r="D306" t="s">
        <v>544</v>
      </c>
      <c r="E306" t="s">
        <v>561</v>
      </c>
      <c r="F306" t="s">
        <v>580</v>
      </c>
      <c r="G306" t="s">
        <v>581</v>
      </c>
      <c r="H306">
        <v>0</v>
      </c>
      <c r="I306" t="s">
        <v>697</v>
      </c>
      <c r="J306" t="s">
        <v>657</v>
      </c>
      <c r="K306" t="s">
        <v>582</v>
      </c>
      <c r="L306" t="s">
        <v>816</v>
      </c>
      <c r="N306" t="s">
        <v>820</v>
      </c>
      <c r="O306" t="s">
        <v>824</v>
      </c>
      <c r="P306" t="s">
        <v>828</v>
      </c>
      <c r="Q306">
        <v>10467</v>
      </c>
      <c r="R306" t="s">
        <v>835</v>
      </c>
      <c r="S306" t="s">
        <v>861</v>
      </c>
      <c r="T306" t="s">
        <v>1135</v>
      </c>
      <c r="U306" t="s">
        <v>1540</v>
      </c>
      <c r="V306" t="s">
        <v>1678</v>
      </c>
      <c r="W306" t="s">
        <v>1684</v>
      </c>
      <c r="X306">
        <v>8.449999999999999</v>
      </c>
      <c r="Y306">
        <v>0</v>
      </c>
      <c r="Z306">
        <v>1</v>
      </c>
      <c r="AA306" t="s">
        <v>1692</v>
      </c>
      <c r="AB306" t="s">
        <v>1992</v>
      </c>
      <c r="AC306">
        <v>49</v>
      </c>
      <c r="AD306" t="s">
        <v>2171</v>
      </c>
      <c r="AH306" t="s">
        <v>2445</v>
      </c>
      <c r="AI306" t="s">
        <v>581</v>
      </c>
      <c r="AJ306" t="s">
        <v>2511</v>
      </c>
      <c r="AK306" t="s">
        <v>2514</v>
      </c>
      <c r="AL306" t="s">
        <v>2520</v>
      </c>
      <c r="AM306" t="s">
        <v>2523</v>
      </c>
      <c r="AR306">
        <v>1886655</v>
      </c>
    </row>
    <row r="307" spans="1:44">
      <c r="A307" s="1">
        <f>HYPERLINK("https://lsnyc.legalserver.org/matter/dynamic-profile/view/1885997","18-1885997")</f>
        <v>0</v>
      </c>
      <c r="B307" t="s">
        <v>348</v>
      </c>
      <c r="C307" t="s">
        <v>535</v>
      </c>
      <c r="D307" t="s">
        <v>541</v>
      </c>
      <c r="E307" t="s">
        <v>561</v>
      </c>
      <c r="F307" t="s">
        <v>580</v>
      </c>
      <c r="G307" t="s">
        <v>581</v>
      </c>
      <c r="H307">
        <v>0</v>
      </c>
      <c r="I307" t="s">
        <v>697</v>
      </c>
      <c r="J307" t="s">
        <v>795</v>
      </c>
      <c r="K307" t="s">
        <v>582</v>
      </c>
      <c r="L307" t="s">
        <v>816</v>
      </c>
      <c r="N307" t="s">
        <v>820</v>
      </c>
      <c r="O307" t="s">
        <v>825</v>
      </c>
      <c r="P307" t="s">
        <v>828</v>
      </c>
      <c r="Q307">
        <v>10009</v>
      </c>
      <c r="R307" t="s">
        <v>835</v>
      </c>
      <c r="S307" t="s">
        <v>861</v>
      </c>
      <c r="T307" t="s">
        <v>1136</v>
      </c>
      <c r="U307" t="s">
        <v>1541</v>
      </c>
      <c r="V307" t="s">
        <v>1678</v>
      </c>
      <c r="W307" t="s">
        <v>1684</v>
      </c>
      <c r="X307">
        <v>2.1</v>
      </c>
      <c r="Y307">
        <v>0</v>
      </c>
      <c r="Z307">
        <v>1</v>
      </c>
      <c r="AA307" t="s">
        <v>1692</v>
      </c>
      <c r="AB307" t="s">
        <v>1993</v>
      </c>
      <c r="AC307">
        <v>27</v>
      </c>
      <c r="AD307" t="s">
        <v>2171</v>
      </c>
      <c r="AH307" t="s">
        <v>2446</v>
      </c>
      <c r="AI307" t="s">
        <v>581</v>
      </c>
      <c r="AJ307" t="s">
        <v>2511</v>
      </c>
      <c r="AK307" t="s">
        <v>2514</v>
      </c>
      <c r="AL307" t="s">
        <v>2520</v>
      </c>
      <c r="AM307" t="s">
        <v>2523</v>
      </c>
      <c r="AR307">
        <v>1886624</v>
      </c>
    </row>
    <row r="308" spans="1:44">
      <c r="A308" s="1">
        <f>HYPERLINK("https://lsnyc.legalserver.org/matter/dynamic-profile/view/1885927","18-1885927")</f>
        <v>0</v>
      </c>
      <c r="B308" t="s">
        <v>349</v>
      </c>
      <c r="C308" t="s">
        <v>536</v>
      </c>
      <c r="D308" t="s">
        <v>544</v>
      </c>
      <c r="E308" t="s">
        <v>564</v>
      </c>
      <c r="F308" t="s">
        <v>580</v>
      </c>
      <c r="G308" t="s">
        <v>581</v>
      </c>
      <c r="H308">
        <v>0</v>
      </c>
      <c r="I308" t="s">
        <v>697</v>
      </c>
      <c r="J308" t="s">
        <v>630</v>
      </c>
      <c r="K308" t="s">
        <v>581</v>
      </c>
      <c r="L308" t="s">
        <v>816</v>
      </c>
      <c r="N308" t="s">
        <v>820</v>
      </c>
      <c r="O308" t="s">
        <v>824</v>
      </c>
      <c r="P308" t="s">
        <v>828</v>
      </c>
      <c r="Q308">
        <v>11238</v>
      </c>
      <c r="S308" t="s">
        <v>861</v>
      </c>
      <c r="T308" t="s">
        <v>1137</v>
      </c>
      <c r="U308" t="s">
        <v>1542</v>
      </c>
      <c r="V308" t="s">
        <v>1681</v>
      </c>
      <c r="W308" t="s">
        <v>1685</v>
      </c>
      <c r="X308">
        <v>31.7</v>
      </c>
      <c r="Y308">
        <v>1</v>
      </c>
      <c r="Z308">
        <v>1</v>
      </c>
      <c r="AA308" t="s">
        <v>1692</v>
      </c>
      <c r="AB308" t="s">
        <v>1994</v>
      </c>
      <c r="AC308">
        <v>47</v>
      </c>
      <c r="AD308" t="s">
        <v>2171</v>
      </c>
      <c r="AG308" t="s">
        <v>2373</v>
      </c>
      <c r="AH308" t="s">
        <v>2373</v>
      </c>
      <c r="AI308" t="s">
        <v>582</v>
      </c>
      <c r="AJ308" t="s">
        <v>2512</v>
      </c>
      <c r="AK308" t="s">
        <v>2516</v>
      </c>
      <c r="AM308" t="s">
        <v>2525</v>
      </c>
      <c r="AO308" t="s">
        <v>2528</v>
      </c>
      <c r="AR308">
        <v>1882668</v>
      </c>
    </row>
    <row r="309" spans="1:44">
      <c r="A309" s="1">
        <f>HYPERLINK("https://lsnyc.legalserver.org/matter/dynamic-profile/view/1886031","18-1886031")</f>
        <v>0</v>
      </c>
      <c r="B309" t="s">
        <v>350</v>
      </c>
      <c r="C309" t="s">
        <v>536</v>
      </c>
      <c r="D309" t="s">
        <v>544</v>
      </c>
      <c r="E309" t="s">
        <v>566</v>
      </c>
      <c r="F309" t="s">
        <v>580</v>
      </c>
      <c r="G309" t="s">
        <v>581</v>
      </c>
      <c r="H309">
        <v>0</v>
      </c>
      <c r="I309" t="s">
        <v>697</v>
      </c>
      <c r="J309" t="s">
        <v>628</v>
      </c>
      <c r="K309" t="s">
        <v>582</v>
      </c>
      <c r="L309" t="s">
        <v>816</v>
      </c>
      <c r="N309" t="s">
        <v>820</v>
      </c>
      <c r="O309" t="s">
        <v>824</v>
      </c>
      <c r="P309" t="s">
        <v>828</v>
      </c>
      <c r="Q309">
        <v>11207</v>
      </c>
      <c r="S309" t="s">
        <v>863</v>
      </c>
      <c r="T309" t="s">
        <v>1011</v>
      </c>
      <c r="U309" t="s">
        <v>1543</v>
      </c>
      <c r="V309" t="s">
        <v>1678</v>
      </c>
      <c r="W309" t="s">
        <v>1684</v>
      </c>
      <c r="X309">
        <v>1.75</v>
      </c>
      <c r="Y309">
        <v>1</v>
      </c>
      <c r="Z309">
        <v>0</v>
      </c>
      <c r="AA309" t="s">
        <v>1692</v>
      </c>
      <c r="AB309" t="s">
        <v>1995</v>
      </c>
      <c r="AC309">
        <v>26</v>
      </c>
      <c r="AD309" t="s">
        <v>2171</v>
      </c>
      <c r="AI309" t="s">
        <v>581</v>
      </c>
      <c r="AJ309" t="s">
        <v>2513</v>
      </c>
      <c r="AL309" t="s">
        <v>2520</v>
      </c>
      <c r="AM309" t="s">
        <v>2523</v>
      </c>
      <c r="AR309">
        <v>1886658</v>
      </c>
    </row>
    <row r="310" spans="1:44">
      <c r="A310" s="1">
        <f>HYPERLINK("https://lsnyc.legalserver.org/matter/dynamic-profile/view/1885861","18-1885861")</f>
        <v>0</v>
      </c>
      <c r="B310" t="s">
        <v>351</v>
      </c>
      <c r="C310" t="s">
        <v>535</v>
      </c>
      <c r="D310" t="s">
        <v>542</v>
      </c>
      <c r="E310" t="s">
        <v>561</v>
      </c>
      <c r="F310" t="s">
        <v>580</v>
      </c>
      <c r="G310" t="s">
        <v>581</v>
      </c>
      <c r="H310">
        <v>36.45</v>
      </c>
      <c r="I310" t="s">
        <v>698</v>
      </c>
      <c r="J310" t="s">
        <v>795</v>
      </c>
      <c r="K310" t="s">
        <v>582</v>
      </c>
      <c r="L310" t="s">
        <v>816</v>
      </c>
      <c r="N310" t="s">
        <v>820</v>
      </c>
      <c r="O310" t="s">
        <v>824</v>
      </c>
      <c r="P310" t="s">
        <v>828</v>
      </c>
      <c r="Q310">
        <v>10305</v>
      </c>
      <c r="R310" t="s">
        <v>835</v>
      </c>
      <c r="S310" t="s">
        <v>861</v>
      </c>
      <c r="T310" t="s">
        <v>1138</v>
      </c>
      <c r="U310" t="s">
        <v>1544</v>
      </c>
      <c r="V310" t="s">
        <v>1678</v>
      </c>
      <c r="W310" t="s">
        <v>1684</v>
      </c>
      <c r="X310">
        <v>2.45</v>
      </c>
      <c r="Y310">
        <v>1</v>
      </c>
      <c r="Z310">
        <v>1</v>
      </c>
      <c r="AA310" t="s">
        <v>1692</v>
      </c>
      <c r="AB310" t="s">
        <v>1996</v>
      </c>
      <c r="AC310">
        <v>51</v>
      </c>
      <c r="AD310" t="s">
        <v>2289</v>
      </c>
      <c r="AI310" t="s">
        <v>581</v>
      </c>
      <c r="AJ310" t="s">
        <v>2513</v>
      </c>
      <c r="AK310" t="s">
        <v>2514</v>
      </c>
      <c r="AL310" t="s">
        <v>2520</v>
      </c>
      <c r="AM310" t="s">
        <v>2523</v>
      </c>
      <c r="AR310">
        <v>1886488</v>
      </c>
    </row>
    <row r="311" spans="1:44">
      <c r="A311" s="1">
        <f>HYPERLINK("https://lsnyc.legalserver.org/matter/dynamic-profile/view/1885689","18-1885689")</f>
        <v>0</v>
      </c>
      <c r="B311" t="s">
        <v>352</v>
      </c>
      <c r="C311" t="s">
        <v>536</v>
      </c>
      <c r="D311" t="s">
        <v>544</v>
      </c>
      <c r="E311" t="s">
        <v>564</v>
      </c>
      <c r="F311" t="s">
        <v>580</v>
      </c>
      <c r="G311" t="s">
        <v>581</v>
      </c>
      <c r="H311">
        <v>0</v>
      </c>
      <c r="I311" t="s">
        <v>699</v>
      </c>
      <c r="J311" t="s">
        <v>656</v>
      </c>
      <c r="L311" t="s">
        <v>816</v>
      </c>
      <c r="N311" t="s">
        <v>821</v>
      </c>
      <c r="O311" t="s">
        <v>824</v>
      </c>
      <c r="P311" t="s">
        <v>830</v>
      </c>
      <c r="Q311">
        <v>11228</v>
      </c>
      <c r="S311" t="s">
        <v>861</v>
      </c>
      <c r="T311" t="s">
        <v>1139</v>
      </c>
      <c r="U311" t="s">
        <v>1545</v>
      </c>
      <c r="V311" t="s">
        <v>1678</v>
      </c>
      <c r="W311" t="s">
        <v>1684</v>
      </c>
      <c r="X311">
        <v>2.85</v>
      </c>
      <c r="Y311">
        <v>1</v>
      </c>
      <c r="Z311">
        <v>2</v>
      </c>
      <c r="AA311" t="s">
        <v>1692</v>
      </c>
      <c r="AB311" t="s">
        <v>1997</v>
      </c>
      <c r="AC311">
        <v>26</v>
      </c>
      <c r="AD311" t="s">
        <v>2171</v>
      </c>
      <c r="AH311" t="s">
        <v>2357</v>
      </c>
      <c r="AJ311" t="s">
        <v>2511</v>
      </c>
      <c r="AK311" t="s">
        <v>2514</v>
      </c>
      <c r="AL311" t="s">
        <v>2520</v>
      </c>
      <c r="AM311" t="s">
        <v>2523</v>
      </c>
      <c r="AR311">
        <v>1886316</v>
      </c>
    </row>
    <row r="312" spans="1:44">
      <c r="A312" s="1">
        <f>HYPERLINK("https://lsnyc.legalserver.org/matter/dynamic-profile/view/1885695","18-1885695")</f>
        <v>0</v>
      </c>
      <c r="B312" t="s">
        <v>353</v>
      </c>
      <c r="C312" t="s">
        <v>537</v>
      </c>
      <c r="D312" t="s">
        <v>545</v>
      </c>
      <c r="E312" t="s">
        <v>568</v>
      </c>
      <c r="F312" t="s">
        <v>581</v>
      </c>
      <c r="G312" t="s">
        <v>581</v>
      </c>
      <c r="H312">
        <v>0</v>
      </c>
      <c r="I312" t="s">
        <v>699</v>
      </c>
      <c r="J312" t="s">
        <v>641</v>
      </c>
      <c r="K312" t="s">
        <v>582</v>
      </c>
      <c r="L312" t="s">
        <v>816</v>
      </c>
      <c r="N312" t="s">
        <v>820</v>
      </c>
      <c r="O312" t="s">
        <v>824</v>
      </c>
      <c r="P312" t="s">
        <v>828</v>
      </c>
      <c r="Q312">
        <v>11105</v>
      </c>
      <c r="S312" t="s">
        <v>861</v>
      </c>
      <c r="T312" t="s">
        <v>1126</v>
      </c>
      <c r="U312" t="s">
        <v>1546</v>
      </c>
      <c r="V312" t="s">
        <v>1678</v>
      </c>
      <c r="W312" t="s">
        <v>1684</v>
      </c>
      <c r="X312">
        <v>2.37</v>
      </c>
      <c r="Y312">
        <v>0</v>
      </c>
      <c r="Z312">
        <v>1</v>
      </c>
      <c r="AA312" t="s">
        <v>1692</v>
      </c>
      <c r="AB312" t="s">
        <v>1998</v>
      </c>
      <c r="AC312">
        <v>34</v>
      </c>
      <c r="AD312" t="s">
        <v>2171</v>
      </c>
      <c r="AH312" t="s">
        <v>2447</v>
      </c>
      <c r="AI312" t="s">
        <v>581</v>
      </c>
      <c r="AJ312" t="s">
        <v>2511</v>
      </c>
      <c r="AK312" t="s">
        <v>2514</v>
      </c>
      <c r="AL312" t="s">
        <v>2520</v>
      </c>
      <c r="AM312" t="s">
        <v>2523</v>
      </c>
      <c r="AR312">
        <v>1886322</v>
      </c>
    </row>
    <row r="313" spans="1:44">
      <c r="A313" s="1">
        <f>HYPERLINK("https://lsnyc.legalserver.org/matter/dynamic-profile/view/1885541","18-1885541")</f>
        <v>0</v>
      </c>
      <c r="B313" t="s">
        <v>354</v>
      </c>
      <c r="C313" t="s">
        <v>537</v>
      </c>
      <c r="D313" t="s">
        <v>545</v>
      </c>
      <c r="E313" t="s">
        <v>568</v>
      </c>
      <c r="F313" t="s">
        <v>581</v>
      </c>
      <c r="G313" t="s">
        <v>581</v>
      </c>
      <c r="H313">
        <v>29.05</v>
      </c>
      <c r="I313" t="s">
        <v>700</v>
      </c>
      <c r="J313" t="s">
        <v>629</v>
      </c>
      <c r="K313" t="s">
        <v>582</v>
      </c>
      <c r="L313" t="s">
        <v>816</v>
      </c>
      <c r="N313" t="s">
        <v>820</v>
      </c>
      <c r="O313" t="s">
        <v>824</v>
      </c>
      <c r="P313" t="s">
        <v>828</v>
      </c>
      <c r="Q313">
        <v>11106</v>
      </c>
      <c r="S313" t="s">
        <v>861</v>
      </c>
      <c r="T313" t="s">
        <v>1140</v>
      </c>
      <c r="U313" t="s">
        <v>1547</v>
      </c>
      <c r="V313" t="s">
        <v>1678</v>
      </c>
      <c r="W313" t="s">
        <v>1684</v>
      </c>
      <c r="X313">
        <v>12.75</v>
      </c>
      <c r="Y313">
        <v>2</v>
      </c>
      <c r="Z313">
        <v>1</v>
      </c>
      <c r="AA313" t="s">
        <v>1692</v>
      </c>
      <c r="AB313" t="s">
        <v>1999</v>
      </c>
      <c r="AC313">
        <v>41</v>
      </c>
      <c r="AD313" t="s">
        <v>2290</v>
      </c>
      <c r="AH313" t="s">
        <v>2448</v>
      </c>
      <c r="AI313" t="s">
        <v>582</v>
      </c>
      <c r="AJ313" t="s">
        <v>2511</v>
      </c>
      <c r="AK313" t="s">
        <v>2514</v>
      </c>
      <c r="AL313" t="s">
        <v>2519</v>
      </c>
      <c r="AM313" t="s">
        <v>2522</v>
      </c>
      <c r="AR313">
        <v>732373</v>
      </c>
    </row>
    <row r="314" spans="1:44">
      <c r="A314" s="1">
        <f>HYPERLINK("https://lsnyc.legalserver.org/matter/dynamic-profile/view/1885628","18-1885628")</f>
        <v>0</v>
      </c>
      <c r="B314" t="s">
        <v>355</v>
      </c>
      <c r="C314" t="s">
        <v>537</v>
      </c>
      <c r="D314" t="s">
        <v>545</v>
      </c>
      <c r="E314" t="s">
        <v>568</v>
      </c>
      <c r="F314" t="s">
        <v>581</v>
      </c>
      <c r="G314" t="s">
        <v>581</v>
      </c>
      <c r="H314">
        <v>0</v>
      </c>
      <c r="I314" t="s">
        <v>700</v>
      </c>
      <c r="J314" t="s">
        <v>624</v>
      </c>
      <c r="K314" t="s">
        <v>582</v>
      </c>
      <c r="L314" t="s">
        <v>816</v>
      </c>
      <c r="N314" t="s">
        <v>820</v>
      </c>
      <c r="O314" t="s">
        <v>825</v>
      </c>
      <c r="P314" t="s">
        <v>828</v>
      </c>
      <c r="Q314">
        <v>11434</v>
      </c>
      <c r="S314" t="s">
        <v>861</v>
      </c>
      <c r="T314" t="s">
        <v>912</v>
      </c>
      <c r="U314" t="s">
        <v>1378</v>
      </c>
      <c r="V314" t="s">
        <v>1678</v>
      </c>
      <c r="W314" t="s">
        <v>1684</v>
      </c>
      <c r="X314">
        <v>8.25</v>
      </c>
      <c r="Y314">
        <v>0</v>
      </c>
      <c r="Z314">
        <v>1</v>
      </c>
      <c r="AA314" t="s">
        <v>1692</v>
      </c>
      <c r="AB314" t="s">
        <v>2000</v>
      </c>
      <c r="AC314">
        <v>31</v>
      </c>
      <c r="AD314" t="s">
        <v>2171</v>
      </c>
      <c r="AH314" t="s">
        <v>2448</v>
      </c>
      <c r="AI314" t="s">
        <v>582</v>
      </c>
      <c r="AJ314" t="s">
        <v>2512</v>
      </c>
      <c r="AK314" t="s">
        <v>2514</v>
      </c>
      <c r="AL314" t="s">
        <v>2520</v>
      </c>
      <c r="AM314" t="s">
        <v>2523</v>
      </c>
      <c r="AR314">
        <v>1886255</v>
      </c>
    </row>
    <row r="315" spans="1:44">
      <c r="A315" s="1">
        <f>HYPERLINK("https://lsnyc.legalserver.org/matter/dynamic-profile/view/1885271","18-1885271")</f>
        <v>0</v>
      </c>
      <c r="B315" t="s">
        <v>356</v>
      </c>
      <c r="C315" t="s">
        <v>537</v>
      </c>
      <c r="D315" t="s">
        <v>545</v>
      </c>
      <c r="E315" t="s">
        <v>568</v>
      </c>
      <c r="F315" t="s">
        <v>581</v>
      </c>
      <c r="G315" t="s">
        <v>581</v>
      </c>
      <c r="H315">
        <v>21.15</v>
      </c>
      <c r="I315" t="s">
        <v>701</v>
      </c>
      <c r="J315" t="s">
        <v>654</v>
      </c>
      <c r="K315" t="s">
        <v>582</v>
      </c>
      <c r="L315" t="s">
        <v>816</v>
      </c>
      <c r="N315" t="s">
        <v>820</v>
      </c>
      <c r="O315" t="s">
        <v>824</v>
      </c>
      <c r="P315" t="s">
        <v>828</v>
      </c>
      <c r="Q315">
        <v>11372</v>
      </c>
      <c r="S315" t="s">
        <v>861</v>
      </c>
      <c r="T315" t="s">
        <v>1141</v>
      </c>
      <c r="U315" t="s">
        <v>1334</v>
      </c>
      <c r="V315" t="s">
        <v>1678</v>
      </c>
      <c r="W315" t="s">
        <v>1684</v>
      </c>
      <c r="X315">
        <v>16.75</v>
      </c>
      <c r="Y315">
        <v>0</v>
      </c>
      <c r="Z315">
        <v>1</v>
      </c>
      <c r="AA315" t="s">
        <v>1692</v>
      </c>
      <c r="AB315" t="s">
        <v>2001</v>
      </c>
      <c r="AC315">
        <v>48</v>
      </c>
      <c r="AD315" t="s">
        <v>2291</v>
      </c>
      <c r="AH315" t="s">
        <v>2447</v>
      </c>
      <c r="AI315" t="s">
        <v>581</v>
      </c>
      <c r="AJ315" t="s">
        <v>2511</v>
      </c>
      <c r="AK315" t="s">
        <v>2514</v>
      </c>
      <c r="AL315" t="s">
        <v>2520</v>
      </c>
      <c r="AM315" t="s">
        <v>2523</v>
      </c>
      <c r="AR315">
        <v>81598</v>
      </c>
    </row>
    <row r="316" spans="1:44">
      <c r="A316" s="1">
        <f>HYPERLINK("https://lsnyc.legalserver.org/matter/dynamic-profile/view/1885214","18-1885214")</f>
        <v>0</v>
      </c>
      <c r="B316" t="s">
        <v>357</v>
      </c>
      <c r="C316" t="s">
        <v>537</v>
      </c>
      <c r="D316" t="s">
        <v>545</v>
      </c>
      <c r="E316" t="s">
        <v>568</v>
      </c>
      <c r="F316" t="s">
        <v>580</v>
      </c>
      <c r="G316" t="s">
        <v>581</v>
      </c>
      <c r="H316">
        <v>0</v>
      </c>
      <c r="I316" t="s">
        <v>701</v>
      </c>
      <c r="J316" t="s">
        <v>629</v>
      </c>
      <c r="K316" t="s">
        <v>582</v>
      </c>
      <c r="L316" t="s">
        <v>816</v>
      </c>
      <c r="N316" t="s">
        <v>820</v>
      </c>
      <c r="O316" t="s">
        <v>825</v>
      </c>
      <c r="P316" t="s">
        <v>828</v>
      </c>
      <c r="Q316">
        <v>11421</v>
      </c>
      <c r="S316" t="s">
        <v>861</v>
      </c>
      <c r="T316" t="s">
        <v>1142</v>
      </c>
      <c r="U316" t="s">
        <v>1548</v>
      </c>
      <c r="V316" t="s">
        <v>1678</v>
      </c>
      <c r="W316" t="s">
        <v>1684</v>
      </c>
      <c r="X316">
        <v>4.08</v>
      </c>
      <c r="Y316">
        <v>0</v>
      </c>
      <c r="Z316">
        <v>1</v>
      </c>
      <c r="AA316" t="s">
        <v>1692</v>
      </c>
      <c r="AB316" t="s">
        <v>2002</v>
      </c>
      <c r="AC316">
        <v>50</v>
      </c>
      <c r="AD316" t="s">
        <v>2171</v>
      </c>
      <c r="AH316" t="s">
        <v>2449</v>
      </c>
      <c r="AI316" t="s">
        <v>581</v>
      </c>
      <c r="AJ316" t="s">
        <v>2511</v>
      </c>
      <c r="AK316" t="s">
        <v>2514</v>
      </c>
      <c r="AL316" t="s">
        <v>2520</v>
      </c>
      <c r="AM316" t="s">
        <v>2523</v>
      </c>
      <c r="AR316">
        <v>1885841</v>
      </c>
    </row>
    <row r="317" spans="1:44">
      <c r="A317" s="1">
        <f>HYPERLINK("https://lsnyc.legalserver.org/matter/dynamic-profile/view/1885154","18-1885154")</f>
        <v>0</v>
      </c>
      <c r="B317" t="s">
        <v>358</v>
      </c>
      <c r="C317" t="s">
        <v>536</v>
      </c>
      <c r="D317" t="s">
        <v>544</v>
      </c>
      <c r="E317" t="s">
        <v>564</v>
      </c>
      <c r="F317" t="s">
        <v>580</v>
      </c>
      <c r="G317" t="s">
        <v>581</v>
      </c>
      <c r="H317">
        <v>162.77</v>
      </c>
      <c r="I317" t="s">
        <v>702</v>
      </c>
      <c r="J317" t="s">
        <v>685</v>
      </c>
      <c r="L317" t="s">
        <v>816</v>
      </c>
      <c r="N317" t="s">
        <v>821</v>
      </c>
      <c r="O317" t="s">
        <v>825</v>
      </c>
      <c r="P317" t="s">
        <v>830</v>
      </c>
      <c r="Q317">
        <v>11236</v>
      </c>
      <c r="R317" t="s">
        <v>857</v>
      </c>
      <c r="S317" t="s">
        <v>861</v>
      </c>
      <c r="T317" t="s">
        <v>1143</v>
      </c>
      <c r="U317" t="s">
        <v>1253</v>
      </c>
      <c r="V317" t="s">
        <v>1678</v>
      </c>
      <c r="W317" t="s">
        <v>1684</v>
      </c>
      <c r="X317">
        <v>0.8</v>
      </c>
      <c r="Y317">
        <v>0</v>
      </c>
      <c r="Z317">
        <v>1</v>
      </c>
      <c r="AA317" t="s">
        <v>1692</v>
      </c>
      <c r="AB317" t="s">
        <v>2003</v>
      </c>
      <c r="AC317">
        <v>35</v>
      </c>
      <c r="AD317" t="s">
        <v>2292</v>
      </c>
      <c r="AH317" t="s">
        <v>2450</v>
      </c>
      <c r="AJ317" t="s">
        <v>2511</v>
      </c>
      <c r="AK317" t="s">
        <v>2514</v>
      </c>
      <c r="AL317" t="s">
        <v>2520</v>
      </c>
      <c r="AM317" t="s">
        <v>2523</v>
      </c>
      <c r="AR317">
        <v>1885781</v>
      </c>
    </row>
    <row r="318" spans="1:44">
      <c r="A318" s="1">
        <f>HYPERLINK("https://lsnyc.legalserver.org/matter/dynamic-profile/view/1885128","18-1885128")</f>
        <v>0</v>
      </c>
      <c r="B318" t="s">
        <v>359</v>
      </c>
      <c r="C318" t="s">
        <v>537</v>
      </c>
      <c r="D318" t="s">
        <v>545</v>
      </c>
      <c r="E318" t="s">
        <v>568</v>
      </c>
      <c r="F318" t="s">
        <v>581</v>
      </c>
      <c r="G318" t="s">
        <v>581</v>
      </c>
      <c r="H318">
        <v>118.23</v>
      </c>
      <c r="I318" t="s">
        <v>702</v>
      </c>
      <c r="J318" t="s">
        <v>641</v>
      </c>
      <c r="K318" t="s">
        <v>581</v>
      </c>
      <c r="L318" t="s">
        <v>816</v>
      </c>
      <c r="N318" t="s">
        <v>820</v>
      </c>
      <c r="O318" t="s">
        <v>825</v>
      </c>
      <c r="P318" t="s">
        <v>828</v>
      </c>
      <c r="Q318">
        <v>11434</v>
      </c>
      <c r="S318" t="s">
        <v>861</v>
      </c>
      <c r="T318" t="s">
        <v>1144</v>
      </c>
      <c r="U318" t="s">
        <v>1549</v>
      </c>
      <c r="V318" t="s">
        <v>1678</v>
      </c>
      <c r="W318" t="s">
        <v>1684</v>
      </c>
      <c r="X318">
        <v>1</v>
      </c>
      <c r="Y318">
        <v>2</v>
      </c>
      <c r="Z318">
        <v>5</v>
      </c>
      <c r="AA318" t="s">
        <v>1692</v>
      </c>
      <c r="AB318" t="s">
        <v>1929</v>
      </c>
      <c r="AC318">
        <v>44</v>
      </c>
      <c r="AD318" t="s">
        <v>2293</v>
      </c>
      <c r="AJ318" t="s">
        <v>2511</v>
      </c>
      <c r="AM318" t="s">
        <v>2523</v>
      </c>
      <c r="AR318">
        <v>1884884</v>
      </c>
    </row>
    <row r="319" spans="1:44">
      <c r="A319" s="1">
        <f>HYPERLINK("https://lsnyc.legalserver.org/matter/dynamic-profile/view/1885121","18-1885121")</f>
        <v>0</v>
      </c>
      <c r="B319" t="s">
        <v>360</v>
      </c>
      <c r="C319" t="s">
        <v>539</v>
      </c>
      <c r="D319" t="s">
        <v>542</v>
      </c>
      <c r="E319" t="s">
        <v>571</v>
      </c>
      <c r="F319" t="s">
        <v>580</v>
      </c>
      <c r="G319" t="s">
        <v>581</v>
      </c>
      <c r="H319">
        <v>0</v>
      </c>
      <c r="I319" t="s">
        <v>702</v>
      </c>
      <c r="J319" t="s">
        <v>633</v>
      </c>
      <c r="K319" t="s">
        <v>582</v>
      </c>
      <c r="L319" t="s">
        <v>816</v>
      </c>
      <c r="N319" t="s">
        <v>821</v>
      </c>
      <c r="O319" t="s">
        <v>825</v>
      </c>
      <c r="P319" t="s">
        <v>833</v>
      </c>
      <c r="Q319">
        <v>10306</v>
      </c>
      <c r="R319" t="s">
        <v>850</v>
      </c>
      <c r="S319" t="s">
        <v>861</v>
      </c>
      <c r="T319" t="s">
        <v>1145</v>
      </c>
      <c r="U319" t="s">
        <v>1550</v>
      </c>
      <c r="V319" t="s">
        <v>1679</v>
      </c>
      <c r="X319">
        <v>1.9</v>
      </c>
      <c r="Y319">
        <v>0</v>
      </c>
      <c r="Z319">
        <v>1</v>
      </c>
      <c r="AA319" t="s">
        <v>1692</v>
      </c>
      <c r="AB319" t="s">
        <v>2004</v>
      </c>
      <c r="AC319">
        <v>28</v>
      </c>
      <c r="AD319" t="s">
        <v>2171</v>
      </c>
      <c r="AH319" t="s">
        <v>2440</v>
      </c>
      <c r="AI319" t="s">
        <v>581</v>
      </c>
      <c r="AJ319" t="s">
        <v>2511</v>
      </c>
      <c r="AK319" t="s">
        <v>2514</v>
      </c>
      <c r="AL319" t="s">
        <v>2520</v>
      </c>
      <c r="AM319" t="s">
        <v>2523</v>
      </c>
      <c r="AR319">
        <v>1885748</v>
      </c>
    </row>
    <row r="320" spans="1:44">
      <c r="A320" s="1">
        <f>HYPERLINK("https://lsnyc.legalserver.org/matter/dynamic-profile/view/1885114","18-1885114")</f>
        <v>0</v>
      </c>
      <c r="B320" t="s">
        <v>361</v>
      </c>
      <c r="C320" t="s">
        <v>537</v>
      </c>
      <c r="D320" t="s">
        <v>545</v>
      </c>
      <c r="E320" t="s">
        <v>568</v>
      </c>
      <c r="F320" t="s">
        <v>581</v>
      </c>
      <c r="G320" t="s">
        <v>581</v>
      </c>
      <c r="H320">
        <v>31.08</v>
      </c>
      <c r="I320" t="s">
        <v>702</v>
      </c>
      <c r="J320" t="s">
        <v>629</v>
      </c>
      <c r="K320" t="s">
        <v>582</v>
      </c>
      <c r="L320" t="s">
        <v>816</v>
      </c>
      <c r="N320" t="s">
        <v>820</v>
      </c>
      <c r="O320" t="s">
        <v>824</v>
      </c>
      <c r="P320" t="s">
        <v>828</v>
      </c>
      <c r="Q320">
        <v>11421</v>
      </c>
      <c r="S320" t="s">
        <v>863</v>
      </c>
      <c r="T320" t="s">
        <v>1146</v>
      </c>
      <c r="U320" t="s">
        <v>1551</v>
      </c>
      <c r="V320" t="s">
        <v>1678</v>
      </c>
      <c r="W320" t="s">
        <v>1684</v>
      </c>
      <c r="X320">
        <v>1.95</v>
      </c>
      <c r="Y320">
        <v>2</v>
      </c>
      <c r="Z320">
        <v>2</v>
      </c>
      <c r="AA320" t="s">
        <v>1692</v>
      </c>
      <c r="AB320" t="s">
        <v>2005</v>
      </c>
      <c r="AC320">
        <v>45</v>
      </c>
      <c r="AD320" t="s">
        <v>2246</v>
      </c>
      <c r="AH320" t="s">
        <v>2451</v>
      </c>
      <c r="AI320" t="s">
        <v>581</v>
      </c>
      <c r="AJ320" t="s">
        <v>2511</v>
      </c>
      <c r="AK320" t="s">
        <v>2514</v>
      </c>
      <c r="AL320" t="s">
        <v>2520</v>
      </c>
      <c r="AM320" t="s">
        <v>2523</v>
      </c>
      <c r="AR320">
        <v>1885741</v>
      </c>
    </row>
    <row r="321" spans="1:44">
      <c r="A321" s="1">
        <f>HYPERLINK("https://lsnyc.legalserver.org/matter/dynamic-profile/view/1885081","18-1885081")</f>
        <v>0</v>
      </c>
      <c r="B321" t="s">
        <v>362</v>
      </c>
      <c r="C321" t="s">
        <v>536</v>
      </c>
      <c r="D321" t="s">
        <v>543</v>
      </c>
      <c r="E321" t="s">
        <v>569</v>
      </c>
      <c r="F321" t="s">
        <v>581</v>
      </c>
      <c r="G321" t="s">
        <v>581</v>
      </c>
      <c r="H321">
        <v>0</v>
      </c>
      <c r="I321" t="s">
        <v>702</v>
      </c>
      <c r="J321" t="s">
        <v>624</v>
      </c>
      <c r="L321" t="s">
        <v>816</v>
      </c>
      <c r="N321" t="s">
        <v>820</v>
      </c>
      <c r="O321" t="s">
        <v>825</v>
      </c>
      <c r="P321" t="s">
        <v>828</v>
      </c>
      <c r="Q321">
        <v>10460</v>
      </c>
      <c r="R321" t="s">
        <v>835</v>
      </c>
      <c r="S321" t="s">
        <v>861</v>
      </c>
      <c r="T321" t="s">
        <v>1147</v>
      </c>
      <c r="U321" t="s">
        <v>1552</v>
      </c>
      <c r="V321" t="s">
        <v>1681</v>
      </c>
      <c r="W321" t="s">
        <v>1685</v>
      </c>
      <c r="X321">
        <v>24.1</v>
      </c>
      <c r="Y321">
        <v>0</v>
      </c>
      <c r="Z321">
        <v>1</v>
      </c>
      <c r="AA321" t="s">
        <v>1692</v>
      </c>
      <c r="AB321" t="s">
        <v>2006</v>
      </c>
      <c r="AC321">
        <v>40</v>
      </c>
      <c r="AD321" t="s">
        <v>2171</v>
      </c>
      <c r="AI321" t="s">
        <v>582</v>
      </c>
      <c r="AJ321" t="s">
        <v>2512</v>
      </c>
      <c r="AL321" t="s">
        <v>2520</v>
      </c>
      <c r="AM321" t="s">
        <v>2525</v>
      </c>
      <c r="AR321">
        <v>1885708</v>
      </c>
    </row>
    <row r="322" spans="1:44">
      <c r="A322" s="1">
        <f>HYPERLINK("https://lsnyc.legalserver.org/matter/dynamic-profile/view/1884768","18-1884768")</f>
        <v>0</v>
      </c>
      <c r="B322" t="s">
        <v>363</v>
      </c>
      <c r="C322" t="s">
        <v>537</v>
      </c>
      <c r="D322" t="s">
        <v>545</v>
      </c>
      <c r="E322" t="s">
        <v>568</v>
      </c>
      <c r="F322" t="s">
        <v>581</v>
      </c>
      <c r="G322" t="s">
        <v>581</v>
      </c>
      <c r="H322">
        <v>78.98</v>
      </c>
      <c r="I322" t="s">
        <v>703</v>
      </c>
      <c r="J322" t="s">
        <v>641</v>
      </c>
      <c r="K322" t="s">
        <v>581</v>
      </c>
      <c r="L322" t="s">
        <v>816</v>
      </c>
      <c r="N322" t="s">
        <v>820</v>
      </c>
      <c r="O322" t="s">
        <v>824</v>
      </c>
      <c r="P322" t="s">
        <v>828</v>
      </c>
      <c r="Q322">
        <v>11411</v>
      </c>
      <c r="S322" t="s">
        <v>861</v>
      </c>
      <c r="T322" t="s">
        <v>1148</v>
      </c>
      <c r="U322" t="s">
        <v>911</v>
      </c>
      <c r="V322" t="s">
        <v>1678</v>
      </c>
      <c r="W322" t="s">
        <v>1684</v>
      </c>
      <c r="X322">
        <v>1.56</v>
      </c>
      <c r="Y322">
        <v>1</v>
      </c>
      <c r="Z322">
        <v>1</v>
      </c>
      <c r="AA322" t="s">
        <v>1692</v>
      </c>
      <c r="AB322" t="s">
        <v>2007</v>
      </c>
      <c r="AC322">
        <v>32</v>
      </c>
      <c r="AD322" t="s">
        <v>2204</v>
      </c>
      <c r="AH322" t="s">
        <v>2452</v>
      </c>
      <c r="AI322" t="s">
        <v>581</v>
      </c>
      <c r="AJ322" t="s">
        <v>2511</v>
      </c>
      <c r="AK322" t="s">
        <v>2514</v>
      </c>
      <c r="AL322" t="s">
        <v>2520</v>
      </c>
      <c r="AM322" t="s">
        <v>2523</v>
      </c>
      <c r="AR322">
        <v>1885394</v>
      </c>
    </row>
    <row r="323" spans="1:44">
      <c r="A323" s="1">
        <f>HYPERLINK("https://lsnyc.legalserver.org/matter/dynamic-profile/view/1884718","18-1884718")</f>
        <v>0</v>
      </c>
      <c r="B323" t="s">
        <v>364</v>
      </c>
      <c r="C323" t="s">
        <v>536</v>
      </c>
      <c r="D323" t="s">
        <v>543</v>
      </c>
      <c r="E323" t="s">
        <v>569</v>
      </c>
      <c r="F323" t="s">
        <v>581</v>
      </c>
      <c r="G323" t="s">
        <v>581</v>
      </c>
      <c r="H323">
        <v>0</v>
      </c>
      <c r="I323" t="s">
        <v>703</v>
      </c>
      <c r="J323" t="s">
        <v>619</v>
      </c>
      <c r="K323" t="s">
        <v>582</v>
      </c>
      <c r="L323" t="s">
        <v>816</v>
      </c>
      <c r="N323" t="s">
        <v>820</v>
      </c>
      <c r="O323" t="s">
        <v>824</v>
      </c>
      <c r="P323" t="s">
        <v>828</v>
      </c>
      <c r="Q323">
        <v>10467</v>
      </c>
      <c r="R323" t="s">
        <v>835</v>
      </c>
      <c r="S323" t="s">
        <v>861</v>
      </c>
      <c r="T323" t="s">
        <v>1149</v>
      </c>
      <c r="U323" t="s">
        <v>1553</v>
      </c>
      <c r="V323" t="s">
        <v>1681</v>
      </c>
      <c r="W323" t="s">
        <v>1685</v>
      </c>
      <c r="X323">
        <v>10</v>
      </c>
      <c r="Y323">
        <v>0</v>
      </c>
      <c r="Z323">
        <v>1</v>
      </c>
      <c r="AA323" t="s">
        <v>1692</v>
      </c>
      <c r="AB323" t="s">
        <v>2008</v>
      </c>
      <c r="AC323">
        <v>30</v>
      </c>
      <c r="AD323" t="s">
        <v>2171</v>
      </c>
      <c r="AH323" t="s">
        <v>2446</v>
      </c>
      <c r="AI323" t="s">
        <v>582</v>
      </c>
      <c r="AJ323" t="s">
        <v>2512</v>
      </c>
      <c r="AL323" t="s">
        <v>2521</v>
      </c>
      <c r="AM323" t="s">
        <v>2525</v>
      </c>
      <c r="AR323">
        <v>1885344</v>
      </c>
    </row>
    <row r="324" spans="1:44">
      <c r="A324" s="1">
        <f>HYPERLINK("https://lsnyc.legalserver.org/matter/dynamic-profile/view/1884531","18-1884531")</f>
        <v>0</v>
      </c>
      <c r="B324" t="s">
        <v>365</v>
      </c>
      <c r="C324" t="s">
        <v>539</v>
      </c>
      <c r="D324" t="s">
        <v>543</v>
      </c>
      <c r="E324" t="s">
        <v>571</v>
      </c>
      <c r="F324" t="s">
        <v>580</v>
      </c>
      <c r="G324" t="s">
        <v>581</v>
      </c>
      <c r="H324">
        <v>0</v>
      </c>
      <c r="I324" t="s">
        <v>704</v>
      </c>
      <c r="J324" t="s">
        <v>803</v>
      </c>
      <c r="K324" t="s">
        <v>582</v>
      </c>
      <c r="L324" t="s">
        <v>816</v>
      </c>
      <c r="N324" t="s">
        <v>821</v>
      </c>
      <c r="O324" t="s">
        <v>825</v>
      </c>
      <c r="P324" t="s">
        <v>833</v>
      </c>
      <c r="Q324">
        <v>10453</v>
      </c>
      <c r="R324" t="s">
        <v>847</v>
      </c>
      <c r="S324" t="s">
        <v>861</v>
      </c>
      <c r="T324" t="s">
        <v>1150</v>
      </c>
      <c r="U324" t="s">
        <v>1533</v>
      </c>
      <c r="V324" t="s">
        <v>1678</v>
      </c>
      <c r="X324">
        <v>1.72</v>
      </c>
      <c r="Y324">
        <v>0</v>
      </c>
      <c r="Z324">
        <v>1</v>
      </c>
      <c r="AA324" t="s">
        <v>1692</v>
      </c>
      <c r="AB324" t="s">
        <v>2009</v>
      </c>
      <c r="AC324">
        <v>29</v>
      </c>
      <c r="AD324" t="s">
        <v>2171</v>
      </c>
      <c r="AH324" t="s">
        <v>2453</v>
      </c>
      <c r="AI324" t="s">
        <v>581</v>
      </c>
      <c r="AJ324" t="s">
        <v>2511</v>
      </c>
      <c r="AK324" t="s">
        <v>2514</v>
      </c>
      <c r="AL324" t="s">
        <v>2520</v>
      </c>
      <c r="AM324" t="s">
        <v>2523</v>
      </c>
      <c r="AR324">
        <v>1885156</v>
      </c>
    </row>
    <row r="325" spans="1:44">
      <c r="A325" s="1">
        <f>HYPERLINK("https://lsnyc.legalserver.org/matter/dynamic-profile/view/1884606","18-1884606")</f>
        <v>0</v>
      </c>
      <c r="B325" t="s">
        <v>366</v>
      </c>
      <c r="C325" t="s">
        <v>535</v>
      </c>
      <c r="D325" t="s">
        <v>544</v>
      </c>
      <c r="E325" t="s">
        <v>563</v>
      </c>
      <c r="F325" t="s">
        <v>580</v>
      </c>
      <c r="G325" t="s">
        <v>581</v>
      </c>
      <c r="H325">
        <v>171.33</v>
      </c>
      <c r="I325" t="s">
        <v>704</v>
      </c>
      <c r="J325" t="s">
        <v>795</v>
      </c>
      <c r="K325" t="s">
        <v>582</v>
      </c>
      <c r="L325" t="s">
        <v>816</v>
      </c>
      <c r="N325" t="s">
        <v>820</v>
      </c>
      <c r="O325" t="s">
        <v>825</v>
      </c>
      <c r="P325" t="s">
        <v>828</v>
      </c>
      <c r="Q325">
        <v>11203</v>
      </c>
      <c r="R325" t="s">
        <v>835</v>
      </c>
      <c r="S325" t="s">
        <v>861</v>
      </c>
      <c r="T325" t="s">
        <v>1151</v>
      </c>
      <c r="U325" t="s">
        <v>1554</v>
      </c>
      <c r="V325" t="s">
        <v>1678</v>
      </c>
      <c r="W325" t="s">
        <v>1684</v>
      </c>
      <c r="X325">
        <v>18</v>
      </c>
      <c r="Y325">
        <v>0</v>
      </c>
      <c r="Z325">
        <v>1</v>
      </c>
      <c r="AA325" t="s">
        <v>1692</v>
      </c>
      <c r="AB325" t="s">
        <v>2010</v>
      </c>
      <c r="AC325">
        <v>35</v>
      </c>
      <c r="AD325" t="s">
        <v>2201</v>
      </c>
      <c r="AH325" t="s">
        <v>2454</v>
      </c>
      <c r="AI325" t="s">
        <v>581</v>
      </c>
      <c r="AJ325" t="s">
        <v>2511</v>
      </c>
      <c r="AK325" t="s">
        <v>2514</v>
      </c>
      <c r="AL325" t="s">
        <v>2520</v>
      </c>
      <c r="AM325" t="s">
        <v>2523</v>
      </c>
      <c r="AR325">
        <v>1885232</v>
      </c>
    </row>
    <row r="326" spans="1:44">
      <c r="A326" s="1">
        <f>HYPERLINK("https://lsnyc.legalserver.org/matter/dynamic-profile/view/1884441","18-1884441")</f>
        <v>0</v>
      </c>
      <c r="B326" t="s">
        <v>367</v>
      </c>
      <c r="C326" t="s">
        <v>535</v>
      </c>
      <c r="D326" t="s">
        <v>541</v>
      </c>
      <c r="E326" t="s">
        <v>563</v>
      </c>
      <c r="F326" t="s">
        <v>580</v>
      </c>
      <c r="G326" t="s">
        <v>581</v>
      </c>
      <c r="H326">
        <v>0</v>
      </c>
      <c r="I326" t="s">
        <v>705</v>
      </c>
      <c r="J326" t="s">
        <v>702</v>
      </c>
      <c r="K326" t="s">
        <v>582</v>
      </c>
      <c r="L326" t="s">
        <v>816</v>
      </c>
      <c r="M326" t="s">
        <v>816</v>
      </c>
      <c r="N326" t="s">
        <v>821</v>
      </c>
      <c r="O326" t="s">
        <v>824</v>
      </c>
      <c r="P326" t="s">
        <v>830</v>
      </c>
      <c r="Q326">
        <v>10021</v>
      </c>
      <c r="R326" t="s">
        <v>840</v>
      </c>
      <c r="S326" t="s">
        <v>861</v>
      </c>
      <c r="T326" t="s">
        <v>1152</v>
      </c>
      <c r="U326" t="s">
        <v>1555</v>
      </c>
      <c r="V326" t="s">
        <v>1678</v>
      </c>
      <c r="W326" t="s">
        <v>1684</v>
      </c>
      <c r="X326">
        <v>3.95</v>
      </c>
      <c r="Y326">
        <v>0</v>
      </c>
      <c r="Z326">
        <v>1</v>
      </c>
      <c r="AA326" t="s">
        <v>1692</v>
      </c>
      <c r="AB326" t="s">
        <v>2011</v>
      </c>
      <c r="AC326">
        <v>48</v>
      </c>
      <c r="AD326" t="s">
        <v>2171</v>
      </c>
      <c r="AH326" t="s">
        <v>2455</v>
      </c>
      <c r="AI326" t="s">
        <v>581</v>
      </c>
      <c r="AJ326" t="s">
        <v>2511</v>
      </c>
      <c r="AK326" t="s">
        <v>2514</v>
      </c>
      <c r="AL326" t="s">
        <v>2520</v>
      </c>
      <c r="AM326" t="s">
        <v>2523</v>
      </c>
      <c r="AR326">
        <v>1885066</v>
      </c>
    </row>
    <row r="327" spans="1:44">
      <c r="A327" s="1">
        <f>HYPERLINK("https://lsnyc.legalserver.org/matter/dynamic-profile/view/1884395","18-1884395")</f>
        <v>0</v>
      </c>
      <c r="B327" t="s">
        <v>368</v>
      </c>
      <c r="C327" t="s">
        <v>537</v>
      </c>
      <c r="D327" t="s">
        <v>545</v>
      </c>
      <c r="E327" t="s">
        <v>568</v>
      </c>
      <c r="F327" t="s">
        <v>581</v>
      </c>
      <c r="G327" t="s">
        <v>581</v>
      </c>
      <c r="H327">
        <v>0</v>
      </c>
      <c r="I327" t="s">
        <v>705</v>
      </c>
      <c r="J327" t="s">
        <v>677</v>
      </c>
      <c r="K327" t="s">
        <v>582</v>
      </c>
      <c r="L327" t="s">
        <v>816</v>
      </c>
      <c r="N327" t="s">
        <v>820</v>
      </c>
      <c r="O327" t="s">
        <v>824</v>
      </c>
      <c r="P327" t="s">
        <v>828</v>
      </c>
      <c r="Q327">
        <v>11374</v>
      </c>
      <c r="S327" t="s">
        <v>861</v>
      </c>
      <c r="T327" t="s">
        <v>1153</v>
      </c>
      <c r="U327" t="s">
        <v>1556</v>
      </c>
      <c r="V327" t="s">
        <v>1681</v>
      </c>
      <c r="W327" t="s">
        <v>1685</v>
      </c>
      <c r="X327">
        <v>13</v>
      </c>
      <c r="Y327">
        <v>0</v>
      </c>
      <c r="Z327">
        <v>1</v>
      </c>
      <c r="AA327" t="s">
        <v>1692</v>
      </c>
      <c r="AB327" t="s">
        <v>2012</v>
      </c>
      <c r="AC327">
        <v>44</v>
      </c>
      <c r="AD327" t="s">
        <v>2171</v>
      </c>
      <c r="AG327" t="s">
        <v>2374</v>
      </c>
      <c r="AH327" t="s">
        <v>2447</v>
      </c>
      <c r="AI327" t="s">
        <v>582</v>
      </c>
      <c r="AJ327" t="s">
        <v>2511</v>
      </c>
      <c r="AK327" t="s">
        <v>2516</v>
      </c>
      <c r="AL327" t="s">
        <v>2521</v>
      </c>
      <c r="AM327" t="s">
        <v>2525</v>
      </c>
      <c r="AO327" t="s">
        <v>2528</v>
      </c>
      <c r="AR327">
        <v>1885020</v>
      </c>
    </row>
    <row r="328" spans="1:44">
      <c r="A328" s="1">
        <f>HYPERLINK("https://lsnyc.legalserver.org/matter/dynamic-profile/view/1884375","18-1884375")</f>
        <v>0</v>
      </c>
      <c r="B328" t="s">
        <v>369</v>
      </c>
      <c r="C328" t="s">
        <v>535</v>
      </c>
      <c r="D328" t="s">
        <v>541</v>
      </c>
      <c r="E328" t="s">
        <v>561</v>
      </c>
      <c r="F328" t="s">
        <v>580</v>
      </c>
      <c r="G328" t="s">
        <v>581</v>
      </c>
      <c r="H328">
        <v>108.73</v>
      </c>
      <c r="I328" t="s">
        <v>705</v>
      </c>
      <c r="K328" t="s">
        <v>581</v>
      </c>
      <c r="L328" t="s">
        <v>816</v>
      </c>
      <c r="N328" t="s">
        <v>820</v>
      </c>
      <c r="O328" t="s">
        <v>824</v>
      </c>
      <c r="P328" t="s">
        <v>828</v>
      </c>
      <c r="Q328">
        <v>10016</v>
      </c>
      <c r="S328" t="s">
        <v>861</v>
      </c>
      <c r="T328" t="s">
        <v>1154</v>
      </c>
      <c r="U328" t="s">
        <v>1329</v>
      </c>
      <c r="W328" t="s">
        <v>1684</v>
      </c>
      <c r="X328">
        <v>3.15</v>
      </c>
      <c r="Y328">
        <v>0</v>
      </c>
      <c r="Z328">
        <v>1</v>
      </c>
      <c r="AA328" t="s">
        <v>1691</v>
      </c>
      <c r="AB328" t="s">
        <v>2013</v>
      </c>
      <c r="AC328">
        <v>60</v>
      </c>
      <c r="AD328" t="s">
        <v>2243</v>
      </c>
      <c r="AI328" t="s">
        <v>581</v>
      </c>
      <c r="AJ328" t="s">
        <v>2511</v>
      </c>
      <c r="AK328" t="s">
        <v>2514</v>
      </c>
      <c r="AL328" t="s">
        <v>2520</v>
      </c>
      <c r="AM328" t="s">
        <v>2523</v>
      </c>
      <c r="AR328">
        <v>1870421</v>
      </c>
    </row>
    <row r="329" spans="1:44">
      <c r="A329" s="1">
        <f>HYPERLINK("https://lsnyc.legalserver.org/matter/dynamic-profile/view/1884403","18-1884403")</f>
        <v>0</v>
      </c>
      <c r="B329" t="s">
        <v>370</v>
      </c>
      <c r="C329" t="s">
        <v>535</v>
      </c>
      <c r="D329" t="s">
        <v>541</v>
      </c>
      <c r="E329" t="s">
        <v>561</v>
      </c>
      <c r="F329" t="s">
        <v>580</v>
      </c>
      <c r="G329" t="s">
        <v>581</v>
      </c>
      <c r="H329">
        <v>0</v>
      </c>
      <c r="I329" t="s">
        <v>705</v>
      </c>
      <c r="K329" t="s">
        <v>582</v>
      </c>
      <c r="L329" t="s">
        <v>816</v>
      </c>
      <c r="N329" t="s">
        <v>820</v>
      </c>
      <c r="O329" t="s">
        <v>824</v>
      </c>
      <c r="P329" t="s">
        <v>828</v>
      </c>
      <c r="Q329">
        <v>10035</v>
      </c>
      <c r="S329" t="s">
        <v>861</v>
      </c>
      <c r="T329" t="s">
        <v>1155</v>
      </c>
      <c r="U329" t="s">
        <v>1557</v>
      </c>
      <c r="W329" t="s">
        <v>1684</v>
      </c>
      <c r="X329">
        <v>3.85</v>
      </c>
      <c r="Y329">
        <v>0</v>
      </c>
      <c r="Z329">
        <v>1</v>
      </c>
      <c r="AA329" t="s">
        <v>1691</v>
      </c>
      <c r="AB329" t="s">
        <v>2014</v>
      </c>
      <c r="AC329">
        <v>25</v>
      </c>
      <c r="AD329" t="s">
        <v>2171</v>
      </c>
      <c r="AI329" t="s">
        <v>581</v>
      </c>
      <c r="AJ329" t="s">
        <v>2511</v>
      </c>
      <c r="AK329" t="s">
        <v>2514</v>
      </c>
      <c r="AL329" t="s">
        <v>2520</v>
      </c>
      <c r="AM329" t="s">
        <v>2523</v>
      </c>
      <c r="AR329">
        <v>1885028</v>
      </c>
    </row>
    <row r="330" spans="1:44">
      <c r="A330" s="1">
        <f>HYPERLINK("https://lsnyc.legalserver.org/matter/dynamic-profile/view/1884473","18-1884473")</f>
        <v>0</v>
      </c>
      <c r="B330" t="s">
        <v>371</v>
      </c>
      <c r="C330" t="s">
        <v>535</v>
      </c>
      <c r="D330" t="s">
        <v>557</v>
      </c>
      <c r="E330" t="s">
        <v>561</v>
      </c>
      <c r="F330" t="s">
        <v>580</v>
      </c>
      <c r="G330" t="s">
        <v>581</v>
      </c>
      <c r="H330">
        <v>0</v>
      </c>
      <c r="I330" t="s">
        <v>705</v>
      </c>
      <c r="K330" t="s">
        <v>582</v>
      </c>
      <c r="L330" t="s">
        <v>816</v>
      </c>
      <c r="N330" t="s">
        <v>820</v>
      </c>
      <c r="O330" t="s">
        <v>825</v>
      </c>
      <c r="P330" t="s">
        <v>828</v>
      </c>
      <c r="Q330">
        <v>7079</v>
      </c>
      <c r="S330" t="s">
        <v>861</v>
      </c>
      <c r="T330" t="s">
        <v>1156</v>
      </c>
      <c r="U330" t="s">
        <v>1316</v>
      </c>
      <c r="W330" t="s">
        <v>1685</v>
      </c>
      <c r="X330">
        <v>30.8</v>
      </c>
      <c r="Y330">
        <v>0</v>
      </c>
      <c r="Z330">
        <v>1</v>
      </c>
      <c r="AA330" t="s">
        <v>1691</v>
      </c>
      <c r="AB330" t="s">
        <v>2015</v>
      </c>
      <c r="AC330">
        <v>61</v>
      </c>
      <c r="AD330" t="s">
        <v>2171</v>
      </c>
      <c r="AG330" t="s">
        <v>2375</v>
      </c>
      <c r="AH330" t="s">
        <v>2451</v>
      </c>
      <c r="AI330" t="s">
        <v>582</v>
      </c>
      <c r="AJ330" t="s">
        <v>2512</v>
      </c>
      <c r="AK330" t="s">
        <v>2514</v>
      </c>
      <c r="AL330" t="s">
        <v>2521</v>
      </c>
      <c r="AM330" t="s">
        <v>2525</v>
      </c>
      <c r="AR330">
        <v>1885098</v>
      </c>
    </row>
    <row r="331" spans="1:44">
      <c r="A331" s="1">
        <f>HYPERLINK("https://lsnyc.legalserver.org/matter/dynamic-profile/view/1884478","18-1884478")</f>
        <v>0</v>
      </c>
      <c r="B331" t="s">
        <v>372</v>
      </c>
      <c r="C331" t="s">
        <v>535</v>
      </c>
      <c r="D331" t="s">
        <v>541</v>
      </c>
      <c r="E331" t="s">
        <v>563</v>
      </c>
      <c r="F331" t="s">
        <v>580</v>
      </c>
      <c r="G331" t="s">
        <v>581</v>
      </c>
      <c r="H331">
        <v>110.57</v>
      </c>
      <c r="I331" t="s">
        <v>705</v>
      </c>
      <c r="K331" t="s">
        <v>581</v>
      </c>
      <c r="L331" t="s">
        <v>816</v>
      </c>
      <c r="N331" t="s">
        <v>821</v>
      </c>
      <c r="O331" t="s">
        <v>824</v>
      </c>
      <c r="P331" t="s">
        <v>830</v>
      </c>
      <c r="Q331">
        <v>10037</v>
      </c>
      <c r="S331" t="s">
        <v>861</v>
      </c>
      <c r="T331" t="s">
        <v>1157</v>
      </c>
      <c r="U331" t="s">
        <v>1558</v>
      </c>
      <c r="W331" t="s">
        <v>1684</v>
      </c>
      <c r="X331">
        <v>2.85</v>
      </c>
      <c r="Y331">
        <v>1</v>
      </c>
      <c r="Z331">
        <v>1</v>
      </c>
      <c r="AA331" t="s">
        <v>1691</v>
      </c>
      <c r="AB331" t="s">
        <v>2016</v>
      </c>
      <c r="AC331">
        <v>37</v>
      </c>
      <c r="AD331" t="s">
        <v>2179</v>
      </c>
      <c r="AH331" t="s">
        <v>2374</v>
      </c>
      <c r="AI331" t="s">
        <v>582</v>
      </c>
      <c r="AJ331" t="s">
        <v>2512</v>
      </c>
      <c r="AK331" t="s">
        <v>2514</v>
      </c>
      <c r="AL331" t="s">
        <v>2519</v>
      </c>
      <c r="AM331" t="s">
        <v>2522</v>
      </c>
      <c r="AP331" t="s">
        <v>581</v>
      </c>
      <c r="AR331">
        <v>1885103</v>
      </c>
    </row>
    <row r="332" spans="1:44">
      <c r="A332" s="1">
        <f>HYPERLINK("https://lsnyc.legalserver.org/matter/dynamic-profile/view/1884339","18-1884339")</f>
        <v>0</v>
      </c>
      <c r="B332" t="s">
        <v>373</v>
      </c>
      <c r="C332" t="s">
        <v>535</v>
      </c>
      <c r="D332" t="s">
        <v>543</v>
      </c>
      <c r="E332" t="s">
        <v>561</v>
      </c>
      <c r="F332" t="s">
        <v>580</v>
      </c>
      <c r="G332" t="s">
        <v>581</v>
      </c>
      <c r="H332">
        <v>164.03</v>
      </c>
      <c r="I332" t="s">
        <v>706</v>
      </c>
      <c r="J332" t="s">
        <v>657</v>
      </c>
      <c r="L332" t="s">
        <v>816</v>
      </c>
      <c r="N332" t="s">
        <v>821</v>
      </c>
      <c r="O332" t="s">
        <v>825</v>
      </c>
      <c r="P332" t="s">
        <v>830</v>
      </c>
      <c r="Q332">
        <v>10462</v>
      </c>
      <c r="S332" t="s">
        <v>861</v>
      </c>
      <c r="T332" t="s">
        <v>1158</v>
      </c>
      <c r="U332" t="s">
        <v>1290</v>
      </c>
      <c r="V332" t="s">
        <v>1678</v>
      </c>
      <c r="W332" t="s">
        <v>1684</v>
      </c>
      <c r="X332">
        <v>3.15</v>
      </c>
      <c r="Y332">
        <v>1</v>
      </c>
      <c r="Z332">
        <v>1</v>
      </c>
      <c r="AA332" t="s">
        <v>1692</v>
      </c>
      <c r="AB332" t="s">
        <v>2017</v>
      </c>
      <c r="AC332">
        <v>62</v>
      </c>
      <c r="AD332" t="s">
        <v>2294</v>
      </c>
      <c r="AH332" t="s">
        <v>2454</v>
      </c>
      <c r="AI332" t="s">
        <v>581</v>
      </c>
      <c r="AJ332" t="s">
        <v>2511</v>
      </c>
      <c r="AK332" t="s">
        <v>2514</v>
      </c>
      <c r="AL332" t="s">
        <v>2520</v>
      </c>
      <c r="AM332" t="s">
        <v>2523</v>
      </c>
      <c r="AR332">
        <v>1882090</v>
      </c>
    </row>
    <row r="333" spans="1:44">
      <c r="A333" s="1">
        <f>HYPERLINK("https://lsnyc.legalserver.org/matter/dynamic-profile/view/1884248","18-1884248")</f>
        <v>0</v>
      </c>
      <c r="B333" t="s">
        <v>374</v>
      </c>
      <c r="C333" t="s">
        <v>537</v>
      </c>
      <c r="D333" t="s">
        <v>545</v>
      </c>
      <c r="E333" t="s">
        <v>568</v>
      </c>
      <c r="F333" t="s">
        <v>581</v>
      </c>
      <c r="G333" t="s">
        <v>581</v>
      </c>
      <c r="H333">
        <v>0</v>
      </c>
      <c r="I333" t="s">
        <v>706</v>
      </c>
      <c r="J333" t="s">
        <v>641</v>
      </c>
      <c r="K333" t="s">
        <v>582</v>
      </c>
      <c r="L333" t="s">
        <v>816</v>
      </c>
      <c r="N333" t="s">
        <v>820</v>
      </c>
      <c r="O333" t="s">
        <v>825</v>
      </c>
      <c r="P333" t="s">
        <v>828</v>
      </c>
      <c r="Q333">
        <v>11413</v>
      </c>
      <c r="S333" t="s">
        <v>861</v>
      </c>
      <c r="T333" t="s">
        <v>1159</v>
      </c>
      <c r="U333" t="s">
        <v>1559</v>
      </c>
      <c r="V333" t="s">
        <v>1678</v>
      </c>
      <c r="W333" t="s">
        <v>1684</v>
      </c>
      <c r="X333">
        <v>2.41</v>
      </c>
      <c r="Y333">
        <v>0</v>
      </c>
      <c r="Z333">
        <v>1</v>
      </c>
      <c r="AA333" t="s">
        <v>1692</v>
      </c>
      <c r="AB333" t="s">
        <v>2018</v>
      </c>
      <c r="AC333">
        <v>42</v>
      </c>
      <c r="AD333" t="s">
        <v>2171</v>
      </c>
      <c r="AH333" t="s">
        <v>2454</v>
      </c>
      <c r="AI333" t="s">
        <v>581</v>
      </c>
      <c r="AJ333" t="s">
        <v>2511</v>
      </c>
      <c r="AK333" t="s">
        <v>2514</v>
      </c>
      <c r="AL333" t="s">
        <v>2520</v>
      </c>
      <c r="AM333" t="s">
        <v>2523</v>
      </c>
      <c r="AR333">
        <v>1884873</v>
      </c>
    </row>
    <row r="334" spans="1:44">
      <c r="A334" s="1">
        <f>HYPERLINK("https://lsnyc.legalserver.org/matter/dynamic-profile/view/1884254","18-1884254")</f>
        <v>0</v>
      </c>
      <c r="B334" t="s">
        <v>375</v>
      </c>
      <c r="C334" t="s">
        <v>536</v>
      </c>
      <c r="D334" t="s">
        <v>544</v>
      </c>
      <c r="E334" t="s">
        <v>569</v>
      </c>
      <c r="F334" t="s">
        <v>581</v>
      </c>
      <c r="G334" t="s">
        <v>581</v>
      </c>
      <c r="H334">
        <v>100.06</v>
      </c>
      <c r="I334" t="s">
        <v>706</v>
      </c>
      <c r="J334" t="s">
        <v>626</v>
      </c>
      <c r="L334" t="s">
        <v>816</v>
      </c>
      <c r="M334" t="s">
        <v>816</v>
      </c>
      <c r="N334" t="s">
        <v>821</v>
      </c>
      <c r="O334" t="s">
        <v>824</v>
      </c>
      <c r="P334" t="s">
        <v>832</v>
      </c>
      <c r="Q334">
        <v>11207</v>
      </c>
      <c r="S334" t="s">
        <v>863</v>
      </c>
      <c r="T334" t="s">
        <v>1160</v>
      </c>
      <c r="U334" t="s">
        <v>1321</v>
      </c>
      <c r="V334" t="s">
        <v>1678</v>
      </c>
      <c r="W334" t="s">
        <v>1684</v>
      </c>
      <c r="X334">
        <v>3.75</v>
      </c>
      <c r="Y334">
        <v>0</v>
      </c>
      <c r="Z334">
        <v>1</v>
      </c>
      <c r="AA334" t="s">
        <v>1692</v>
      </c>
      <c r="AB334" t="s">
        <v>2019</v>
      </c>
      <c r="AC334">
        <v>47</v>
      </c>
      <c r="AD334" t="s">
        <v>2295</v>
      </c>
      <c r="AH334" t="s">
        <v>2455</v>
      </c>
      <c r="AK334" t="s">
        <v>2514</v>
      </c>
      <c r="AM334" t="s">
        <v>2523</v>
      </c>
      <c r="AR334">
        <v>1884879</v>
      </c>
    </row>
    <row r="335" spans="1:44">
      <c r="A335" s="1">
        <f>HYPERLINK("https://lsnyc.legalserver.org/matter/dynamic-profile/view/1884105","18-1884105")</f>
        <v>0</v>
      </c>
      <c r="B335" t="s">
        <v>376</v>
      </c>
      <c r="C335" t="s">
        <v>536</v>
      </c>
      <c r="D335" t="s">
        <v>544</v>
      </c>
      <c r="E335" t="s">
        <v>564</v>
      </c>
      <c r="F335" t="s">
        <v>580</v>
      </c>
      <c r="G335" t="s">
        <v>581</v>
      </c>
      <c r="H335">
        <v>0</v>
      </c>
      <c r="I335" t="s">
        <v>707</v>
      </c>
      <c r="J335" t="s">
        <v>669</v>
      </c>
      <c r="K335" t="s">
        <v>582</v>
      </c>
      <c r="L335" t="s">
        <v>816</v>
      </c>
      <c r="N335" t="s">
        <v>821</v>
      </c>
      <c r="O335" t="s">
        <v>824</v>
      </c>
      <c r="P335" t="s">
        <v>833</v>
      </c>
      <c r="Q335">
        <v>11221</v>
      </c>
      <c r="S335" t="s">
        <v>861</v>
      </c>
      <c r="T335" t="s">
        <v>1125</v>
      </c>
      <c r="U335" t="s">
        <v>1560</v>
      </c>
      <c r="V335" t="s">
        <v>1678</v>
      </c>
      <c r="W335" t="s">
        <v>1684</v>
      </c>
      <c r="X335">
        <v>3.05</v>
      </c>
      <c r="Y335">
        <v>3</v>
      </c>
      <c r="Z335">
        <v>1</v>
      </c>
      <c r="AA335" t="s">
        <v>1692</v>
      </c>
      <c r="AB335" t="s">
        <v>2020</v>
      </c>
      <c r="AC335">
        <v>44</v>
      </c>
      <c r="AD335" t="s">
        <v>2171</v>
      </c>
      <c r="AH335" t="s">
        <v>2456</v>
      </c>
      <c r="AJ335" t="s">
        <v>2511</v>
      </c>
      <c r="AK335" t="s">
        <v>2514</v>
      </c>
      <c r="AL335" t="s">
        <v>2520</v>
      </c>
      <c r="AM335" t="s">
        <v>2523</v>
      </c>
      <c r="AR335">
        <v>1884730</v>
      </c>
    </row>
    <row r="336" spans="1:44">
      <c r="A336" s="1">
        <f>HYPERLINK("https://lsnyc.legalserver.org/matter/dynamic-profile/view/1884148","18-1884148")</f>
        <v>0</v>
      </c>
      <c r="B336" t="s">
        <v>377</v>
      </c>
      <c r="C336" t="s">
        <v>537</v>
      </c>
      <c r="D336" t="s">
        <v>545</v>
      </c>
      <c r="E336" t="s">
        <v>568</v>
      </c>
      <c r="F336" t="s">
        <v>581</v>
      </c>
      <c r="G336" t="s">
        <v>581</v>
      </c>
      <c r="H336">
        <v>163.1</v>
      </c>
      <c r="I336" t="s">
        <v>707</v>
      </c>
      <c r="J336" t="s">
        <v>624</v>
      </c>
      <c r="K336" t="s">
        <v>582</v>
      </c>
      <c r="L336" t="s">
        <v>816</v>
      </c>
      <c r="N336" t="s">
        <v>820</v>
      </c>
      <c r="O336" t="s">
        <v>824</v>
      </c>
      <c r="P336" t="s">
        <v>828</v>
      </c>
      <c r="Q336">
        <v>11433</v>
      </c>
      <c r="S336" t="s">
        <v>861</v>
      </c>
      <c r="T336" t="s">
        <v>1161</v>
      </c>
      <c r="U336" t="s">
        <v>1561</v>
      </c>
      <c r="V336" t="s">
        <v>1679</v>
      </c>
      <c r="W336" t="s">
        <v>1684</v>
      </c>
      <c r="X336">
        <v>17.85</v>
      </c>
      <c r="Y336">
        <v>0</v>
      </c>
      <c r="Z336">
        <v>1</v>
      </c>
      <c r="AA336" t="s">
        <v>1692</v>
      </c>
      <c r="AB336" t="s">
        <v>2021</v>
      </c>
      <c r="AC336">
        <v>66</v>
      </c>
      <c r="AD336" t="s">
        <v>2296</v>
      </c>
      <c r="AH336" t="s">
        <v>2444</v>
      </c>
      <c r="AI336" t="s">
        <v>582</v>
      </c>
      <c r="AJ336" t="s">
        <v>2511</v>
      </c>
      <c r="AK336" t="s">
        <v>2514</v>
      </c>
      <c r="AL336" t="s">
        <v>2520</v>
      </c>
      <c r="AM336" t="s">
        <v>2523</v>
      </c>
      <c r="AR336">
        <v>1884773</v>
      </c>
    </row>
    <row r="337" spans="1:44">
      <c r="A337" s="1">
        <f>HYPERLINK("https://lsnyc.legalserver.org/matter/dynamic-profile/view/1884222","18-1884222")</f>
        <v>0</v>
      </c>
      <c r="B337" t="s">
        <v>378</v>
      </c>
      <c r="C337" t="s">
        <v>535</v>
      </c>
      <c r="D337" t="s">
        <v>543</v>
      </c>
      <c r="E337" t="s">
        <v>561</v>
      </c>
      <c r="F337" t="s">
        <v>580</v>
      </c>
      <c r="G337" t="s">
        <v>581</v>
      </c>
      <c r="H337">
        <v>85.67</v>
      </c>
      <c r="I337" t="s">
        <v>707</v>
      </c>
      <c r="J337" t="s">
        <v>590</v>
      </c>
      <c r="K337" t="s">
        <v>582</v>
      </c>
      <c r="L337" t="s">
        <v>816</v>
      </c>
      <c r="N337" t="s">
        <v>820</v>
      </c>
      <c r="O337" t="s">
        <v>824</v>
      </c>
      <c r="P337" t="s">
        <v>828</v>
      </c>
      <c r="Q337">
        <v>10462</v>
      </c>
      <c r="R337" t="s">
        <v>835</v>
      </c>
      <c r="S337" t="s">
        <v>861</v>
      </c>
      <c r="T337" t="s">
        <v>1162</v>
      </c>
      <c r="U337" t="s">
        <v>1562</v>
      </c>
      <c r="V337" t="s">
        <v>1678</v>
      </c>
      <c r="W337" t="s">
        <v>1684</v>
      </c>
      <c r="X337">
        <v>7.6</v>
      </c>
      <c r="Y337">
        <v>0</v>
      </c>
      <c r="Z337">
        <v>1</v>
      </c>
      <c r="AA337" t="s">
        <v>1692</v>
      </c>
      <c r="AB337" t="s">
        <v>2022</v>
      </c>
      <c r="AC337">
        <v>32</v>
      </c>
      <c r="AD337" t="s">
        <v>2186</v>
      </c>
      <c r="AI337" t="s">
        <v>581</v>
      </c>
      <c r="AJ337" t="s">
        <v>2513</v>
      </c>
      <c r="AL337" t="s">
        <v>2520</v>
      </c>
      <c r="AM337" t="s">
        <v>2523</v>
      </c>
      <c r="AR337">
        <v>1884847</v>
      </c>
    </row>
    <row r="338" spans="1:44">
      <c r="A338" s="1">
        <f>HYPERLINK("https://lsnyc.legalserver.org/matter/dynamic-profile/view/1884054","18-1884054")</f>
        <v>0</v>
      </c>
      <c r="B338" t="s">
        <v>379</v>
      </c>
      <c r="C338" t="s">
        <v>536</v>
      </c>
      <c r="D338" t="s">
        <v>544</v>
      </c>
      <c r="E338" t="s">
        <v>566</v>
      </c>
      <c r="F338" t="s">
        <v>580</v>
      </c>
      <c r="G338" t="s">
        <v>581</v>
      </c>
      <c r="H338">
        <v>0</v>
      </c>
      <c r="I338" t="s">
        <v>708</v>
      </c>
      <c r="J338" t="s">
        <v>805</v>
      </c>
      <c r="K338" t="s">
        <v>582</v>
      </c>
      <c r="L338" t="s">
        <v>816</v>
      </c>
      <c r="N338" t="s">
        <v>821</v>
      </c>
      <c r="O338" t="s">
        <v>824</v>
      </c>
      <c r="P338" t="s">
        <v>833</v>
      </c>
      <c r="Q338">
        <v>11210</v>
      </c>
      <c r="R338" t="s">
        <v>850</v>
      </c>
      <c r="S338" t="s">
        <v>861</v>
      </c>
      <c r="T338" t="s">
        <v>1011</v>
      </c>
      <c r="U338" t="s">
        <v>1563</v>
      </c>
      <c r="V338" t="s">
        <v>1678</v>
      </c>
      <c r="W338" t="s">
        <v>1684</v>
      </c>
      <c r="X338">
        <v>0.75</v>
      </c>
      <c r="Y338">
        <v>0</v>
      </c>
      <c r="Z338">
        <v>1</v>
      </c>
      <c r="AA338" t="s">
        <v>1692</v>
      </c>
      <c r="AB338" t="s">
        <v>1780</v>
      </c>
      <c r="AC338">
        <v>55</v>
      </c>
      <c r="AD338" t="s">
        <v>2171</v>
      </c>
      <c r="AI338" t="s">
        <v>581</v>
      </c>
      <c r="AM338" t="s">
        <v>2523</v>
      </c>
      <c r="AR338">
        <v>1884679</v>
      </c>
    </row>
    <row r="339" spans="1:44">
      <c r="A339" s="1">
        <f>HYPERLINK("https://lsnyc.legalserver.org/matter/dynamic-profile/view/1884059","18-1884059")</f>
        <v>0</v>
      </c>
      <c r="B339" t="s">
        <v>380</v>
      </c>
      <c r="C339" t="s">
        <v>539</v>
      </c>
      <c r="D339" t="s">
        <v>543</v>
      </c>
      <c r="E339" t="s">
        <v>571</v>
      </c>
      <c r="F339" t="s">
        <v>581</v>
      </c>
      <c r="G339" t="s">
        <v>581</v>
      </c>
      <c r="H339">
        <v>128.5</v>
      </c>
      <c r="I339" t="s">
        <v>708</v>
      </c>
      <c r="J339" t="s">
        <v>659</v>
      </c>
      <c r="K339" t="s">
        <v>581</v>
      </c>
      <c r="L339" t="s">
        <v>816</v>
      </c>
      <c r="N339" t="s">
        <v>821</v>
      </c>
      <c r="O339" t="s">
        <v>825</v>
      </c>
      <c r="P339" t="s">
        <v>833</v>
      </c>
      <c r="Q339">
        <v>10458</v>
      </c>
      <c r="S339" t="s">
        <v>861</v>
      </c>
      <c r="T339" t="s">
        <v>1163</v>
      </c>
      <c r="U339" t="s">
        <v>1564</v>
      </c>
      <c r="V339" t="s">
        <v>1678</v>
      </c>
      <c r="W339" t="s">
        <v>1684</v>
      </c>
      <c r="X339">
        <v>2.6</v>
      </c>
      <c r="Y339">
        <v>0</v>
      </c>
      <c r="Z339">
        <v>1</v>
      </c>
      <c r="AA339" t="s">
        <v>1692</v>
      </c>
      <c r="AB339" t="s">
        <v>2023</v>
      </c>
      <c r="AC339">
        <v>25</v>
      </c>
      <c r="AD339" t="s">
        <v>2268</v>
      </c>
      <c r="AH339" t="s">
        <v>2457</v>
      </c>
      <c r="AI339" t="s">
        <v>581</v>
      </c>
      <c r="AJ339" t="s">
        <v>2511</v>
      </c>
      <c r="AK339" t="s">
        <v>2514</v>
      </c>
      <c r="AL339" t="s">
        <v>2520</v>
      </c>
      <c r="AM339" t="s">
        <v>2523</v>
      </c>
      <c r="AR339">
        <v>1842608</v>
      </c>
    </row>
    <row r="340" spans="1:44">
      <c r="A340" s="1">
        <f>HYPERLINK("https://lsnyc.legalserver.org/matter/dynamic-profile/view/1883977","18-1883977")</f>
        <v>0</v>
      </c>
      <c r="B340" t="s">
        <v>381</v>
      </c>
      <c r="C340" t="s">
        <v>537</v>
      </c>
      <c r="D340" t="s">
        <v>552</v>
      </c>
      <c r="E340" t="s">
        <v>568</v>
      </c>
      <c r="F340" t="s">
        <v>581</v>
      </c>
      <c r="G340" t="s">
        <v>581</v>
      </c>
      <c r="H340">
        <v>192.75</v>
      </c>
      <c r="I340" t="s">
        <v>708</v>
      </c>
      <c r="J340" t="s">
        <v>641</v>
      </c>
      <c r="K340" t="s">
        <v>582</v>
      </c>
      <c r="L340" t="s">
        <v>816</v>
      </c>
      <c r="N340" t="s">
        <v>820</v>
      </c>
      <c r="O340" t="s">
        <v>825</v>
      </c>
      <c r="P340" t="s">
        <v>828</v>
      </c>
      <c r="Q340">
        <v>10594</v>
      </c>
      <c r="S340" t="s">
        <v>861</v>
      </c>
      <c r="T340" t="s">
        <v>1164</v>
      </c>
      <c r="U340" t="s">
        <v>1565</v>
      </c>
      <c r="V340" t="s">
        <v>1678</v>
      </c>
      <c r="W340" t="s">
        <v>1684</v>
      </c>
      <c r="X340">
        <v>4.25</v>
      </c>
      <c r="Y340">
        <v>0</v>
      </c>
      <c r="Z340">
        <v>1</v>
      </c>
      <c r="AA340" t="s">
        <v>1692</v>
      </c>
      <c r="AB340" t="s">
        <v>2024</v>
      </c>
      <c r="AC340">
        <v>24</v>
      </c>
      <c r="AD340" t="s">
        <v>2198</v>
      </c>
      <c r="AH340" t="s">
        <v>2458</v>
      </c>
      <c r="AI340" t="s">
        <v>581</v>
      </c>
      <c r="AJ340" t="s">
        <v>2511</v>
      </c>
      <c r="AK340" t="s">
        <v>2514</v>
      </c>
      <c r="AM340" t="s">
        <v>2523</v>
      </c>
      <c r="AR340">
        <v>1884602</v>
      </c>
    </row>
    <row r="341" spans="1:44">
      <c r="A341" s="1">
        <f>HYPERLINK("https://lsnyc.legalserver.org/matter/dynamic-profile/view/1883939","18-1883939")</f>
        <v>0</v>
      </c>
      <c r="B341" t="s">
        <v>382</v>
      </c>
      <c r="C341" t="s">
        <v>537</v>
      </c>
      <c r="D341" t="s">
        <v>545</v>
      </c>
      <c r="E341" t="s">
        <v>568</v>
      </c>
      <c r="F341" t="s">
        <v>581</v>
      </c>
      <c r="G341" t="s">
        <v>581</v>
      </c>
      <c r="H341">
        <v>0</v>
      </c>
      <c r="I341" t="s">
        <v>708</v>
      </c>
      <c r="J341" t="s">
        <v>640</v>
      </c>
      <c r="K341" t="s">
        <v>582</v>
      </c>
      <c r="L341" t="s">
        <v>816</v>
      </c>
      <c r="N341" t="s">
        <v>820</v>
      </c>
      <c r="O341" t="s">
        <v>825</v>
      </c>
      <c r="P341" t="s">
        <v>828</v>
      </c>
      <c r="Q341">
        <v>11368</v>
      </c>
      <c r="S341" t="s">
        <v>861</v>
      </c>
      <c r="T341" t="s">
        <v>1165</v>
      </c>
      <c r="U341" t="s">
        <v>1511</v>
      </c>
      <c r="V341" t="s">
        <v>1678</v>
      </c>
      <c r="W341" t="s">
        <v>1684</v>
      </c>
      <c r="X341">
        <v>8.5</v>
      </c>
      <c r="Y341">
        <v>0</v>
      </c>
      <c r="Z341">
        <v>1</v>
      </c>
      <c r="AA341" t="s">
        <v>1692</v>
      </c>
      <c r="AB341" t="s">
        <v>2025</v>
      </c>
      <c r="AC341">
        <v>43</v>
      </c>
      <c r="AD341" t="s">
        <v>2171</v>
      </c>
      <c r="AH341" t="s">
        <v>2459</v>
      </c>
      <c r="AI341" t="s">
        <v>581</v>
      </c>
      <c r="AJ341" t="s">
        <v>2511</v>
      </c>
      <c r="AK341" t="s">
        <v>2514</v>
      </c>
      <c r="AM341" t="s">
        <v>2523</v>
      </c>
      <c r="AR341">
        <v>1884564</v>
      </c>
    </row>
    <row r="342" spans="1:44">
      <c r="A342" s="1">
        <f>HYPERLINK("https://lsnyc.legalserver.org/matter/dynamic-profile/view/1883874","18-1883874")</f>
        <v>0</v>
      </c>
      <c r="B342" t="s">
        <v>383</v>
      </c>
      <c r="C342" t="s">
        <v>535</v>
      </c>
      <c r="D342" t="s">
        <v>541</v>
      </c>
      <c r="E342" t="s">
        <v>563</v>
      </c>
      <c r="F342" t="s">
        <v>580</v>
      </c>
      <c r="G342" t="s">
        <v>581</v>
      </c>
      <c r="H342">
        <v>72.90000000000001</v>
      </c>
      <c r="I342" t="s">
        <v>709</v>
      </c>
      <c r="J342" t="s">
        <v>606</v>
      </c>
      <c r="K342" t="s">
        <v>581</v>
      </c>
      <c r="L342" t="s">
        <v>816</v>
      </c>
      <c r="N342" t="s">
        <v>821</v>
      </c>
      <c r="O342" t="s">
        <v>825</v>
      </c>
      <c r="P342" t="s">
        <v>833</v>
      </c>
      <c r="Q342">
        <v>10027</v>
      </c>
      <c r="R342" t="s">
        <v>841</v>
      </c>
      <c r="S342" t="s">
        <v>861</v>
      </c>
      <c r="T342" t="s">
        <v>1166</v>
      </c>
      <c r="U342" t="s">
        <v>1566</v>
      </c>
      <c r="V342" t="s">
        <v>1679</v>
      </c>
      <c r="W342" t="s">
        <v>1686</v>
      </c>
      <c r="X342">
        <v>9.199999999999999</v>
      </c>
      <c r="Y342">
        <v>0</v>
      </c>
      <c r="Z342">
        <v>2</v>
      </c>
      <c r="AA342" t="s">
        <v>1692</v>
      </c>
      <c r="AB342" t="s">
        <v>2026</v>
      </c>
      <c r="AC342">
        <v>51</v>
      </c>
      <c r="AD342" t="s">
        <v>2173</v>
      </c>
      <c r="AH342" t="s">
        <v>2460</v>
      </c>
      <c r="AI342" t="s">
        <v>582</v>
      </c>
      <c r="AJ342" t="s">
        <v>2512</v>
      </c>
      <c r="AK342" t="s">
        <v>2514</v>
      </c>
      <c r="AL342" t="s">
        <v>2519</v>
      </c>
      <c r="AM342" t="s">
        <v>2522</v>
      </c>
      <c r="AP342" t="s">
        <v>581</v>
      </c>
      <c r="AR342">
        <v>800825</v>
      </c>
    </row>
    <row r="343" spans="1:44">
      <c r="A343" s="1">
        <f>HYPERLINK("https://lsnyc.legalserver.org/matter/dynamic-profile/view/1883903","18-1883903")</f>
        <v>0</v>
      </c>
      <c r="B343" t="s">
        <v>384</v>
      </c>
      <c r="C343" t="s">
        <v>536</v>
      </c>
      <c r="D343" t="s">
        <v>544</v>
      </c>
      <c r="E343" t="s">
        <v>566</v>
      </c>
      <c r="F343" t="s">
        <v>580</v>
      </c>
      <c r="G343" t="s">
        <v>581</v>
      </c>
      <c r="H343">
        <v>0</v>
      </c>
      <c r="I343" t="s">
        <v>709</v>
      </c>
      <c r="J343" t="s">
        <v>786</v>
      </c>
      <c r="K343" t="s">
        <v>582</v>
      </c>
      <c r="L343" t="s">
        <v>816</v>
      </c>
      <c r="N343" t="s">
        <v>821</v>
      </c>
      <c r="O343" t="s">
        <v>824</v>
      </c>
      <c r="P343" t="s">
        <v>833</v>
      </c>
      <c r="Q343">
        <v>11225</v>
      </c>
      <c r="S343" t="s">
        <v>861</v>
      </c>
      <c r="T343" t="s">
        <v>1167</v>
      </c>
      <c r="U343" t="s">
        <v>1567</v>
      </c>
      <c r="V343" t="s">
        <v>1678</v>
      </c>
      <c r="W343" t="s">
        <v>1684</v>
      </c>
      <c r="X343">
        <v>0.85</v>
      </c>
      <c r="Y343">
        <v>0</v>
      </c>
      <c r="Z343">
        <v>1</v>
      </c>
      <c r="AA343" t="s">
        <v>1692</v>
      </c>
      <c r="AB343" t="s">
        <v>2027</v>
      </c>
      <c r="AC343">
        <v>48</v>
      </c>
      <c r="AD343" t="s">
        <v>2171</v>
      </c>
      <c r="AI343" t="s">
        <v>581</v>
      </c>
      <c r="AM343" t="s">
        <v>2523</v>
      </c>
      <c r="AR343">
        <v>1883172</v>
      </c>
    </row>
    <row r="344" spans="1:44">
      <c r="A344" s="1">
        <f>HYPERLINK("https://lsnyc.legalserver.org/matter/dynamic-profile/view/1883735","18-1883735")</f>
        <v>0</v>
      </c>
      <c r="B344" t="s">
        <v>385</v>
      </c>
      <c r="C344" t="s">
        <v>535</v>
      </c>
      <c r="D344" t="s">
        <v>541</v>
      </c>
      <c r="E344" t="s">
        <v>563</v>
      </c>
      <c r="F344" t="s">
        <v>580</v>
      </c>
      <c r="G344" t="s">
        <v>581</v>
      </c>
      <c r="H344">
        <v>0</v>
      </c>
      <c r="I344" t="s">
        <v>710</v>
      </c>
      <c r="J344" t="s">
        <v>708</v>
      </c>
      <c r="K344" t="s">
        <v>582</v>
      </c>
      <c r="L344" t="s">
        <v>816</v>
      </c>
      <c r="N344" t="s">
        <v>820</v>
      </c>
      <c r="O344" t="s">
        <v>825</v>
      </c>
      <c r="P344" t="s">
        <v>828</v>
      </c>
      <c r="Q344">
        <v>10032</v>
      </c>
      <c r="S344" t="s">
        <v>861</v>
      </c>
      <c r="T344" t="s">
        <v>1168</v>
      </c>
      <c r="U344" t="s">
        <v>1568</v>
      </c>
      <c r="V344" t="s">
        <v>1678</v>
      </c>
      <c r="W344" t="s">
        <v>1684</v>
      </c>
      <c r="X344">
        <v>2.25</v>
      </c>
      <c r="Y344">
        <v>0</v>
      </c>
      <c r="Z344">
        <v>1</v>
      </c>
      <c r="AA344" t="s">
        <v>1692</v>
      </c>
      <c r="AB344" t="s">
        <v>2028</v>
      </c>
      <c r="AC344">
        <v>25</v>
      </c>
      <c r="AD344" t="s">
        <v>2171</v>
      </c>
      <c r="AI344" t="s">
        <v>581</v>
      </c>
      <c r="AK344" t="s">
        <v>2514</v>
      </c>
      <c r="AL344" t="s">
        <v>2520</v>
      </c>
      <c r="AM344" t="s">
        <v>2523</v>
      </c>
      <c r="AR344">
        <v>1884360</v>
      </c>
    </row>
    <row r="345" spans="1:44">
      <c r="A345" s="1">
        <f>HYPERLINK("https://lsnyc.legalserver.org/matter/dynamic-profile/view/1883726","18-1883726")</f>
        <v>0</v>
      </c>
      <c r="B345" t="s">
        <v>386</v>
      </c>
      <c r="C345" t="s">
        <v>535</v>
      </c>
      <c r="D345" t="s">
        <v>543</v>
      </c>
      <c r="E345" t="s">
        <v>561</v>
      </c>
      <c r="F345" t="s">
        <v>581</v>
      </c>
      <c r="G345" t="s">
        <v>581</v>
      </c>
      <c r="H345">
        <v>0</v>
      </c>
      <c r="I345" t="s">
        <v>710</v>
      </c>
      <c r="J345" t="s">
        <v>698</v>
      </c>
      <c r="K345" t="s">
        <v>582</v>
      </c>
      <c r="L345" t="s">
        <v>816</v>
      </c>
      <c r="N345" t="s">
        <v>820</v>
      </c>
      <c r="O345" t="s">
        <v>825</v>
      </c>
      <c r="P345" t="s">
        <v>828</v>
      </c>
      <c r="Q345">
        <v>10458</v>
      </c>
      <c r="R345" t="s">
        <v>835</v>
      </c>
      <c r="S345" t="s">
        <v>861</v>
      </c>
      <c r="T345" t="s">
        <v>1169</v>
      </c>
      <c r="U345" t="s">
        <v>1569</v>
      </c>
      <c r="V345" t="s">
        <v>1678</v>
      </c>
      <c r="W345" t="s">
        <v>1684</v>
      </c>
      <c r="X345">
        <v>4.91</v>
      </c>
      <c r="Y345">
        <v>0</v>
      </c>
      <c r="Z345">
        <v>1</v>
      </c>
      <c r="AA345" t="s">
        <v>1692</v>
      </c>
      <c r="AB345" t="s">
        <v>2029</v>
      </c>
      <c r="AC345">
        <v>72</v>
      </c>
      <c r="AD345" t="s">
        <v>2171</v>
      </c>
      <c r="AH345" t="s">
        <v>2450</v>
      </c>
      <c r="AI345" t="s">
        <v>581</v>
      </c>
      <c r="AJ345" t="s">
        <v>2513</v>
      </c>
      <c r="AK345" t="s">
        <v>2514</v>
      </c>
      <c r="AL345" t="s">
        <v>2520</v>
      </c>
      <c r="AM345" t="s">
        <v>2523</v>
      </c>
      <c r="AR345">
        <v>1884351</v>
      </c>
    </row>
    <row r="346" spans="1:44">
      <c r="A346" s="1">
        <f>HYPERLINK("https://lsnyc.legalserver.org/matter/dynamic-profile/view/1883714","18-1883714")</f>
        <v>0</v>
      </c>
      <c r="B346" t="s">
        <v>387</v>
      </c>
      <c r="C346" t="s">
        <v>536</v>
      </c>
      <c r="D346" t="s">
        <v>544</v>
      </c>
      <c r="E346" t="s">
        <v>569</v>
      </c>
      <c r="F346" t="s">
        <v>581</v>
      </c>
      <c r="G346" t="s">
        <v>581</v>
      </c>
      <c r="H346">
        <v>30.41</v>
      </c>
      <c r="I346" t="s">
        <v>710</v>
      </c>
      <c r="J346" t="s">
        <v>626</v>
      </c>
      <c r="K346" t="s">
        <v>582</v>
      </c>
      <c r="L346" t="s">
        <v>816</v>
      </c>
      <c r="N346" t="s">
        <v>820</v>
      </c>
      <c r="O346" t="s">
        <v>825</v>
      </c>
      <c r="P346" t="s">
        <v>828</v>
      </c>
      <c r="Q346">
        <v>11213</v>
      </c>
      <c r="R346" t="s">
        <v>835</v>
      </c>
      <c r="S346" t="s">
        <v>861</v>
      </c>
      <c r="T346" t="s">
        <v>1170</v>
      </c>
      <c r="U346" t="s">
        <v>1570</v>
      </c>
      <c r="V346" t="s">
        <v>1678</v>
      </c>
      <c r="W346" t="s">
        <v>1684</v>
      </c>
      <c r="X346">
        <v>3.1</v>
      </c>
      <c r="Y346">
        <v>0</v>
      </c>
      <c r="Z346">
        <v>1</v>
      </c>
      <c r="AA346" t="s">
        <v>1692</v>
      </c>
      <c r="AB346" t="s">
        <v>2030</v>
      </c>
      <c r="AC346">
        <v>30</v>
      </c>
      <c r="AD346" t="s">
        <v>2297</v>
      </c>
      <c r="AH346" t="s">
        <v>2459</v>
      </c>
      <c r="AK346" t="s">
        <v>2514</v>
      </c>
      <c r="AM346" t="s">
        <v>2523</v>
      </c>
      <c r="AR346">
        <v>1884339</v>
      </c>
    </row>
    <row r="347" spans="1:44">
      <c r="A347" s="1">
        <f>HYPERLINK("https://lsnyc.legalserver.org/matter/dynamic-profile/view/1883641","18-1883641")</f>
        <v>0</v>
      </c>
      <c r="B347" t="s">
        <v>388</v>
      </c>
      <c r="C347" t="s">
        <v>536</v>
      </c>
      <c r="D347" t="s">
        <v>544</v>
      </c>
      <c r="E347" t="s">
        <v>566</v>
      </c>
      <c r="F347" t="s">
        <v>580</v>
      </c>
      <c r="G347" t="s">
        <v>581</v>
      </c>
      <c r="H347">
        <v>0</v>
      </c>
      <c r="I347" t="s">
        <v>711</v>
      </c>
      <c r="J347" t="s">
        <v>678</v>
      </c>
      <c r="K347" t="s">
        <v>582</v>
      </c>
      <c r="L347" t="s">
        <v>816</v>
      </c>
      <c r="N347" t="s">
        <v>820</v>
      </c>
      <c r="O347" t="s">
        <v>824</v>
      </c>
      <c r="P347" t="s">
        <v>828</v>
      </c>
      <c r="Q347">
        <v>11222</v>
      </c>
      <c r="S347" t="s">
        <v>861</v>
      </c>
      <c r="T347" t="s">
        <v>1171</v>
      </c>
      <c r="U347" t="s">
        <v>1571</v>
      </c>
      <c r="V347" t="s">
        <v>1678</v>
      </c>
      <c r="W347" t="s">
        <v>1684</v>
      </c>
      <c r="X347">
        <v>0.85</v>
      </c>
      <c r="Y347">
        <v>0</v>
      </c>
      <c r="Z347">
        <v>1</v>
      </c>
      <c r="AA347" t="s">
        <v>1692</v>
      </c>
      <c r="AB347" t="s">
        <v>2031</v>
      </c>
      <c r="AC347">
        <v>36</v>
      </c>
      <c r="AD347" t="s">
        <v>2171</v>
      </c>
      <c r="AM347" t="s">
        <v>2523</v>
      </c>
      <c r="AR347">
        <v>1884266</v>
      </c>
    </row>
    <row r="348" spans="1:44">
      <c r="A348" s="1">
        <f>HYPERLINK("https://lsnyc.legalserver.org/matter/dynamic-profile/view/1883602","18-1883602")</f>
        <v>0</v>
      </c>
      <c r="B348" t="s">
        <v>389</v>
      </c>
      <c r="C348" t="s">
        <v>537</v>
      </c>
      <c r="D348" t="s">
        <v>545</v>
      </c>
      <c r="E348" t="s">
        <v>568</v>
      </c>
      <c r="F348" t="s">
        <v>581</v>
      </c>
      <c r="G348" t="s">
        <v>581</v>
      </c>
      <c r="H348">
        <v>54.68</v>
      </c>
      <c r="I348" t="s">
        <v>711</v>
      </c>
      <c r="J348" t="s">
        <v>641</v>
      </c>
      <c r="K348" t="s">
        <v>582</v>
      </c>
      <c r="L348" t="s">
        <v>816</v>
      </c>
      <c r="N348" t="s">
        <v>820</v>
      </c>
      <c r="O348" t="s">
        <v>825</v>
      </c>
      <c r="P348" t="s">
        <v>828</v>
      </c>
      <c r="Q348">
        <v>11101</v>
      </c>
      <c r="S348" t="s">
        <v>861</v>
      </c>
      <c r="T348" t="s">
        <v>1172</v>
      </c>
      <c r="U348" t="s">
        <v>1572</v>
      </c>
      <c r="V348" t="s">
        <v>1678</v>
      </c>
      <c r="W348" t="s">
        <v>1684</v>
      </c>
      <c r="X348">
        <v>3.74</v>
      </c>
      <c r="Y348">
        <v>0</v>
      </c>
      <c r="Z348">
        <v>2</v>
      </c>
      <c r="AA348" t="s">
        <v>1692</v>
      </c>
      <c r="AB348" t="s">
        <v>2032</v>
      </c>
      <c r="AC348">
        <v>49</v>
      </c>
      <c r="AD348" t="s">
        <v>2254</v>
      </c>
      <c r="AH348" t="s">
        <v>2461</v>
      </c>
      <c r="AI348" t="s">
        <v>581</v>
      </c>
      <c r="AJ348" t="s">
        <v>2511</v>
      </c>
      <c r="AK348" t="s">
        <v>2514</v>
      </c>
      <c r="AM348" t="s">
        <v>2523</v>
      </c>
      <c r="AR348">
        <v>1884227</v>
      </c>
    </row>
    <row r="349" spans="1:44">
      <c r="A349" s="1">
        <f>HYPERLINK("https://lsnyc.legalserver.org/matter/dynamic-profile/view/1883629","18-1883629")</f>
        <v>0</v>
      </c>
      <c r="B349" t="s">
        <v>390</v>
      </c>
      <c r="C349" t="s">
        <v>536</v>
      </c>
      <c r="D349" t="s">
        <v>544</v>
      </c>
      <c r="E349" t="s">
        <v>562</v>
      </c>
      <c r="F349" t="s">
        <v>580</v>
      </c>
      <c r="G349" t="s">
        <v>581</v>
      </c>
      <c r="H349">
        <v>98.84999999999999</v>
      </c>
      <c r="I349" t="s">
        <v>711</v>
      </c>
      <c r="K349" t="s">
        <v>581</v>
      </c>
      <c r="L349" t="s">
        <v>816</v>
      </c>
      <c r="N349" t="s">
        <v>821</v>
      </c>
      <c r="O349" t="s">
        <v>824</v>
      </c>
      <c r="P349" t="s">
        <v>830</v>
      </c>
      <c r="Q349">
        <v>11233</v>
      </c>
      <c r="S349" t="s">
        <v>861</v>
      </c>
      <c r="T349" t="s">
        <v>1173</v>
      </c>
      <c r="U349" t="s">
        <v>1573</v>
      </c>
      <c r="W349" t="s">
        <v>1687</v>
      </c>
      <c r="X349">
        <v>14.25</v>
      </c>
      <c r="Y349">
        <v>0</v>
      </c>
      <c r="Z349">
        <v>1</v>
      </c>
      <c r="AA349" t="s">
        <v>1691</v>
      </c>
      <c r="AB349" t="s">
        <v>2033</v>
      </c>
      <c r="AC349">
        <v>31</v>
      </c>
      <c r="AD349" t="s">
        <v>2173</v>
      </c>
      <c r="AI349" t="s">
        <v>582</v>
      </c>
      <c r="AJ349" t="s">
        <v>2512</v>
      </c>
      <c r="AL349" t="s">
        <v>2519</v>
      </c>
      <c r="AM349" t="s">
        <v>2522</v>
      </c>
      <c r="AR349">
        <v>1884254</v>
      </c>
    </row>
    <row r="350" spans="1:44">
      <c r="A350" s="1">
        <f>HYPERLINK("https://lsnyc.legalserver.org/matter/dynamic-profile/view/1883455","18-1883455")</f>
        <v>0</v>
      </c>
      <c r="B350" t="s">
        <v>391</v>
      </c>
      <c r="C350" t="s">
        <v>535</v>
      </c>
      <c r="D350" t="s">
        <v>558</v>
      </c>
      <c r="E350" t="s">
        <v>563</v>
      </c>
      <c r="F350" t="s">
        <v>580</v>
      </c>
      <c r="G350" t="s">
        <v>581</v>
      </c>
      <c r="H350">
        <v>126.03</v>
      </c>
      <c r="I350" t="s">
        <v>712</v>
      </c>
      <c r="J350" t="s">
        <v>708</v>
      </c>
      <c r="K350" t="s">
        <v>581</v>
      </c>
      <c r="L350" t="s">
        <v>816</v>
      </c>
      <c r="N350" t="s">
        <v>821</v>
      </c>
      <c r="O350" t="s">
        <v>825</v>
      </c>
      <c r="P350" t="s">
        <v>829</v>
      </c>
      <c r="Q350">
        <v>19151</v>
      </c>
      <c r="R350" t="s">
        <v>849</v>
      </c>
      <c r="S350" t="s">
        <v>861</v>
      </c>
      <c r="T350" t="s">
        <v>1174</v>
      </c>
      <c r="U350" t="s">
        <v>1574</v>
      </c>
      <c r="V350" t="s">
        <v>1678</v>
      </c>
      <c r="X350">
        <v>2.35</v>
      </c>
      <c r="Y350">
        <v>0</v>
      </c>
      <c r="Z350">
        <v>1</v>
      </c>
      <c r="AA350" t="s">
        <v>1692</v>
      </c>
      <c r="AB350" t="s">
        <v>2034</v>
      </c>
      <c r="AC350">
        <v>65</v>
      </c>
      <c r="AD350" t="s">
        <v>2298</v>
      </c>
      <c r="AJ350" t="s">
        <v>2511</v>
      </c>
      <c r="AM350" t="s">
        <v>2523</v>
      </c>
      <c r="AR350">
        <v>1884080</v>
      </c>
    </row>
    <row r="351" spans="1:44">
      <c r="A351" s="1">
        <f>HYPERLINK("https://lsnyc.legalserver.org/matter/dynamic-profile/view/1883477","18-1883477")</f>
        <v>0</v>
      </c>
      <c r="B351" t="s">
        <v>392</v>
      </c>
      <c r="C351" t="s">
        <v>535</v>
      </c>
      <c r="D351" t="s">
        <v>557</v>
      </c>
      <c r="E351" t="s">
        <v>563</v>
      </c>
      <c r="F351" t="s">
        <v>580</v>
      </c>
      <c r="G351" t="s">
        <v>581</v>
      </c>
      <c r="H351">
        <v>150.14</v>
      </c>
      <c r="I351" t="s">
        <v>712</v>
      </c>
      <c r="J351" t="s">
        <v>704</v>
      </c>
      <c r="K351" t="s">
        <v>582</v>
      </c>
      <c r="L351" t="s">
        <v>816</v>
      </c>
      <c r="N351" t="s">
        <v>821</v>
      </c>
      <c r="O351" t="s">
        <v>825</v>
      </c>
      <c r="P351" t="s">
        <v>833</v>
      </c>
      <c r="Q351">
        <v>7003</v>
      </c>
      <c r="S351" t="s">
        <v>863</v>
      </c>
      <c r="T351" t="s">
        <v>1175</v>
      </c>
      <c r="U351" t="s">
        <v>1575</v>
      </c>
      <c r="V351" t="s">
        <v>1678</v>
      </c>
      <c r="W351" t="s">
        <v>1684</v>
      </c>
      <c r="X351">
        <v>1.35</v>
      </c>
      <c r="Y351">
        <v>2</v>
      </c>
      <c r="Z351">
        <v>1</v>
      </c>
      <c r="AA351" t="s">
        <v>1692</v>
      </c>
      <c r="AB351" t="s">
        <v>2035</v>
      </c>
      <c r="AC351">
        <v>47</v>
      </c>
      <c r="AD351" t="s">
        <v>2299</v>
      </c>
      <c r="AH351" t="s">
        <v>2462</v>
      </c>
      <c r="AJ351" t="s">
        <v>2511</v>
      </c>
      <c r="AK351" t="s">
        <v>2514</v>
      </c>
      <c r="AM351" t="s">
        <v>2523</v>
      </c>
      <c r="AR351">
        <v>1884102</v>
      </c>
    </row>
    <row r="352" spans="1:44">
      <c r="A352" s="1">
        <f>HYPERLINK("https://lsnyc.legalserver.org/matter/dynamic-profile/view/1883462","18-1883462")</f>
        <v>0</v>
      </c>
      <c r="B352" t="s">
        <v>393</v>
      </c>
      <c r="C352" t="s">
        <v>540</v>
      </c>
      <c r="D352" t="s">
        <v>543</v>
      </c>
      <c r="E352" t="s">
        <v>573</v>
      </c>
      <c r="F352" t="s">
        <v>581</v>
      </c>
      <c r="G352" t="s">
        <v>581</v>
      </c>
      <c r="H352">
        <v>128.5</v>
      </c>
      <c r="I352" t="s">
        <v>712</v>
      </c>
      <c r="J352" t="s">
        <v>699</v>
      </c>
      <c r="K352" t="s">
        <v>582</v>
      </c>
      <c r="L352" t="s">
        <v>816</v>
      </c>
      <c r="N352" t="s">
        <v>821</v>
      </c>
      <c r="O352" t="s">
        <v>824</v>
      </c>
      <c r="P352" t="s">
        <v>832</v>
      </c>
      <c r="Q352">
        <v>10469</v>
      </c>
      <c r="S352" t="s">
        <v>861</v>
      </c>
      <c r="T352" t="s">
        <v>1176</v>
      </c>
      <c r="U352" t="s">
        <v>1396</v>
      </c>
      <c r="V352" t="s">
        <v>1678</v>
      </c>
      <c r="X352">
        <v>2.65</v>
      </c>
      <c r="Y352">
        <v>0</v>
      </c>
      <c r="Z352">
        <v>1</v>
      </c>
      <c r="AA352" t="s">
        <v>1692</v>
      </c>
      <c r="AB352" t="s">
        <v>2036</v>
      </c>
      <c r="AC352">
        <v>57</v>
      </c>
      <c r="AD352" t="s">
        <v>2268</v>
      </c>
      <c r="AI352" t="s">
        <v>581</v>
      </c>
      <c r="AM352" t="s">
        <v>2523</v>
      </c>
      <c r="AR352">
        <v>1884087</v>
      </c>
    </row>
    <row r="353" spans="1:44">
      <c r="A353" s="1">
        <f>HYPERLINK("https://lsnyc.legalserver.org/matter/dynamic-profile/view/1883549","18-1883549")</f>
        <v>0</v>
      </c>
      <c r="B353" t="s">
        <v>394</v>
      </c>
      <c r="C353" t="s">
        <v>536</v>
      </c>
      <c r="D353" t="s">
        <v>542</v>
      </c>
      <c r="E353" t="s">
        <v>564</v>
      </c>
      <c r="F353" t="s">
        <v>580</v>
      </c>
      <c r="G353" t="s">
        <v>581</v>
      </c>
      <c r="H353">
        <v>97.20999999999999</v>
      </c>
      <c r="I353" t="s">
        <v>712</v>
      </c>
      <c r="J353" t="s">
        <v>690</v>
      </c>
      <c r="K353" t="s">
        <v>581</v>
      </c>
      <c r="L353" t="s">
        <v>816</v>
      </c>
      <c r="N353" t="s">
        <v>821</v>
      </c>
      <c r="O353" t="s">
        <v>825</v>
      </c>
      <c r="P353" t="s">
        <v>832</v>
      </c>
      <c r="Q353">
        <v>10303</v>
      </c>
      <c r="S353" t="s">
        <v>867</v>
      </c>
      <c r="T353" t="s">
        <v>1177</v>
      </c>
      <c r="U353" t="s">
        <v>1576</v>
      </c>
      <c r="V353" t="s">
        <v>1678</v>
      </c>
      <c r="W353" t="s">
        <v>1684</v>
      </c>
      <c r="X353">
        <v>9.199999999999999</v>
      </c>
      <c r="Y353">
        <v>3</v>
      </c>
      <c r="Z353">
        <v>2</v>
      </c>
      <c r="AA353" t="s">
        <v>1692</v>
      </c>
      <c r="AB353" t="s">
        <v>2037</v>
      </c>
      <c r="AC353">
        <v>34</v>
      </c>
      <c r="AD353" t="s">
        <v>2287</v>
      </c>
      <c r="AH353" t="s">
        <v>2441</v>
      </c>
      <c r="AK353" t="s">
        <v>2514</v>
      </c>
      <c r="AM353" t="s">
        <v>2523</v>
      </c>
      <c r="AR353">
        <v>1884174</v>
      </c>
    </row>
    <row r="354" spans="1:44">
      <c r="A354" s="1">
        <f>HYPERLINK("https://lsnyc.legalserver.org/matter/dynamic-profile/view/1883298","18-1883298")</f>
        <v>0</v>
      </c>
      <c r="B354" t="s">
        <v>395</v>
      </c>
      <c r="C354" t="s">
        <v>535</v>
      </c>
      <c r="D354" t="s">
        <v>541</v>
      </c>
      <c r="E354" t="s">
        <v>563</v>
      </c>
      <c r="F354" t="s">
        <v>580</v>
      </c>
      <c r="G354" t="s">
        <v>581</v>
      </c>
      <c r="H354">
        <v>0</v>
      </c>
      <c r="I354" t="s">
        <v>713</v>
      </c>
      <c r="J354" t="s">
        <v>709</v>
      </c>
      <c r="K354" t="s">
        <v>581</v>
      </c>
      <c r="L354" t="s">
        <v>816</v>
      </c>
      <c r="N354" t="s">
        <v>821</v>
      </c>
      <c r="O354" t="s">
        <v>824</v>
      </c>
      <c r="P354" t="s">
        <v>829</v>
      </c>
      <c r="Q354">
        <v>10029</v>
      </c>
      <c r="R354" t="s">
        <v>849</v>
      </c>
      <c r="S354" t="s">
        <v>861</v>
      </c>
      <c r="T354" t="s">
        <v>1178</v>
      </c>
      <c r="U354" t="s">
        <v>1577</v>
      </c>
      <c r="V354" t="s">
        <v>1678</v>
      </c>
      <c r="W354" t="s">
        <v>1684</v>
      </c>
      <c r="X354">
        <v>2.5</v>
      </c>
      <c r="Y354">
        <v>0</v>
      </c>
      <c r="Z354">
        <v>1</v>
      </c>
      <c r="AA354" t="s">
        <v>1692</v>
      </c>
      <c r="AB354" t="s">
        <v>2038</v>
      </c>
      <c r="AC354">
        <v>33</v>
      </c>
      <c r="AD354" t="s">
        <v>2171</v>
      </c>
      <c r="AH354" t="s">
        <v>2461</v>
      </c>
      <c r="AI354" t="s">
        <v>581</v>
      </c>
      <c r="AJ354" t="s">
        <v>2511</v>
      </c>
      <c r="AK354" t="s">
        <v>2514</v>
      </c>
      <c r="AL354" t="s">
        <v>2520</v>
      </c>
      <c r="AM354" t="s">
        <v>2523</v>
      </c>
      <c r="AR354">
        <v>1883923</v>
      </c>
    </row>
    <row r="355" spans="1:44">
      <c r="A355" s="1">
        <f>HYPERLINK("https://lsnyc.legalserver.org/matter/dynamic-profile/view/1883328","18-1883328")</f>
        <v>0</v>
      </c>
      <c r="B355" t="s">
        <v>396</v>
      </c>
      <c r="C355" t="s">
        <v>535</v>
      </c>
      <c r="D355" t="s">
        <v>541</v>
      </c>
      <c r="E355" t="s">
        <v>561</v>
      </c>
      <c r="F355" t="s">
        <v>581</v>
      </c>
      <c r="G355" t="s">
        <v>581</v>
      </c>
      <c r="H355">
        <v>0</v>
      </c>
      <c r="I355" t="s">
        <v>713</v>
      </c>
      <c r="J355" t="s">
        <v>700</v>
      </c>
      <c r="K355" t="s">
        <v>582</v>
      </c>
      <c r="L355" t="s">
        <v>816</v>
      </c>
      <c r="N355" t="s">
        <v>820</v>
      </c>
      <c r="O355" t="s">
        <v>825</v>
      </c>
      <c r="P355" t="s">
        <v>828</v>
      </c>
      <c r="Q355">
        <v>10003</v>
      </c>
      <c r="R355" t="s">
        <v>835</v>
      </c>
      <c r="S355" t="s">
        <v>861</v>
      </c>
      <c r="T355" t="s">
        <v>907</v>
      </c>
      <c r="U355" t="s">
        <v>1578</v>
      </c>
      <c r="V355" t="s">
        <v>1678</v>
      </c>
      <c r="W355" t="s">
        <v>1684</v>
      </c>
      <c r="X355">
        <v>4.3</v>
      </c>
      <c r="Y355">
        <v>0</v>
      </c>
      <c r="Z355">
        <v>1</v>
      </c>
      <c r="AA355" t="s">
        <v>1692</v>
      </c>
      <c r="AB355" t="s">
        <v>2039</v>
      </c>
      <c r="AC355">
        <v>55</v>
      </c>
      <c r="AD355" t="s">
        <v>2171</v>
      </c>
      <c r="AH355" t="s">
        <v>2463</v>
      </c>
      <c r="AI355" t="s">
        <v>581</v>
      </c>
      <c r="AJ355" t="s">
        <v>2513</v>
      </c>
      <c r="AK355" t="s">
        <v>2514</v>
      </c>
      <c r="AL355" t="s">
        <v>2520</v>
      </c>
      <c r="AM355" t="s">
        <v>2523</v>
      </c>
      <c r="AR355">
        <v>1883953</v>
      </c>
    </row>
    <row r="356" spans="1:44">
      <c r="A356" s="1">
        <f>HYPERLINK("https://lsnyc.legalserver.org/matter/dynamic-profile/view/1883306","18-1883306")</f>
        <v>0</v>
      </c>
      <c r="B356" t="s">
        <v>397</v>
      </c>
      <c r="C356" t="s">
        <v>537</v>
      </c>
      <c r="D356" t="s">
        <v>543</v>
      </c>
      <c r="E356" t="s">
        <v>568</v>
      </c>
      <c r="F356" t="s">
        <v>581</v>
      </c>
      <c r="G356" t="s">
        <v>581</v>
      </c>
      <c r="H356">
        <v>62.56</v>
      </c>
      <c r="I356" t="s">
        <v>713</v>
      </c>
      <c r="J356" t="s">
        <v>629</v>
      </c>
      <c r="L356" t="s">
        <v>816</v>
      </c>
      <c r="N356" t="s">
        <v>820</v>
      </c>
      <c r="O356" t="s">
        <v>825</v>
      </c>
      <c r="P356" t="s">
        <v>828</v>
      </c>
      <c r="Q356">
        <v>10460</v>
      </c>
      <c r="T356" t="s">
        <v>1025</v>
      </c>
      <c r="U356" t="s">
        <v>1329</v>
      </c>
      <c r="V356" t="s">
        <v>1678</v>
      </c>
      <c r="W356" t="s">
        <v>1684</v>
      </c>
      <c r="X356">
        <v>4.05</v>
      </c>
      <c r="Y356">
        <v>1</v>
      </c>
      <c r="Z356">
        <v>2</v>
      </c>
      <c r="AA356" t="s">
        <v>1692</v>
      </c>
      <c r="AB356" t="s">
        <v>2040</v>
      </c>
      <c r="AC356">
        <v>27</v>
      </c>
      <c r="AD356" t="s">
        <v>2204</v>
      </c>
      <c r="AH356" t="s">
        <v>2461</v>
      </c>
      <c r="AI356" t="s">
        <v>581</v>
      </c>
      <c r="AJ356" t="s">
        <v>2513</v>
      </c>
      <c r="AK356" t="s">
        <v>2514</v>
      </c>
      <c r="AL356" t="s">
        <v>2520</v>
      </c>
      <c r="AM356" t="s">
        <v>2523</v>
      </c>
      <c r="AR356">
        <v>1883931</v>
      </c>
    </row>
    <row r="357" spans="1:44">
      <c r="A357" s="1">
        <f>HYPERLINK("https://lsnyc.legalserver.org/matter/dynamic-profile/view/1862806","18-1862806")</f>
        <v>0</v>
      </c>
      <c r="B357" t="s">
        <v>398</v>
      </c>
      <c r="C357" t="s">
        <v>536</v>
      </c>
      <c r="D357" t="s">
        <v>544</v>
      </c>
      <c r="E357" t="s">
        <v>569</v>
      </c>
      <c r="F357" t="s">
        <v>581</v>
      </c>
      <c r="G357" t="s">
        <v>581</v>
      </c>
      <c r="H357">
        <v>0</v>
      </c>
      <c r="I357" t="s">
        <v>713</v>
      </c>
      <c r="J357" t="s">
        <v>624</v>
      </c>
      <c r="K357" t="s">
        <v>581</v>
      </c>
      <c r="L357" t="s">
        <v>816</v>
      </c>
      <c r="N357" t="s">
        <v>821</v>
      </c>
      <c r="O357" t="s">
        <v>825</v>
      </c>
      <c r="P357" t="s">
        <v>830</v>
      </c>
      <c r="Q357">
        <v>11208</v>
      </c>
      <c r="R357" t="s">
        <v>855</v>
      </c>
      <c r="T357" t="s">
        <v>904</v>
      </c>
      <c r="U357" t="s">
        <v>1579</v>
      </c>
      <c r="V357" t="s">
        <v>1682</v>
      </c>
      <c r="X357">
        <v>12.35</v>
      </c>
      <c r="Y357">
        <v>0</v>
      </c>
      <c r="Z357">
        <v>1</v>
      </c>
      <c r="AA357" t="s">
        <v>1692</v>
      </c>
      <c r="AB357" t="s">
        <v>2041</v>
      </c>
      <c r="AC357">
        <v>50</v>
      </c>
      <c r="AD357" t="s">
        <v>2171</v>
      </c>
      <c r="AI357" t="s">
        <v>582</v>
      </c>
      <c r="AJ357" t="s">
        <v>2512</v>
      </c>
      <c r="AM357" t="s">
        <v>2526</v>
      </c>
      <c r="AR357">
        <v>1863385</v>
      </c>
    </row>
    <row r="358" spans="1:44">
      <c r="A358" s="1">
        <f>HYPERLINK("https://lsnyc.legalserver.org/matter/dynamic-profile/view/1883267","18-1883267")</f>
        <v>0</v>
      </c>
      <c r="B358" t="s">
        <v>399</v>
      </c>
      <c r="C358" t="s">
        <v>535</v>
      </c>
      <c r="D358" t="s">
        <v>541</v>
      </c>
      <c r="E358" t="s">
        <v>561</v>
      </c>
      <c r="F358" t="s">
        <v>580</v>
      </c>
      <c r="G358" t="s">
        <v>581</v>
      </c>
      <c r="H358">
        <v>182.26</v>
      </c>
      <c r="I358" t="s">
        <v>713</v>
      </c>
      <c r="J358" t="s">
        <v>590</v>
      </c>
      <c r="K358" t="s">
        <v>582</v>
      </c>
      <c r="L358" t="s">
        <v>816</v>
      </c>
      <c r="N358" t="s">
        <v>820</v>
      </c>
      <c r="O358" t="s">
        <v>824</v>
      </c>
      <c r="P358" t="s">
        <v>828</v>
      </c>
      <c r="Q358">
        <v>10128</v>
      </c>
      <c r="R358" t="s">
        <v>835</v>
      </c>
      <c r="S358" t="s">
        <v>861</v>
      </c>
      <c r="T358" t="s">
        <v>1179</v>
      </c>
      <c r="U358" t="s">
        <v>1580</v>
      </c>
      <c r="V358" t="s">
        <v>1678</v>
      </c>
      <c r="W358" t="s">
        <v>1684</v>
      </c>
      <c r="X358">
        <v>3.6</v>
      </c>
      <c r="Y358">
        <v>0</v>
      </c>
      <c r="Z358">
        <v>2</v>
      </c>
      <c r="AA358" t="s">
        <v>1692</v>
      </c>
      <c r="AB358" t="s">
        <v>2042</v>
      </c>
      <c r="AC358">
        <v>26</v>
      </c>
      <c r="AD358" t="s">
        <v>2193</v>
      </c>
      <c r="AH358" t="s">
        <v>2462</v>
      </c>
      <c r="AI358" t="s">
        <v>581</v>
      </c>
      <c r="AJ358" t="s">
        <v>2513</v>
      </c>
      <c r="AK358" t="s">
        <v>2514</v>
      </c>
      <c r="AL358" t="s">
        <v>2520</v>
      </c>
      <c r="AM358" t="s">
        <v>2523</v>
      </c>
      <c r="AR358">
        <v>1883892</v>
      </c>
    </row>
    <row r="359" spans="1:44">
      <c r="A359" s="1">
        <f>HYPERLINK("https://lsnyc.legalserver.org/matter/dynamic-profile/view/1883120","18-1883120")</f>
        <v>0</v>
      </c>
      <c r="B359" t="s">
        <v>400</v>
      </c>
      <c r="C359" t="s">
        <v>535</v>
      </c>
      <c r="D359" t="s">
        <v>541</v>
      </c>
      <c r="E359" t="s">
        <v>561</v>
      </c>
      <c r="F359" t="s">
        <v>581</v>
      </c>
      <c r="G359" t="s">
        <v>581</v>
      </c>
      <c r="H359">
        <v>0</v>
      </c>
      <c r="I359" t="s">
        <v>714</v>
      </c>
      <c r="J359" t="s">
        <v>700</v>
      </c>
      <c r="K359" t="s">
        <v>582</v>
      </c>
      <c r="L359" t="s">
        <v>816</v>
      </c>
      <c r="N359" t="s">
        <v>820</v>
      </c>
      <c r="O359" t="s">
        <v>824</v>
      </c>
      <c r="P359" t="s">
        <v>828</v>
      </c>
      <c r="Q359">
        <v>10027</v>
      </c>
      <c r="R359" t="s">
        <v>835</v>
      </c>
      <c r="S359" t="s">
        <v>861</v>
      </c>
      <c r="T359" t="s">
        <v>1180</v>
      </c>
      <c r="U359" t="s">
        <v>1581</v>
      </c>
      <c r="V359" t="s">
        <v>1678</v>
      </c>
      <c r="W359" t="s">
        <v>1684</v>
      </c>
      <c r="X359">
        <v>2.5</v>
      </c>
      <c r="Y359">
        <v>1</v>
      </c>
      <c r="Z359">
        <v>1</v>
      </c>
      <c r="AA359" t="s">
        <v>1692</v>
      </c>
      <c r="AB359" t="s">
        <v>2043</v>
      </c>
      <c r="AC359">
        <v>49</v>
      </c>
      <c r="AD359" t="s">
        <v>2171</v>
      </c>
      <c r="AH359" t="s">
        <v>2464</v>
      </c>
      <c r="AI359" t="s">
        <v>581</v>
      </c>
      <c r="AJ359" t="s">
        <v>2513</v>
      </c>
      <c r="AK359" t="s">
        <v>2514</v>
      </c>
      <c r="AL359" t="s">
        <v>2520</v>
      </c>
      <c r="AM359" t="s">
        <v>2523</v>
      </c>
      <c r="AR359">
        <v>1883745</v>
      </c>
    </row>
    <row r="360" spans="1:44">
      <c r="A360" s="1">
        <f>HYPERLINK("https://lsnyc.legalserver.org/matter/dynamic-profile/view/1883147","18-1883147")</f>
        <v>0</v>
      </c>
      <c r="B360" t="s">
        <v>401</v>
      </c>
      <c r="C360" t="s">
        <v>537</v>
      </c>
      <c r="D360" t="s">
        <v>545</v>
      </c>
      <c r="E360" t="s">
        <v>568</v>
      </c>
      <c r="F360" t="s">
        <v>581</v>
      </c>
      <c r="G360" t="s">
        <v>581</v>
      </c>
      <c r="H360">
        <v>0</v>
      </c>
      <c r="I360" t="s">
        <v>714</v>
      </c>
      <c r="J360" t="s">
        <v>629</v>
      </c>
      <c r="K360" t="s">
        <v>582</v>
      </c>
      <c r="L360" t="s">
        <v>816</v>
      </c>
      <c r="N360" t="s">
        <v>820</v>
      </c>
      <c r="O360" t="s">
        <v>825</v>
      </c>
      <c r="P360" t="s">
        <v>828</v>
      </c>
      <c r="Q360">
        <v>11419</v>
      </c>
      <c r="S360" t="s">
        <v>861</v>
      </c>
      <c r="T360" t="s">
        <v>1181</v>
      </c>
      <c r="U360" t="s">
        <v>1582</v>
      </c>
      <c r="V360" t="s">
        <v>1678</v>
      </c>
      <c r="W360" t="s">
        <v>1684</v>
      </c>
      <c r="X360">
        <v>4</v>
      </c>
      <c r="Y360">
        <v>1</v>
      </c>
      <c r="Z360">
        <v>2</v>
      </c>
      <c r="AA360" t="s">
        <v>1692</v>
      </c>
      <c r="AB360" t="s">
        <v>2044</v>
      </c>
      <c r="AC360">
        <v>51</v>
      </c>
      <c r="AD360" t="s">
        <v>2171</v>
      </c>
      <c r="AJ360" t="s">
        <v>2511</v>
      </c>
      <c r="AK360" t="s">
        <v>2514</v>
      </c>
      <c r="AM360" t="s">
        <v>2523</v>
      </c>
      <c r="AR360">
        <v>1883772</v>
      </c>
    </row>
    <row r="361" spans="1:44">
      <c r="A361" s="1">
        <f>HYPERLINK("https://lsnyc.legalserver.org/matter/dynamic-profile/view/1883044","18-1883044")</f>
        <v>0</v>
      </c>
      <c r="B361" t="s">
        <v>402</v>
      </c>
      <c r="C361" t="s">
        <v>537</v>
      </c>
      <c r="D361" t="s">
        <v>545</v>
      </c>
      <c r="E361" t="s">
        <v>568</v>
      </c>
      <c r="F361" t="s">
        <v>581</v>
      </c>
      <c r="G361" t="s">
        <v>581</v>
      </c>
      <c r="H361">
        <v>68.53</v>
      </c>
      <c r="I361" t="s">
        <v>715</v>
      </c>
      <c r="J361" t="s">
        <v>691</v>
      </c>
      <c r="K361" t="s">
        <v>582</v>
      </c>
      <c r="L361" t="s">
        <v>816</v>
      </c>
      <c r="N361" t="s">
        <v>820</v>
      </c>
      <c r="O361" t="s">
        <v>824</v>
      </c>
      <c r="P361" t="s">
        <v>828</v>
      </c>
      <c r="Q361">
        <v>11372</v>
      </c>
      <c r="S361" t="s">
        <v>861</v>
      </c>
      <c r="T361" t="s">
        <v>1182</v>
      </c>
      <c r="U361" t="s">
        <v>1583</v>
      </c>
      <c r="V361" t="s">
        <v>1678</v>
      </c>
      <c r="W361" t="s">
        <v>1684</v>
      </c>
      <c r="X361">
        <v>3.55</v>
      </c>
      <c r="Y361">
        <v>0</v>
      </c>
      <c r="Z361">
        <v>1</v>
      </c>
      <c r="AA361" t="s">
        <v>1692</v>
      </c>
      <c r="AB361" t="s">
        <v>2045</v>
      </c>
      <c r="AC361">
        <v>68</v>
      </c>
      <c r="AD361" t="s">
        <v>2300</v>
      </c>
      <c r="AH361" t="s">
        <v>2464</v>
      </c>
      <c r="AJ361" t="s">
        <v>2511</v>
      </c>
      <c r="AK361" t="s">
        <v>2514</v>
      </c>
      <c r="AL361" t="s">
        <v>2520</v>
      </c>
      <c r="AM361" t="s">
        <v>2523</v>
      </c>
      <c r="AR361">
        <v>1883669</v>
      </c>
    </row>
    <row r="362" spans="1:44">
      <c r="A362" s="1">
        <f>HYPERLINK("https://lsnyc.legalserver.org/matter/dynamic-profile/view/1883045","18-1883045")</f>
        <v>0</v>
      </c>
      <c r="B362" t="s">
        <v>403</v>
      </c>
      <c r="C362" t="s">
        <v>537</v>
      </c>
      <c r="D362" t="s">
        <v>545</v>
      </c>
      <c r="E362" t="s">
        <v>568</v>
      </c>
      <c r="F362" t="s">
        <v>581</v>
      </c>
      <c r="G362" t="s">
        <v>581</v>
      </c>
      <c r="H362">
        <v>109.03</v>
      </c>
      <c r="I362" t="s">
        <v>715</v>
      </c>
      <c r="J362" t="s">
        <v>687</v>
      </c>
      <c r="K362" t="s">
        <v>582</v>
      </c>
      <c r="L362" t="s">
        <v>816</v>
      </c>
      <c r="N362" t="s">
        <v>820</v>
      </c>
      <c r="O362" t="s">
        <v>824</v>
      </c>
      <c r="P362" t="s">
        <v>828</v>
      </c>
      <c r="Q362">
        <v>11370</v>
      </c>
      <c r="S362" t="s">
        <v>861</v>
      </c>
      <c r="T362" t="s">
        <v>1132</v>
      </c>
      <c r="U362" t="s">
        <v>1584</v>
      </c>
      <c r="V362" t="s">
        <v>1678</v>
      </c>
      <c r="W362" t="s">
        <v>1684</v>
      </c>
      <c r="X362">
        <v>9.25</v>
      </c>
      <c r="Y362">
        <v>3</v>
      </c>
      <c r="Z362">
        <v>2</v>
      </c>
      <c r="AA362" t="s">
        <v>1692</v>
      </c>
      <c r="AB362" t="s">
        <v>2046</v>
      </c>
      <c r="AC362">
        <v>32</v>
      </c>
      <c r="AD362" t="s">
        <v>2301</v>
      </c>
      <c r="AH362" t="s">
        <v>2381</v>
      </c>
      <c r="AJ362" t="s">
        <v>2511</v>
      </c>
      <c r="AK362" t="s">
        <v>2514</v>
      </c>
      <c r="AL362" t="s">
        <v>2520</v>
      </c>
      <c r="AM362" t="s">
        <v>2523</v>
      </c>
      <c r="AR362">
        <v>1883670</v>
      </c>
    </row>
    <row r="363" spans="1:44">
      <c r="A363" s="1">
        <f>HYPERLINK("https://lsnyc.legalserver.org/matter/dynamic-profile/view/1882930","18-1882930")</f>
        <v>0</v>
      </c>
      <c r="B363" t="s">
        <v>404</v>
      </c>
      <c r="C363" t="s">
        <v>535</v>
      </c>
      <c r="D363" t="s">
        <v>543</v>
      </c>
      <c r="E363" t="s">
        <v>561</v>
      </c>
      <c r="F363" t="s">
        <v>580</v>
      </c>
      <c r="G363" t="s">
        <v>581</v>
      </c>
      <c r="H363">
        <v>2.97</v>
      </c>
      <c r="I363" t="s">
        <v>715</v>
      </c>
      <c r="J363" t="s">
        <v>681</v>
      </c>
      <c r="K363" t="s">
        <v>582</v>
      </c>
      <c r="L363" t="s">
        <v>816</v>
      </c>
      <c r="N363" t="s">
        <v>820</v>
      </c>
      <c r="O363" t="s">
        <v>825</v>
      </c>
      <c r="P363" t="s">
        <v>828</v>
      </c>
      <c r="Q363">
        <v>10467</v>
      </c>
      <c r="S363" t="s">
        <v>861</v>
      </c>
      <c r="T363" t="s">
        <v>1183</v>
      </c>
      <c r="U363" t="s">
        <v>1531</v>
      </c>
      <c r="V363" t="s">
        <v>1678</v>
      </c>
      <c r="W363" t="s">
        <v>1684</v>
      </c>
      <c r="X363">
        <v>2.5</v>
      </c>
      <c r="Y363">
        <v>0</v>
      </c>
      <c r="Z363">
        <v>1</v>
      </c>
      <c r="AA363" t="s">
        <v>1692</v>
      </c>
      <c r="AB363" t="s">
        <v>2047</v>
      </c>
      <c r="AC363">
        <v>52</v>
      </c>
      <c r="AD363" t="s">
        <v>2302</v>
      </c>
      <c r="AH363" t="s">
        <v>2463</v>
      </c>
      <c r="AI363" t="s">
        <v>581</v>
      </c>
      <c r="AJ363" t="s">
        <v>2511</v>
      </c>
      <c r="AK363" t="s">
        <v>2514</v>
      </c>
      <c r="AL363" t="s">
        <v>2520</v>
      </c>
      <c r="AM363" t="s">
        <v>2523</v>
      </c>
      <c r="AR363">
        <v>1883555</v>
      </c>
    </row>
    <row r="364" spans="1:44">
      <c r="A364" s="1">
        <f>HYPERLINK("https://lsnyc.legalserver.org/matter/dynamic-profile/view/1882923","18-1882923")</f>
        <v>0</v>
      </c>
      <c r="B364" t="s">
        <v>405</v>
      </c>
      <c r="C364" t="s">
        <v>536</v>
      </c>
      <c r="D364" t="s">
        <v>544</v>
      </c>
      <c r="E364" t="s">
        <v>564</v>
      </c>
      <c r="F364" t="s">
        <v>580</v>
      </c>
      <c r="G364" t="s">
        <v>581</v>
      </c>
      <c r="H364">
        <v>108.73</v>
      </c>
      <c r="I364" t="s">
        <v>715</v>
      </c>
      <c r="J364" t="s">
        <v>632</v>
      </c>
      <c r="K364" t="s">
        <v>581</v>
      </c>
      <c r="L364" t="s">
        <v>816</v>
      </c>
      <c r="N364" t="s">
        <v>821</v>
      </c>
      <c r="O364" t="s">
        <v>825</v>
      </c>
      <c r="P364" t="s">
        <v>833</v>
      </c>
      <c r="Q364">
        <v>11226</v>
      </c>
      <c r="S364" t="s">
        <v>861</v>
      </c>
      <c r="T364" t="s">
        <v>1184</v>
      </c>
      <c r="U364" t="s">
        <v>1533</v>
      </c>
      <c r="V364" t="s">
        <v>1678</v>
      </c>
      <c r="W364" t="s">
        <v>1684</v>
      </c>
      <c r="X364">
        <v>10.55</v>
      </c>
      <c r="Y364">
        <v>0</v>
      </c>
      <c r="Z364">
        <v>1</v>
      </c>
      <c r="AA364" t="s">
        <v>1692</v>
      </c>
      <c r="AB364" t="s">
        <v>2048</v>
      </c>
      <c r="AC364">
        <v>66</v>
      </c>
      <c r="AD364" t="s">
        <v>2243</v>
      </c>
      <c r="AH364" t="s">
        <v>2465</v>
      </c>
      <c r="AJ364" t="s">
        <v>2511</v>
      </c>
      <c r="AK364" t="s">
        <v>2514</v>
      </c>
      <c r="AL364" t="s">
        <v>2520</v>
      </c>
      <c r="AM364" t="s">
        <v>2523</v>
      </c>
      <c r="AR364">
        <v>1883548</v>
      </c>
    </row>
    <row r="365" spans="1:44">
      <c r="A365" s="1">
        <f>HYPERLINK("https://lsnyc.legalserver.org/matter/dynamic-profile/view/1883013","18-1883013")</f>
        <v>0</v>
      </c>
      <c r="B365" t="s">
        <v>406</v>
      </c>
      <c r="C365" t="s">
        <v>536</v>
      </c>
      <c r="D365" t="s">
        <v>544</v>
      </c>
      <c r="E365" t="s">
        <v>569</v>
      </c>
      <c r="F365" t="s">
        <v>581</v>
      </c>
      <c r="G365" t="s">
        <v>581</v>
      </c>
      <c r="H365">
        <v>297.4</v>
      </c>
      <c r="I365" t="s">
        <v>715</v>
      </c>
      <c r="J365" t="s">
        <v>626</v>
      </c>
      <c r="K365" t="s">
        <v>581</v>
      </c>
      <c r="L365" t="s">
        <v>816</v>
      </c>
      <c r="M365" t="s">
        <v>816</v>
      </c>
      <c r="N365" t="s">
        <v>821</v>
      </c>
      <c r="O365" t="s">
        <v>825</v>
      </c>
      <c r="P365" t="s">
        <v>833</v>
      </c>
      <c r="Q365">
        <v>11236</v>
      </c>
      <c r="R365" t="s">
        <v>841</v>
      </c>
      <c r="S365" t="s">
        <v>861</v>
      </c>
      <c r="T365" t="s">
        <v>909</v>
      </c>
      <c r="U365" t="s">
        <v>1585</v>
      </c>
      <c r="V365" t="s">
        <v>1678</v>
      </c>
      <c r="W365" t="s">
        <v>1684</v>
      </c>
      <c r="X365">
        <v>5.45</v>
      </c>
      <c r="Y365">
        <v>1</v>
      </c>
      <c r="Z365">
        <v>2</v>
      </c>
      <c r="AA365" t="s">
        <v>1692</v>
      </c>
      <c r="AB365" t="s">
        <v>2049</v>
      </c>
      <c r="AC365">
        <v>49</v>
      </c>
      <c r="AD365" t="s">
        <v>2303</v>
      </c>
      <c r="AE365" t="s">
        <v>2358</v>
      </c>
      <c r="AH365" t="s">
        <v>2436</v>
      </c>
      <c r="AI365" t="s">
        <v>581</v>
      </c>
      <c r="AK365" t="s">
        <v>2514</v>
      </c>
      <c r="AM365" t="s">
        <v>2523</v>
      </c>
      <c r="AP365" t="s">
        <v>582</v>
      </c>
      <c r="AR365">
        <v>1883638</v>
      </c>
    </row>
    <row r="366" spans="1:44">
      <c r="A366" s="1">
        <f>HYPERLINK("https://lsnyc.legalserver.org/matter/dynamic-profile/view/1882845","18-1882845")</f>
        <v>0</v>
      </c>
      <c r="B366" t="s">
        <v>407</v>
      </c>
      <c r="C366" t="s">
        <v>539</v>
      </c>
      <c r="D366" t="s">
        <v>544</v>
      </c>
      <c r="E366" t="s">
        <v>571</v>
      </c>
      <c r="F366" t="s">
        <v>580</v>
      </c>
      <c r="G366" t="s">
        <v>581</v>
      </c>
      <c r="H366">
        <v>0</v>
      </c>
      <c r="I366" t="s">
        <v>716</v>
      </c>
      <c r="J366" t="s">
        <v>707</v>
      </c>
      <c r="K366" t="s">
        <v>582</v>
      </c>
      <c r="L366" t="s">
        <v>816</v>
      </c>
      <c r="M366" t="s">
        <v>816</v>
      </c>
      <c r="N366" t="s">
        <v>821</v>
      </c>
      <c r="O366" t="s">
        <v>825</v>
      </c>
      <c r="P366" t="s">
        <v>833</v>
      </c>
      <c r="Q366">
        <v>11203</v>
      </c>
      <c r="R366" t="s">
        <v>847</v>
      </c>
      <c r="S366" t="s">
        <v>861</v>
      </c>
      <c r="T366" t="s">
        <v>1003</v>
      </c>
      <c r="U366" t="s">
        <v>1586</v>
      </c>
      <c r="V366" t="s">
        <v>1678</v>
      </c>
      <c r="W366" t="s">
        <v>1684</v>
      </c>
      <c r="X366">
        <v>1.6</v>
      </c>
      <c r="Y366">
        <v>0</v>
      </c>
      <c r="Z366">
        <v>1</v>
      </c>
      <c r="AA366" t="s">
        <v>1692</v>
      </c>
      <c r="AB366" t="s">
        <v>2050</v>
      </c>
      <c r="AC366">
        <v>41</v>
      </c>
      <c r="AD366" t="s">
        <v>2171</v>
      </c>
      <c r="AH366" t="s">
        <v>2381</v>
      </c>
      <c r="AI366" t="s">
        <v>581</v>
      </c>
      <c r="AK366" t="s">
        <v>2514</v>
      </c>
      <c r="AL366" t="s">
        <v>2520</v>
      </c>
      <c r="AM366" t="s">
        <v>2523</v>
      </c>
      <c r="AR366">
        <v>1883470</v>
      </c>
    </row>
    <row r="367" spans="1:44">
      <c r="A367" s="1">
        <f>HYPERLINK("https://lsnyc.legalserver.org/matter/dynamic-profile/view/1882885","18-1882885")</f>
        <v>0</v>
      </c>
      <c r="B367" t="s">
        <v>408</v>
      </c>
      <c r="C367" t="s">
        <v>535</v>
      </c>
      <c r="D367" t="s">
        <v>542</v>
      </c>
      <c r="E367" t="s">
        <v>563</v>
      </c>
      <c r="F367" t="s">
        <v>580</v>
      </c>
      <c r="G367" t="s">
        <v>581</v>
      </c>
      <c r="H367">
        <v>0</v>
      </c>
      <c r="I367" t="s">
        <v>716</v>
      </c>
      <c r="J367" t="s">
        <v>706</v>
      </c>
      <c r="K367" t="s">
        <v>581</v>
      </c>
      <c r="L367" t="s">
        <v>816</v>
      </c>
      <c r="N367" t="s">
        <v>820</v>
      </c>
      <c r="O367" t="s">
        <v>825</v>
      </c>
      <c r="P367" t="s">
        <v>828</v>
      </c>
      <c r="Q367">
        <v>10309</v>
      </c>
      <c r="S367" t="s">
        <v>861</v>
      </c>
      <c r="T367" t="s">
        <v>1185</v>
      </c>
      <c r="U367" t="s">
        <v>1587</v>
      </c>
      <c r="V367" t="s">
        <v>1678</v>
      </c>
      <c r="W367" t="s">
        <v>1684</v>
      </c>
      <c r="X367">
        <v>2.25</v>
      </c>
      <c r="Y367">
        <v>0</v>
      </c>
      <c r="Z367">
        <v>1</v>
      </c>
      <c r="AA367" t="s">
        <v>1692</v>
      </c>
      <c r="AB367" t="s">
        <v>2051</v>
      </c>
      <c r="AC367">
        <v>65</v>
      </c>
      <c r="AD367" t="s">
        <v>2171</v>
      </c>
      <c r="AH367" t="s">
        <v>2466</v>
      </c>
      <c r="AI367" t="s">
        <v>581</v>
      </c>
      <c r="AK367" t="s">
        <v>2514</v>
      </c>
      <c r="AL367" t="s">
        <v>2520</v>
      </c>
      <c r="AM367" t="s">
        <v>2523</v>
      </c>
      <c r="AR367">
        <v>1883503</v>
      </c>
    </row>
    <row r="368" spans="1:44">
      <c r="A368" s="1">
        <f>HYPERLINK("https://lsnyc.legalserver.org/matter/dynamic-profile/view/1882785","18-1882785")</f>
        <v>0</v>
      </c>
      <c r="B368" t="s">
        <v>409</v>
      </c>
      <c r="C368" t="s">
        <v>536</v>
      </c>
      <c r="D368" t="s">
        <v>544</v>
      </c>
      <c r="E368" t="s">
        <v>566</v>
      </c>
      <c r="F368" t="s">
        <v>580</v>
      </c>
      <c r="G368" t="s">
        <v>581</v>
      </c>
      <c r="H368">
        <v>0</v>
      </c>
      <c r="I368" t="s">
        <v>716</v>
      </c>
      <c r="J368" t="s">
        <v>702</v>
      </c>
      <c r="K368" t="s">
        <v>581</v>
      </c>
      <c r="L368" t="s">
        <v>816</v>
      </c>
      <c r="N368" t="s">
        <v>821</v>
      </c>
      <c r="O368" t="s">
        <v>824</v>
      </c>
      <c r="P368" t="s">
        <v>833</v>
      </c>
      <c r="Q368">
        <v>11211</v>
      </c>
      <c r="S368" t="s">
        <v>861</v>
      </c>
      <c r="T368" t="s">
        <v>887</v>
      </c>
      <c r="U368" t="s">
        <v>1588</v>
      </c>
      <c r="V368" t="s">
        <v>1678</v>
      </c>
      <c r="W368" t="s">
        <v>1684</v>
      </c>
      <c r="X368">
        <v>2.8</v>
      </c>
      <c r="Y368">
        <v>0</v>
      </c>
      <c r="Z368">
        <v>1</v>
      </c>
      <c r="AA368" t="s">
        <v>1692</v>
      </c>
      <c r="AB368" t="s">
        <v>2052</v>
      </c>
      <c r="AC368">
        <v>50</v>
      </c>
      <c r="AD368" t="s">
        <v>2171</v>
      </c>
      <c r="AI368" t="s">
        <v>581</v>
      </c>
      <c r="AL368" t="s">
        <v>2520</v>
      </c>
      <c r="AM368" t="s">
        <v>2523</v>
      </c>
      <c r="AR368">
        <v>1883410</v>
      </c>
    </row>
    <row r="369" spans="1:44">
      <c r="A369" s="1">
        <f>HYPERLINK("https://lsnyc.legalserver.org/matter/dynamic-profile/view/1882874","18-1882874")</f>
        <v>0</v>
      </c>
      <c r="B369" t="s">
        <v>410</v>
      </c>
      <c r="C369" t="s">
        <v>539</v>
      </c>
      <c r="D369" t="s">
        <v>543</v>
      </c>
      <c r="E369" t="s">
        <v>571</v>
      </c>
      <c r="F369" t="s">
        <v>580</v>
      </c>
      <c r="G369" t="s">
        <v>581</v>
      </c>
      <c r="H369">
        <v>0</v>
      </c>
      <c r="I369" t="s">
        <v>716</v>
      </c>
      <c r="J369" t="s">
        <v>698</v>
      </c>
      <c r="K369" t="s">
        <v>581</v>
      </c>
      <c r="L369" t="s">
        <v>816</v>
      </c>
      <c r="M369" t="s">
        <v>816</v>
      </c>
      <c r="N369" t="s">
        <v>821</v>
      </c>
      <c r="O369" t="s">
        <v>825</v>
      </c>
      <c r="P369" t="s">
        <v>833</v>
      </c>
      <c r="Q369">
        <v>10462</v>
      </c>
      <c r="R369" t="s">
        <v>858</v>
      </c>
      <c r="S369" t="s">
        <v>861</v>
      </c>
      <c r="T369" t="s">
        <v>1186</v>
      </c>
      <c r="U369" t="s">
        <v>1589</v>
      </c>
      <c r="V369" t="s">
        <v>1678</v>
      </c>
      <c r="W369" t="s">
        <v>1684</v>
      </c>
      <c r="X369">
        <v>2.8</v>
      </c>
      <c r="Y369">
        <v>0</v>
      </c>
      <c r="Z369">
        <v>1</v>
      </c>
      <c r="AA369" t="s">
        <v>1692</v>
      </c>
      <c r="AB369" t="s">
        <v>2053</v>
      </c>
      <c r="AC369">
        <v>40</v>
      </c>
      <c r="AD369" t="s">
        <v>2171</v>
      </c>
      <c r="AH369" t="s">
        <v>2374</v>
      </c>
      <c r="AI369" t="s">
        <v>581</v>
      </c>
      <c r="AK369" t="s">
        <v>2514</v>
      </c>
      <c r="AL369" t="s">
        <v>2520</v>
      </c>
      <c r="AM369" t="s">
        <v>2523</v>
      </c>
      <c r="AR369">
        <v>1883499</v>
      </c>
    </row>
    <row r="370" spans="1:44">
      <c r="A370" s="1">
        <f>HYPERLINK("https://lsnyc.legalserver.org/matter/dynamic-profile/view/1882802","18-1882802")</f>
        <v>0</v>
      </c>
      <c r="B370" t="s">
        <v>411</v>
      </c>
      <c r="C370" t="s">
        <v>537</v>
      </c>
      <c r="D370" t="s">
        <v>545</v>
      </c>
      <c r="E370" t="s">
        <v>568</v>
      </c>
      <c r="F370" t="s">
        <v>581</v>
      </c>
      <c r="G370" t="s">
        <v>581</v>
      </c>
      <c r="H370">
        <v>73.15000000000001</v>
      </c>
      <c r="I370" t="s">
        <v>716</v>
      </c>
      <c r="J370" t="s">
        <v>677</v>
      </c>
      <c r="K370" t="s">
        <v>582</v>
      </c>
      <c r="L370" t="s">
        <v>816</v>
      </c>
      <c r="N370" t="s">
        <v>820</v>
      </c>
      <c r="O370" t="s">
        <v>825</v>
      </c>
      <c r="P370" t="s">
        <v>828</v>
      </c>
      <c r="Q370">
        <v>11694</v>
      </c>
      <c r="S370" t="s">
        <v>861</v>
      </c>
      <c r="T370" t="s">
        <v>1187</v>
      </c>
      <c r="U370" t="s">
        <v>1590</v>
      </c>
      <c r="V370" t="s">
        <v>1678</v>
      </c>
      <c r="W370" t="s">
        <v>1684</v>
      </c>
      <c r="X370">
        <v>6.5</v>
      </c>
      <c r="Y370">
        <v>0</v>
      </c>
      <c r="Z370">
        <v>1</v>
      </c>
      <c r="AA370" t="s">
        <v>1692</v>
      </c>
      <c r="AB370" t="s">
        <v>2054</v>
      </c>
      <c r="AC370">
        <v>61</v>
      </c>
      <c r="AD370" t="s">
        <v>2304</v>
      </c>
      <c r="AH370" t="s">
        <v>2452</v>
      </c>
      <c r="AI370" t="s">
        <v>581</v>
      </c>
      <c r="AK370" t="s">
        <v>2514</v>
      </c>
      <c r="AL370" t="s">
        <v>2520</v>
      </c>
      <c r="AM370" t="s">
        <v>2523</v>
      </c>
      <c r="AR370">
        <v>1883427</v>
      </c>
    </row>
    <row r="371" spans="1:44">
      <c r="A371" s="1">
        <f>HYPERLINK("https://lsnyc.legalserver.org/matter/dynamic-profile/view/1882603","18-1882603")</f>
        <v>0</v>
      </c>
      <c r="B371" t="s">
        <v>412</v>
      </c>
      <c r="C371" t="s">
        <v>535</v>
      </c>
      <c r="D371" t="s">
        <v>541</v>
      </c>
      <c r="E371" t="s">
        <v>563</v>
      </c>
      <c r="F371" t="s">
        <v>580</v>
      </c>
      <c r="G371" t="s">
        <v>581</v>
      </c>
      <c r="H371">
        <v>194.41</v>
      </c>
      <c r="I371" t="s">
        <v>717</v>
      </c>
      <c r="J371" t="s">
        <v>709</v>
      </c>
      <c r="K371" t="s">
        <v>582</v>
      </c>
      <c r="L371" t="s">
        <v>816</v>
      </c>
      <c r="N371" t="s">
        <v>820</v>
      </c>
      <c r="O371" t="s">
        <v>824</v>
      </c>
      <c r="P371" t="s">
        <v>828</v>
      </c>
      <c r="Q371">
        <v>10031</v>
      </c>
      <c r="S371" t="s">
        <v>861</v>
      </c>
      <c r="T371" t="s">
        <v>1188</v>
      </c>
      <c r="U371" t="s">
        <v>1591</v>
      </c>
      <c r="V371" t="s">
        <v>1678</v>
      </c>
      <c r="W371" t="s">
        <v>1684</v>
      </c>
      <c r="X371">
        <v>3.45</v>
      </c>
      <c r="Y371">
        <v>0</v>
      </c>
      <c r="Z371">
        <v>2</v>
      </c>
      <c r="AA371" t="s">
        <v>1692</v>
      </c>
      <c r="AB371" t="s">
        <v>2055</v>
      </c>
      <c r="AC371">
        <v>32</v>
      </c>
      <c r="AD371" t="s">
        <v>2240</v>
      </c>
      <c r="AH371" t="s">
        <v>2467</v>
      </c>
      <c r="AI371" t="s">
        <v>581</v>
      </c>
      <c r="AK371" t="s">
        <v>2514</v>
      </c>
      <c r="AL371" t="s">
        <v>2520</v>
      </c>
      <c r="AM371" t="s">
        <v>2523</v>
      </c>
      <c r="AR371">
        <v>1883228</v>
      </c>
    </row>
    <row r="372" spans="1:44">
      <c r="A372" s="1">
        <f>HYPERLINK("https://lsnyc.legalserver.org/matter/dynamic-profile/view/1882745","18-1882745")</f>
        <v>0</v>
      </c>
      <c r="B372" t="s">
        <v>413</v>
      </c>
      <c r="C372" t="s">
        <v>535</v>
      </c>
      <c r="D372" t="s">
        <v>543</v>
      </c>
      <c r="E372" t="s">
        <v>563</v>
      </c>
      <c r="F372" t="s">
        <v>580</v>
      </c>
      <c r="G372" t="s">
        <v>581</v>
      </c>
      <c r="H372">
        <v>0</v>
      </c>
      <c r="I372" t="s">
        <v>717</v>
      </c>
      <c r="J372" t="s">
        <v>709</v>
      </c>
      <c r="K372" t="s">
        <v>582</v>
      </c>
      <c r="L372" t="s">
        <v>816</v>
      </c>
      <c r="N372" t="s">
        <v>820</v>
      </c>
      <c r="O372" t="s">
        <v>825</v>
      </c>
      <c r="P372" t="s">
        <v>828</v>
      </c>
      <c r="Q372">
        <v>10468</v>
      </c>
      <c r="S372" t="s">
        <v>861</v>
      </c>
      <c r="T372" t="s">
        <v>1189</v>
      </c>
      <c r="U372" t="s">
        <v>1592</v>
      </c>
      <c r="V372" t="s">
        <v>1678</v>
      </c>
      <c r="W372" t="s">
        <v>1684</v>
      </c>
      <c r="X372">
        <v>2</v>
      </c>
      <c r="Y372">
        <v>3</v>
      </c>
      <c r="Z372">
        <v>2</v>
      </c>
      <c r="AA372" t="s">
        <v>1692</v>
      </c>
      <c r="AB372" t="s">
        <v>2056</v>
      </c>
      <c r="AC372">
        <v>45</v>
      </c>
      <c r="AD372" t="s">
        <v>2171</v>
      </c>
      <c r="AH372" t="s">
        <v>2463</v>
      </c>
      <c r="AK372" t="s">
        <v>2514</v>
      </c>
      <c r="AL372" t="s">
        <v>2520</v>
      </c>
      <c r="AM372" t="s">
        <v>2523</v>
      </c>
      <c r="AR372">
        <v>1883370</v>
      </c>
    </row>
    <row r="373" spans="1:44">
      <c r="A373" s="1">
        <f>HYPERLINK("https://lsnyc.legalserver.org/matter/dynamic-profile/view/1882661","18-1882661")</f>
        <v>0</v>
      </c>
      <c r="B373" t="s">
        <v>414</v>
      </c>
      <c r="C373" t="s">
        <v>539</v>
      </c>
      <c r="D373" t="s">
        <v>543</v>
      </c>
      <c r="E373" t="s">
        <v>571</v>
      </c>
      <c r="F373" t="s">
        <v>580</v>
      </c>
      <c r="G373" t="s">
        <v>581</v>
      </c>
      <c r="H373">
        <v>76.03</v>
      </c>
      <c r="I373" t="s">
        <v>717</v>
      </c>
      <c r="K373" t="s">
        <v>582</v>
      </c>
      <c r="L373" t="s">
        <v>816</v>
      </c>
      <c r="M373" t="s">
        <v>816</v>
      </c>
      <c r="N373" t="s">
        <v>821</v>
      </c>
      <c r="O373" t="s">
        <v>824</v>
      </c>
      <c r="P373" t="s">
        <v>833</v>
      </c>
      <c r="Q373">
        <v>10465</v>
      </c>
      <c r="R373" t="s">
        <v>847</v>
      </c>
      <c r="S373" t="s">
        <v>861</v>
      </c>
      <c r="T373" t="s">
        <v>1190</v>
      </c>
      <c r="U373" t="s">
        <v>1593</v>
      </c>
      <c r="W373" t="s">
        <v>1687</v>
      </c>
      <c r="X373">
        <v>5.2</v>
      </c>
      <c r="Y373">
        <v>2</v>
      </c>
      <c r="Z373">
        <v>1</v>
      </c>
      <c r="AA373" t="s">
        <v>1691</v>
      </c>
      <c r="AB373" t="s">
        <v>2057</v>
      </c>
      <c r="AC373">
        <v>28</v>
      </c>
      <c r="AD373" t="s">
        <v>2305</v>
      </c>
      <c r="AI373" t="s">
        <v>582</v>
      </c>
      <c r="AJ373" t="s">
        <v>2512</v>
      </c>
      <c r="AL373" t="s">
        <v>2519</v>
      </c>
      <c r="AM373" t="s">
        <v>2522</v>
      </c>
      <c r="AR373">
        <v>97987</v>
      </c>
    </row>
    <row r="374" spans="1:44">
      <c r="A374" s="1">
        <f>HYPERLINK("https://lsnyc.legalserver.org/matter/dynamic-profile/view/1882543","18-1882543")</f>
        <v>0</v>
      </c>
      <c r="B374" t="s">
        <v>415</v>
      </c>
      <c r="C374" t="s">
        <v>536</v>
      </c>
      <c r="D374" t="s">
        <v>544</v>
      </c>
      <c r="E374" t="s">
        <v>569</v>
      </c>
      <c r="F374" t="s">
        <v>581</v>
      </c>
      <c r="G374" t="s">
        <v>581</v>
      </c>
      <c r="H374">
        <v>10.58</v>
      </c>
      <c r="I374" t="s">
        <v>718</v>
      </c>
      <c r="J374" t="s">
        <v>706</v>
      </c>
      <c r="K374" t="s">
        <v>582</v>
      </c>
      <c r="L374" t="s">
        <v>816</v>
      </c>
      <c r="N374" t="s">
        <v>821</v>
      </c>
      <c r="O374" t="s">
        <v>824</v>
      </c>
      <c r="P374" t="s">
        <v>833</v>
      </c>
      <c r="Q374">
        <v>11236</v>
      </c>
      <c r="R374" t="s">
        <v>841</v>
      </c>
      <c r="S374" t="s">
        <v>861</v>
      </c>
      <c r="T374" t="s">
        <v>1191</v>
      </c>
      <c r="U374" t="s">
        <v>1402</v>
      </c>
      <c r="V374" t="s">
        <v>1678</v>
      </c>
      <c r="W374" t="s">
        <v>1684</v>
      </c>
      <c r="X374">
        <v>2.6</v>
      </c>
      <c r="Y374">
        <v>0</v>
      </c>
      <c r="Z374">
        <v>1</v>
      </c>
      <c r="AA374" t="s">
        <v>1692</v>
      </c>
      <c r="AB374" t="s">
        <v>2058</v>
      </c>
      <c r="AC374">
        <v>58</v>
      </c>
      <c r="AD374" t="s">
        <v>2306</v>
      </c>
      <c r="AH374" t="s">
        <v>2468</v>
      </c>
      <c r="AK374" t="s">
        <v>2514</v>
      </c>
      <c r="AM374" t="s">
        <v>2523</v>
      </c>
      <c r="AR374">
        <v>1883168</v>
      </c>
    </row>
    <row r="375" spans="1:44">
      <c r="A375" s="1">
        <f>HYPERLINK("https://lsnyc.legalserver.org/matter/dynamic-profile/view/1882554","18-1882554")</f>
        <v>0</v>
      </c>
      <c r="B375" t="s">
        <v>416</v>
      </c>
      <c r="C375" t="s">
        <v>535</v>
      </c>
      <c r="D375" t="s">
        <v>559</v>
      </c>
      <c r="E375" t="s">
        <v>561</v>
      </c>
      <c r="F375" t="s">
        <v>581</v>
      </c>
      <c r="G375" t="s">
        <v>581</v>
      </c>
      <c r="H375">
        <v>0</v>
      </c>
      <c r="I375" t="s">
        <v>718</v>
      </c>
      <c r="J375" t="s">
        <v>698</v>
      </c>
      <c r="K375" t="s">
        <v>582</v>
      </c>
      <c r="L375" t="s">
        <v>816</v>
      </c>
      <c r="N375" t="s">
        <v>820</v>
      </c>
      <c r="O375" t="s">
        <v>825</v>
      </c>
      <c r="P375" t="s">
        <v>828</v>
      </c>
      <c r="Q375">
        <v>7093</v>
      </c>
      <c r="S375" t="s">
        <v>861</v>
      </c>
      <c r="T375" t="s">
        <v>1087</v>
      </c>
      <c r="U375" t="s">
        <v>1356</v>
      </c>
      <c r="V375" t="s">
        <v>1678</v>
      </c>
      <c r="W375" t="s">
        <v>1684</v>
      </c>
      <c r="X375">
        <v>8.5</v>
      </c>
      <c r="Y375">
        <v>0</v>
      </c>
      <c r="Z375">
        <v>1</v>
      </c>
      <c r="AA375" t="s">
        <v>1692</v>
      </c>
      <c r="AB375" t="s">
        <v>2059</v>
      </c>
      <c r="AC375">
        <v>62</v>
      </c>
      <c r="AD375" t="s">
        <v>2171</v>
      </c>
      <c r="AK375" t="s">
        <v>2514</v>
      </c>
      <c r="AL375" t="s">
        <v>2520</v>
      </c>
      <c r="AM375" t="s">
        <v>2523</v>
      </c>
      <c r="AR375">
        <v>1883179</v>
      </c>
    </row>
    <row r="376" spans="1:44">
      <c r="A376" s="1">
        <f>HYPERLINK("https://lsnyc.legalserver.org/matter/dynamic-profile/view/1882495","18-1882495")</f>
        <v>0</v>
      </c>
      <c r="B376" t="s">
        <v>417</v>
      </c>
      <c r="C376" t="s">
        <v>537</v>
      </c>
      <c r="D376" t="s">
        <v>547</v>
      </c>
      <c r="E376" t="s">
        <v>568</v>
      </c>
      <c r="F376" t="s">
        <v>581</v>
      </c>
      <c r="G376" t="s">
        <v>581</v>
      </c>
      <c r="H376">
        <v>0</v>
      </c>
      <c r="I376" t="s">
        <v>718</v>
      </c>
      <c r="J376" t="s">
        <v>646</v>
      </c>
      <c r="K376" t="s">
        <v>582</v>
      </c>
      <c r="L376" t="s">
        <v>816</v>
      </c>
      <c r="N376" t="s">
        <v>820</v>
      </c>
      <c r="O376" t="s">
        <v>825</v>
      </c>
      <c r="P376" t="s">
        <v>828</v>
      </c>
      <c r="Q376">
        <v>7095</v>
      </c>
      <c r="S376" t="s">
        <v>861</v>
      </c>
      <c r="T376" t="s">
        <v>1192</v>
      </c>
      <c r="U376" t="s">
        <v>1329</v>
      </c>
      <c r="V376" t="s">
        <v>1678</v>
      </c>
      <c r="W376" t="s">
        <v>1684</v>
      </c>
      <c r="X376">
        <v>4</v>
      </c>
      <c r="Y376">
        <v>0</v>
      </c>
      <c r="Z376">
        <v>1</v>
      </c>
      <c r="AA376" t="s">
        <v>1692</v>
      </c>
      <c r="AB376" t="s">
        <v>1913</v>
      </c>
      <c r="AC376">
        <v>35</v>
      </c>
      <c r="AD376" t="s">
        <v>2171</v>
      </c>
      <c r="AH376" t="s">
        <v>2466</v>
      </c>
      <c r="AI376" t="s">
        <v>581</v>
      </c>
      <c r="AK376" t="s">
        <v>2514</v>
      </c>
      <c r="AL376" t="s">
        <v>2520</v>
      </c>
      <c r="AM376" t="s">
        <v>2523</v>
      </c>
      <c r="AR376">
        <v>1883120</v>
      </c>
    </row>
    <row r="377" spans="1:44">
      <c r="A377" s="1">
        <f>HYPERLINK("https://lsnyc.legalserver.org/matter/dynamic-profile/view/1882423","18-1882423")</f>
        <v>0</v>
      </c>
      <c r="B377" t="s">
        <v>418</v>
      </c>
      <c r="C377" t="s">
        <v>539</v>
      </c>
      <c r="D377" t="s">
        <v>541</v>
      </c>
      <c r="E377" t="s">
        <v>571</v>
      </c>
      <c r="F377" t="s">
        <v>580</v>
      </c>
      <c r="G377" t="s">
        <v>581</v>
      </c>
      <c r="H377">
        <v>38.92</v>
      </c>
      <c r="I377" t="s">
        <v>719</v>
      </c>
      <c r="J377" t="s">
        <v>700</v>
      </c>
      <c r="K377" t="s">
        <v>581</v>
      </c>
      <c r="L377" t="s">
        <v>816</v>
      </c>
      <c r="M377" t="s">
        <v>816</v>
      </c>
      <c r="N377" t="s">
        <v>821</v>
      </c>
      <c r="O377" t="s">
        <v>824</v>
      </c>
      <c r="P377" t="s">
        <v>833</v>
      </c>
      <c r="Q377">
        <v>10033</v>
      </c>
      <c r="R377" t="s">
        <v>850</v>
      </c>
      <c r="S377" t="s">
        <v>861</v>
      </c>
      <c r="T377" t="s">
        <v>1193</v>
      </c>
      <c r="U377" t="s">
        <v>1334</v>
      </c>
      <c r="V377" t="s">
        <v>1678</v>
      </c>
      <c r="W377" t="s">
        <v>1684</v>
      </c>
      <c r="X377">
        <v>2.1</v>
      </c>
      <c r="Y377">
        <v>0</v>
      </c>
      <c r="Z377">
        <v>1</v>
      </c>
      <c r="AA377" t="s">
        <v>1692</v>
      </c>
      <c r="AB377" t="s">
        <v>2060</v>
      </c>
      <c r="AC377">
        <v>50</v>
      </c>
      <c r="AD377" t="s">
        <v>2307</v>
      </c>
      <c r="AH377" t="s">
        <v>2452</v>
      </c>
      <c r="AI377" t="s">
        <v>581</v>
      </c>
      <c r="AK377" t="s">
        <v>2514</v>
      </c>
      <c r="AL377" t="s">
        <v>2520</v>
      </c>
      <c r="AM377" t="s">
        <v>2523</v>
      </c>
      <c r="AR377">
        <v>1883048</v>
      </c>
    </row>
    <row r="378" spans="1:44">
      <c r="A378" s="1">
        <f>HYPERLINK("https://lsnyc.legalserver.org/matter/dynamic-profile/view/1882346","18-1882346")</f>
        <v>0</v>
      </c>
      <c r="B378" t="s">
        <v>419</v>
      </c>
      <c r="C378" t="s">
        <v>535</v>
      </c>
      <c r="D378" t="s">
        <v>541</v>
      </c>
      <c r="E378" t="s">
        <v>563</v>
      </c>
      <c r="F378" t="s">
        <v>580</v>
      </c>
      <c r="G378" t="s">
        <v>581</v>
      </c>
      <c r="H378">
        <v>126.37</v>
      </c>
      <c r="I378" t="s">
        <v>719</v>
      </c>
      <c r="J378" t="s">
        <v>681</v>
      </c>
      <c r="K378" t="s">
        <v>581</v>
      </c>
      <c r="L378" t="s">
        <v>816</v>
      </c>
      <c r="N378" t="s">
        <v>821</v>
      </c>
      <c r="O378" t="s">
        <v>824</v>
      </c>
      <c r="P378" t="s">
        <v>829</v>
      </c>
      <c r="Q378">
        <v>10027</v>
      </c>
      <c r="S378" t="s">
        <v>861</v>
      </c>
      <c r="T378" t="s">
        <v>1194</v>
      </c>
      <c r="U378" t="s">
        <v>1594</v>
      </c>
      <c r="V378" t="s">
        <v>1678</v>
      </c>
      <c r="W378" t="s">
        <v>1684</v>
      </c>
      <c r="X378">
        <v>2.75</v>
      </c>
      <c r="Y378">
        <v>1</v>
      </c>
      <c r="Z378">
        <v>1</v>
      </c>
      <c r="AA378" t="s">
        <v>1692</v>
      </c>
      <c r="AB378" t="s">
        <v>2061</v>
      </c>
      <c r="AC378">
        <v>29</v>
      </c>
      <c r="AD378" t="s">
        <v>2201</v>
      </c>
      <c r="AI378" t="s">
        <v>581</v>
      </c>
      <c r="AJ378" t="s">
        <v>2511</v>
      </c>
      <c r="AK378" t="s">
        <v>2514</v>
      </c>
      <c r="AL378" t="s">
        <v>2520</v>
      </c>
      <c r="AM378" t="s">
        <v>2523</v>
      </c>
      <c r="AR378">
        <v>1882970</v>
      </c>
    </row>
    <row r="379" spans="1:44">
      <c r="A379" s="1">
        <f>HYPERLINK("https://lsnyc.legalserver.org/matter/dynamic-profile/view/1882425","18-1882425")</f>
        <v>0</v>
      </c>
      <c r="B379" t="s">
        <v>420</v>
      </c>
      <c r="C379" t="s">
        <v>539</v>
      </c>
      <c r="D379" t="s">
        <v>543</v>
      </c>
      <c r="E379" t="s">
        <v>571</v>
      </c>
      <c r="F379" t="s">
        <v>580</v>
      </c>
      <c r="G379" t="s">
        <v>581</v>
      </c>
      <c r="H379">
        <v>0</v>
      </c>
      <c r="I379" t="s">
        <v>719</v>
      </c>
      <c r="J379" t="s">
        <v>617</v>
      </c>
      <c r="L379" t="s">
        <v>816</v>
      </c>
      <c r="N379" t="s">
        <v>821</v>
      </c>
      <c r="O379" t="s">
        <v>824</v>
      </c>
      <c r="P379" t="s">
        <v>829</v>
      </c>
      <c r="Q379">
        <v>10459</v>
      </c>
      <c r="R379" t="s">
        <v>849</v>
      </c>
      <c r="S379" t="s">
        <v>863</v>
      </c>
      <c r="T379" t="s">
        <v>1195</v>
      </c>
      <c r="U379" t="s">
        <v>1595</v>
      </c>
      <c r="V379" t="s">
        <v>1682</v>
      </c>
      <c r="W379" t="s">
        <v>1686</v>
      </c>
      <c r="X379">
        <v>7.6</v>
      </c>
      <c r="Y379">
        <v>0</v>
      </c>
      <c r="Z379">
        <v>1</v>
      </c>
      <c r="AA379" t="s">
        <v>1692</v>
      </c>
      <c r="AB379" t="s">
        <v>2062</v>
      </c>
      <c r="AC379">
        <v>32</v>
      </c>
      <c r="AD379" t="s">
        <v>2171</v>
      </c>
      <c r="AH379" t="s">
        <v>2414</v>
      </c>
      <c r="AI379" t="s">
        <v>582</v>
      </c>
      <c r="AJ379" t="s">
        <v>2512</v>
      </c>
      <c r="AK379" t="s">
        <v>2518</v>
      </c>
      <c r="AL379" t="s">
        <v>2521</v>
      </c>
      <c r="AM379" t="s">
        <v>2527</v>
      </c>
      <c r="AR379">
        <v>1878424</v>
      </c>
    </row>
    <row r="380" spans="1:44">
      <c r="A380" s="1">
        <f>HYPERLINK("https://lsnyc.legalserver.org/matter/dynamic-profile/view/1870552","18-1870552")</f>
        <v>0</v>
      </c>
      <c r="B380" t="s">
        <v>421</v>
      </c>
      <c r="C380" t="s">
        <v>537</v>
      </c>
      <c r="D380" t="s">
        <v>541</v>
      </c>
      <c r="E380" t="s">
        <v>576</v>
      </c>
      <c r="F380" t="s">
        <v>581</v>
      </c>
      <c r="G380" t="s">
        <v>581</v>
      </c>
      <c r="H380">
        <v>40.69</v>
      </c>
      <c r="I380" t="s">
        <v>720</v>
      </c>
      <c r="J380" t="s">
        <v>720</v>
      </c>
      <c r="K380" t="s">
        <v>582</v>
      </c>
      <c r="L380" t="s">
        <v>816</v>
      </c>
      <c r="N380" t="s">
        <v>823</v>
      </c>
      <c r="O380" t="s">
        <v>825</v>
      </c>
      <c r="P380" t="s">
        <v>834</v>
      </c>
      <c r="Q380">
        <v>10040</v>
      </c>
      <c r="T380" t="s">
        <v>1196</v>
      </c>
      <c r="U380" t="s">
        <v>1596</v>
      </c>
      <c r="V380" t="s">
        <v>1678</v>
      </c>
      <c r="W380" t="s">
        <v>1684</v>
      </c>
      <c r="X380">
        <v>1.1</v>
      </c>
      <c r="Y380">
        <v>0</v>
      </c>
      <c r="Z380">
        <v>1</v>
      </c>
      <c r="AA380" t="s">
        <v>1692</v>
      </c>
      <c r="AB380" t="s">
        <v>2063</v>
      </c>
      <c r="AC380">
        <v>53</v>
      </c>
      <c r="AD380" t="s">
        <v>2308</v>
      </c>
      <c r="AL380" t="s">
        <v>2520</v>
      </c>
      <c r="AM380" t="s">
        <v>2523</v>
      </c>
      <c r="AR380">
        <v>1871152</v>
      </c>
    </row>
    <row r="381" spans="1:44">
      <c r="A381" s="1">
        <f>HYPERLINK("https://lsnyc.legalserver.org/matter/dynamic-profile/view/1882035","18-1882035")</f>
        <v>0</v>
      </c>
      <c r="B381" t="s">
        <v>422</v>
      </c>
      <c r="C381" t="s">
        <v>537</v>
      </c>
      <c r="D381" t="s">
        <v>545</v>
      </c>
      <c r="E381" t="s">
        <v>568</v>
      </c>
      <c r="F381" t="s">
        <v>581</v>
      </c>
      <c r="G381" t="s">
        <v>581</v>
      </c>
      <c r="H381">
        <v>137.89</v>
      </c>
      <c r="I381" t="s">
        <v>720</v>
      </c>
      <c r="J381" t="s">
        <v>640</v>
      </c>
      <c r="L381" t="s">
        <v>816</v>
      </c>
      <c r="N381" t="s">
        <v>820</v>
      </c>
      <c r="O381" t="s">
        <v>825</v>
      </c>
      <c r="P381" t="s">
        <v>828</v>
      </c>
      <c r="Q381">
        <v>11370</v>
      </c>
      <c r="S381" t="s">
        <v>861</v>
      </c>
      <c r="T381" t="s">
        <v>1197</v>
      </c>
      <c r="U381" t="s">
        <v>1597</v>
      </c>
      <c r="V381" t="s">
        <v>1681</v>
      </c>
      <c r="W381" t="s">
        <v>1685</v>
      </c>
      <c r="X381">
        <v>19</v>
      </c>
      <c r="Y381">
        <v>0</v>
      </c>
      <c r="Z381">
        <v>1</v>
      </c>
      <c r="AA381" t="s">
        <v>1692</v>
      </c>
      <c r="AB381" t="s">
        <v>2064</v>
      </c>
      <c r="AC381">
        <v>38</v>
      </c>
      <c r="AD381" t="s">
        <v>2309</v>
      </c>
      <c r="AG381" t="s">
        <v>2376</v>
      </c>
      <c r="AH381" t="s">
        <v>2468</v>
      </c>
      <c r="AI381" t="s">
        <v>581</v>
      </c>
      <c r="AK381" t="s">
        <v>2516</v>
      </c>
      <c r="AL381" t="s">
        <v>2521</v>
      </c>
      <c r="AM381" t="s">
        <v>2525</v>
      </c>
      <c r="AO381" t="s">
        <v>2528</v>
      </c>
      <c r="AR381">
        <v>1876194</v>
      </c>
    </row>
    <row r="382" spans="1:44">
      <c r="A382" s="1">
        <f>HYPERLINK("https://lsnyc.legalserver.org/matter/dynamic-profile/view/1881915","18-1881915")</f>
        <v>0</v>
      </c>
      <c r="B382" t="s">
        <v>423</v>
      </c>
      <c r="C382" t="s">
        <v>535</v>
      </c>
      <c r="D382" t="s">
        <v>545</v>
      </c>
      <c r="E382" t="s">
        <v>563</v>
      </c>
      <c r="F382" t="s">
        <v>580</v>
      </c>
      <c r="G382" t="s">
        <v>581</v>
      </c>
      <c r="H382">
        <v>0</v>
      </c>
      <c r="I382" t="s">
        <v>721</v>
      </c>
      <c r="J382" t="s">
        <v>681</v>
      </c>
      <c r="K382" t="s">
        <v>581</v>
      </c>
      <c r="L382" t="s">
        <v>816</v>
      </c>
      <c r="N382" t="s">
        <v>821</v>
      </c>
      <c r="O382" t="s">
        <v>824</v>
      </c>
      <c r="P382" t="s">
        <v>833</v>
      </c>
      <c r="Q382">
        <v>11105</v>
      </c>
      <c r="R382" t="s">
        <v>859</v>
      </c>
      <c r="S382" t="s">
        <v>861</v>
      </c>
      <c r="T382" t="s">
        <v>1198</v>
      </c>
      <c r="U382" t="s">
        <v>1598</v>
      </c>
      <c r="V382" t="s">
        <v>1678</v>
      </c>
      <c r="W382" t="s">
        <v>1684</v>
      </c>
      <c r="X382">
        <v>2.25</v>
      </c>
      <c r="Y382">
        <v>0</v>
      </c>
      <c r="Z382">
        <v>1</v>
      </c>
      <c r="AA382" t="s">
        <v>1692</v>
      </c>
      <c r="AB382" t="s">
        <v>2065</v>
      </c>
      <c r="AC382">
        <v>29</v>
      </c>
      <c r="AD382" t="s">
        <v>2171</v>
      </c>
      <c r="AH382" t="s">
        <v>2461</v>
      </c>
      <c r="AI382" t="s">
        <v>581</v>
      </c>
      <c r="AJ382" t="s">
        <v>2511</v>
      </c>
      <c r="AK382" t="s">
        <v>2514</v>
      </c>
      <c r="AL382" t="s">
        <v>2520</v>
      </c>
      <c r="AM382" t="s">
        <v>2523</v>
      </c>
      <c r="AR382">
        <v>1882538</v>
      </c>
    </row>
    <row r="383" spans="1:44">
      <c r="A383" s="1">
        <f>HYPERLINK("https://lsnyc.legalserver.org/matter/dynamic-profile/view/1881955","18-1881955")</f>
        <v>0</v>
      </c>
      <c r="B383" t="s">
        <v>424</v>
      </c>
      <c r="C383" t="s">
        <v>536</v>
      </c>
      <c r="D383" t="s">
        <v>544</v>
      </c>
      <c r="E383" t="s">
        <v>569</v>
      </c>
      <c r="F383" t="s">
        <v>580</v>
      </c>
      <c r="G383" t="s">
        <v>581</v>
      </c>
      <c r="H383">
        <v>113.73</v>
      </c>
      <c r="I383" t="s">
        <v>721</v>
      </c>
      <c r="J383" t="s">
        <v>624</v>
      </c>
      <c r="K383" t="s">
        <v>582</v>
      </c>
      <c r="L383" t="s">
        <v>816</v>
      </c>
      <c r="N383" t="s">
        <v>821</v>
      </c>
      <c r="O383" t="s">
        <v>825</v>
      </c>
      <c r="P383" t="s">
        <v>833</v>
      </c>
      <c r="Q383">
        <v>11209</v>
      </c>
      <c r="R383" t="s">
        <v>843</v>
      </c>
      <c r="S383" t="s">
        <v>863</v>
      </c>
      <c r="T383" t="s">
        <v>1199</v>
      </c>
      <c r="U383" t="s">
        <v>1397</v>
      </c>
      <c r="V383" t="s">
        <v>1678</v>
      </c>
      <c r="W383" t="s">
        <v>1684</v>
      </c>
      <c r="X383">
        <v>2.5</v>
      </c>
      <c r="Y383">
        <v>0</v>
      </c>
      <c r="Z383">
        <v>2</v>
      </c>
      <c r="AA383" t="s">
        <v>1692</v>
      </c>
      <c r="AB383" t="s">
        <v>2066</v>
      </c>
      <c r="AC383">
        <v>49</v>
      </c>
      <c r="AD383" t="s">
        <v>2251</v>
      </c>
      <c r="AH383" t="s">
        <v>2469</v>
      </c>
      <c r="AK383" t="s">
        <v>2514</v>
      </c>
      <c r="AM383" t="s">
        <v>2523</v>
      </c>
      <c r="AR383">
        <v>1882578</v>
      </c>
    </row>
    <row r="384" spans="1:44">
      <c r="A384" s="1">
        <f>HYPERLINK("https://lsnyc.legalserver.org/matter/dynamic-profile/view/1881722","18-1881722")</f>
        <v>0</v>
      </c>
      <c r="B384" t="s">
        <v>425</v>
      </c>
      <c r="C384" t="s">
        <v>535</v>
      </c>
      <c r="D384" t="s">
        <v>541</v>
      </c>
      <c r="E384" t="s">
        <v>561</v>
      </c>
      <c r="F384" t="s">
        <v>581</v>
      </c>
      <c r="G384" t="s">
        <v>581</v>
      </c>
      <c r="H384">
        <v>169.62</v>
      </c>
      <c r="I384" t="s">
        <v>722</v>
      </c>
      <c r="J384" t="s">
        <v>700</v>
      </c>
      <c r="K384" t="s">
        <v>582</v>
      </c>
      <c r="L384" t="s">
        <v>816</v>
      </c>
      <c r="N384" t="s">
        <v>820</v>
      </c>
      <c r="O384" t="s">
        <v>825</v>
      </c>
      <c r="P384" t="s">
        <v>828</v>
      </c>
      <c r="Q384">
        <v>10026</v>
      </c>
      <c r="R384" t="s">
        <v>835</v>
      </c>
      <c r="S384" t="s">
        <v>861</v>
      </c>
      <c r="T384" t="s">
        <v>1200</v>
      </c>
      <c r="U384" t="s">
        <v>1599</v>
      </c>
      <c r="V384" t="s">
        <v>1678</v>
      </c>
      <c r="W384" t="s">
        <v>1684</v>
      </c>
      <c r="X384">
        <v>4.35</v>
      </c>
      <c r="Y384">
        <v>0</v>
      </c>
      <c r="Z384">
        <v>1</v>
      </c>
      <c r="AA384" t="s">
        <v>1692</v>
      </c>
      <c r="AB384" t="s">
        <v>2067</v>
      </c>
      <c r="AC384">
        <v>48</v>
      </c>
      <c r="AD384" t="s">
        <v>2310</v>
      </c>
      <c r="AH384" t="s">
        <v>2379</v>
      </c>
      <c r="AI384" t="s">
        <v>581</v>
      </c>
      <c r="AJ384" t="s">
        <v>2513</v>
      </c>
      <c r="AK384" t="s">
        <v>2514</v>
      </c>
      <c r="AL384" t="s">
        <v>2520</v>
      </c>
      <c r="AM384" t="s">
        <v>2523</v>
      </c>
      <c r="AR384">
        <v>1882345</v>
      </c>
    </row>
    <row r="385" spans="1:44">
      <c r="A385" s="1">
        <f>HYPERLINK("https://lsnyc.legalserver.org/matter/dynamic-profile/view/1881815","18-1881815")</f>
        <v>0</v>
      </c>
      <c r="B385" t="s">
        <v>426</v>
      </c>
      <c r="C385" t="s">
        <v>535</v>
      </c>
      <c r="D385" t="s">
        <v>541</v>
      </c>
      <c r="E385" t="s">
        <v>561</v>
      </c>
      <c r="F385" t="s">
        <v>581</v>
      </c>
      <c r="G385" t="s">
        <v>581</v>
      </c>
      <c r="H385">
        <v>0</v>
      </c>
      <c r="I385" t="s">
        <v>722</v>
      </c>
      <c r="J385" t="s">
        <v>700</v>
      </c>
      <c r="K385" t="s">
        <v>582</v>
      </c>
      <c r="L385" t="s">
        <v>816</v>
      </c>
      <c r="N385" t="s">
        <v>820</v>
      </c>
      <c r="O385" t="s">
        <v>825</v>
      </c>
      <c r="P385" t="s">
        <v>828</v>
      </c>
      <c r="Q385">
        <v>10001</v>
      </c>
      <c r="S385" t="s">
        <v>861</v>
      </c>
      <c r="T385" t="s">
        <v>963</v>
      </c>
      <c r="U385" t="s">
        <v>1600</v>
      </c>
      <c r="V385" t="s">
        <v>1678</v>
      </c>
      <c r="W385" t="s">
        <v>1684</v>
      </c>
      <c r="X385">
        <v>4.55</v>
      </c>
      <c r="Y385">
        <v>0</v>
      </c>
      <c r="Z385">
        <v>1</v>
      </c>
      <c r="AA385" t="s">
        <v>1692</v>
      </c>
      <c r="AB385" t="s">
        <v>2068</v>
      </c>
      <c r="AC385">
        <v>46</v>
      </c>
      <c r="AD385" t="s">
        <v>2171</v>
      </c>
      <c r="AK385" t="s">
        <v>2514</v>
      </c>
      <c r="AL385" t="s">
        <v>2520</v>
      </c>
      <c r="AM385" t="s">
        <v>2523</v>
      </c>
      <c r="AR385">
        <v>1882438</v>
      </c>
    </row>
    <row r="386" spans="1:44">
      <c r="A386" s="1">
        <f>HYPERLINK("https://lsnyc.legalserver.org/matter/dynamic-profile/view/1881761","18-1881761")</f>
        <v>0</v>
      </c>
      <c r="B386" t="s">
        <v>427</v>
      </c>
      <c r="C386" t="s">
        <v>539</v>
      </c>
      <c r="D386" t="s">
        <v>545</v>
      </c>
      <c r="E386" t="s">
        <v>571</v>
      </c>
      <c r="F386" t="s">
        <v>580</v>
      </c>
      <c r="G386" t="s">
        <v>581</v>
      </c>
      <c r="H386">
        <v>43.01</v>
      </c>
      <c r="I386" t="s">
        <v>722</v>
      </c>
      <c r="J386" t="s">
        <v>648</v>
      </c>
      <c r="K386" t="s">
        <v>582</v>
      </c>
      <c r="L386" t="s">
        <v>816</v>
      </c>
      <c r="M386" t="s">
        <v>816</v>
      </c>
      <c r="N386" t="s">
        <v>821</v>
      </c>
      <c r="O386" t="s">
        <v>824</v>
      </c>
      <c r="P386" t="s">
        <v>833</v>
      </c>
      <c r="Q386">
        <v>11423</v>
      </c>
      <c r="R386" t="s">
        <v>858</v>
      </c>
      <c r="S386" t="s">
        <v>861</v>
      </c>
      <c r="T386" t="s">
        <v>1201</v>
      </c>
      <c r="U386" t="s">
        <v>1601</v>
      </c>
      <c r="V386" t="s">
        <v>1680</v>
      </c>
      <c r="W386" t="s">
        <v>1686</v>
      </c>
      <c r="X386">
        <v>14.55</v>
      </c>
      <c r="Y386">
        <v>1</v>
      </c>
      <c r="Z386">
        <v>1</v>
      </c>
      <c r="AA386" t="s">
        <v>1692</v>
      </c>
      <c r="AB386" t="s">
        <v>2069</v>
      </c>
      <c r="AC386">
        <v>30</v>
      </c>
      <c r="AD386" t="s">
        <v>2311</v>
      </c>
      <c r="AH386" t="s">
        <v>2418</v>
      </c>
      <c r="AI386" t="s">
        <v>582</v>
      </c>
      <c r="AJ386" t="s">
        <v>2512</v>
      </c>
      <c r="AK386" t="s">
        <v>2515</v>
      </c>
      <c r="AL386" t="s">
        <v>2521</v>
      </c>
      <c r="AM386" t="s">
        <v>2527</v>
      </c>
      <c r="AR386">
        <v>1882384</v>
      </c>
    </row>
    <row r="387" spans="1:44">
      <c r="A387" s="1">
        <f>HYPERLINK("https://lsnyc.legalserver.org/matter/dynamic-profile/view/1881457","18-1881457")</f>
        <v>0</v>
      </c>
      <c r="B387" t="s">
        <v>428</v>
      </c>
      <c r="C387" t="s">
        <v>537</v>
      </c>
      <c r="D387" t="s">
        <v>545</v>
      </c>
      <c r="E387" t="s">
        <v>568</v>
      </c>
      <c r="F387" t="s">
        <v>581</v>
      </c>
      <c r="G387" t="s">
        <v>581</v>
      </c>
      <c r="H387">
        <v>90.73999999999999</v>
      </c>
      <c r="I387" t="s">
        <v>723</v>
      </c>
      <c r="J387" t="s">
        <v>677</v>
      </c>
      <c r="K387" t="s">
        <v>582</v>
      </c>
      <c r="L387" t="s">
        <v>816</v>
      </c>
      <c r="N387" t="s">
        <v>820</v>
      </c>
      <c r="O387" t="s">
        <v>825</v>
      </c>
      <c r="P387" t="s">
        <v>828</v>
      </c>
      <c r="Q387">
        <v>11435</v>
      </c>
      <c r="S387" t="s">
        <v>861</v>
      </c>
      <c r="T387" t="s">
        <v>1202</v>
      </c>
      <c r="U387" t="s">
        <v>1602</v>
      </c>
      <c r="V387" t="s">
        <v>1681</v>
      </c>
      <c r="W387" t="s">
        <v>1685</v>
      </c>
      <c r="X387">
        <v>7.75</v>
      </c>
      <c r="Y387">
        <v>3</v>
      </c>
      <c r="Z387">
        <v>1</v>
      </c>
      <c r="AA387" t="s">
        <v>1692</v>
      </c>
      <c r="AB387" t="s">
        <v>2070</v>
      </c>
      <c r="AC387">
        <v>46</v>
      </c>
      <c r="AD387" t="s">
        <v>2312</v>
      </c>
      <c r="AG387" t="s">
        <v>2377</v>
      </c>
      <c r="AH387" t="s">
        <v>2467</v>
      </c>
      <c r="AI387" t="s">
        <v>581</v>
      </c>
      <c r="AK387" t="s">
        <v>2516</v>
      </c>
      <c r="AM387" t="s">
        <v>2525</v>
      </c>
      <c r="AO387" t="s">
        <v>2528</v>
      </c>
      <c r="AR387">
        <v>1882079</v>
      </c>
    </row>
    <row r="388" spans="1:44">
      <c r="A388" s="1">
        <f>HYPERLINK("https://lsnyc.legalserver.org/matter/dynamic-profile/view/1881852","18-1881852")</f>
        <v>0</v>
      </c>
      <c r="B388" t="s">
        <v>429</v>
      </c>
      <c r="C388" t="s">
        <v>535</v>
      </c>
      <c r="D388" t="s">
        <v>541</v>
      </c>
      <c r="E388" t="s">
        <v>563</v>
      </c>
      <c r="F388" t="s">
        <v>580</v>
      </c>
      <c r="G388" t="s">
        <v>581</v>
      </c>
      <c r="H388">
        <v>108.73</v>
      </c>
      <c r="I388" t="s">
        <v>724</v>
      </c>
      <c r="J388" t="s">
        <v>806</v>
      </c>
      <c r="L388" t="s">
        <v>816</v>
      </c>
      <c r="M388" t="s">
        <v>819</v>
      </c>
      <c r="N388" t="s">
        <v>820</v>
      </c>
      <c r="O388" t="s">
        <v>824</v>
      </c>
      <c r="P388" t="s">
        <v>828</v>
      </c>
      <c r="Q388">
        <v>10013</v>
      </c>
      <c r="S388" t="s">
        <v>861</v>
      </c>
      <c r="T388" t="s">
        <v>1203</v>
      </c>
      <c r="U388" t="s">
        <v>1541</v>
      </c>
      <c r="V388" t="s">
        <v>1678</v>
      </c>
      <c r="W388" t="s">
        <v>1684</v>
      </c>
      <c r="X388">
        <v>2.1</v>
      </c>
      <c r="Y388">
        <v>0</v>
      </c>
      <c r="Z388">
        <v>1</v>
      </c>
      <c r="AA388" t="s">
        <v>1692</v>
      </c>
      <c r="AB388" t="s">
        <v>2071</v>
      </c>
      <c r="AC388">
        <v>34</v>
      </c>
      <c r="AD388" t="s">
        <v>2243</v>
      </c>
      <c r="AK388" t="s">
        <v>2514</v>
      </c>
      <c r="AL388" t="s">
        <v>2520</v>
      </c>
      <c r="AM388" t="s">
        <v>2523</v>
      </c>
      <c r="AR388">
        <v>1882475</v>
      </c>
    </row>
    <row r="389" spans="1:44">
      <c r="A389" s="1">
        <f>HYPERLINK("https://lsnyc.legalserver.org/matter/dynamic-profile/view/1881256","18-1881256")</f>
        <v>0</v>
      </c>
      <c r="B389" t="s">
        <v>430</v>
      </c>
      <c r="C389" t="s">
        <v>537</v>
      </c>
      <c r="D389" t="s">
        <v>545</v>
      </c>
      <c r="E389" t="s">
        <v>568</v>
      </c>
      <c r="F389" t="s">
        <v>581</v>
      </c>
      <c r="G389" t="s">
        <v>581</v>
      </c>
      <c r="H389">
        <v>123.21</v>
      </c>
      <c r="I389" t="s">
        <v>725</v>
      </c>
      <c r="J389" t="s">
        <v>807</v>
      </c>
      <c r="K389" t="s">
        <v>582</v>
      </c>
      <c r="L389" t="s">
        <v>816</v>
      </c>
      <c r="N389" t="s">
        <v>820</v>
      </c>
      <c r="O389" t="s">
        <v>825</v>
      </c>
      <c r="P389" t="s">
        <v>828</v>
      </c>
      <c r="Q389">
        <v>11369</v>
      </c>
      <c r="S389" t="s">
        <v>863</v>
      </c>
      <c r="T389" t="s">
        <v>1204</v>
      </c>
      <c r="U389" t="s">
        <v>1603</v>
      </c>
      <c r="V389" t="s">
        <v>1678</v>
      </c>
      <c r="W389" t="s">
        <v>1684</v>
      </c>
      <c r="X389">
        <v>3</v>
      </c>
      <c r="Y389">
        <v>0</v>
      </c>
      <c r="Z389">
        <v>2</v>
      </c>
      <c r="AA389" t="s">
        <v>1692</v>
      </c>
      <c r="AB389" t="s">
        <v>2072</v>
      </c>
      <c r="AC389">
        <v>41</v>
      </c>
      <c r="AD389" t="s">
        <v>2313</v>
      </c>
      <c r="AH389" t="s">
        <v>2379</v>
      </c>
      <c r="AI389" t="s">
        <v>581</v>
      </c>
      <c r="AK389" t="s">
        <v>2514</v>
      </c>
      <c r="AL389" t="s">
        <v>2520</v>
      </c>
      <c r="AM389" t="s">
        <v>2523</v>
      </c>
      <c r="AR389">
        <v>1881878</v>
      </c>
    </row>
    <row r="390" spans="1:44">
      <c r="A390" s="1">
        <f>HYPERLINK("https://lsnyc.legalserver.org/matter/dynamic-profile/view/1881300","18-1881300")</f>
        <v>0</v>
      </c>
      <c r="B390" t="s">
        <v>431</v>
      </c>
      <c r="C390" t="s">
        <v>537</v>
      </c>
      <c r="D390" t="s">
        <v>545</v>
      </c>
      <c r="E390" t="s">
        <v>568</v>
      </c>
      <c r="F390" t="s">
        <v>581</v>
      </c>
      <c r="G390" t="s">
        <v>581</v>
      </c>
      <c r="H390">
        <v>107.08</v>
      </c>
      <c r="I390" t="s">
        <v>725</v>
      </c>
      <c r="J390" t="s">
        <v>676</v>
      </c>
      <c r="K390" t="s">
        <v>582</v>
      </c>
      <c r="L390" t="s">
        <v>816</v>
      </c>
      <c r="N390" t="s">
        <v>820</v>
      </c>
      <c r="O390" t="s">
        <v>824</v>
      </c>
      <c r="P390" t="s">
        <v>828</v>
      </c>
      <c r="Q390">
        <v>11103</v>
      </c>
      <c r="S390" t="s">
        <v>861</v>
      </c>
      <c r="T390" t="s">
        <v>1205</v>
      </c>
      <c r="U390" t="s">
        <v>1604</v>
      </c>
      <c r="V390" t="s">
        <v>1681</v>
      </c>
      <c r="W390" t="s">
        <v>1685</v>
      </c>
      <c r="X390">
        <v>13.5</v>
      </c>
      <c r="Y390">
        <v>0</v>
      </c>
      <c r="Z390">
        <v>1</v>
      </c>
      <c r="AA390" t="s">
        <v>1692</v>
      </c>
      <c r="AB390" t="s">
        <v>2073</v>
      </c>
      <c r="AC390">
        <v>26</v>
      </c>
      <c r="AD390" t="s">
        <v>2204</v>
      </c>
      <c r="AG390" t="s">
        <v>2378</v>
      </c>
      <c r="AH390" t="s">
        <v>2467</v>
      </c>
      <c r="AI390" t="s">
        <v>581</v>
      </c>
      <c r="AK390" t="s">
        <v>2516</v>
      </c>
      <c r="AL390" t="s">
        <v>2521</v>
      </c>
      <c r="AM390" t="s">
        <v>2525</v>
      </c>
      <c r="AO390" t="s">
        <v>2528</v>
      </c>
      <c r="AR390">
        <v>1881922</v>
      </c>
    </row>
    <row r="391" spans="1:44">
      <c r="A391" s="1">
        <f>HYPERLINK("https://lsnyc.legalserver.org/matter/dynamic-profile/view/1881055","18-1881055")</f>
        <v>0</v>
      </c>
      <c r="B391" t="s">
        <v>432</v>
      </c>
      <c r="C391" t="s">
        <v>535</v>
      </c>
      <c r="D391" t="s">
        <v>542</v>
      </c>
      <c r="E391" t="s">
        <v>563</v>
      </c>
      <c r="F391" t="s">
        <v>580</v>
      </c>
      <c r="G391" t="s">
        <v>581</v>
      </c>
      <c r="H391">
        <v>171.33</v>
      </c>
      <c r="I391" t="s">
        <v>726</v>
      </c>
      <c r="J391" t="s">
        <v>808</v>
      </c>
      <c r="K391" t="s">
        <v>582</v>
      </c>
      <c r="L391" t="s">
        <v>816</v>
      </c>
      <c r="N391" t="s">
        <v>820</v>
      </c>
      <c r="O391" t="s">
        <v>825</v>
      </c>
      <c r="P391" t="s">
        <v>828</v>
      </c>
      <c r="Q391">
        <v>10310</v>
      </c>
      <c r="R391" t="s">
        <v>835</v>
      </c>
      <c r="S391" t="s">
        <v>861</v>
      </c>
      <c r="T391" t="s">
        <v>1206</v>
      </c>
      <c r="U391" t="s">
        <v>1307</v>
      </c>
      <c r="V391" t="s">
        <v>1678</v>
      </c>
      <c r="W391" t="s">
        <v>1684</v>
      </c>
      <c r="X391">
        <v>1.35</v>
      </c>
      <c r="Y391">
        <v>0</v>
      </c>
      <c r="Z391">
        <v>1</v>
      </c>
      <c r="AA391" t="s">
        <v>1692</v>
      </c>
      <c r="AB391" t="s">
        <v>2074</v>
      </c>
      <c r="AC391">
        <v>61</v>
      </c>
      <c r="AD391" t="s">
        <v>2201</v>
      </c>
      <c r="AM391" t="s">
        <v>2523</v>
      </c>
      <c r="AR391">
        <v>1881676</v>
      </c>
    </row>
    <row r="392" spans="1:44">
      <c r="A392" s="1">
        <f>HYPERLINK("https://lsnyc.legalserver.org/matter/dynamic-profile/view/1881047","18-1881047")</f>
        <v>0</v>
      </c>
      <c r="B392" t="s">
        <v>433</v>
      </c>
      <c r="C392" t="s">
        <v>535</v>
      </c>
      <c r="D392" t="s">
        <v>541</v>
      </c>
      <c r="E392" t="s">
        <v>563</v>
      </c>
      <c r="F392" t="s">
        <v>580</v>
      </c>
      <c r="G392" t="s">
        <v>581</v>
      </c>
      <c r="H392">
        <v>0</v>
      </c>
      <c r="I392" t="s">
        <v>726</v>
      </c>
      <c r="J392" t="s">
        <v>719</v>
      </c>
      <c r="K392" t="s">
        <v>582</v>
      </c>
      <c r="L392" t="s">
        <v>816</v>
      </c>
      <c r="N392" t="s">
        <v>820</v>
      </c>
      <c r="O392" t="s">
        <v>825</v>
      </c>
      <c r="P392" t="s">
        <v>828</v>
      </c>
      <c r="Q392">
        <v>10033</v>
      </c>
      <c r="S392" t="s">
        <v>861</v>
      </c>
      <c r="T392" t="s">
        <v>968</v>
      </c>
      <c r="U392" t="s">
        <v>1605</v>
      </c>
      <c r="V392" t="s">
        <v>1678</v>
      </c>
      <c r="W392" t="s">
        <v>1684</v>
      </c>
      <c r="X392">
        <v>1.75</v>
      </c>
      <c r="Y392">
        <v>0</v>
      </c>
      <c r="Z392">
        <v>1</v>
      </c>
      <c r="AA392" t="s">
        <v>1692</v>
      </c>
      <c r="AB392" t="s">
        <v>2075</v>
      </c>
      <c r="AC392">
        <v>37</v>
      </c>
      <c r="AD392" t="s">
        <v>2171</v>
      </c>
      <c r="AH392" t="s">
        <v>2470</v>
      </c>
      <c r="AK392" t="s">
        <v>2514</v>
      </c>
      <c r="AM392" t="s">
        <v>2523</v>
      </c>
      <c r="AR392">
        <v>1881668</v>
      </c>
    </row>
    <row r="393" spans="1:44">
      <c r="A393" s="1">
        <f>HYPERLINK("https://lsnyc.legalserver.org/matter/dynamic-profile/view/1881138","18-1881138")</f>
        <v>0</v>
      </c>
      <c r="B393" t="s">
        <v>434</v>
      </c>
      <c r="C393" t="s">
        <v>536</v>
      </c>
      <c r="D393" t="s">
        <v>544</v>
      </c>
      <c r="E393" t="s">
        <v>566</v>
      </c>
      <c r="F393" t="s">
        <v>580</v>
      </c>
      <c r="G393" t="s">
        <v>581</v>
      </c>
      <c r="H393">
        <v>0</v>
      </c>
      <c r="I393" t="s">
        <v>726</v>
      </c>
      <c r="J393" t="s">
        <v>713</v>
      </c>
      <c r="K393" t="s">
        <v>581</v>
      </c>
      <c r="L393" t="s">
        <v>816</v>
      </c>
      <c r="N393" t="s">
        <v>821</v>
      </c>
      <c r="O393" t="s">
        <v>824</v>
      </c>
      <c r="P393" t="s">
        <v>833</v>
      </c>
      <c r="Q393">
        <v>11224</v>
      </c>
      <c r="S393" t="s">
        <v>861</v>
      </c>
      <c r="T393" t="s">
        <v>989</v>
      </c>
      <c r="U393" t="s">
        <v>1606</v>
      </c>
      <c r="V393" t="s">
        <v>1678</v>
      </c>
      <c r="W393" t="s">
        <v>1684</v>
      </c>
      <c r="X393">
        <v>2.5</v>
      </c>
      <c r="Y393">
        <v>0</v>
      </c>
      <c r="Z393">
        <v>1</v>
      </c>
      <c r="AA393" t="s">
        <v>1692</v>
      </c>
      <c r="AB393" t="s">
        <v>2076</v>
      </c>
      <c r="AC393">
        <v>45</v>
      </c>
      <c r="AD393" t="s">
        <v>2171</v>
      </c>
      <c r="AI393" t="s">
        <v>581</v>
      </c>
      <c r="AM393" t="s">
        <v>2523</v>
      </c>
      <c r="AR393">
        <v>1881759</v>
      </c>
    </row>
    <row r="394" spans="1:44">
      <c r="A394" s="1">
        <f>HYPERLINK("https://lsnyc.legalserver.org/matter/dynamic-profile/view/1881083","18-1881083")</f>
        <v>0</v>
      </c>
      <c r="B394" t="s">
        <v>435</v>
      </c>
      <c r="C394" t="s">
        <v>537</v>
      </c>
      <c r="D394" t="s">
        <v>545</v>
      </c>
      <c r="E394" t="s">
        <v>568</v>
      </c>
      <c r="F394" t="s">
        <v>581</v>
      </c>
      <c r="G394" t="s">
        <v>581</v>
      </c>
      <c r="H394">
        <v>3.65</v>
      </c>
      <c r="I394" t="s">
        <v>726</v>
      </c>
      <c r="J394" t="s">
        <v>702</v>
      </c>
      <c r="K394" t="s">
        <v>582</v>
      </c>
      <c r="L394" t="s">
        <v>816</v>
      </c>
      <c r="N394" t="s">
        <v>820</v>
      </c>
      <c r="O394" t="s">
        <v>825</v>
      </c>
      <c r="P394" t="s">
        <v>828</v>
      </c>
      <c r="Q394">
        <v>11385</v>
      </c>
      <c r="S394" t="s">
        <v>863</v>
      </c>
      <c r="T394" t="s">
        <v>1049</v>
      </c>
      <c r="U394" t="s">
        <v>1607</v>
      </c>
      <c r="V394" t="s">
        <v>1678</v>
      </c>
      <c r="W394" t="s">
        <v>1684</v>
      </c>
      <c r="X394">
        <v>1.7</v>
      </c>
      <c r="Y394">
        <v>0</v>
      </c>
      <c r="Z394">
        <v>2</v>
      </c>
      <c r="AA394" t="s">
        <v>1692</v>
      </c>
      <c r="AB394" t="s">
        <v>2077</v>
      </c>
      <c r="AC394">
        <v>61</v>
      </c>
      <c r="AD394" t="s">
        <v>2314</v>
      </c>
      <c r="AH394" t="s">
        <v>2379</v>
      </c>
      <c r="AI394" t="s">
        <v>581</v>
      </c>
      <c r="AK394" t="s">
        <v>2514</v>
      </c>
      <c r="AL394" t="s">
        <v>2520</v>
      </c>
      <c r="AM394" t="s">
        <v>2523</v>
      </c>
      <c r="AR394">
        <v>1881704</v>
      </c>
    </row>
    <row r="395" spans="1:44">
      <c r="A395" s="1">
        <f>HYPERLINK("https://lsnyc.legalserver.org/matter/dynamic-profile/view/1881109","18-1881109")</f>
        <v>0</v>
      </c>
      <c r="B395" t="s">
        <v>436</v>
      </c>
      <c r="C395" t="s">
        <v>537</v>
      </c>
      <c r="D395" t="s">
        <v>545</v>
      </c>
      <c r="E395" t="s">
        <v>568</v>
      </c>
      <c r="F395" t="s">
        <v>581</v>
      </c>
      <c r="G395" t="s">
        <v>581</v>
      </c>
      <c r="H395">
        <v>171.33</v>
      </c>
      <c r="I395" t="s">
        <v>726</v>
      </c>
      <c r="J395" t="s">
        <v>702</v>
      </c>
      <c r="K395" t="s">
        <v>582</v>
      </c>
      <c r="L395" t="s">
        <v>816</v>
      </c>
      <c r="N395" t="s">
        <v>820</v>
      </c>
      <c r="O395" t="s">
        <v>824</v>
      </c>
      <c r="P395" t="s">
        <v>828</v>
      </c>
      <c r="Q395">
        <v>11101</v>
      </c>
      <c r="S395" t="s">
        <v>861</v>
      </c>
      <c r="T395" t="s">
        <v>1207</v>
      </c>
      <c r="U395" t="s">
        <v>1401</v>
      </c>
      <c r="V395" t="s">
        <v>1678</v>
      </c>
      <c r="W395" t="s">
        <v>1684</v>
      </c>
      <c r="X395">
        <v>2.3</v>
      </c>
      <c r="Y395">
        <v>0</v>
      </c>
      <c r="Z395">
        <v>1</v>
      </c>
      <c r="AA395" t="s">
        <v>1692</v>
      </c>
      <c r="AB395" t="s">
        <v>2078</v>
      </c>
      <c r="AC395">
        <v>26</v>
      </c>
      <c r="AD395" t="s">
        <v>2201</v>
      </c>
      <c r="AH395" t="s">
        <v>2471</v>
      </c>
      <c r="AI395" t="s">
        <v>581</v>
      </c>
      <c r="AK395" t="s">
        <v>2514</v>
      </c>
      <c r="AL395" t="s">
        <v>2520</v>
      </c>
      <c r="AM395" t="s">
        <v>2523</v>
      </c>
      <c r="AR395">
        <v>1881730</v>
      </c>
    </row>
    <row r="396" spans="1:44">
      <c r="A396" s="1">
        <f>HYPERLINK("https://lsnyc.legalserver.org/matter/dynamic-profile/view/1881116","18-1881116")</f>
        <v>0</v>
      </c>
      <c r="B396" t="s">
        <v>437</v>
      </c>
      <c r="C396" t="s">
        <v>535</v>
      </c>
      <c r="D396" t="s">
        <v>541</v>
      </c>
      <c r="E396" t="s">
        <v>561</v>
      </c>
      <c r="F396" t="s">
        <v>580</v>
      </c>
      <c r="G396" t="s">
        <v>581</v>
      </c>
      <c r="H396">
        <v>134.93</v>
      </c>
      <c r="I396" t="s">
        <v>726</v>
      </c>
      <c r="J396" t="s">
        <v>681</v>
      </c>
      <c r="K396" t="s">
        <v>582</v>
      </c>
      <c r="L396" t="s">
        <v>816</v>
      </c>
      <c r="N396" t="s">
        <v>820</v>
      </c>
      <c r="O396" t="s">
        <v>825</v>
      </c>
      <c r="P396" t="s">
        <v>828</v>
      </c>
      <c r="Q396">
        <v>10033</v>
      </c>
      <c r="S396" t="s">
        <v>861</v>
      </c>
      <c r="T396" t="s">
        <v>1208</v>
      </c>
      <c r="U396" t="s">
        <v>1401</v>
      </c>
      <c r="V396" t="s">
        <v>1678</v>
      </c>
      <c r="W396" t="s">
        <v>1684</v>
      </c>
      <c r="X396">
        <v>2.75</v>
      </c>
      <c r="Y396">
        <v>0</v>
      </c>
      <c r="Z396">
        <v>1</v>
      </c>
      <c r="AA396" t="s">
        <v>1692</v>
      </c>
      <c r="AB396" t="s">
        <v>1775</v>
      </c>
      <c r="AC396">
        <v>36</v>
      </c>
      <c r="AD396" t="s">
        <v>2315</v>
      </c>
      <c r="AI396" t="s">
        <v>581</v>
      </c>
      <c r="AK396" t="s">
        <v>2514</v>
      </c>
      <c r="AL396" t="s">
        <v>2520</v>
      </c>
      <c r="AM396" t="s">
        <v>2523</v>
      </c>
      <c r="AR396">
        <v>1881737</v>
      </c>
    </row>
    <row r="397" spans="1:44">
      <c r="A397" s="1">
        <f>HYPERLINK("https://lsnyc.legalserver.org/matter/dynamic-profile/view/1880946","18-1880946")</f>
        <v>0</v>
      </c>
      <c r="B397" t="s">
        <v>438</v>
      </c>
      <c r="C397" t="s">
        <v>535</v>
      </c>
      <c r="D397" t="s">
        <v>541</v>
      </c>
      <c r="E397" t="s">
        <v>563</v>
      </c>
      <c r="F397" t="s">
        <v>580</v>
      </c>
      <c r="G397" t="s">
        <v>581</v>
      </c>
      <c r="H397">
        <v>51.44</v>
      </c>
      <c r="I397" t="s">
        <v>727</v>
      </c>
      <c r="J397" t="s">
        <v>719</v>
      </c>
      <c r="K397" t="s">
        <v>582</v>
      </c>
      <c r="L397" t="s">
        <v>816</v>
      </c>
      <c r="N397" t="s">
        <v>820</v>
      </c>
      <c r="O397" t="s">
        <v>825</v>
      </c>
      <c r="P397" t="s">
        <v>828</v>
      </c>
      <c r="Q397">
        <v>10025</v>
      </c>
      <c r="S397" t="s">
        <v>861</v>
      </c>
      <c r="T397" t="s">
        <v>1126</v>
      </c>
      <c r="U397" t="s">
        <v>1608</v>
      </c>
      <c r="V397" t="s">
        <v>1678</v>
      </c>
      <c r="W397" t="s">
        <v>1684</v>
      </c>
      <c r="X397">
        <v>5.45</v>
      </c>
      <c r="Y397">
        <v>3</v>
      </c>
      <c r="Z397">
        <v>1</v>
      </c>
      <c r="AA397" t="s">
        <v>1692</v>
      </c>
      <c r="AB397" t="s">
        <v>1930</v>
      </c>
      <c r="AC397">
        <v>66</v>
      </c>
      <c r="AD397" t="s">
        <v>2316</v>
      </c>
      <c r="AH397" t="s">
        <v>2472</v>
      </c>
      <c r="AI397" t="s">
        <v>581</v>
      </c>
      <c r="AK397" t="s">
        <v>2514</v>
      </c>
      <c r="AL397" t="s">
        <v>2520</v>
      </c>
      <c r="AM397" t="s">
        <v>2523</v>
      </c>
      <c r="AR397">
        <v>1881566</v>
      </c>
    </row>
    <row r="398" spans="1:44">
      <c r="A398" s="1">
        <f>HYPERLINK("https://lsnyc.legalserver.org/matter/dynamic-profile/view/1880988","18-1880988")</f>
        <v>0</v>
      </c>
      <c r="B398" t="s">
        <v>439</v>
      </c>
      <c r="C398" t="s">
        <v>535</v>
      </c>
      <c r="D398" t="s">
        <v>541</v>
      </c>
      <c r="E398" t="s">
        <v>563</v>
      </c>
      <c r="F398" t="s">
        <v>580</v>
      </c>
      <c r="G398" t="s">
        <v>581</v>
      </c>
      <c r="H398">
        <v>0</v>
      </c>
      <c r="I398" t="s">
        <v>727</v>
      </c>
      <c r="J398" t="s">
        <v>711</v>
      </c>
      <c r="K398" t="s">
        <v>582</v>
      </c>
      <c r="L398" t="s">
        <v>816</v>
      </c>
      <c r="N398" t="s">
        <v>820</v>
      </c>
      <c r="O398" t="s">
        <v>825</v>
      </c>
      <c r="P398" t="s">
        <v>828</v>
      </c>
      <c r="Q398">
        <v>10032</v>
      </c>
      <c r="S398" t="s">
        <v>861</v>
      </c>
      <c r="T398" t="s">
        <v>1209</v>
      </c>
      <c r="U398" t="s">
        <v>1609</v>
      </c>
      <c r="V398" t="s">
        <v>1678</v>
      </c>
      <c r="W398" t="s">
        <v>1684</v>
      </c>
      <c r="X398">
        <v>8.4</v>
      </c>
      <c r="Y398">
        <v>0</v>
      </c>
      <c r="Z398">
        <v>2</v>
      </c>
      <c r="AA398" t="s">
        <v>1692</v>
      </c>
      <c r="AB398" t="s">
        <v>2079</v>
      </c>
      <c r="AC398">
        <v>64</v>
      </c>
      <c r="AD398" t="s">
        <v>2171</v>
      </c>
      <c r="AH398" t="s">
        <v>2473</v>
      </c>
      <c r="AI398" t="s">
        <v>581</v>
      </c>
      <c r="AK398" t="s">
        <v>2514</v>
      </c>
      <c r="AL398" t="s">
        <v>2520</v>
      </c>
      <c r="AM398" t="s">
        <v>2523</v>
      </c>
      <c r="AR398">
        <v>1881608</v>
      </c>
    </row>
    <row r="399" spans="1:44">
      <c r="A399" s="1">
        <f>HYPERLINK("https://lsnyc.legalserver.org/matter/dynamic-profile/view/1880936","18-1880936")</f>
        <v>0</v>
      </c>
      <c r="B399" t="s">
        <v>440</v>
      </c>
      <c r="C399" t="s">
        <v>536</v>
      </c>
      <c r="D399" t="s">
        <v>544</v>
      </c>
      <c r="E399" t="s">
        <v>564</v>
      </c>
      <c r="F399" t="s">
        <v>580</v>
      </c>
      <c r="G399" t="s">
        <v>581</v>
      </c>
      <c r="H399">
        <v>0</v>
      </c>
      <c r="I399" t="s">
        <v>727</v>
      </c>
      <c r="J399" t="s">
        <v>644</v>
      </c>
      <c r="K399" t="s">
        <v>582</v>
      </c>
      <c r="L399" t="s">
        <v>816</v>
      </c>
      <c r="N399" t="s">
        <v>821</v>
      </c>
      <c r="O399" t="s">
        <v>825</v>
      </c>
      <c r="P399" t="s">
        <v>833</v>
      </c>
      <c r="Q399">
        <v>11235</v>
      </c>
      <c r="R399" t="s">
        <v>841</v>
      </c>
      <c r="S399" t="s">
        <v>861</v>
      </c>
      <c r="T399" t="s">
        <v>1210</v>
      </c>
      <c r="U399" t="s">
        <v>1610</v>
      </c>
      <c r="V399" t="s">
        <v>1678</v>
      </c>
      <c r="X399">
        <v>9.15</v>
      </c>
      <c r="Y399">
        <v>0</v>
      </c>
      <c r="Z399">
        <v>1</v>
      </c>
      <c r="AA399" t="s">
        <v>1692</v>
      </c>
      <c r="AB399" t="s">
        <v>2080</v>
      </c>
      <c r="AC399">
        <v>36</v>
      </c>
      <c r="AD399" t="s">
        <v>2171</v>
      </c>
      <c r="AH399" t="s">
        <v>2474</v>
      </c>
      <c r="AI399" t="s">
        <v>581</v>
      </c>
      <c r="AJ399" t="s">
        <v>2511</v>
      </c>
      <c r="AK399" t="s">
        <v>2514</v>
      </c>
      <c r="AM399" t="s">
        <v>2523</v>
      </c>
      <c r="AR399">
        <v>1881555</v>
      </c>
    </row>
    <row r="400" spans="1:44">
      <c r="A400" s="1">
        <f>HYPERLINK("https://lsnyc.legalserver.org/matter/dynamic-profile/view/1881005","18-1881005")</f>
        <v>0</v>
      </c>
      <c r="B400" t="s">
        <v>441</v>
      </c>
      <c r="C400" t="s">
        <v>536</v>
      </c>
      <c r="D400" t="s">
        <v>544</v>
      </c>
      <c r="E400" t="s">
        <v>569</v>
      </c>
      <c r="F400" t="s">
        <v>581</v>
      </c>
      <c r="G400" t="s">
        <v>581</v>
      </c>
      <c r="H400">
        <v>171.33</v>
      </c>
      <c r="I400" t="s">
        <v>727</v>
      </c>
      <c r="J400" t="s">
        <v>626</v>
      </c>
      <c r="K400" t="s">
        <v>581</v>
      </c>
      <c r="L400" t="s">
        <v>816</v>
      </c>
      <c r="N400" t="s">
        <v>821</v>
      </c>
      <c r="O400" t="s">
        <v>825</v>
      </c>
      <c r="P400" t="s">
        <v>830</v>
      </c>
      <c r="Q400">
        <v>11210</v>
      </c>
      <c r="R400" t="s">
        <v>840</v>
      </c>
      <c r="S400" t="s">
        <v>861</v>
      </c>
      <c r="T400" t="s">
        <v>1211</v>
      </c>
      <c r="U400" t="s">
        <v>1611</v>
      </c>
      <c r="V400" t="s">
        <v>1678</v>
      </c>
      <c r="X400">
        <v>6.5</v>
      </c>
      <c r="Y400">
        <v>0</v>
      </c>
      <c r="Z400">
        <v>1</v>
      </c>
      <c r="AA400" t="s">
        <v>1692</v>
      </c>
      <c r="AB400" t="s">
        <v>2081</v>
      </c>
      <c r="AC400">
        <v>43</v>
      </c>
      <c r="AD400" t="s">
        <v>2201</v>
      </c>
      <c r="AH400" t="s">
        <v>2475</v>
      </c>
      <c r="AK400" t="s">
        <v>2514</v>
      </c>
      <c r="AM400" t="s">
        <v>2523</v>
      </c>
      <c r="AR400">
        <v>1881625</v>
      </c>
    </row>
    <row r="401" spans="1:44">
      <c r="A401" s="1">
        <f>HYPERLINK("https://lsnyc.legalserver.org/matter/dynamic-profile/view/1880882","18-1880882")</f>
        <v>0</v>
      </c>
      <c r="B401" t="s">
        <v>442</v>
      </c>
      <c r="C401" t="s">
        <v>536</v>
      </c>
      <c r="D401" t="s">
        <v>541</v>
      </c>
      <c r="E401" t="s">
        <v>564</v>
      </c>
      <c r="F401" t="s">
        <v>580</v>
      </c>
      <c r="G401" t="s">
        <v>581</v>
      </c>
      <c r="H401">
        <v>0</v>
      </c>
      <c r="I401" t="s">
        <v>728</v>
      </c>
      <c r="J401" t="s">
        <v>699</v>
      </c>
      <c r="K401" t="s">
        <v>581</v>
      </c>
      <c r="L401" t="s">
        <v>816</v>
      </c>
      <c r="N401" t="s">
        <v>821</v>
      </c>
      <c r="O401" t="s">
        <v>825</v>
      </c>
      <c r="P401" t="s">
        <v>829</v>
      </c>
      <c r="Q401">
        <v>10022</v>
      </c>
      <c r="R401" t="s">
        <v>860</v>
      </c>
      <c r="S401" t="s">
        <v>861</v>
      </c>
      <c r="T401" t="s">
        <v>1212</v>
      </c>
      <c r="U401" t="s">
        <v>1396</v>
      </c>
      <c r="V401" t="s">
        <v>1678</v>
      </c>
      <c r="W401" t="s">
        <v>1684</v>
      </c>
      <c r="X401">
        <v>3.1</v>
      </c>
      <c r="Y401">
        <v>0</v>
      </c>
      <c r="Z401">
        <v>1</v>
      </c>
      <c r="AA401" t="s">
        <v>1692</v>
      </c>
      <c r="AB401" t="s">
        <v>2082</v>
      </c>
      <c r="AC401">
        <v>33</v>
      </c>
      <c r="AD401" t="s">
        <v>2171</v>
      </c>
      <c r="AH401" t="s">
        <v>2476</v>
      </c>
      <c r="AI401" t="s">
        <v>581</v>
      </c>
      <c r="AJ401" t="s">
        <v>2511</v>
      </c>
      <c r="AK401" t="s">
        <v>2514</v>
      </c>
      <c r="AL401" t="s">
        <v>2520</v>
      </c>
      <c r="AM401" t="s">
        <v>2523</v>
      </c>
      <c r="AR401">
        <v>1881501</v>
      </c>
    </row>
    <row r="402" spans="1:44">
      <c r="A402" s="1">
        <f>HYPERLINK("https://lsnyc.legalserver.org/matter/dynamic-profile/view/1880763","18-1880763")</f>
        <v>0</v>
      </c>
      <c r="B402" t="s">
        <v>443</v>
      </c>
      <c r="C402" t="s">
        <v>537</v>
      </c>
      <c r="D402" t="s">
        <v>545</v>
      </c>
      <c r="E402" t="s">
        <v>568</v>
      </c>
      <c r="F402" t="s">
        <v>581</v>
      </c>
      <c r="G402" t="s">
        <v>581</v>
      </c>
      <c r="H402">
        <v>184.51</v>
      </c>
      <c r="I402" t="s">
        <v>729</v>
      </c>
      <c r="J402" t="s">
        <v>702</v>
      </c>
      <c r="K402" t="s">
        <v>582</v>
      </c>
      <c r="L402" t="s">
        <v>816</v>
      </c>
      <c r="N402" t="s">
        <v>820</v>
      </c>
      <c r="O402" t="s">
        <v>824</v>
      </c>
      <c r="P402" t="s">
        <v>828</v>
      </c>
      <c r="Q402">
        <v>11102</v>
      </c>
      <c r="S402" t="s">
        <v>861</v>
      </c>
      <c r="T402" t="s">
        <v>1213</v>
      </c>
      <c r="U402" t="s">
        <v>1612</v>
      </c>
      <c r="V402" t="s">
        <v>1680</v>
      </c>
      <c r="W402" t="s">
        <v>1685</v>
      </c>
      <c r="X402">
        <v>13.45</v>
      </c>
      <c r="Y402">
        <v>0</v>
      </c>
      <c r="Z402">
        <v>2</v>
      </c>
      <c r="AA402" t="s">
        <v>1692</v>
      </c>
      <c r="AB402" t="s">
        <v>2083</v>
      </c>
      <c r="AC402">
        <v>28</v>
      </c>
      <c r="AD402" t="s">
        <v>2317</v>
      </c>
      <c r="AG402" t="s">
        <v>2379</v>
      </c>
      <c r="AH402" t="s">
        <v>2477</v>
      </c>
      <c r="AI402" t="s">
        <v>581</v>
      </c>
      <c r="AK402" t="s">
        <v>2516</v>
      </c>
      <c r="AL402" t="s">
        <v>2521</v>
      </c>
      <c r="AM402" t="s">
        <v>2525</v>
      </c>
      <c r="AO402" t="s">
        <v>2528</v>
      </c>
      <c r="AR402">
        <v>1881382</v>
      </c>
    </row>
    <row r="403" spans="1:44">
      <c r="A403" s="1">
        <f>HYPERLINK("https://lsnyc.legalserver.org/matter/dynamic-profile/view/1880803","18-1880803")</f>
        <v>0</v>
      </c>
      <c r="B403" t="s">
        <v>444</v>
      </c>
      <c r="C403" t="s">
        <v>537</v>
      </c>
      <c r="D403" t="s">
        <v>545</v>
      </c>
      <c r="E403" t="s">
        <v>568</v>
      </c>
      <c r="F403" t="s">
        <v>581</v>
      </c>
      <c r="G403" t="s">
        <v>581</v>
      </c>
      <c r="H403">
        <v>189.55</v>
      </c>
      <c r="I403" t="s">
        <v>729</v>
      </c>
      <c r="J403" t="s">
        <v>702</v>
      </c>
      <c r="K403" t="s">
        <v>581</v>
      </c>
      <c r="L403" t="s">
        <v>816</v>
      </c>
      <c r="N403" t="s">
        <v>820</v>
      </c>
      <c r="O403" t="s">
        <v>824</v>
      </c>
      <c r="P403" t="s">
        <v>828</v>
      </c>
      <c r="Q403">
        <v>11372</v>
      </c>
      <c r="S403" t="s">
        <v>861</v>
      </c>
      <c r="T403" t="s">
        <v>1214</v>
      </c>
      <c r="U403" t="s">
        <v>1613</v>
      </c>
      <c r="V403" t="s">
        <v>1678</v>
      </c>
      <c r="W403" t="s">
        <v>1684</v>
      </c>
      <c r="X403">
        <v>5.7</v>
      </c>
      <c r="Y403">
        <v>0</v>
      </c>
      <c r="Z403">
        <v>2</v>
      </c>
      <c r="AA403" t="s">
        <v>1692</v>
      </c>
      <c r="AB403" t="s">
        <v>2084</v>
      </c>
      <c r="AC403">
        <v>60</v>
      </c>
      <c r="AD403" t="s">
        <v>2299</v>
      </c>
      <c r="AH403" t="s">
        <v>2467</v>
      </c>
      <c r="AI403" t="s">
        <v>581</v>
      </c>
      <c r="AK403" t="s">
        <v>2514</v>
      </c>
      <c r="AL403" t="s">
        <v>2519</v>
      </c>
      <c r="AM403" t="s">
        <v>2522</v>
      </c>
      <c r="AR403">
        <v>819092</v>
      </c>
    </row>
    <row r="404" spans="1:44">
      <c r="A404" s="1">
        <f>HYPERLINK("https://lsnyc.legalserver.org/matter/dynamic-profile/view/1880649","18-1880649")</f>
        <v>0</v>
      </c>
      <c r="B404" t="s">
        <v>445</v>
      </c>
      <c r="C404" t="s">
        <v>535</v>
      </c>
      <c r="D404" t="s">
        <v>543</v>
      </c>
      <c r="E404" t="s">
        <v>561</v>
      </c>
      <c r="F404" t="s">
        <v>580</v>
      </c>
      <c r="G404" t="s">
        <v>581</v>
      </c>
      <c r="H404">
        <v>52.78</v>
      </c>
      <c r="I404" t="s">
        <v>730</v>
      </c>
      <c r="J404" t="s">
        <v>709</v>
      </c>
      <c r="K404" t="s">
        <v>581</v>
      </c>
      <c r="L404" t="s">
        <v>816</v>
      </c>
      <c r="N404" t="s">
        <v>820</v>
      </c>
      <c r="O404" t="s">
        <v>825</v>
      </c>
      <c r="P404" t="s">
        <v>828</v>
      </c>
      <c r="Q404">
        <v>10458</v>
      </c>
      <c r="R404" t="s">
        <v>835</v>
      </c>
      <c r="S404" t="s">
        <v>863</v>
      </c>
      <c r="T404" t="s">
        <v>1147</v>
      </c>
      <c r="U404" t="s">
        <v>1350</v>
      </c>
      <c r="V404" t="s">
        <v>1678</v>
      </c>
      <c r="W404" t="s">
        <v>1684</v>
      </c>
      <c r="X404">
        <v>7.9</v>
      </c>
      <c r="Y404">
        <v>0</v>
      </c>
      <c r="Z404">
        <v>1</v>
      </c>
      <c r="AA404" t="s">
        <v>1692</v>
      </c>
      <c r="AB404" t="s">
        <v>2085</v>
      </c>
      <c r="AC404">
        <v>72</v>
      </c>
      <c r="AD404" t="s">
        <v>2318</v>
      </c>
      <c r="AH404" t="s">
        <v>2458</v>
      </c>
      <c r="AI404" t="s">
        <v>581</v>
      </c>
      <c r="AJ404" t="s">
        <v>2513</v>
      </c>
      <c r="AK404" t="s">
        <v>2514</v>
      </c>
      <c r="AL404" t="s">
        <v>2520</v>
      </c>
      <c r="AM404" t="s">
        <v>2523</v>
      </c>
      <c r="AR404">
        <v>1881267</v>
      </c>
    </row>
    <row r="405" spans="1:44">
      <c r="A405" s="1">
        <f>HYPERLINK("https://lsnyc.legalserver.org/matter/dynamic-profile/view/1880465","18-1880465")</f>
        <v>0</v>
      </c>
      <c r="B405" t="s">
        <v>446</v>
      </c>
      <c r="C405" t="s">
        <v>536</v>
      </c>
      <c r="D405" t="s">
        <v>544</v>
      </c>
      <c r="E405" t="s">
        <v>566</v>
      </c>
      <c r="F405" t="s">
        <v>580</v>
      </c>
      <c r="G405" t="s">
        <v>581</v>
      </c>
      <c r="H405">
        <v>192.75</v>
      </c>
      <c r="I405" t="s">
        <v>731</v>
      </c>
      <c r="J405" t="s">
        <v>713</v>
      </c>
      <c r="K405" t="s">
        <v>581</v>
      </c>
      <c r="L405" t="s">
        <v>816</v>
      </c>
      <c r="N405" t="s">
        <v>821</v>
      </c>
      <c r="O405" t="s">
        <v>825</v>
      </c>
      <c r="P405" t="s">
        <v>832</v>
      </c>
      <c r="Q405">
        <v>11203</v>
      </c>
      <c r="S405" t="s">
        <v>861</v>
      </c>
      <c r="T405" t="s">
        <v>1013</v>
      </c>
      <c r="U405" t="s">
        <v>1614</v>
      </c>
      <c r="V405" t="s">
        <v>1678</v>
      </c>
      <c r="W405" t="s">
        <v>1684</v>
      </c>
      <c r="X405">
        <v>4.05</v>
      </c>
      <c r="Y405">
        <v>0</v>
      </c>
      <c r="Z405">
        <v>1</v>
      </c>
      <c r="AA405" t="s">
        <v>1692</v>
      </c>
      <c r="AB405" t="s">
        <v>2086</v>
      </c>
      <c r="AC405">
        <v>51</v>
      </c>
      <c r="AD405" t="s">
        <v>2198</v>
      </c>
      <c r="AI405" t="s">
        <v>581</v>
      </c>
      <c r="AM405" t="s">
        <v>2523</v>
      </c>
      <c r="AR405">
        <v>1881082</v>
      </c>
    </row>
    <row r="406" spans="1:44">
      <c r="A406" s="1">
        <f>HYPERLINK("https://lsnyc.legalserver.org/matter/dynamic-profile/view/1880436","18-1880436")</f>
        <v>0</v>
      </c>
      <c r="B406" t="s">
        <v>447</v>
      </c>
      <c r="C406" t="s">
        <v>540</v>
      </c>
      <c r="D406" t="s">
        <v>543</v>
      </c>
      <c r="E406" t="s">
        <v>573</v>
      </c>
      <c r="F406" t="s">
        <v>580</v>
      </c>
      <c r="G406" t="s">
        <v>581</v>
      </c>
      <c r="H406">
        <v>118.96</v>
      </c>
      <c r="I406" t="s">
        <v>731</v>
      </c>
      <c r="J406" t="s">
        <v>809</v>
      </c>
      <c r="K406" t="s">
        <v>582</v>
      </c>
      <c r="L406" t="s">
        <v>816</v>
      </c>
      <c r="N406" t="s">
        <v>821</v>
      </c>
      <c r="O406" t="s">
        <v>824</v>
      </c>
      <c r="P406" t="s">
        <v>830</v>
      </c>
      <c r="Q406">
        <v>10456</v>
      </c>
      <c r="S406" t="s">
        <v>861</v>
      </c>
      <c r="T406" t="s">
        <v>1215</v>
      </c>
      <c r="U406" t="s">
        <v>1350</v>
      </c>
      <c r="V406" t="s">
        <v>1678</v>
      </c>
      <c r="X406">
        <v>2.25</v>
      </c>
      <c r="Y406">
        <v>2</v>
      </c>
      <c r="Z406">
        <v>1</v>
      </c>
      <c r="AA406" t="s">
        <v>1692</v>
      </c>
      <c r="AB406" t="s">
        <v>2087</v>
      </c>
      <c r="AC406">
        <v>42</v>
      </c>
      <c r="AD406" t="s">
        <v>2319</v>
      </c>
      <c r="AM406" t="s">
        <v>2523</v>
      </c>
      <c r="AR406">
        <v>1881053</v>
      </c>
    </row>
    <row r="407" spans="1:44">
      <c r="A407" s="1">
        <f>HYPERLINK("https://lsnyc.legalserver.org/matter/dynamic-profile/view/1880468","18-1880468")</f>
        <v>0</v>
      </c>
      <c r="B407" t="s">
        <v>448</v>
      </c>
      <c r="C407" t="s">
        <v>537</v>
      </c>
      <c r="D407" t="s">
        <v>545</v>
      </c>
      <c r="E407" t="s">
        <v>568</v>
      </c>
      <c r="F407" t="s">
        <v>581</v>
      </c>
      <c r="G407" t="s">
        <v>581</v>
      </c>
      <c r="H407">
        <v>115.5</v>
      </c>
      <c r="I407" t="s">
        <v>731</v>
      </c>
      <c r="J407" t="s">
        <v>702</v>
      </c>
      <c r="K407" t="s">
        <v>582</v>
      </c>
      <c r="L407" t="s">
        <v>816</v>
      </c>
      <c r="N407" t="s">
        <v>820</v>
      </c>
      <c r="O407" t="s">
        <v>824</v>
      </c>
      <c r="P407" t="s">
        <v>828</v>
      </c>
      <c r="Q407">
        <v>11365</v>
      </c>
      <c r="S407" t="s">
        <v>864</v>
      </c>
      <c r="T407" t="s">
        <v>1216</v>
      </c>
      <c r="U407" t="s">
        <v>1615</v>
      </c>
      <c r="V407" t="s">
        <v>1679</v>
      </c>
      <c r="W407" t="s">
        <v>1687</v>
      </c>
      <c r="X407">
        <v>10.5</v>
      </c>
      <c r="Y407">
        <v>1</v>
      </c>
      <c r="Z407">
        <v>2</v>
      </c>
      <c r="AA407" t="s">
        <v>1692</v>
      </c>
      <c r="AB407" t="s">
        <v>2088</v>
      </c>
      <c r="AC407">
        <v>52</v>
      </c>
      <c r="AD407" t="s">
        <v>2218</v>
      </c>
      <c r="AH407" t="s">
        <v>2478</v>
      </c>
      <c r="AI407" t="s">
        <v>581</v>
      </c>
      <c r="AK407" t="s">
        <v>2514</v>
      </c>
      <c r="AM407" t="s">
        <v>2522</v>
      </c>
      <c r="AR407">
        <v>1881085</v>
      </c>
    </row>
    <row r="408" spans="1:44">
      <c r="A408" s="1">
        <f>HYPERLINK("https://lsnyc.legalserver.org/matter/dynamic-profile/view/1880425","18-1880425")</f>
        <v>0</v>
      </c>
      <c r="B408" t="s">
        <v>449</v>
      </c>
      <c r="C408" t="s">
        <v>539</v>
      </c>
      <c r="D408" t="s">
        <v>543</v>
      </c>
      <c r="E408" t="s">
        <v>571</v>
      </c>
      <c r="F408" t="s">
        <v>580</v>
      </c>
      <c r="G408" t="s">
        <v>581</v>
      </c>
      <c r="H408">
        <v>70.77</v>
      </c>
      <c r="I408" t="s">
        <v>731</v>
      </c>
      <c r="J408" t="s">
        <v>699</v>
      </c>
      <c r="K408" t="s">
        <v>581</v>
      </c>
      <c r="L408" t="s">
        <v>816</v>
      </c>
      <c r="M408" t="s">
        <v>816</v>
      </c>
      <c r="N408" t="s">
        <v>823</v>
      </c>
      <c r="O408" t="s">
        <v>824</v>
      </c>
      <c r="P408" t="s">
        <v>834</v>
      </c>
      <c r="Q408">
        <v>10457</v>
      </c>
      <c r="S408" t="s">
        <v>861</v>
      </c>
      <c r="T408" t="s">
        <v>1217</v>
      </c>
      <c r="U408" t="s">
        <v>1616</v>
      </c>
      <c r="V408" t="s">
        <v>1679</v>
      </c>
      <c r="X408">
        <v>2.8</v>
      </c>
      <c r="Y408">
        <v>0</v>
      </c>
      <c r="Z408">
        <v>1</v>
      </c>
      <c r="AA408" t="s">
        <v>1692</v>
      </c>
      <c r="AB408" t="s">
        <v>2089</v>
      </c>
      <c r="AC408">
        <v>27</v>
      </c>
      <c r="AD408" t="s">
        <v>2320</v>
      </c>
      <c r="AH408" t="s">
        <v>2455</v>
      </c>
      <c r="AI408" t="s">
        <v>581</v>
      </c>
      <c r="AK408" t="s">
        <v>2514</v>
      </c>
      <c r="AL408" t="s">
        <v>2520</v>
      </c>
      <c r="AM408" t="s">
        <v>2523</v>
      </c>
      <c r="AR408">
        <v>1881042</v>
      </c>
    </row>
    <row r="409" spans="1:44">
      <c r="A409" s="1">
        <f>HYPERLINK("https://lsnyc.legalserver.org/matter/dynamic-profile/view/1880373","18-1880373")</f>
        <v>0</v>
      </c>
      <c r="B409" t="s">
        <v>450</v>
      </c>
      <c r="C409" t="s">
        <v>539</v>
      </c>
      <c r="D409" t="s">
        <v>543</v>
      </c>
      <c r="E409" t="s">
        <v>571</v>
      </c>
      <c r="F409" t="s">
        <v>580</v>
      </c>
      <c r="G409" t="s">
        <v>581</v>
      </c>
      <c r="H409">
        <v>119.01</v>
      </c>
      <c r="I409" t="s">
        <v>732</v>
      </c>
      <c r="J409" t="s">
        <v>706</v>
      </c>
      <c r="K409" t="s">
        <v>582</v>
      </c>
      <c r="L409" t="s">
        <v>816</v>
      </c>
      <c r="M409" t="s">
        <v>816</v>
      </c>
      <c r="N409" t="s">
        <v>821</v>
      </c>
      <c r="O409" t="s">
        <v>824</v>
      </c>
      <c r="P409" t="s">
        <v>833</v>
      </c>
      <c r="Q409">
        <v>10467</v>
      </c>
      <c r="R409" t="s">
        <v>841</v>
      </c>
      <c r="S409" t="s">
        <v>861</v>
      </c>
      <c r="T409" t="s">
        <v>1218</v>
      </c>
      <c r="U409" t="s">
        <v>1617</v>
      </c>
      <c r="V409" t="s">
        <v>1679</v>
      </c>
      <c r="W409" t="s">
        <v>1684</v>
      </c>
      <c r="X409">
        <v>2.1</v>
      </c>
      <c r="Y409">
        <v>0</v>
      </c>
      <c r="Z409">
        <v>1</v>
      </c>
      <c r="AA409" t="s">
        <v>1692</v>
      </c>
      <c r="AB409" t="s">
        <v>2090</v>
      </c>
      <c r="AC409">
        <v>54</v>
      </c>
      <c r="AD409" t="s">
        <v>2321</v>
      </c>
      <c r="AH409" t="s">
        <v>2468</v>
      </c>
      <c r="AI409" t="s">
        <v>581</v>
      </c>
      <c r="AK409" t="s">
        <v>2514</v>
      </c>
      <c r="AL409" t="s">
        <v>2520</v>
      </c>
      <c r="AM409" t="s">
        <v>2523</v>
      </c>
      <c r="AR409">
        <v>1880989</v>
      </c>
    </row>
    <row r="410" spans="1:44">
      <c r="A410" s="1">
        <f>HYPERLINK("https://lsnyc.legalserver.org/matter/dynamic-profile/view/1880212","18-1880212")</f>
        <v>0</v>
      </c>
      <c r="B410" t="s">
        <v>451</v>
      </c>
      <c r="C410" t="s">
        <v>536</v>
      </c>
      <c r="D410" t="s">
        <v>544</v>
      </c>
      <c r="E410" t="s">
        <v>569</v>
      </c>
      <c r="F410" t="s">
        <v>580</v>
      </c>
      <c r="G410" t="s">
        <v>581</v>
      </c>
      <c r="H410">
        <v>82.73</v>
      </c>
      <c r="I410" t="s">
        <v>733</v>
      </c>
      <c r="J410" t="s">
        <v>626</v>
      </c>
      <c r="L410" t="s">
        <v>816</v>
      </c>
      <c r="N410" t="s">
        <v>821</v>
      </c>
      <c r="O410" t="s">
        <v>824</v>
      </c>
      <c r="P410" t="s">
        <v>829</v>
      </c>
      <c r="Q410">
        <v>11231</v>
      </c>
      <c r="R410" t="s">
        <v>849</v>
      </c>
      <c r="S410" t="s">
        <v>861</v>
      </c>
      <c r="T410" t="s">
        <v>1093</v>
      </c>
      <c r="U410" t="s">
        <v>1618</v>
      </c>
      <c r="V410" t="s">
        <v>1678</v>
      </c>
      <c r="W410" t="s">
        <v>1684</v>
      </c>
      <c r="X410">
        <v>7.4</v>
      </c>
      <c r="Y410">
        <v>0</v>
      </c>
      <c r="Z410">
        <v>1</v>
      </c>
      <c r="AA410" t="s">
        <v>1692</v>
      </c>
      <c r="AB410" t="s">
        <v>2091</v>
      </c>
      <c r="AC410">
        <v>56</v>
      </c>
      <c r="AD410" t="s">
        <v>2322</v>
      </c>
      <c r="AH410" t="s">
        <v>2379</v>
      </c>
      <c r="AK410" t="s">
        <v>2514</v>
      </c>
      <c r="AM410" t="s">
        <v>2523</v>
      </c>
      <c r="AR410">
        <v>273117</v>
      </c>
    </row>
    <row r="411" spans="1:44">
      <c r="A411" s="1">
        <f>HYPERLINK("https://lsnyc.legalserver.org/matter/dynamic-profile/view/1879745","18-1879745")</f>
        <v>0</v>
      </c>
      <c r="B411" t="s">
        <v>452</v>
      </c>
      <c r="C411" t="s">
        <v>536</v>
      </c>
      <c r="D411" t="s">
        <v>544</v>
      </c>
      <c r="E411" t="s">
        <v>566</v>
      </c>
      <c r="F411" t="s">
        <v>580</v>
      </c>
      <c r="G411" t="s">
        <v>581</v>
      </c>
      <c r="H411">
        <v>164.98</v>
      </c>
      <c r="I411" t="s">
        <v>734</v>
      </c>
      <c r="J411" t="s">
        <v>808</v>
      </c>
      <c r="K411" t="s">
        <v>582</v>
      </c>
      <c r="L411" t="s">
        <v>816</v>
      </c>
      <c r="N411" t="s">
        <v>821</v>
      </c>
      <c r="O411" t="s">
        <v>824</v>
      </c>
      <c r="P411" t="s">
        <v>833</v>
      </c>
      <c r="Q411">
        <v>11224</v>
      </c>
      <c r="S411" t="s">
        <v>861</v>
      </c>
      <c r="T411" t="s">
        <v>1219</v>
      </c>
      <c r="U411" t="s">
        <v>1619</v>
      </c>
      <c r="V411" t="s">
        <v>1678</v>
      </c>
      <c r="W411" t="s">
        <v>1684</v>
      </c>
      <c r="X411">
        <v>4.9</v>
      </c>
      <c r="Y411">
        <v>0</v>
      </c>
      <c r="Z411">
        <v>1</v>
      </c>
      <c r="AA411" t="s">
        <v>1692</v>
      </c>
      <c r="AB411" t="s">
        <v>2092</v>
      </c>
      <c r="AC411">
        <v>54</v>
      </c>
      <c r="AD411" t="s">
        <v>2323</v>
      </c>
      <c r="AI411" t="s">
        <v>581</v>
      </c>
      <c r="AM411" t="s">
        <v>2523</v>
      </c>
      <c r="AR411">
        <v>1880360</v>
      </c>
    </row>
    <row r="412" spans="1:44">
      <c r="A412" s="1">
        <f>HYPERLINK("https://lsnyc.legalserver.org/matter/dynamic-profile/view/1879784","18-1879784")</f>
        <v>0</v>
      </c>
      <c r="B412" t="s">
        <v>453</v>
      </c>
      <c r="C412" t="s">
        <v>539</v>
      </c>
      <c r="D412" t="s">
        <v>541</v>
      </c>
      <c r="E412" t="s">
        <v>571</v>
      </c>
      <c r="F412" t="s">
        <v>580</v>
      </c>
      <c r="G412" t="s">
        <v>581</v>
      </c>
      <c r="H412">
        <v>38.06</v>
      </c>
      <c r="I412" t="s">
        <v>734</v>
      </c>
      <c r="K412" t="s">
        <v>581</v>
      </c>
      <c r="L412" t="s">
        <v>816</v>
      </c>
      <c r="M412" t="s">
        <v>816</v>
      </c>
      <c r="N412" t="s">
        <v>821</v>
      </c>
      <c r="O412" t="s">
        <v>824</v>
      </c>
      <c r="P412" t="s">
        <v>833</v>
      </c>
      <c r="Q412">
        <v>10023</v>
      </c>
      <c r="R412" t="s">
        <v>858</v>
      </c>
      <c r="S412" t="s">
        <v>861</v>
      </c>
      <c r="T412" t="s">
        <v>1201</v>
      </c>
      <c r="U412" t="s">
        <v>1573</v>
      </c>
      <c r="X412">
        <v>20</v>
      </c>
      <c r="Y412">
        <v>0</v>
      </c>
      <c r="Z412">
        <v>1</v>
      </c>
      <c r="AA412" t="s">
        <v>1691</v>
      </c>
      <c r="AB412" t="s">
        <v>2093</v>
      </c>
      <c r="AC412">
        <v>53</v>
      </c>
      <c r="AD412" t="s">
        <v>2324</v>
      </c>
      <c r="AJ412" t="s">
        <v>2512</v>
      </c>
      <c r="AL412" t="s">
        <v>2520</v>
      </c>
      <c r="AM412" t="s">
        <v>2527</v>
      </c>
      <c r="AR412">
        <v>1880399</v>
      </c>
    </row>
    <row r="413" spans="1:44">
      <c r="A413" s="1">
        <f>HYPERLINK("https://lsnyc.legalserver.org/matter/dynamic-profile/view/1879630","18-1879630")</f>
        <v>0</v>
      </c>
      <c r="B413" t="s">
        <v>454</v>
      </c>
      <c r="C413" t="s">
        <v>535</v>
      </c>
      <c r="D413" t="s">
        <v>541</v>
      </c>
      <c r="E413" t="s">
        <v>563</v>
      </c>
      <c r="F413" t="s">
        <v>580</v>
      </c>
      <c r="G413" t="s">
        <v>581</v>
      </c>
      <c r="H413">
        <v>118.62</v>
      </c>
      <c r="I413" t="s">
        <v>735</v>
      </c>
      <c r="J413" t="s">
        <v>808</v>
      </c>
      <c r="K413" t="s">
        <v>582</v>
      </c>
      <c r="L413" t="s">
        <v>816</v>
      </c>
      <c r="N413" t="s">
        <v>820</v>
      </c>
      <c r="O413" t="s">
        <v>825</v>
      </c>
      <c r="P413" t="s">
        <v>828</v>
      </c>
      <c r="Q413">
        <v>10003</v>
      </c>
      <c r="S413" t="s">
        <v>861</v>
      </c>
      <c r="T413" t="s">
        <v>877</v>
      </c>
      <c r="U413" t="s">
        <v>1307</v>
      </c>
      <c r="V413" t="s">
        <v>1678</v>
      </c>
      <c r="W413" t="s">
        <v>1684</v>
      </c>
      <c r="X413">
        <v>2</v>
      </c>
      <c r="Y413">
        <v>0</v>
      </c>
      <c r="Z413">
        <v>1</v>
      </c>
      <c r="AA413" t="s">
        <v>1692</v>
      </c>
      <c r="AB413" t="s">
        <v>2094</v>
      </c>
      <c r="AC413">
        <v>55</v>
      </c>
      <c r="AD413" t="s">
        <v>2181</v>
      </c>
      <c r="AH413" t="s">
        <v>2479</v>
      </c>
      <c r="AI413" t="s">
        <v>581</v>
      </c>
      <c r="AK413" t="s">
        <v>2514</v>
      </c>
      <c r="AL413" t="s">
        <v>2520</v>
      </c>
      <c r="AM413" t="s">
        <v>2523</v>
      </c>
      <c r="AR413">
        <v>1880245</v>
      </c>
    </row>
    <row r="414" spans="1:44">
      <c r="A414" s="1">
        <f>HYPERLINK("https://lsnyc.legalserver.org/matter/dynamic-profile/view/1879697","18-1879697")</f>
        <v>0</v>
      </c>
      <c r="B414" t="s">
        <v>455</v>
      </c>
      <c r="C414" t="s">
        <v>535</v>
      </c>
      <c r="D414" t="s">
        <v>560</v>
      </c>
      <c r="E414" t="s">
        <v>563</v>
      </c>
      <c r="F414" t="s">
        <v>580</v>
      </c>
      <c r="G414" t="s">
        <v>581</v>
      </c>
      <c r="H414">
        <v>195.75</v>
      </c>
      <c r="I414" t="s">
        <v>735</v>
      </c>
      <c r="J414" t="s">
        <v>709</v>
      </c>
      <c r="K414" t="s">
        <v>582</v>
      </c>
      <c r="L414" t="s">
        <v>816</v>
      </c>
      <c r="N414" t="s">
        <v>820</v>
      </c>
      <c r="O414" t="s">
        <v>824</v>
      </c>
      <c r="P414" t="s">
        <v>828</v>
      </c>
      <c r="Q414">
        <v>6810</v>
      </c>
      <c r="S414" t="s">
        <v>861</v>
      </c>
      <c r="T414" t="s">
        <v>1220</v>
      </c>
      <c r="U414" t="s">
        <v>1620</v>
      </c>
      <c r="V414" t="s">
        <v>1678</v>
      </c>
      <c r="W414" t="s">
        <v>1684</v>
      </c>
      <c r="X414">
        <v>3.7</v>
      </c>
      <c r="Y414">
        <v>1</v>
      </c>
      <c r="Z414">
        <v>1</v>
      </c>
      <c r="AA414" t="s">
        <v>1692</v>
      </c>
      <c r="AB414" t="s">
        <v>2095</v>
      </c>
      <c r="AC414">
        <v>45</v>
      </c>
      <c r="AD414" t="s">
        <v>2325</v>
      </c>
      <c r="AH414" t="s">
        <v>2480</v>
      </c>
      <c r="AI414" t="s">
        <v>581</v>
      </c>
      <c r="AK414" t="s">
        <v>2514</v>
      </c>
      <c r="AL414" t="s">
        <v>2520</v>
      </c>
      <c r="AM414" t="s">
        <v>2523</v>
      </c>
      <c r="AR414">
        <v>1880312</v>
      </c>
    </row>
    <row r="415" spans="1:44">
      <c r="A415" s="1">
        <f>HYPERLINK("https://lsnyc.legalserver.org/matter/dynamic-profile/view/1879687","18-1879687")</f>
        <v>0</v>
      </c>
      <c r="B415" t="s">
        <v>456</v>
      </c>
      <c r="C415" t="s">
        <v>537</v>
      </c>
      <c r="D415" t="s">
        <v>545</v>
      </c>
      <c r="E415" t="s">
        <v>576</v>
      </c>
      <c r="F415" t="s">
        <v>581</v>
      </c>
      <c r="G415" t="s">
        <v>581</v>
      </c>
      <c r="H415">
        <v>42.83</v>
      </c>
      <c r="I415" t="s">
        <v>735</v>
      </c>
      <c r="J415" t="s">
        <v>698</v>
      </c>
      <c r="K415" t="s">
        <v>581</v>
      </c>
      <c r="L415" t="s">
        <v>816</v>
      </c>
      <c r="N415" t="s">
        <v>821</v>
      </c>
      <c r="O415" t="s">
        <v>825</v>
      </c>
      <c r="P415" t="s">
        <v>832</v>
      </c>
      <c r="Q415">
        <v>11418</v>
      </c>
      <c r="S415" t="s">
        <v>861</v>
      </c>
      <c r="T415" t="s">
        <v>1221</v>
      </c>
      <c r="U415" t="s">
        <v>1621</v>
      </c>
      <c r="V415" t="s">
        <v>1678</v>
      </c>
      <c r="W415" t="s">
        <v>1684</v>
      </c>
      <c r="X415">
        <v>7.9</v>
      </c>
      <c r="Y415">
        <v>0</v>
      </c>
      <c r="Z415">
        <v>1</v>
      </c>
      <c r="AA415" t="s">
        <v>1692</v>
      </c>
      <c r="AB415" t="s">
        <v>2096</v>
      </c>
      <c r="AC415">
        <v>20</v>
      </c>
      <c r="AD415" t="s">
        <v>2248</v>
      </c>
      <c r="AM415" t="s">
        <v>2523</v>
      </c>
      <c r="AR415">
        <v>1880302</v>
      </c>
    </row>
    <row r="416" spans="1:44">
      <c r="A416" s="1">
        <f>HYPERLINK("https://lsnyc.legalserver.org/matter/dynamic-profile/view/1879553","18-1879553")</f>
        <v>0</v>
      </c>
      <c r="B416" t="s">
        <v>457</v>
      </c>
      <c r="C416" t="s">
        <v>539</v>
      </c>
      <c r="D416" t="s">
        <v>543</v>
      </c>
      <c r="E416" t="s">
        <v>571</v>
      </c>
      <c r="F416" t="s">
        <v>580</v>
      </c>
      <c r="G416" t="s">
        <v>581</v>
      </c>
      <c r="H416">
        <v>87.48</v>
      </c>
      <c r="I416" t="s">
        <v>736</v>
      </c>
      <c r="J416" t="s">
        <v>735</v>
      </c>
      <c r="K416" t="s">
        <v>582</v>
      </c>
      <c r="L416" t="s">
        <v>816</v>
      </c>
      <c r="N416" t="s">
        <v>821</v>
      </c>
      <c r="O416" t="s">
        <v>825</v>
      </c>
      <c r="P416" t="s">
        <v>830</v>
      </c>
      <c r="Q416">
        <v>10466</v>
      </c>
      <c r="R416" t="s">
        <v>840</v>
      </c>
      <c r="S416" t="s">
        <v>861</v>
      </c>
      <c r="T416" t="s">
        <v>1222</v>
      </c>
      <c r="U416" t="s">
        <v>1576</v>
      </c>
      <c r="V416" t="s">
        <v>1678</v>
      </c>
      <c r="W416" t="s">
        <v>1684</v>
      </c>
      <c r="X416">
        <v>1.4</v>
      </c>
      <c r="Y416">
        <v>0</v>
      </c>
      <c r="Z416">
        <v>2</v>
      </c>
      <c r="AA416" t="s">
        <v>1692</v>
      </c>
      <c r="AB416" t="s">
        <v>2097</v>
      </c>
      <c r="AC416">
        <v>71</v>
      </c>
      <c r="AD416" t="s">
        <v>2181</v>
      </c>
      <c r="AH416" t="s">
        <v>2479</v>
      </c>
      <c r="AI416" t="s">
        <v>581</v>
      </c>
      <c r="AK416" t="s">
        <v>2514</v>
      </c>
      <c r="AL416" t="s">
        <v>2520</v>
      </c>
      <c r="AM416" t="s">
        <v>2523</v>
      </c>
      <c r="AR416">
        <v>1880168</v>
      </c>
    </row>
    <row r="417" spans="1:44">
      <c r="A417" s="1">
        <f>HYPERLINK("https://lsnyc.legalserver.org/matter/dynamic-profile/view/1879478","18-1879478")</f>
        <v>0</v>
      </c>
      <c r="B417" t="s">
        <v>458</v>
      </c>
      <c r="C417" t="s">
        <v>537</v>
      </c>
      <c r="D417" t="s">
        <v>545</v>
      </c>
      <c r="E417" t="s">
        <v>568</v>
      </c>
      <c r="F417" t="s">
        <v>581</v>
      </c>
      <c r="G417" t="s">
        <v>581</v>
      </c>
      <c r="H417">
        <v>28.69</v>
      </c>
      <c r="I417" t="s">
        <v>736</v>
      </c>
      <c r="J417" t="s">
        <v>702</v>
      </c>
      <c r="K417" t="s">
        <v>582</v>
      </c>
      <c r="L417" t="s">
        <v>816</v>
      </c>
      <c r="N417" t="s">
        <v>820</v>
      </c>
      <c r="O417" t="s">
        <v>824</v>
      </c>
      <c r="P417" t="s">
        <v>828</v>
      </c>
      <c r="Q417">
        <v>11418</v>
      </c>
      <c r="S417" t="s">
        <v>861</v>
      </c>
      <c r="T417" t="s">
        <v>1223</v>
      </c>
      <c r="U417" t="s">
        <v>1622</v>
      </c>
      <c r="V417" t="s">
        <v>1678</v>
      </c>
      <c r="W417" t="s">
        <v>1684</v>
      </c>
      <c r="X417">
        <v>8.25</v>
      </c>
      <c r="Y417">
        <v>1</v>
      </c>
      <c r="Z417">
        <v>3</v>
      </c>
      <c r="AA417" t="s">
        <v>1692</v>
      </c>
      <c r="AB417" t="s">
        <v>2098</v>
      </c>
      <c r="AC417">
        <v>39</v>
      </c>
      <c r="AD417" t="s">
        <v>2326</v>
      </c>
      <c r="AH417" t="s">
        <v>2481</v>
      </c>
      <c r="AI417" t="s">
        <v>581</v>
      </c>
      <c r="AK417" t="s">
        <v>2514</v>
      </c>
      <c r="AM417" t="s">
        <v>2523</v>
      </c>
      <c r="AR417">
        <v>1880093</v>
      </c>
    </row>
    <row r="418" spans="1:44">
      <c r="A418" s="1">
        <f>HYPERLINK("https://lsnyc.legalserver.org/matter/dynamic-profile/view/1879579","18-1879579")</f>
        <v>0</v>
      </c>
      <c r="B418" t="s">
        <v>459</v>
      </c>
      <c r="C418" t="s">
        <v>537</v>
      </c>
      <c r="D418" t="s">
        <v>545</v>
      </c>
      <c r="E418" t="s">
        <v>568</v>
      </c>
      <c r="F418" t="s">
        <v>581</v>
      </c>
      <c r="G418" t="s">
        <v>581</v>
      </c>
      <c r="H418">
        <v>141.91</v>
      </c>
      <c r="I418" t="s">
        <v>736</v>
      </c>
      <c r="J418" t="s">
        <v>807</v>
      </c>
      <c r="K418" t="s">
        <v>582</v>
      </c>
      <c r="L418" t="s">
        <v>816</v>
      </c>
      <c r="N418" t="s">
        <v>820</v>
      </c>
      <c r="O418" t="s">
        <v>825</v>
      </c>
      <c r="P418" t="s">
        <v>828</v>
      </c>
      <c r="Q418">
        <v>11418</v>
      </c>
      <c r="S418" t="s">
        <v>861</v>
      </c>
      <c r="T418" t="s">
        <v>1224</v>
      </c>
      <c r="U418" t="s">
        <v>1623</v>
      </c>
      <c r="V418" t="s">
        <v>1678</v>
      </c>
      <c r="W418" t="s">
        <v>1684</v>
      </c>
      <c r="X418">
        <v>6.95</v>
      </c>
      <c r="Y418">
        <v>2</v>
      </c>
      <c r="Z418">
        <v>2</v>
      </c>
      <c r="AA418" t="s">
        <v>1692</v>
      </c>
      <c r="AB418" t="s">
        <v>2099</v>
      </c>
      <c r="AC418">
        <v>44</v>
      </c>
      <c r="AD418" t="s">
        <v>2327</v>
      </c>
      <c r="AH418" t="s">
        <v>2482</v>
      </c>
      <c r="AI418" t="s">
        <v>581</v>
      </c>
      <c r="AK418" t="s">
        <v>2514</v>
      </c>
      <c r="AM418" t="s">
        <v>2523</v>
      </c>
      <c r="AR418">
        <v>1880194</v>
      </c>
    </row>
    <row r="419" spans="1:44">
      <c r="A419" s="1">
        <f>HYPERLINK("https://lsnyc.legalserver.org/matter/dynamic-profile/view/1879505","18-1879505")</f>
        <v>0</v>
      </c>
      <c r="B419" t="s">
        <v>460</v>
      </c>
      <c r="C419" t="s">
        <v>537</v>
      </c>
      <c r="D419" t="s">
        <v>544</v>
      </c>
      <c r="E419" t="s">
        <v>568</v>
      </c>
      <c r="F419" t="s">
        <v>581</v>
      </c>
      <c r="G419" t="s">
        <v>581</v>
      </c>
      <c r="H419">
        <v>0</v>
      </c>
      <c r="I419" t="s">
        <v>736</v>
      </c>
      <c r="J419" t="s">
        <v>805</v>
      </c>
      <c r="K419" t="s">
        <v>582</v>
      </c>
      <c r="L419" t="s">
        <v>816</v>
      </c>
      <c r="N419" t="s">
        <v>820</v>
      </c>
      <c r="O419" t="s">
        <v>825</v>
      </c>
      <c r="P419" t="s">
        <v>828</v>
      </c>
      <c r="Q419">
        <v>11385</v>
      </c>
      <c r="S419" t="s">
        <v>863</v>
      </c>
      <c r="T419" t="s">
        <v>1211</v>
      </c>
      <c r="U419" t="s">
        <v>1624</v>
      </c>
      <c r="V419" t="s">
        <v>1678</v>
      </c>
      <c r="W419" t="s">
        <v>1684</v>
      </c>
      <c r="X419">
        <v>6.05</v>
      </c>
      <c r="Y419">
        <v>0</v>
      </c>
      <c r="Z419">
        <v>1</v>
      </c>
      <c r="AA419" t="s">
        <v>1692</v>
      </c>
      <c r="AB419" t="s">
        <v>2100</v>
      </c>
      <c r="AC419">
        <v>56</v>
      </c>
      <c r="AD419" t="s">
        <v>2171</v>
      </c>
      <c r="AH419" t="s">
        <v>2483</v>
      </c>
      <c r="AK419" t="s">
        <v>2514</v>
      </c>
      <c r="AL419" t="s">
        <v>2520</v>
      </c>
      <c r="AM419" t="s">
        <v>2523</v>
      </c>
      <c r="AR419">
        <v>256295</v>
      </c>
    </row>
    <row r="420" spans="1:44">
      <c r="A420" s="1">
        <f>HYPERLINK("https://lsnyc.legalserver.org/matter/dynamic-profile/view/1879374","18-1879374")</f>
        <v>0</v>
      </c>
      <c r="B420" t="s">
        <v>461</v>
      </c>
      <c r="C420" t="s">
        <v>535</v>
      </c>
      <c r="D420" t="s">
        <v>541</v>
      </c>
      <c r="E420" t="s">
        <v>561</v>
      </c>
      <c r="F420" t="s">
        <v>580</v>
      </c>
      <c r="G420" t="s">
        <v>581</v>
      </c>
      <c r="H420">
        <v>43</v>
      </c>
      <c r="I420" t="s">
        <v>737</v>
      </c>
      <c r="J420" t="s">
        <v>808</v>
      </c>
      <c r="K420" t="s">
        <v>582</v>
      </c>
      <c r="L420" t="s">
        <v>816</v>
      </c>
      <c r="N420" t="s">
        <v>820</v>
      </c>
      <c r="O420" t="s">
        <v>825</v>
      </c>
      <c r="P420" t="s">
        <v>828</v>
      </c>
      <c r="Q420">
        <v>10009</v>
      </c>
      <c r="R420" t="s">
        <v>835</v>
      </c>
      <c r="S420" t="s">
        <v>861</v>
      </c>
      <c r="T420" t="s">
        <v>1225</v>
      </c>
      <c r="U420" t="s">
        <v>1625</v>
      </c>
      <c r="V420" t="s">
        <v>1678</v>
      </c>
      <c r="W420" t="s">
        <v>1684</v>
      </c>
      <c r="X420">
        <v>4.35</v>
      </c>
      <c r="Y420">
        <v>0</v>
      </c>
      <c r="Z420">
        <v>1</v>
      </c>
      <c r="AA420" t="s">
        <v>1692</v>
      </c>
      <c r="AB420" t="s">
        <v>2101</v>
      </c>
      <c r="AC420">
        <v>30</v>
      </c>
      <c r="AD420" t="s">
        <v>2328</v>
      </c>
      <c r="AH420" t="s">
        <v>2384</v>
      </c>
      <c r="AI420" t="s">
        <v>581</v>
      </c>
      <c r="AJ420" t="s">
        <v>2513</v>
      </c>
      <c r="AK420" t="s">
        <v>2514</v>
      </c>
      <c r="AL420" t="s">
        <v>2520</v>
      </c>
      <c r="AM420" t="s">
        <v>2523</v>
      </c>
      <c r="AR420">
        <v>1879989</v>
      </c>
    </row>
    <row r="421" spans="1:44">
      <c r="A421" s="1">
        <f>HYPERLINK("https://lsnyc.legalserver.org/matter/dynamic-profile/view/1879380","18-1879380")</f>
        <v>0</v>
      </c>
      <c r="B421" t="s">
        <v>462</v>
      </c>
      <c r="C421" t="s">
        <v>535</v>
      </c>
      <c r="D421" t="s">
        <v>543</v>
      </c>
      <c r="E421" t="s">
        <v>563</v>
      </c>
      <c r="F421" t="s">
        <v>580</v>
      </c>
      <c r="G421" t="s">
        <v>581</v>
      </c>
      <c r="H421">
        <v>0</v>
      </c>
      <c r="I421" t="s">
        <v>737</v>
      </c>
      <c r="J421" t="s">
        <v>715</v>
      </c>
      <c r="K421" t="s">
        <v>582</v>
      </c>
      <c r="L421" t="s">
        <v>816</v>
      </c>
      <c r="N421" t="s">
        <v>820</v>
      </c>
      <c r="O421" t="s">
        <v>824</v>
      </c>
      <c r="P421" t="s">
        <v>828</v>
      </c>
      <c r="Q421">
        <v>10473</v>
      </c>
      <c r="S421" t="s">
        <v>861</v>
      </c>
      <c r="T421" t="s">
        <v>1226</v>
      </c>
      <c r="U421" t="s">
        <v>1626</v>
      </c>
      <c r="V421" t="s">
        <v>1678</v>
      </c>
      <c r="W421" t="s">
        <v>1684</v>
      </c>
      <c r="X421">
        <v>3.65</v>
      </c>
      <c r="Y421">
        <v>0</v>
      </c>
      <c r="Z421">
        <v>3</v>
      </c>
      <c r="AA421" t="s">
        <v>1692</v>
      </c>
      <c r="AB421" t="s">
        <v>2102</v>
      </c>
      <c r="AC421">
        <v>56</v>
      </c>
      <c r="AD421" t="s">
        <v>2171</v>
      </c>
      <c r="AH421" t="s">
        <v>2484</v>
      </c>
      <c r="AI421" t="s">
        <v>581</v>
      </c>
      <c r="AK421" t="s">
        <v>2514</v>
      </c>
      <c r="AL421" t="s">
        <v>2520</v>
      </c>
      <c r="AM421" t="s">
        <v>2523</v>
      </c>
      <c r="AR421">
        <v>1879995</v>
      </c>
    </row>
    <row r="422" spans="1:44">
      <c r="A422" s="1">
        <f>HYPERLINK("https://lsnyc.legalserver.org/matter/dynamic-profile/view/1879410","18-1879410")</f>
        <v>0</v>
      </c>
      <c r="B422" t="s">
        <v>463</v>
      </c>
      <c r="C422" t="s">
        <v>537</v>
      </c>
      <c r="D422" t="s">
        <v>545</v>
      </c>
      <c r="E422" t="s">
        <v>568</v>
      </c>
      <c r="F422" t="s">
        <v>581</v>
      </c>
      <c r="G422" t="s">
        <v>581</v>
      </c>
      <c r="H422">
        <v>102.37</v>
      </c>
      <c r="I422" t="s">
        <v>737</v>
      </c>
      <c r="J422" t="s">
        <v>702</v>
      </c>
      <c r="K422" t="s">
        <v>582</v>
      </c>
      <c r="L422" t="s">
        <v>816</v>
      </c>
      <c r="N422" t="s">
        <v>820</v>
      </c>
      <c r="O422" t="s">
        <v>824</v>
      </c>
      <c r="P422" t="s">
        <v>828</v>
      </c>
      <c r="Q422">
        <v>11429</v>
      </c>
      <c r="S422" t="s">
        <v>861</v>
      </c>
      <c r="T422" t="s">
        <v>1227</v>
      </c>
      <c r="U422" t="s">
        <v>1336</v>
      </c>
      <c r="V422" t="s">
        <v>1678</v>
      </c>
      <c r="W422" t="s">
        <v>1684</v>
      </c>
      <c r="X422">
        <v>4.25</v>
      </c>
      <c r="Y422">
        <v>0</v>
      </c>
      <c r="Z422">
        <v>1</v>
      </c>
      <c r="AA422" t="s">
        <v>1692</v>
      </c>
      <c r="AB422" t="s">
        <v>2103</v>
      </c>
      <c r="AC422">
        <v>23</v>
      </c>
      <c r="AD422" t="s">
        <v>2329</v>
      </c>
      <c r="AH422" t="s">
        <v>2479</v>
      </c>
      <c r="AI422" t="s">
        <v>581</v>
      </c>
      <c r="AK422" t="s">
        <v>2514</v>
      </c>
      <c r="AL422" t="s">
        <v>2520</v>
      </c>
      <c r="AM422" t="s">
        <v>2523</v>
      </c>
      <c r="AR422">
        <v>1880025</v>
      </c>
    </row>
    <row r="423" spans="1:44">
      <c r="A423" s="1">
        <f>HYPERLINK("https://lsnyc.legalserver.org/matter/dynamic-profile/view/1879033","18-1879033")</f>
        <v>0</v>
      </c>
      <c r="B423" t="s">
        <v>464</v>
      </c>
      <c r="C423" t="s">
        <v>535</v>
      </c>
      <c r="D423" t="s">
        <v>543</v>
      </c>
      <c r="E423" t="s">
        <v>563</v>
      </c>
      <c r="F423" t="s">
        <v>580</v>
      </c>
      <c r="G423" t="s">
        <v>581</v>
      </c>
      <c r="H423">
        <v>0</v>
      </c>
      <c r="I423" t="s">
        <v>738</v>
      </c>
      <c r="J423" t="s">
        <v>726</v>
      </c>
      <c r="K423" t="s">
        <v>582</v>
      </c>
      <c r="L423" t="s">
        <v>816</v>
      </c>
      <c r="N423" t="s">
        <v>820</v>
      </c>
      <c r="O423" t="s">
        <v>825</v>
      </c>
      <c r="P423" t="s">
        <v>828</v>
      </c>
      <c r="Q423">
        <v>10473</v>
      </c>
      <c r="S423" t="s">
        <v>861</v>
      </c>
      <c r="T423" t="s">
        <v>1228</v>
      </c>
      <c r="U423" t="s">
        <v>1627</v>
      </c>
      <c r="V423" t="s">
        <v>1678</v>
      </c>
      <c r="W423" t="s">
        <v>1684</v>
      </c>
      <c r="X423">
        <v>2.75</v>
      </c>
      <c r="Y423">
        <v>0</v>
      </c>
      <c r="Z423">
        <v>1</v>
      </c>
      <c r="AA423" t="s">
        <v>1692</v>
      </c>
      <c r="AB423" t="s">
        <v>2104</v>
      </c>
      <c r="AC423">
        <v>27</v>
      </c>
      <c r="AD423" t="s">
        <v>2171</v>
      </c>
      <c r="AH423" t="s">
        <v>2485</v>
      </c>
      <c r="AI423" t="s">
        <v>581</v>
      </c>
      <c r="AK423" t="s">
        <v>2514</v>
      </c>
      <c r="AL423" t="s">
        <v>2520</v>
      </c>
      <c r="AM423" t="s">
        <v>2523</v>
      </c>
      <c r="AR423">
        <v>1879648</v>
      </c>
    </row>
    <row r="424" spans="1:44">
      <c r="A424" s="1">
        <f>HYPERLINK("https://lsnyc.legalserver.org/matter/dynamic-profile/view/1879093","18-1879093")</f>
        <v>0</v>
      </c>
      <c r="B424" t="s">
        <v>465</v>
      </c>
      <c r="C424" t="s">
        <v>535</v>
      </c>
      <c r="D424" t="s">
        <v>542</v>
      </c>
      <c r="E424" t="s">
        <v>563</v>
      </c>
      <c r="F424" t="s">
        <v>580</v>
      </c>
      <c r="G424" t="s">
        <v>581</v>
      </c>
      <c r="H424">
        <v>0</v>
      </c>
      <c r="I424" t="s">
        <v>738</v>
      </c>
      <c r="J424" t="s">
        <v>726</v>
      </c>
      <c r="K424" t="s">
        <v>582</v>
      </c>
      <c r="L424" t="s">
        <v>816</v>
      </c>
      <c r="N424" t="s">
        <v>820</v>
      </c>
      <c r="O424" t="s">
        <v>825</v>
      </c>
      <c r="P424" t="s">
        <v>828</v>
      </c>
      <c r="Q424">
        <v>10312</v>
      </c>
      <c r="S424" t="s">
        <v>861</v>
      </c>
      <c r="T424" t="s">
        <v>1211</v>
      </c>
      <c r="U424" t="s">
        <v>1628</v>
      </c>
      <c r="V424" t="s">
        <v>1678</v>
      </c>
      <c r="W424" t="s">
        <v>1684</v>
      </c>
      <c r="X424">
        <v>3.9</v>
      </c>
      <c r="Y424">
        <v>0</v>
      </c>
      <c r="Z424">
        <v>1</v>
      </c>
      <c r="AA424" t="s">
        <v>1692</v>
      </c>
      <c r="AB424" t="s">
        <v>2105</v>
      </c>
      <c r="AC424">
        <v>29</v>
      </c>
      <c r="AD424" t="s">
        <v>2171</v>
      </c>
      <c r="AH424" t="s">
        <v>2484</v>
      </c>
      <c r="AK424" t="s">
        <v>2514</v>
      </c>
      <c r="AL424" t="s">
        <v>2520</v>
      </c>
      <c r="AM424" t="s">
        <v>2523</v>
      </c>
      <c r="AR424">
        <v>1879708</v>
      </c>
    </row>
    <row r="425" spans="1:44">
      <c r="A425" s="1">
        <f>HYPERLINK("https://lsnyc.legalserver.org/matter/dynamic-profile/view/1879072","18-1879072")</f>
        <v>0</v>
      </c>
      <c r="B425" t="s">
        <v>466</v>
      </c>
      <c r="C425" t="s">
        <v>537</v>
      </c>
      <c r="D425" t="s">
        <v>545</v>
      </c>
      <c r="E425" t="s">
        <v>576</v>
      </c>
      <c r="F425" t="s">
        <v>581</v>
      </c>
      <c r="G425" t="s">
        <v>581</v>
      </c>
      <c r="H425">
        <v>98.52</v>
      </c>
      <c r="I425" t="s">
        <v>738</v>
      </c>
      <c r="J425" t="s">
        <v>706</v>
      </c>
      <c r="K425" t="s">
        <v>581</v>
      </c>
      <c r="L425" t="s">
        <v>816</v>
      </c>
      <c r="N425" t="s">
        <v>821</v>
      </c>
      <c r="O425" t="s">
        <v>824</v>
      </c>
      <c r="P425" t="s">
        <v>833</v>
      </c>
      <c r="Q425">
        <v>11415</v>
      </c>
      <c r="S425" t="s">
        <v>861</v>
      </c>
      <c r="T425" t="s">
        <v>1229</v>
      </c>
      <c r="U425" t="s">
        <v>1629</v>
      </c>
      <c r="V425" t="s">
        <v>1678</v>
      </c>
      <c r="W425" t="s">
        <v>1684</v>
      </c>
      <c r="X425">
        <v>1.5</v>
      </c>
      <c r="Y425">
        <v>0</v>
      </c>
      <c r="Z425">
        <v>1</v>
      </c>
      <c r="AA425" t="s">
        <v>1692</v>
      </c>
      <c r="AB425" t="s">
        <v>2106</v>
      </c>
      <c r="AC425">
        <v>43</v>
      </c>
      <c r="AD425" t="s">
        <v>2330</v>
      </c>
      <c r="AM425" t="s">
        <v>2523</v>
      </c>
      <c r="AR425">
        <v>1879687</v>
      </c>
    </row>
    <row r="426" spans="1:44">
      <c r="A426" s="1">
        <f>HYPERLINK("https://lsnyc.legalserver.org/matter/dynamic-profile/view/1878939","18-1878939")</f>
        <v>0</v>
      </c>
      <c r="B426" t="s">
        <v>467</v>
      </c>
      <c r="C426" t="s">
        <v>539</v>
      </c>
      <c r="D426" t="s">
        <v>541</v>
      </c>
      <c r="E426" t="s">
        <v>571</v>
      </c>
      <c r="F426" t="s">
        <v>580</v>
      </c>
      <c r="G426" t="s">
        <v>581</v>
      </c>
      <c r="H426">
        <v>0</v>
      </c>
      <c r="I426" t="s">
        <v>739</v>
      </c>
      <c r="J426" t="s">
        <v>810</v>
      </c>
      <c r="K426" t="s">
        <v>582</v>
      </c>
      <c r="L426" t="s">
        <v>816</v>
      </c>
      <c r="N426" t="s">
        <v>821</v>
      </c>
      <c r="O426" t="s">
        <v>825</v>
      </c>
      <c r="P426" t="s">
        <v>833</v>
      </c>
      <c r="Q426">
        <v>10037</v>
      </c>
      <c r="R426" t="s">
        <v>841</v>
      </c>
      <c r="S426" t="s">
        <v>861</v>
      </c>
      <c r="T426" t="s">
        <v>1230</v>
      </c>
      <c r="U426" t="s">
        <v>1328</v>
      </c>
      <c r="V426" t="s">
        <v>1678</v>
      </c>
      <c r="W426" t="s">
        <v>1684</v>
      </c>
      <c r="X426">
        <v>2.8</v>
      </c>
      <c r="Y426">
        <v>0</v>
      </c>
      <c r="Z426">
        <v>1</v>
      </c>
      <c r="AA426" t="s">
        <v>1692</v>
      </c>
      <c r="AB426" t="s">
        <v>2107</v>
      </c>
      <c r="AC426">
        <v>53</v>
      </c>
      <c r="AD426" t="s">
        <v>2171</v>
      </c>
      <c r="AH426" t="s">
        <v>2486</v>
      </c>
      <c r="AI426" t="s">
        <v>581</v>
      </c>
      <c r="AK426" t="s">
        <v>2514</v>
      </c>
      <c r="AL426" t="s">
        <v>2520</v>
      </c>
      <c r="AM426" t="s">
        <v>2523</v>
      </c>
      <c r="AR426">
        <v>1879554</v>
      </c>
    </row>
    <row r="427" spans="1:44">
      <c r="A427" s="1">
        <f>HYPERLINK("https://lsnyc.legalserver.org/matter/dynamic-profile/view/1878912","18-1878912")</f>
        <v>0</v>
      </c>
      <c r="B427" t="s">
        <v>468</v>
      </c>
      <c r="C427" t="s">
        <v>537</v>
      </c>
      <c r="D427" t="s">
        <v>545</v>
      </c>
      <c r="E427" t="s">
        <v>568</v>
      </c>
      <c r="F427" t="s">
        <v>581</v>
      </c>
      <c r="G427" t="s">
        <v>581</v>
      </c>
      <c r="H427">
        <v>0</v>
      </c>
      <c r="I427" t="s">
        <v>739</v>
      </c>
      <c r="J427" t="s">
        <v>702</v>
      </c>
      <c r="K427" t="s">
        <v>582</v>
      </c>
      <c r="L427" t="s">
        <v>816</v>
      </c>
      <c r="N427" t="s">
        <v>820</v>
      </c>
      <c r="O427" t="s">
        <v>824</v>
      </c>
      <c r="P427" t="s">
        <v>828</v>
      </c>
      <c r="Q427">
        <v>11412</v>
      </c>
      <c r="S427" t="s">
        <v>861</v>
      </c>
      <c r="T427" t="s">
        <v>1093</v>
      </c>
      <c r="U427" t="s">
        <v>1630</v>
      </c>
      <c r="V427" t="s">
        <v>1678</v>
      </c>
      <c r="W427" t="s">
        <v>1684</v>
      </c>
      <c r="X427">
        <v>3.9</v>
      </c>
      <c r="Y427">
        <v>0</v>
      </c>
      <c r="Z427">
        <v>1</v>
      </c>
      <c r="AA427" t="s">
        <v>1692</v>
      </c>
      <c r="AB427" t="s">
        <v>2108</v>
      </c>
      <c r="AC427">
        <v>25</v>
      </c>
      <c r="AD427" t="s">
        <v>2171</v>
      </c>
      <c r="AH427" t="s">
        <v>2484</v>
      </c>
      <c r="AI427" t="s">
        <v>581</v>
      </c>
      <c r="AK427" t="s">
        <v>2514</v>
      </c>
      <c r="AL427" t="s">
        <v>2520</v>
      </c>
      <c r="AM427" t="s">
        <v>2523</v>
      </c>
      <c r="AR427">
        <v>1879527</v>
      </c>
    </row>
    <row r="428" spans="1:44">
      <c r="A428" s="1">
        <f>HYPERLINK("https://lsnyc.legalserver.org/matter/dynamic-profile/view/1878881","18-1878881")</f>
        <v>0</v>
      </c>
      <c r="B428" t="s">
        <v>296</v>
      </c>
      <c r="C428" t="s">
        <v>539</v>
      </c>
      <c r="D428" t="s">
        <v>543</v>
      </c>
      <c r="E428" t="s">
        <v>571</v>
      </c>
      <c r="F428" t="s">
        <v>580</v>
      </c>
      <c r="G428" t="s">
        <v>581</v>
      </c>
      <c r="H428">
        <v>199.2</v>
      </c>
      <c r="I428" t="s">
        <v>739</v>
      </c>
      <c r="J428" t="s">
        <v>587</v>
      </c>
      <c r="K428" t="s">
        <v>581</v>
      </c>
      <c r="L428" t="s">
        <v>816</v>
      </c>
      <c r="N428" t="s">
        <v>821</v>
      </c>
      <c r="O428" t="s">
        <v>824</v>
      </c>
      <c r="P428" t="s">
        <v>833</v>
      </c>
      <c r="Q428">
        <v>10461</v>
      </c>
      <c r="R428" t="s">
        <v>841</v>
      </c>
      <c r="S428" t="s">
        <v>861</v>
      </c>
      <c r="T428" t="s">
        <v>1092</v>
      </c>
      <c r="U428" t="s">
        <v>1447</v>
      </c>
      <c r="V428" t="s">
        <v>1682</v>
      </c>
      <c r="X428">
        <v>26.75</v>
      </c>
      <c r="Y428">
        <v>2</v>
      </c>
      <c r="Z428">
        <v>2</v>
      </c>
      <c r="AA428" t="s">
        <v>1692</v>
      </c>
      <c r="AB428" t="s">
        <v>1942</v>
      </c>
      <c r="AC428">
        <v>37</v>
      </c>
      <c r="AD428" t="s">
        <v>2253</v>
      </c>
      <c r="AH428" t="s">
        <v>2368</v>
      </c>
      <c r="AI428" t="s">
        <v>582</v>
      </c>
      <c r="AJ428" t="s">
        <v>2512</v>
      </c>
      <c r="AK428" t="s">
        <v>2518</v>
      </c>
      <c r="AL428" t="s">
        <v>2521</v>
      </c>
      <c r="AM428" t="s">
        <v>2527</v>
      </c>
      <c r="AR428">
        <v>1879484</v>
      </c>
    </row>
    <row r="429" spans="1:44">
      <c r="A429" s="1">
        <f>HYPERLINK("https://lsnyc.legalserver.org/matter/dynamic-profile/view/1878699","18-1878699")</f>
        <v>0</v>
      </c>
      <c r="B429" t="s">
        <v>469</v>
      </c>
      <c r="C429" t="s">
        <v>537</v>
      </c>
      <c r="D429" t="s">
        <v>545</v>
      </c>
      <c r="E429" t="s">
        <v>568</v>
      </c>
      <c r="F429" t="s">
        <v>581</v>
      </c>
      <c r="G429" t="s">
        <v>581</v>
      </c>
      <c r="H429">
        <v>0</v>
      </c>
      <c r="I429" t="s">
        <v>740</v>
      </c>
      <c r="J429" t="s">
        <v>641</v>
      </c>
      <c r="K429" t="s">
        <v>582</v>
      </c>
      <c r="L429" t="s">
        <v>816</v>
      </c>
      <c r="N429" t="s">
        <v>820</v>
      </c>
      <c r="O429" t="s">
        <v>825</v>
      </c>
      <c r="P429" t="s">
        <v>828</v>
      </c>
      <c r="Q429">
        <v>11413</v>
      </c>
      <c r="S429" t="s">
        <v>861</v>
      </c>
      <c r="T429" t="s">
        <v>1231</v>
      </c>
      <c r="U429" t="s">
        <v>1631</v>
      </c>
      <c r="V429" t="s">
        <v>1678</v>
      </c>
      <c r="W429" t="s">
        <v>1684</v>
      </c>
      <c r="X429">
        <v>6.45</v>
      </c>
      <c r="Y429">
        <v>0</v>
      </c>
      <c r="Z429">
        <v>1</v>
      </c>
      <c r="AA429" t="s">
        <v>1692</v>
      </c>
      <c r="AB429" t="s">
        <v>2109</v>
      </c>
      <c r="AC429">
        <v>51</v>
      </c>
      <c r="AD429" t="s">
        <v>2171</v>
      </c>
      <c r="AH429" t="s">
        <v>2486</v>
      </c>
      <c r="AI429" t="s">
        <v>581</v>
      </c>
      <c r="AK429" t="s">
        <v>2514</v>
      </c>
      <c r="AL429" t="s">
        <v>2520</v>
      </c>
      <c r="AM429" t="s">
        <v>2523</v>
      </c>
      <c r="AR429">
        <v>1879314</v>
      </c>
    </row>
    <row r="430" spans="1:44">
      <c r="A430" s="1">
        <f>HYPERLINK("https://lsnyc.legalserver.org/matter/dynamic-profile/view/1878543","18-1878543")</f>
        <v>0</v>
      </c>
      <c r="B430" t="s">
        <v>470</v>
      </c>
      <c r="C430" t="s">
        <v>536</v>
      </c>
      <c r="D430" t="s">
        <v>544</v>
      </c>
      <c r="E430" t="s">
        <v>566</v>
      </c>
      <c r="F430" t="s">
        <v>580</v>
      </c>
      <c r="G430" t="s">
        <v>581</v>
      </c>
      <c r="H430">
        <v>177.76</v>
      </c>
      <c r="I430" t="s">
        <v>741</v>
      </c>
      <c r="J430" t="s">
        <v>652</v>
      </c>
      <c r="K430" t="s">
        <v>581</v>
      </c>
      <c r="L430" t="s">
        <v>816</v>
      </c>
      <c r="N430" t="s">
        <v>821</v>
      </c>
      <c r="O430" t="s">
        <v>824</v>
      </c>
      <c r="P430" t="s">
        <v>830</v>
      </c>
      <c r="Q430">
        <v>11226</v>
      </c>
      <c r="S430" t="s">
        <v>861</v>
      </c>
      <c r="T430" t="s">
        <v>1232</v>
      </c>
      <c r="U430" t="s">
        <v>1632</v>
      </c>
      <c r="V430" t="s">
        <v>1678</v>
      </c>
      <c r="W430" t="s">
        <v>1684</v>
      </c>
      <c r="X430">
        <v>5.4</v>
      </c>
      <c r="Y430">
        <v>0</v>
      </c>
      <c r="Z430">
        <v>1</v>
      </c>
      <c r="AA430" t="s">
        <v>1692</v>
      </c>
      <c r="AB430" t="s">
        <v>2110</v>
      </c>
      <c r="AC430">
        <v>41</v>
      </c>
      <c r="AD430" t="s">
        <v>2331</v>
      </c>
      <c r="AI430" t="s">
        <v>581</v>
      </c>
      <c r="AM430" t="s">
        <v>2523</v>
      </c>
      <c r="AR430">
        <v>1879158</v>
      </c>
    </row>
    <row r="431" spans="1:44">
      <c r="A431" s="1">
        <f>HYPERLINK("https://lsnyc.legalserver.org/matter/dynamic-profile/view/1878365","18-1878365")</f>
        <v>0</v>
      </c>
      <c r="B431" t="s">
        <v>471</v>
      </c>
      <c r="C431" t="s">
        <v>539</v>
      </c>
      <c r="D431" t="s">
        <v>541</v>
      </c>
      <c r="E431" t="s">
        <v>571</v>
      </c>
      <c r="F431" t="s">
        <v>580</v>
      </c>
      <c r="G431" t="s">
        <v>581</v>
      </c>
      <c r="H431">
        <v>0</v>
      </c>
      <c r="I431" t="s">
        <v>742</v>
      </c>
      <c r="J431" t="s">
        <v>810</v>
      </c>
      <c r="K431" t="s">
        <v>582</v>
      </c>
      <c r="L431" t="s">
        <v>816</v>
      </c>
      <c r="N431" t="s">
        <v>821</v>
      </c>
      <c r="O431" t="s">
        <v>824</v>
      </c>
      <c r="P431" t="s">
        <v>833</v>
      </c>
      <c r="Q431">
        <v>10035</v>
      </c>
      <c r="R431" t="s">
        <v>858</v>
      </c>
      <c r="S431" t="s">
        <v>861</v>
      </c>
      <c r="T431" t="s">
        <v>1233</v>
      </c>
      <c r="U431" t="s">
        <v>1633</v>
      </c>
      <c r="V431" t="s">
        <v>1678</v>
      </c>
      <c r="W431" t="s">
        <v>1684</v>
      </c>
      <c r="X431">
        <v>3.4</v>
      </c>
      <c r="Y431">
        <v>0</v>
      </c>
      <c r="Z431">
        <v>1</v>
      </c>
      <c r="AA431" t="s">
        <v>1692</v>
      </c>
      <c r="AB431" t="s">
        <v>2111</v>
      </c>
      <c r="AC431">
        <v>30</v>
      </c>
      <c r="AD431" t="s">
        <v>2171</v>
      </c>
      <c r="AH431" t="s">
        <v>2384</v>
      </c>
      <c r="AI431" t="s">
        <v>581</v>
      </c>
      <c r="AK431" t="s">
        <v>2514</v>
      </c>
      <c r="AL431" t="s">
        <v>2520</v>
      </c>
      <c r="AM431" t="s">
        <v>2523</v>
      </c>
      <c r="AR431">
        <v>1878980</v>
      </c>
    </row>
    <row r="432" spans="1:44">
      <c r="A432" s="1">
        <f>HYPERLINK("https://lsnyc.legalserver.org/matter/dynamic-profile/view/1878409","18-1878409")</f>
        <v>0</v>
      </c>
      <c r="B432" t="s">
        <v>472</v>
      </c>
      <c r="C432" t="s">
        <v>535</v>
      </c>
      <c r="D432" t="s">
        <v>543</v>
      </c>
      <c r="E432" t="s">
        <v>563</v>
      </c>
      <c r="F432" t="s">
        <v>580</v>
      </c>
      <c r="G432" t="s">
        <v>581</v>
      </c>
      <c r="H432">
        <v>192.75</v>
      </c>
      <c r="I432" t="s">
        <v>742</v>
      </c>
      <c r="J432" t="s">
        <v>731</v>
      </c>
      <c r="K432" t="s">
        <v>582</v>
      </c>
      <c r="L432" t="s">
        <v>816</v>
      </c>
      <c r="N432" t="s">
        <v>820</v>
      </c>
      <c r="O432" t="s">
        <v>825</v>
      </c>
      <c r="P432" t="s">
        <v>828</v>
      </c>
      <c r="Q432">
        <v>10473</v>
      </c>
      <c r="S432" t="s">
        <v>861</v>
      </c>
      <c r="T432" t="s">
        <v>1234</v>
      </c>
      <c r="U432" t="s">
        <v>1634</v>
      </c>
      <c r="V432" t="s">
        <v>1678</v>
      </c>
      <c r="W432" t="s">
        <v>1684</v>
      </c>
      <c r="X432">
        <v>1.25</v>
      </c>
      <c r="Y432">
        <v>0</v>
      </c>
      <c r="Z432">
        <v>1</v>
      </c>
      <c r="AA432" t="s">
        <v>1692</v>
      </c>
      <c r="AB432" t="s">
        <v>2112</v>
      </c>
      <c r="AC432">
        <v>57</v>
      </c>
      <c r="AD432" t="s">
        <v>2198</v>
      </c>
      <c r="AH432" t="s">
        <v>2487</v>
      </c>
      <c r="AK432" t="s">
        <v>2514</v>
      </c>
      <c r="AL432" t="s">
        <v>2520</v>
      </c>
      <c r="AM432" t="s">
        <v>2523</v>
      </c>
      <c r="AR432">
        <v>1879024</v>
      </c>
    </row>
    <row r="433" spans="1:44">
      <c r="A433" s="1">
        <f>HYPERLINK("https://lsnyc.legalserver.org/matter/dynamic-profile/view/1878367","18-1878367")</f>
        <v>0</v>
      </c>
      <c r="B433" t="s">
        <v>473</v>
      </c>
      <c r="C433" t="s">
        <v>535</v>
      </c>
      <c r="D433" t="s">
        <v>541</v>
      </c>
      <c r="E433" t="s">
        <v>563</v>
      </c>
      <c r="F433" t="s">
        <v>580</v>
      </c>
      <c r="G433" t="s">
        <v>581</v>
      </c>
      <c r="H433">
        <v>0</v>
      </c>
      <c r="I433" t="s">
        <v>742</v>
      </c>
      <c r="J433" t="s">
        <v>726</v>
      </c>
      <c r="K433" t="s">
        <v>582</v>
      </c>
      <c r="L433" t="s">
        <v>816</v>
      </c>
      <c r="N433" t="s">
        <v>820</v>
      </c>
      <c r="O433" t="s">
        <v>825</v>
      </c>
      <c r="P433" t="s">
        <v>828</v>
      </c>
      <c r="Q433">
        <v>10037</v>
      </c>
      <c r="S433" t="s">
        <v>861</v>
      </c>
      <c r="T433" t="s">
        <v>1005</v>
      </c>
      <c r="U433" t="s">
        <v>1635</v>
      </c>
      <c r="V433" t="s">
        <v>1678</v>
      </c>
      <c r="W433" t="s">
        <v>1684</v>
      </c>
      <c r="X433">
        <v>3.65</v>
      </c>
      <c r="Y433">
        <v>0</v>
      </c>
      <c r="Z433">
        <v>1</v>
      </c>
      <c r="AA433" t="s">
        <v>1692</v>
      </c>
      <c r="AB433" t="s">
        <v>2113</v>
      </c>
      <c r="AC433">
        <v>32</v>
      </c>
      <c r="AD433" t="s">
        <v>2171</v>
      </c>
      <c r="AH433" t="s">
        <v>2488</v>
      </c>
      <c r="AK433" t="s">
        <v>2514</v>
      </c>
      <c r="AL433" t="s">
        <v>2520</v>
      </c>
      <c r="AM433" t="s">
        <v>2523</v>
      </c>
      <c r="AR433">
        <v>1878982</v>
      </c>
    </row>
    <row r="434" spans="1:44">
      <c r="A434" s="1">
        <f>HYPERLINK("https://lsnyc.legalserver.org/matter/dynamic-profile/view/1878388","18-1878388")</f>
        <v>0</v>
      </c>
      <c r="B434" t="s">
        <v>474</v>
      </c>
      <c r="C434" t="s">
        <v>537</v>
      </c>
      <c r="D434" t="s">
        <v>545</v>
      </c>
      <c r="E434" t="s">
        <v>576</v>
      </c>
      <c r="F434" t="s">
        <v>581</v>
      </c>
      <c r="G434" t="s">
        <v>581</v>
      </c>
      <c r="H434">
        <v>0</v>
      </c>
      <c r="I434" t="s">
        <v>742</v>
      </c>
      <c r="J434" t="s">
        <v>706</v>
      </c>
      <c r="K434" t="s">
        <v>581</v>
      </c>
      <c r="L434" t="s">
        <v>816</v>
      </c>
      <c r="N434" t="s">
        <v>823</v>
      </c>
      <c r="O434" t="s">
        <v>825</v>
      </c>
      <c r="P434" t="s">
        <v>834</v>
      </c>
      <c r="Q434">
        <v>11372</v>
      </c>
      <c r="S434" t="s">
        <v>861</v>
      </c>
      <c r="T434" t="s">
        <v>1235</v>
      </c>
      <c r="U434" t="s">
        <v>1636</v>
      </c>
      <c r="V434" t="s">
        <v>1678</v>
      </c>
      <c r="W434" t="s">
        <v>1684</v>
      </c>
      <c r="X434">
        <v>3.1</v>
      </c>
      <c r="Y434">
        <v>0</v>
      </c>
      <c r="Z434">
        <v>1</v>
      </c>
      <c r="AA434" t="s">
        <v>1692</v>
      </c>
      <c r="AB434" t="s">
        <v>2114</v>
      </c>
      <c r="AC434">
        <v>53</v>
      </c>
      <c r="AD434" t="s">
        <v>2171</v>
      </c>
      <c r="AM434" t="s">
        <v>2523</v>
      </c>
      <c r="AR434">
        <v>1879003</v>
      </c>
    </row>
    <row r="435" spans="1:44">
      <c r="A435" s="1">
        <f>HYPERLINK("https://lsnyc.legalserver.org/matter/dynamic-profile/view/1878385","18-1878385")</f>
        <v>0</v>
      </c>
      <c r="B435" t="s">
        <v>475</v>
      </c>
      <c r="C435" t="s">
        <v>536</v>
      </c>
      <c r="D435" t="s">
        <v>544</v>
      </c>
      <c r="E435" t="s">
        <v>577</v>
      </c>
      <c r="F435" t="s">
        <v>581</v>
      </c>
      <c r="G435" t="s">
        <v>581</v>
      </c>
      <c r="H435">
        <v>0</v>
      </c>
      <c r="I435" t="s">
        <v>742</v>
      </c>
      <c r="J435" t="s">
        <v>691</v>
      </c>
      <c r="K435" t="s">
        <v>582</v>
      </c>
      <c r="L435" t="s">
        <v>816</v>
      </c>
      <c r="N435" t="s">
        <v>821</v>
      </c>
      <c r="O435" t="s">
        <v>825</v>
      </c>
      <c r="P435" t="s">
        <v>833</v>
      </c>
      <c r="Q435">
        <v>11226</v>
      </c>
      <c r="S435" t="s">
        <v>861</v>
      </c>
      <c r="T435" t="s">
        <v>1127</v>
      </c>
      <c r="U435" t="s">
        <v>1637</v>
      </c>
      <c r="V435" t="s">
        <v>1678</v>
      </c>
      <c r="W435" t="s">
        <v>1684</v>
      </c>
      <c r="X435">
        <v>4.5</v>
      </c>
      <c r="Y435">
        <v>0</v>
      </c>
      <c r="Z435">
        <v>1</v>
      </c>
      <c r="AA435" t="s">
        <v>1692</v>
      </c>
      <c r="AB435" t="s">
        <v>2115</v>
      </c>
      <c r="AC435">
        <v>47</v>
      </c>
      <c r="AD435" t="s">
        <v>2171</v>
      </c>
      <c r="AM435" t="s">
        <v>2523</v>
      </c>
      <c r="AR435">
        <v>761021</v>
      </c>
    </row>
    <row r="436" spans="1:44">
      <c r="A436" s="1">
        <f>HYPERLINK("https://lsnyc.legalserver.org/matter/dynamic-profile/view/1878323","18-1878323")</f>
        <v>0</v>
      </c>
      <c r="B436" t="s">
        <v>476</v>
      </c>
      <c r="C436" t="s">
        <v>536</v>
      </c>
      <c r="D436" t="s">
        <v>557</v>
      </c>
      <c r="E436" t="s">
        <v>564</v>
      </c>
      <c r="F436" t="s">
        <v>580</v>
      </c>
      <c r="G436" t="s">
        <v>581</v>
      </c>
      <c r="H436">
        <v>44.75</v>
      </c>
      <c r="I436" t="s">
        <v>742</v>
      </c>
      <c r="J436" t="s">
        <v>584</v>
      </c>
      <c r="K436" t="s">
        <v>582</v>
      </c>
      <c r="L436" t="s">
        <v>816</v>
      </c>
      <c r="N436" t="s">
        <v>820</v>
      </c>
      <c r="O436" t="s">
        <v>824</v>
      </c>
      <c r="P436" t="s">
        <v>828</v>
      </c>
      <c r="Q436">
        <v>7112</v>
      </c>
      <c r="S436" t="s">
        <v>863</v>
      </c>
      <c r="T436" t="s">
        <v>1236</v>
      </c>
      <c r="U436" t="s">
        <v>1531</v>
      </c>
      <c r="V436" t="s">
        <v>1681</v>
      </c>
      <c r="W436" t="s">
        <v>1685</v>
      </c>
      <c r="X436">
        <v>30.95</v>
      </c>
      <c r="Y436">
        <v>0</v>
      </c>
      <c r="Z436">
        <v>3</v>
      </c>
      <c r="AA436" t="s">
        <v>1692</v>
      </c>
      <c r="AB436" t="s">
        <v>2116</v>
      </c>
      <c r="AC436">
        <v>56</v>
      </c>
      <c r="AD436" t="s">
        <v>2332</v>
      </c>
      <c r="AG436" t="s">
        <v>2380</v>
      </c>
      <c r="AH436" t="s">
        <v>2435</v>
      </c>
      <c r="AI436" t="s">
        <v>582</v>
      </c>
      <c r="AJ436" t="s">
        <v>2512</v>
      </c>
      <c r="AK436" t="s">
        <v>2516</v>
      </c>
      <c r="AL436" t="s">
        <v>2521</v>
      </c>
      <c r="AM436" t="s">
        <v>2525</v>
      </c>
      <c r="AO436" t="s">
        <v>2528</v>
      </c>
      <c r="AR436">
        <v>1878938</v>
      </c>
    </row>
    <row r="437" spans="1:44">
      <c r="A437" s="1">
        <f>HYPERLINK("https://lsnyc.legalserver.org/matter/dynamic-profile/view/1878249","18-1878249")</f>
        <v>0</v>
      </c>
      <c r="B437" t="s">
        <v>477</v>
      </c>
      <c r="C437" t="s">
        <v>540</v>
      </c>
      <c r="D437" t="s">
        <v>543</v>
      </c>
      <c r="E437" t="s">
        <v>578</v>
      </c>
      <c r="F437" t="s">
        <v>581</v>
      </c>
      <c r="G437" t="s">
        <v>581</v>
      </c>
      <c r="H437">
        <v>173.9</v>
      </c>
      <c r="I437" t="s">
        <v>743</v>
      </c>
      <c r="J437" t="s">
        <v>695</v>
      </c>
      <c r="K437" t="s">
        <v>582</v>
      </c>
      <c r="L437" t="s">
        <v>816</v>
      </c>
      <c r="N437" t="s">
        <v>820</v>
      </c>
      <c r="O437" t="s">
        <v>824</v>
      </c>
      <c r="P437" t="s">
        <v>828</v>
      </c>
      <c r="Q437">
        <v>10467</v>
      </c>
      <c r="S437" t="s">
        <v>863</v>
      </c>
      <c r="T437" t="s">
        <v>1237</v>
      </c>
      <c r="U437" t="s">
        <v>1638</v>
      </c>
      <c r="V437" t="s">
        <v>1678</v>
      </c>
      <c r="W437" t="s">
        <v>1684</v>
      </c>
      <c r="X437">
        <v>1.76</v>
      </c>
      <c r="Y437">
        <v>0</v>
      </c>
      <c r="Z437">
        <v>1</v>
      </c>
      <c r="AA437" t="s">
        <v>1692</v>
      </c>
      <c r="AB437" t="s">
        <v>2117</v>
      </c>
      <c r="AC437">
        <v>52</v>
      </c>
      <c r="AD437" t="s">
        <v>2333</v>
      </c>
      <c r="AI437" t="s">
        <v>581</v>
      </c>
      <c r="AL437" t="s">
        <v>2520</v>
      </c>
      <c r="AM437" t="s">
        <v>2523</v>
      </c>
      <c r="AR437">
        <v>828104</v>
      </c>
    </row>
    <row r="438" spans="1:44">
      <c r="A438" s="1">
        <f>HYPERLINK("https://lsnyc.legalserver.org/matter/dynamic-profile/view/1878285","18-1878285")</f>
        <v>0</v>
      </c>
      <c r="B438" t="s">
        <v>311</v>
      </c>
      <c r="C438" t="s">
        <v>536</v>
      </c>
      <c r="D438" t="s">
        <v>542</v>
      </c>
      <c r="E438" t="s">
        <v>569</v>
      </c>
      <c r="F438" t="s">
        <v>581</v>
      </c>
      <c r="G438" t="s">
        <v>581</v>
      </c>
      <c r="H438">
        <v>67.63</v>
      </c>
      <c r="I438" t="s">
        <v>743</v>
      </c>
      <c r="J438" t="s">
        <v>624</v>
      </c>
      <c r="K438" t="s">
        <v>582</v>
      </c>
      <c r="L438" t="s">
        <v>816</v>
      </c>
      <c r="N438" t="s">
        <v>820</v>
      </c>
      <c r="O438" t="s">
        <v>825</v>
      </c>
      <c r="P438" t="s">
        <v>828</v>
      </c>
      <c r="Q438">
        <v>10303</v>
      </c>
      <c r="R438" t="s">
        <v>835</v>
      </c>
      <c r="S438" t="s">
        <v>861</v>
      </c>
      <c r="T438" t="s">
        <v>1106</v>
      </c>
      <c r="U438" t="s">
        <v>1511</v>
      </c>
      <c r="V438" t="s">
        <v>1681</v>
      </c>
      <c r="W438" t="s">
        <v>1685</v>
      </c>
      <c r="X438">
        <v>56.05</v>
      </c>
      <c r="Y438">
        <v>3</v>
      </c>
      <c r="Z438">
        <v>2</v>
      </c>
      <c r="AA438" t="s">
        <v>1692</v>
      </c>
      <c r="AB438" t="s">
        <v>1957</v>
      </c>
      <c r="AC438">
        <v>44</v>
      </c>
      <c r="AD438" t="s">
        <v>2334</v>
      </c>
      <c r="AG438" t="s">
        <v>2381</v>
      </c>
      <c r="AH438" t="s">
        <v>2469</v>
      </c>
      <c r="AI438" t="s">
        <v>582</v>
      </c>
      <c r="AJ438" t="s">
        <v>2512</v>
      </c>
      <c r="AL438" t="s">
        <v>2521</v>
      </c>
      <c r="AM438" t="s">
        <v>2525</v>
      </c>
      <c r="AO438" t="s">
        <v>2529</v>
      </c>
      <c r="AR438">
        <v>1878900</v>
      </c>
    </row>
    <row r="439" spans="1:44">
      <c r="A439" s="1">
        <f>HYPERLINK("https://lsnyc.legalserver.org/matter/dynamic-profile/view/1878157","18-1878157")</f>
        <v>0</v>
      </c>
      <c r="B439" t="s">
        <v>478</v>
      </c>
      <c r="C439" t="s">
        <v>539</v>
      </c>
      <c r="D439" t="s">
        <v>545</v>
      </c>
      <c r="E439" t="s">
        <v>571</v>
      </c>
      <c r="F439" t="s">
        <v>580</v>
      </c>
      <c r="G439" t="s">
        <v>581</v>
      </c>
      <c r="H439">
        <v>128.5</v>
      </c>
      <c r="I439" t="s">
        <v>744</v>
      </c>
      <c r="J439" t="s">
        <v>723</v>
      </c>
      <c r="K439" t="s">
        <v>582</v>
      </c>
      <c r="L439" t="s">
        <v>816</v>
      </c>
      <c r="N439" t="s">
        <v>821</v>
      </c>
      <c r="O439" t="s">
        <v>825</v>
      </c>
      <c r="P439" t="s">
        <v>833</v>
      </c>
      <c r="Q439">
        <v>11101</v>
      </c>
      <c r="R439" t="s">
        <v>847</v>
      </c>
      <c r="S439" t="s">
        <v>861</v>
      </c>
      <c r="T439" t="s">
        <v>1238</v>
      </c>
      <c r="U439" t="s">
        <v>1639</v>
      </c>
      <c r="V439" t="s">
        <v>1678</v>
      </c>
      <c r="W439" t="s">
        <v>1684</v>
      </c>
      <c r="X439">
        <v>3.4</v>
      </c>
      <c r="Y439">
        <v>0</v>
      </c>
      <c r="Z439">
        <v>1</v>
      </c>
      <c r="AA439" t="s">
        <v>1692</v>
      </c>
      <c r="AB439" t="s">
        <v>2118</v>
      </c>
      <c r="AC439">
        <v>28</v>
      </c>
      <c r="AD439" t="s">
        <v>2268</v>
      </c>
      <c r="AH439" t="s">
        <v>2489</v>
      </c>
      <c r="AI439" t="s">
        <v>581</v>
      </c>
      <c r="AK439" t="s">
        <v>2514</v>
      </c>
      <c r="AL439" t="s">
        <v>2520</v>
      </c>
      <c r="AM439" t="s">
        <v>2523</v>
      </c>
      <c r="AR439">
        <v>1878771</v>
      </c>
    </row>
    <row r="440" spans="1:44">
      <c r="A440" s="1">
        <f>HYPERLINK("https://lsnyc.legalserver.org/matter/dynamic-profile/view/1878062","18-1878062")</f>
        <v>0</v>
      </c>
      <c r="B440" t="s">
        <v>479</v>
      </c>
      <c r="C440" t="s">
        <v>540</v>
      </c>
      <c r="D440" t="s">
        <v>543</v>
      </c>
      <c r="E440" t="s">
        <v>573</v>
      </c>
      <c r="F440" t="s">
        <v>581</v>
      </c>
      <c r="G440" t="s">
        <v>581</v>
      </c>
      <c r="H440">
        <v>112.61</v>
      </c>
      <c r="I440" t="s">
        <v>744</v>
      </c>
      <c r="J440" t="s">
        <v>679</v>
      </c>
      <c r="K440" t="s">
        <v>581</v>
      </c>
      <c r="L440" t="s">
        <v>816</v>
      </c>
      <c r="N440" t="s">
        <v>821</v>
      </c>
      <c r="O440" t="s">
        <v>824</v>
      </c>
      <c r="P440" t="s">
        <v>829</v>
      </c>
      <c r="Q440">
        <v>10452</v>
      </c>
      <c r="R440" t="s">
        <v>849</v>
      </c>
      <c r="S440" t="s">
        <v>861</v>
      </c>
      <c r="T440" t="s">
        <v>1239</v>
      </c>
      <c r="U440" t="s">
        <v>1640</v>
      </c>
      <c r="V440" t="s">
        <v>1678</v>
      </c>
      <c r="X440">
        <v>2</v>
      </c>
      <c r="Y440">
        <v>2</v>
      </c>
      <c r="Z440">
        <v>1</v>
      </c>
      <c r="AA440" t="s">
        <v>1692</v>
      </c>
      <c r="AB440" t="s">
        <v>2119</v>
      </c>
      <c r="AC440">
        <v>28</v>
      </c>
      <c r="AD440" t="s">
        <v>2198</v>
      </c>
      <c r="AM440" t="s">
        <v>2523</v>
      </c>
      <c r="AR440">
        <v>1878676</v>
      </c>
    </row>
    <row r="441" spans="1:44">
      <c r="A441" s="1">
        <f>HYPERLINK("https://lsnyc.legalserver.org/matter/dynamic-profile/view/1877853","18-1877853")</f>
        <v>0</v>
      </c>
      <c r="B441" t="s">
        <v>480</v>
      </c>
      <c r="C441" t="s">
        <v>537</v>
      </c>
      <c r="D441" t="s">
        <v>545</v>
      </c>
      <c r="E441" t="s">
        <v>568</v>
      </c>
      <c r="F441" t="s">
        <v>581</v>
      </c>
      <c r="G441" t="s">
        <v>581</v>
      </c>
      <c r="H441">
        <v>0</v>
      </c>
      <c r="I441" t="s">
        <v>745</v>
      </c>
      <c r="J441" t="s">
        <v>739</v>
      </c>
      <c r="K441" t="s">
        <v>582</v>
      </c>
      <c r="L441" t="s">
        <v>816</v>
      </c>
      <c r="N441" t="s">
        <v>820</v>
      </c>
      <c r="O441" t="s">
        <v>824</v>
      </c>
      <c r="P441" t="s">
        <v>828</v>
      </c>
      <c r="Q441">
        <v>11102</v>
      </c>
      <c r="S441" t="s">
        <v>861</v>
      </c>
      <c r="T441" t="s">
        <v>1240</v>
      </c>
      <c r="U441" t="s">
        <v>1641</v>
      </c>
      <c r="V441" t="s">
        <v>1678</v>
      </c>
      <c r="W441" t="s">
        <v>1684</v>
      </c>
      <c r="X441">
        <v>2</v>
      </c>
      <c r="Y441">
        <v>1</v>
      </c>
      <c r="Z441">
        <v>1</v>
      </c>
      <c r="AA441" t="s">
        <v>1692</v>
      </c>
      <c r="AB441" t="s">
        <v>2120</v>
      </c>
      <c r="AC441">
        <v>49</v>
      </c>
      <c r="AD441" t="s">
        <v>2171</v>
      </c>
      <c r="AH441" t="s">
        <v>2490</v>
      </c>
      <c r="AI441" t="s">
        <v>581</v>
      </c>
      <c r="AK441" t="s">
        <v>2514</v>
      </c>
      <c r="AM441" t="s">
        <v>2523</v>
      </c>
      <c r="AR441">
        <v>806782</v>
      </c>
    </row>
    <row r="442" spans="1:44">
      <c r="A442" s="1">
        <f>HYPERLINK("https://lsnyc.legalserver.org/matter/dynamic-profile/view/1877869","18-1877869")</f>
        <v>0</v>
      </c>
      <c r="B442" t="s">
        <v>481</v>
      </c>
      <c r="C442" t="s">
        <v>539</v>
      </c>
      <c r="D442" t="s">
        <v>544</v>
      </c>
      <c r="E442" t="s">
        <v>571</v>
      </c>
      <c r="F442" t="s">
        <v>580</v>
      </c>
      <c r="G442" t="s">
        <v>581</v>
      </c>
      <c r="H442">
        <v>79.08</v>
      </c>
      <c r="I442" t="s">
        <v>745</v>
      </c>
      <c r="J442" t="s">
        <v>811</v>
      </c>
      <c r="K442" t="s">
        <v>582</v>
      </c>
      <c r="L442" t="s">
        <v>816</v>
      </c>
      <c r="N442" t="s">
        <v>821</v>
      </c>
      <c r="O442" t="s">
        <v>824</v>
      </c>
      <c r="P442" t="s">
        <v>833</v>
      </c>
      <c r="Q442">
        <v>11238</v>
      </c>
      <c r="R442" t="s">
        <v>847</v>
      </c>
      <c r="S442" t="s">
        <v>861</v>
      </c>
      <c r="T442" t="s">
        <v>1241</v>
      </c>
      <c r="U442" t="s">
        <v>1642</v>
      </c>
      <c r="V442" t="s">
        <v>1678</v>
      </c>
      <c r="W442" t="s">
        <v>1684</v>
      </c>
      <c r="X442">
        <v>2.7</v>
      </c>
      <c r="Y442">
        <v>0</v>
      </c>
      <c r="Z442">
        <v>1</v>
      </c>
      <c r="AA442" t="s">
        <v>1692</v>
      </c>
      <c r="AB442" t="s">
        <v>2121</v>
      </c>
      <c r="AC442">
        <v>23</v>
      </c>
      <c r="AD442" t="s">
        <v>2184</v>
      </c>
      <c r="AH442" t="s">
        <v>2484</v>
      </c>
      <c r="AI442" t="s">
        <v>581</v>
      </c>
      <c r="AK442" t="s">
        <v>2514</v>
      </c>
      <c r="AL442" t="s">
        <v>2520</v>
      </c>
      <c r="AM442" t="s">
        <v>2523</v>
      </c>
      <c r="AR442">
        <v>1878483</v>
      </c>
    </row>
    <row r="443" spans="1:44">
      <c r="A443" s="1">
        <f>HYPERLINK("https://lsnyc.legalserver.org/matter/dynamic-profile/view/1877852","18-1877852")</f>
        <v>0</v>
      </c>
      <c r="B443" t="s">
        <v>482</v>
      </c>
      <c r="C443" t="s">
        <v>537</v>
      </c>
      <c r="D443" t="s">
        <v>545</v>
      </c>
      <c r="E443" t="s">
        <v>568</v>
      </c>
      <c r="F443" t="s">
        <v>581</v>
      </c>
      <c r="G443" t="s">
        <v>581</v>
      </c>
      <c r="H443">
        <v>84.15000000000001</v>
      </c>
      <c r="I443" t="s">
        <v>745</v>
      </c>
      <c r="J443" t="s">
        <v>702</v>
      </c>
      <c r="K443" t="s">
        <v>582</v>
      </c>
      <c r="L443" t="s">
        <v>816</v>
      </c>
      <c r="N443" t="s">
        <v>820</v>
      </c>
      <c r="O443" t="s">
        <v>825</v>
      </c>
      <c r="P443" t="s">
        <v>828</v>
      </c>
      <c r="Q443">
        <v>11375</v>
      </c>
      <c r="S443" t="s">
        <v>861</v>
      </c>
      <c r="T443" t="s">
        <v>1242</v>
      </c>
      <c r="U443" t="s">
        <v>1643</v>
      </c>
      <c r="V443" t="s">
        <v>1678</v>
      </c>
      <c r="W443" t="s">
        <v>1684</v>
      </c>
      <c r="X443">
        <v>3</v>
      </c>
      <c r="Y443">
        <v>0</v>
      </c>
      <c r="Z443">
        <v>1</v>
      </c>
      <c r="AA443" t="s">
        <v>1692</v>
      </c>
      <c r="AB443" t="s">
        <v>2122</v>
      </c>
      <c r="AC443">
        <v>37</v>
      </c>
      <c r="AD443" t="s">
        <v>2335</v>
      </c>
      <c r="AH443" t="s">
        <v>2491</v>
      </c>
      <c r="AI443" t="s">
        <v>581</v>
      </c>
      <c r="AK443" t="s">
        <v>2514</v>
      </c>
      <c r="AL443" t="s">
        <v>2520</v>
      </c>
      <c r="AM443" t="s">
        <v>2523</v>
      </c>
      <c r="AR443">
        <v>1878466</v>
      </c>
    </row>
    <row r="444" spans="1:44">
      <c r="A444" s="1">
        <f>HYPERLINK("https://lsnyc.legalserver.org/matter/dynamic-profile/view/1877815","18-1877815")</f>
        <v>0</v>
      </c>
      <c r="B444" t="s">
        <v>483</v>
      </c>
      <c r="C444" t="s">
        <v>539</v>
      </c>
      <c r="D444" t="s">
        <v>543</v>
      </c>
      <c r="E444" t="s">
        <v>571</v>
      </c>
      <c r="F444" t="s">
        <v>580</v>
      </c>
      <c r="G444" t="s">
        <v>581</v>
      </c>
      <c r="H444">
        <v>14.23</v>
      </c>
      <c r="I444" t="s">
        <v>746</v>
      </c>
      <c r="J444" t="s">
        <v>811</v>
      </c>
      <c r="K444" t="s">
        <v>582</v>
      </c>
      <c r="L444" t="s">
        <v>816</v>
      </c>
      <c r="N444" t="s">
        <v>821</v>
      </c>
      <c r="O444" t="s">
        <v>825</v>
      </c>
      <c r="P444" t="s">
        <v>833</v>
      </c>
      <c r="Q444">
        <v>10462</v>
      </c>
      <c r="R444" t="s">
        <v>847</v>
      </c>
      <c r="S444" t="s">
        <v>861</v>
      </c>
      <c r="T444" t="s">
        <v>909</v>
      </c>
      <c r="U444" t="s">
        <v>912</v>
      </c>
      <c r="V444" t="s">
        <v>1678</v>
      </c>
      <c r="X444">
        <v>2.6</v>
      </c>
      <c r="Y444">
        <v>0</v>
      </c>
      <c r="Z444">
        <v>1</v>
      </c>
      <c r="AA444" t="s">
        <v>1692</v>
      </c>
      <c r="AB444" t="s">
        <v>2123</v>
      </c>
      <c r="AC444">
        <v>53</v>
      </c>
      <c r="AD444" t="s">
        <v>2336</v>
      </c>
      <c r="AH444" t="s">
        <v>2484</v>
      </c>
      <c r="AI444" t="s">
        <v>581</v>
      </c>
      <c r="AK444" t="s">
        <v>2514</v>
      </c>
      <c r="AL444" t="s">
        <v>2520</v>
      </c>
      <c r="AM444" t="s">
        <v>2523</v>
      </c>
      <c r="AR444">
        <v>1878429</v>
      </c>
    </row>
    <row r="445" spans="1:44">
      <c r="A445" s="1">
        <f>HYPERLINK("https://lsnyc.legalserver.org/matter/dynamic-profile/view/1877796","18-1877796")</f>
        <v>0</v>
      </c>
      <c r="B445" t="s">
        <v>484</v>
      </c>
      <c r="C445" t="s">
        <v>536</v>
      </c>
      <c r="D445" t="s">
        <v>544</v>
      </c>
      <c r="E445" t="s">
        <v>566</v>
      </c>
      <c r="F445" t="s">
        <v>580</v>
      </c>
      <c r="G445" t="s">
        <v>581</v>
      </c>
      <c r="H445">
        <v>0</v>
      </c>
      <c r="I445" t="s">
        <v>746</v>
      </c>
      <c r="J445" t="s">
        <v>641</v>
      </c>
      <c r="K445" t="s">
        <v>581</v>
      </c>
      <c r="L445" t="s">
        <v>816</v>
      </c>
      <c r="N445" t="s">
        <v>821</v>
      </c>
      <c r="O445" t="s">
        <v>824</v>
      </c>
      <c r="P445" t="s">
        <v>833</v>
      </c>
      <c r="Q445">
        <v>11233</v>
      </c>
      <c r="S445" t="s">
        <v>861</v>
      </c>
      <c r="T445" t="s">
        <v>1243</v>
      </c>
      <c r="U445" t="s">
        <v>1454</v>
      </c>
      <c r="V445" t="s">
        <v>1678</v>
      </c>
      <c r="X445">
        <v>1.8</v>
      </c>
      <c r="Y445">
        <v>0</v>
      </c>
      <c r="Z445">
        <v>1</v>
      </c>
      <c r="AA445" t="s">
        <v>1692</v>
      </c>
      <c r="AB445" t="s">
        <v>2124</v>
      </c>
      <c r="AC445">
        <v>20</v>
      </c>
      <c r="AD445" t="s">
        <v>2171</v>
      </c>
      <c r="AI445" t="s">
        <v>581</v>
      </c>
      <c r="AJ445" t="s">
        <v>2511</v>
      </c>
      <c r="AM445" t="s">
        <v>2523</v>
      </c>
      <c r="AR445">
        <v>1878410</v>
      </c>
    </row>
    <row r="446" spans="1:44">
      <c r="A446" s="1">
        <f>HYPERLINK("https://lsnyc.legalserver.org/matter/dynamic-profile/view/1877810","18-1877810")</f>
        <v>0</v>
      </c>
      <c r="B446" t="s">
        <v>420</v>
      </c>
      <c r="C446" t="s">
        <v>539</v>
      </c>
      <c r="D446" t="s">
        <v>543</v>
      </c>
      <c r="E446" t="s">
        <v>571</v>
      </c>
      <c r="F446" t="s">
        <v>580</v>
      </c>
      <c r="G446" t="s">
        <v>581</v>
      </c>
      <c r="H446">
        <v>0</v>
      </c>
      <c r="I446" t="s">
        <v>746</v>
      </c>
      <c r="K446" t="s">
        <v>581</v>
      </c>
      <c r="L446" t="s">
        <v>816</v>
      </c>
      <c r="M446" t="s">
        <v>816</v>
      </c>
      <c r="N446" t="s">
        <v>821</v>
      </c>
      <c r="O446" t="s">
        <v>824</v>
      </c>
      <c r="P446" t="s">
        <v>829</v>
      </c>
      <c r="Q446">
        <v>10459</v>
      </c>
      <c r="R446" t="s">
        <v>838</v>
      </c>
      <c r="S446" t="s">
        <v>863</v>
      </c>
      <c r="T446" t="s">
        <v>1195</v>
      </c>
      <c r="U446" t="s">
        <v>1595</v>
      </c>
      <c r="W446" t="s">
        <v>1688</v>
      </c>
      <c r="X446">
        <v>58.4</v>
      </c>
      <c r="Y446">
        <v>0</v>
      </c>
      <c r="Z446">
        <v>1</v>
      </c>
      <c r="AA446" t="s">
        <v>1691</v>
      </c>
      <c r="AB446" t="s">
        <v>2062</v>
      </c>
      <c r="AC446">
        <v>32</v>
      </c>
      <c r="AD446" t="s">
        <v>2171</v>
      </c>
      <c r="AI446" t="s">
        <v>582</v>
      </c>
      <c r="AJ446" t="s">
        <v>2512</v>
      </c>
      <c r="AL446" t="s">
        <v>2521</v>
      </c>
      <c r="AM446" t="s">
        <v>2524</v>
      </c>
      <c r="AR446">
        <v>1878424</v>
      </c>
    </row>
    <row r="447" spans="1:44">
      <c r="A447" s="1">
        <f>HYPERLINK("https://lsnyc.legalserver.org/matter/dynamic-profile/view/1877645","18-1877645")</f>
        <v>0</v>
      </c>
      <c r="B447" t="s">
        <v>485</v>
      </c>
      <c r="C447" t="s">
        <v>536</v>
      </c>
      <c r="D447" t="s">
        <v>544</v>
      </c>
      <c r="E447" t="s">
        <v>562</v>
      </c>
      <c r="F447" t="s">
        <v>580</v>
      </c>
      <c r="G447" t="s">
        <v>581</v>
      </c>
      <c r="H447">
        <v>20.96</v>
      </c>
      <c r="I447" t="s">
        <v>747</v>
      </c>
      <c r="K447" t="s">
        <v>582</v>
      </c>
      <c r="L447" t="s">
        <v>816</v>
      </c>
      <c r="N447" t="s">
        <v>821</v>
      </c>
      <c r="O447" t="s">
        <v>825</v>
      </c>
      <c r="P447" t="s">
        <v>833</v>
      </c>
      <c r="Q447">
        <v>11235</v>
      </c>
      <c r="S447" t="s">
        <v>861</v>
      </c>
      <c r="T447" t="s">
        <v>1244</v>
      </c>
      <c r="U447" t="s">
        <v>1644</v>
      </c>
      <c r="W447" t="s">
        <v>1685</v>
      </c>
      <c r="X447">
        <v>21.05</v>
      </c>
      <c r="Y447">
        <v>0</v>
      </c>
      <c r="Z447">
        <v>1</v>
      </c>
      <c r="AA447" t="s">
        <v>1691</v>
      </c>
      <c r="AB447" t="s">
        <v>2125</v>
      </c>
      <c r="AC447">
        <v>54</v>
      </c>
      <c r="AD447" t="s">
        <v>2337</v>
      </c>
      <c r="AI447" t="s">
        <v>582</v>
      </c>
      <c r="AJ447" t="s">
        <v>2511</v>
      </c>
      <c r="AL447" t="s">
        <v>2519</v>
      </c>
      <c r="AM447" t="s">
        <v>2527</v>
      </c>
      <c r="AR447">
        <v>1878258</v>
      </c>
    </row>
    <row r="448" spans="1:44">
      <c r="A448" s="1">
        <f>HYPERLINK("https://lsnyc.legalserver.org/matter/dynamic-profile/view/1877498","18-1877498")</f>
        <v>0</v>
      </c>
      <c r="B448" t="s">
        <v>486</v>
      </c>
      <c r="C448" t="s">
        <v>536</v>
      </c>
      <c r="D448" t="s">
        <v>544</v>
      </c>
      <c r="E448" t="s">
        <v>566</v>
      </c>
      <c r="F448" t="s">
        <v>580</v>
      </c>
      <c r="G448" t="s">
        <v>581</v>
      </c>
      <c r="H448">
        <v>32.72</v>
      </c>
      <c r="I448" t="s">
        <v>748</v>
      </c>
      <c r="J448" t="s">
        <v>812</v>
      </c>
      <c r="K448" t="s">
        <v>582</v>
      </c>
      <c r="L448" t="s">
        <v>816</v>
      </c>
      <c r="N448" t="s">
        <v>821</v>
      </c>
      <c r="O448" t="s">
        <v>825</v>
      </c>
      <c r="P448" t="s">
        <v>830</v>
      </c>
      <c r="Q448">
        <v>11206</v>
      </c>
      <c r="S448" t="s">
        <v>861</v>
      </c>
      <c r="T448" t="s">
        <v>1245</v>
      </c>
      <c r="U448" t="s">
        <v>1645</v>
      </c>
      <c r="V448" t="s">
        <v>1678</v>
      </c>
      <c r="W448" t="s">
        <v>1684</v>
      </c>
      <c r="X448">
        <v>3</v>
      </c>
      <c r="Y448">
        <v>0</v>
      </c>
      <c r="Z448">
        <v>1</v>
      </c>
      <c r="AA448" t="s">
        <v>1692</v>
      </c>
      <c r="AB448" t="s">
        <v>2126</v>
      </c>
      <c r="AC448">
        <v>63</v>
      </c>
      <c r="AD448" t="s">
        <v>2338</v>
      </c>
      <c r="AI448" t="s">
        <v>581</v>
      </c>
      <c r="AL448" t="s">
        <v>2520</v>
      </c>
      <c r="AM448" t="s">
        <v>2523</v>
      </c>
      <c r="AR448">
        <v>1878111</v>
      </c>
    </row>
    <row r="449" spans="1:44">
      <c r="A449" s="1">
        <f>HYPERLINK("https://lsnyc.legalserver.org/matter/dynamic-profile/view/1877504","18-1877504")</f>
        <v>0</v>
      </c>
      <c r="B449" t="s">
        <v>487</v>
      </c>
      <c r="C449" t="s">
        <v>537</v>
      </c>
      <c r="D449" t="s">
        <v>545</v>
      </c>
      <c r="E449" t="s">
        <v>568</v>
      </c>
      <c r="F449" t="s">
        <v>581</v>
      </c>
      <c r="G449" t="s">
        <v>581</v>
      </c>
      <c r="H449">
        <v>186.33</v>
      </c>
      <c r="I449" t="s">
        <v>748</v>
      </c>
      <c r="J449" t="s">
        <v>727</v>
      </c>
      <c r="K449" t="s">
        <v>582</v>
      </c>
      <c r="L449" t="s">
        <v>816</v>
      </c>
      <c r="N449" t="s">
        <v>820</v>
      </c>
      <c r="O449" t="s">
        <v>825</v>
      </c>
      <c r="P449" t="s">
        <v>828</v>
      </c>
      <c r="Q449">
        <v>11102</v>
      </c>
      <c r="S449" t="s">
        <v>861</v>
      </c>
      <c r="T449" t="s">
        <v>1246</v>
      </c>
      <c r="U449" t="s">
        <v>1646</v>
      </c>
      <c r="V449" t="s">
        <v>1678</v>
      </c>
      <c r="X449">
        <v>5.35</v>
      </c>
      <c r="Y449">
        <v>0</v>
      </c>
      <c r="Z449">
        <v>1</v>
      </c>
      <c r="AA449" t="s">
        <v>1692</v>
      </c>
      <c r="AB449" t="s">
        <v>2127</v>
      </c>
      <c r="AC449">
        <v>37</v>
      </c>
      <c r="AD449" t="s">
        <v>2339</v>
      </c>
      <c r="AH449" t="s">
        <v>2488</v>
      </c>
      <c r="AI449" t="s">
        <v>581</v>
      </c>
      <c r="AK449" t="s">
        <v>2514</v>
      </c>
      <c r="AL449" t="s">
        <v>2520</v>
      </c>
      <c r="AM449" t="s">
        <v>2523</v>
      </c>
      <c r="AR449">
        <v>1878117</v>
      </c>
    </row>
    <row r="450" spans="1:44">
      <c r="A450" s="1">
        <f>HYPERLINK("https://lsnyc.legalserver.org/matter/dynamic-profile/view/1877632","18-1877632")</f>
        <v>0</v>
      </c>
      <c r="B450" t="s">
        <v>488</v>
      </c>
      <c r="C450" t="s">
        <v>535</v>
      </c>
      <c r="D450" t="s">
        <v>541</v>
      </c>
      <c r="E450" t="s">
        <v>563</v>
      </c>
      <c r="F450" t="s">
        <v>580</v>
      </c>
      <c r="G450" t="s">
        <v>581</v>
      </c>
      <c r="H450">
        <v>5.34</v>
      </c>
      <c r="I450" t="s">
        <v>748</v>
      </c>
      <c r="J450" t="s">
        <v>709</v>
      </c>
      <c r="L450" t="s">
        <v>816</v>
      </c>
      <c r="N450" t="s">
        <v>821</v>
      </c>
      <c r="O450" t="s">
        <v>824</v>
      </c>
      <c r="P450" t="s">
        <v>833</v>
      </c>
      <c r="Q450">
        <v>10009</v>
      </c>
      <c r="R450" t="s">
        <v>851</v>
      </c>
      <c r="S450" t="s">
        <v>861</v>
      </c>
      <c r="T450" t="s">
        <v>1247</v>
      </c>
      <c r="U450" t="s">
        <v>1356</v>
      </c>
      <c r="V450" t="s">
        <v>1678</v>
      </c>
      <c r="W450" t="s">
        <v>1684</v>
      </c>
      <c r="X450">
        <v>5</v>
      </c>
      <c r="Y450">
        <v>0</v>
      </c>
      <c r="Z450">
        <v>1</v>
      </c>
      <c r="AA450" t="s">
        <v>1692</v>
      </c>
      <c r="AB450" t="s">
        <v>2128</v>
      </c>
      <c r="AC450">
        <v>42</v>
      </c>
      <c r="AD450" t="s">
        <v>2340</v>
      </c>
      <c r="AH450" t="s">
        <v>2492</v>
      </c>
      <c r="AK450" t="s">
        <v>2514</v>
      </c>
      <c r="AM450" t="s">
        <v>2523</v>
      </c>
      <c r="AR450">
        <v>1878245</v>
      </c>
    </row>
    <row r="451" spans="1:44">
      <c r="A451" s="1">
        <f>HYPERLINK("https://lsnyc.legalserver.org/matter/dynamic-profile/view/1877299","18-1877299")</f>
        <v>0</v>
      </c>
      <c r="B451" t="s">
        <v>489</v>
      </c>
      <c r="C451" t="s">
        <v>535</v>
      </c>
      <c r="D451" t="s">
        <v>541</v>
      </c>
      <c r="E451" t="s">
        <v>563</v>
      </c>
      <c r="F451" t="s">
        <v>580</v>
      </c>
      <c r="G451" t="s">
        <v>581</v>
      </c>
      <c r="H451">
        <v>128.5</v>
      </c>
      <c r="I451" t="s">
        <v>749</v>
      </c>
      <c r="J451" t="s">
        <v>633</v>
      </c>
      <c r="K451" t="s">
        <v>582</v>
      </c>
      <c r="L451" t="s">
        <v>816</v>
      </c>
      <c r="N451" t="s">
        <v>820</v>
      </c>
      <c r="O451" t="s">
        <v>825</v>
      </c>
      <c r="P451" t="s">
        <v>828</v>
      </c>
      <c r="Q451">
        <v>10002</v>
      </c>
      <c r="R451" t="s">
        <v>835</v>
      </c>
      <c r="S451" t="s">
        <v>861</v>
      </c>
      <c r="T451" t="s">
        <v>1106</v>
      </c>
      <c r="U451" t="s">
        <v>1647</v>
      </c>
      <c r="V451" t="s">
        <v>1678</v>
      </c>
      <c r="W451" t="s">
        <v>1684</v>
      </c>
      <c r="X451">
        <v>5.58</v>
      </c>
      <c r="Y451">
        <v>0</v>
      </c>
      <c r="Z451">
        <v>1</v>
      </c>
      <c r="AA451" t="s">
        <v>1692</v>
      </c>
      <c r="AB451" t="s">
        <v>2129</v>
      </c>
      <c r="AC451">
        <v>48</v>
      </c>
      <c r="AD451" t="s">
        <v>2268</v>
      </c>
      <c r="AH451" t="s">
        <v>2493</v>
      </c>
      <c r="AI451" t="s">
        <v>581</v>
      </c>
      <c r="AJ451" t="s">
        <v>2513</v>
      </c>
      <c r="AK451" t="s">
        <v>2514</v>
      </c>
      <c r="AL451" t="s">
        <v>2520</v>
      </c>
      <c r="AM451" t="s">
        <v>2523</v>
      </c>
      <c r="AR451">
        <v>1877911</v>
      </c>
    </row>
    <row r="452" spans="1:44">
      <c r="A452" s="1">
        <f>HYPERLINK("https://lsnyc.legalserver.org/matter/dynamic-profile/view/1877368","18-1877368")</f>
        <v>0</v>
      </c>
      <c r="B452" t="s">
        <v>490</v>
      </c>
      <c r="C452" t="s">
        <v>536</v>
      </c>
      <c r="D452" t="s">
        <v>544</v>
      </c>
      <c r="E452" t="s">
        <v>569</v>
      </c>
      <c r="F452" t="s">
        <v>580</v>
      </c>
      <c r="G452" t="s">
        <v>581</v>
      </c>
      <c r="H452">
        <v>126.79</v>
      </c>
      <c r="I452" t="s">
        <v>749</v>
      </c>
      <c r="L452" t="s">
        <v>816</v>
      </c>
      <c r="N452" t="s">
        <v>821</v>
      </c>
      <c r="O452" t="s">
        <v>825</v>
      </c>
      <c r="P452" t="s">
        <v>829</v>
      </c>
      <c r="Q452">
        <v>11220</v>
      </c>
      <c r="R452" t="s">
        <v>838</v>
      </c>
      <c r="S452" t="s">
        <v>861</v>
      </c>
      <c r="T452" t="s">
        <v>904</v>
      </c>
      <c r="U452" t="s">
        <v>1344</v>
      </c>
      <c r="W452" t="s">
        <v>1686</v>
      </c>
      <c r="X452">
        <v>111.05</v>
      </c>
      <c r="Y452">
        <v>0</v>
      </c>
      <c r="Z452">
        <v>1</v>
      </c>
      <c r="AA452" t="s">
        <v>1691</v>
      </c>
      <c r="AB452" t="s">
        <v>2130</v>
      </c>
      <c r="AC452">
        <v>52</v>
      </c>
      <c r="AD452" t="s">
        <v>2341</v>
      </c>
      <c r="AI452" t="s">
        <v>581</v>
      </c>
      <c r="AL452" t="s">
        <v>2521</v>
      </c>
      <c r="AM452" t="s">
        <v>2527</v>
      </c>
      <c r="AR452">
        <v>1873194</v>
      </c>
    </row>
    <row r="453" spans="1:44">
      <c r="A453" s="1">
        <f>HYPERLINK("https://lsnyc.legalserver.org/matter/dynamic-profile/view/1877393","18-1877393")</f>
        <v>0</v>
      </c>
      <c r="B453" t="s">
        <v>491</v>
      </c>
      <c r="C453" t="s">
        <v>535</v>
      </c>
      <c r="D453" t="s">
        <v>541</v>
      </c>
      <c r="E453" t="s">
        <v>563</v>
      </c>
      <c r="F453" t="s">
        <v>580</v>
      </c>
      <c r="G453" t="s">
        <v>581</v>
      </c>
      <c r="H453">
        <v>0</v>
      </c>
      <c r="I453" t="s">
        <v>749</v>
      </c>
      <c r="K453" t="s">
        <v>582</v>
      </c>
      <c r="L453" t="s">
        <v>816</v>
      </c>
      <c r="N453" t="s">
        <v>820</v>
      </c>
      <c r="O453" t="s">
        <v>824</v>
      </c>
      <c r="P453" t="s">
        <v>828</v>
      </c>
      <c r="Q453">
        <v>10029</v>
      </c>
      <c r="S453" t="s">
        <v>861</v>
      </c>
      <c r="T453" t="s">
        <v>1126</v>
      </c>
      <c r="U453" t="s">
        <v>1648</v>
      </c>
      <c r="W453" t="s">
        <v>1684</v>
      </c>
      <c r="X453">
        <v>2.47</v>
      </c>
      <c r="Y453">
        <v>0</v>
      </c>
      <c r="Z453">
        <v>1</v>
      </c>
      <c r="AA453" t="s">
        <v>1691</v>
      </c>
      <c r="AB453" t="s">
        <v>2131</v>
      </c>
      <c r="AC453">
        <v>49</v>
      </c>
      <c r="AD453" t="s">
        <v>2171</v>
      </c>
      <c r="AH453" t="s">
        <v>2494</v>
      </c>
      <c r="AM453" t="s">
        <v>2523</v>
      </c>
      <c r="AR453">
        <v>1878002</v>
      </c>
    </row>
    <row r="454" spans="1:44">
      <c r="A454" s="1">
        <f>HYPERLINK("https://lsnyc.legalserver.org/matter/dynamic-profile/view/1877226","18-1877226")</f>
        <v>0</v>
      </c>
      <c r="B454" t="s">
        <v>492</v>
      </c>
      <c r="C454" t="s">
        <v>536</v>
      </c>
      <c r="D454" t="s">
        <v>544</v>
      </c>
      <c r="E454" t="s">
        <v>566</v>
      </c>
      <c r="F454" t="s">
        <v>580</v>
      </c>
      <c r="G454" t="s">
        <v>581</v>
      </c>
      <c r="H454">
        <v>0</v>
      </c>
      <c r="I454" t="s">
        <v>750</v>
      </c>
      <c r="J454" t="s">
        <v>747</v>
      </c>
      <c r="K454" t="s">
        <v>582</v>
      </c>
      <c r="L454" t="s">
        <v>816</v>
      </c>
      <c r="N454" t="s">
        <v>820</v>
      </c>
      <c r="O454" t="s">
        <v>825</v>
      </c>
      <c r="P454" t="s">
        <v>828</v>
      </c>
      <c r="Q454">
        <v>11210</v>
      </c>
      <c r="S454" t="s">
        <v>861</v>
      </c>
      <c r="T454" t="s">
        <v>899</v>
      </c>
      <c r="U454" t="s">
        <v>1649</v>
      </c>
      <c r="V454" t="s">
        <v>1678</v>
      </c>
      <c r="W454" t="s">
        <v>1684</v>
      </c>
      <c r="X454">
        <v>1.3</v>
      </c>
      <c r="Y454">
        <v>0</v>
      </c>
      <c r="Z454">
        <v>1</v>
      </c>
      <c r="AA454" t="s">
        <v>1692</v>
      </c>
      <c r="AB454" t="s">
        <v>2132</v>
      </c>
      <c r="AC454">
        <v>36</v>
      </c>
      <c r="AD454" t="s">
        <v>2171</v>
      </c>
      <c r="AI454" t="s">
        <v>581</v>
      </c>
      <c r="AM454" t="s">
        <v>2523</v>
      </c>
      <c r="AR454">
        <v>1877838</v>
      </c>
    </row>
    <row r="455" spans="1:44">
      <c r="A455" s="1">
        <f>HYPERLINK("https://lsnyc.legalserver.org/matter/dynamic-profile/view/1877026","18-1877026")</f>
        <v>0</v>
      </c>
      <c r="B455" t="s">
        <v>493</v>
      </c>
      <c r="C455" t="s">
        <v>536</v>
      </c>
      <c r="D455" t="s">
        <v>544</v>
      </c>
      <c r="E455" t="s">
        <v>564</v>
      </c>
      <c r="F455" t="s">
        <v>580</v>
      </c>
      <c r="G455" t="s">
        <v>581</v>
      </c>
      <c r="H455">
        <v>0</v>
      </c>
      <c r="I455" t="s">
        <v>751</v>
      </c>
      <c r="L455" t="s">
        <v>816</v>
      </c>
      <c r="N455" t="s">
        <v>821</v>
      </c>
      <c r="O455" t="s">
        <v>825</v>
      </c>
      <c r="P455" t="s">
        <v>830</v>
      </c>
      <c r="Q455">
        <v>11201</v>
      </c>
      <c r="R455" t="s">
        <v>846</v>
      </c>
      <c r="S455" t="s">
        <v>861</v>
      </c>
      <c r="T455" t="s">
        <v>1248</v>
      </c>
      <c r="U455" t="s">
        <v>1650</v>
      </c>
      <c r="W455" t="s">
        <v>1684</v>
      </c>
      <c r="X455">
        <v>2.15</v>
      </c>
      <c r="Y455">
        <v>0</v>
      </c>
      <c r="Z455">
        <v>2</v>
      </c>
      <c r="AA455" t="s">
        <v>1691</v>
      </c>
      <c r="AB455" t="s">
        <v>2133</v>
      </c>
      <c r="AC455">
        <v>31</v>
      </c>
      <c r="AD455" t="s">
        <v>2171</v>
      </c>
      <c r="AH455" t="s">
        <v>2495</v>
      </c>
      <c r="AK455" t="s">
        <v>2514</v>
      </c>
      <c r="AM455" t="s">
        <v>2523</v>
      </c>
      <c r="AR455">
        <v>1877636</v>
      </c>
    </row>
    <row r="456" spans="1:44">
      <c r="A456" s="1">
        <f>HYPERLINK("https://lsnyc.legalserver.org/matter/dynamic-profile/view/1876995","18-1876995")</f>
        <v>0</v>
      </c>
      <c r="B456" t="s">
        <v>494</v>
      </c>
      <c r="C456" t="s">
        <v>536</v>
      </c>
      <c r="D456" t="s">
        <v>545</v>
      </c>
      <c r="E456" t="s">
        <v>566</v>
      </c>
      <c r="F456" t="s">
        <v>580</v>
      </c>
      <c r="G456" t="s">
        <v>581</v>
      </c>
      <c r="H456">
        <v>167.33</v>
      </c>
      <c r="I456" t="s">
        <v>752</v>
      </c>
      <c r="J456" t="s">
        <v>741</v>
      </c>
      <c r="K456" t="s">
        <v>582</v>
      </c>
      <c r="L456" t="s">
        <v>816</v>
      </c>
      <c r="N456" t="s">
        <v>821</v>
      </c>
      <c r="O456" t="s">
        <v>825</v>
      </c>
      <c r="P456" t="s">
        <v>829</v>
      </c>
      <c r="Q456">
        <v>11105</v>
      </c>
      <c r="R456" t="s">
        <v>849</v>
      </c>
      <c r="S456" t="s">
        <v>861</v>
      </c>
      <c r="T456" t="s">
        <v>1249</v>
      </c>
      <c r="U456" t="s">
        <v>1651</v>
      </c>
      <c r="V456" t="s">
        <v>1678</v>
      </c>
      <c r="W456" t="s">
        <v>1684</v>
      </c>
      <c r="X456">
        <v>8.699999999999999</v>
      </c>
      <c r="Y456">
        <v>2</v>
      </c>
      <c r="Z456">
        <v>2</v>
      </c>
      <c r="AA456" t="s">
        <v>1692</v>
      </c>
      <c r="AB456" t="s">
        <v>1723</v>
      </c>
      <c r="AC456">
        <v>55</v>
      </c>
      <c r="AD456" t="s">
        <v>2342</v>
      </c>
      <c r="AI456" t="s">
        <v>581</v>
      </c>
      <c r="AM456" t="s">
        <v>2523</v>
      </c>
      <c r="AR456">
        <v>1877605</v>
      </c>
    </row>
    <row r="457" spans="1:44">
      <c r="A457" s="1">
        <f>HYPERLINK("https://lsnyc.legalserver.org/matter/dynamic-profile/view/1876909","18-1876909")</f>
        <v>0</v>
      </c>
      <c r="B457" t="s">
        <v>495</v>
      </c>
      <c r="C457" t="s">
        <v>537</v>
      </c>
      <c r="D457" t="s">
        <v>545</v>
      </c>
      <c r="E457" t="s">
        <v>568</v>
      </c>
      <c r="F457" t="s">
        <v>581</v>
      </c>
      <c r="G457" t="s">
        <v>581</v>
      </c>
      <c r="H457">
        <v>192.75</v>
      </c>
      <c r="I457" t="s">
        <v>752</v>
      </c>
      <c r="J457" t="s">
        <v>702</v>
      </c>
      <c r="K457" t="s">
        <v>582</v>
      </c>
      <c r="L457" t="s">
        <v>816</v>
      </c>
      <c r="N457" t="s">
        <v>820</v>
      </c>
      <c r="O457" t="s">
        <v>824</v>
      </c>
      <c r="P457" t="s">
        <v>828</v>
      </c>
      <c r="Q457">
        <v>11368</v>
      </c>
      <c r="S457" t="s">
        <v>861</v>
      </c>
      <c r="T457" t="s">
        <v>1126</v>
      </c>
      <c r="U457" t="s">
        <v>1511</v>
      </c>
      <c r="V457" t="s">
        <v>1678</v>
      </c>
      <c r="W457" t="s">
        <v>1684</v>
      </c>
      <c r="X457">
        <v>2.5</v>
      </c>
      <c r="Y457">
        <v>0</v>
      </c>
      <c r="Z457">
        <v>1</v>
      </c>
      <c r="AA457" t="s">
        <v>1692</v>
      </c>
      <c r="AB457" t="s">
        <v>1800</v>
      </c>
      <c r="AC457">
        <v>23</v>
      </c>
      <c r="AD457" t="s">
        <v>2198</v>
      </c>
      <c r="AH457" t="s">
        <v>2496</v>
      </c>
      <c r="AI457" t="s">
        <v>581</v>
      </c>
      <c r="AK457" t="s">
        <v>2514</v>
      </c>
      <c r="AL457" t="s">
        <v>2520</v>
      </c>
      <c r="AM457" t="s">
        <v>2523</v>
      </c>
      <c r="AR457">
        <v>1877519</v>
      </c>
    </row>
    <row r="458" spans="1:44">
      <c r="A458" s="1">
        <f>HYPERLINK("https://lsnyc.legalserver.org/matter/dynamic-profile/view/1876768","18-1876768")</f>
        <v>0</v>
      </c>
      <c r="B458" t="s">
        <v>496</v>
      </c>
      <c r="C458" t="s">
        <v>536</v>
      </c>
      <c r="D458" t="s">
        <v>544</v>
      </c>
      <c r="E458" t="s">
        <v>566</v>
      </c>
      <c r="F458" t="s">
        <v>580</v>
      </c>
      <c r="G458" t="s">
        <v>581</v>
      </c>
      <c r="H458">
        <v>149.43</v>
      </c>
      <c r="I458" t="s">
        <v>753</v>
      </c>
      <c r="J458" t="s">
        <v>749</v>
      </c>
      <c r="K458" t="s">
        <v>581</v>
      </c>
      <c r="L458" t="s">
        <v>816</v>
      </c>
      <c r="N458" t="s">
        <v>821</v>
      </c>
      <c r="O458" t="s">
        <v>824</v>
      </c>
      <c r="P458" t="s">
        <v>833</v>
      </c>
      <c r="Q458">
        <v>11207</v>
      </c>
      <c r="S458" t="s">
        <v>861</v>
      </c>
      <c r="T458" t="s">
        <v>1250</v>
      </c>
      <c r="U458" t="s">
        <v>1307</v>
      </c>
      <c r="V458" t="s">
        <v>1678</v>
      </c>
      <c r="W458" t="s">
        <v>1684</v>
      </c>
      <c r="X458">
        <v>6.05</v>
      </c>
      <c r="Y458">
        <v>1</v>
      </c>
      <c r="Z458">
        <v>1</v>
      </c>
      <c r="AA458" t="s">
        <v>1692</v>
      </c>
      <c r="AB458" t="s">
        <v>2134</v>
      </c>
      <c r="AC458">
        <v>21</v>
      </c>
      <c r="AD458" t="s">
        <v>2343</v>
      </c>
      <c r="AI458" t="s">
        <v>581</v>
      </c>
      <c r="AM458" t="s">
        <v>2523</v>
      </c>
      <c r="AR458">
        <v>1877378</v>
      </c>
    </row>
    <row r="459" spans="1:44">
      <c r="A459" s="1">
        <f>HYPERLINK("https://lsnyc.legalserver.org/matter/dynamic-profile/view/1876844","18-1876844")</f>
        <v>0</v>
      </c>
      <c r="B459" t="s">
        <v>497</v>
      </c>
      <c r="C459" t="s">
        <v>536</v>
      </c>
      <c r="D459" t="s">
        <v>544</v>
      </c>
      <c r="E459" t="s">
        <v>566</v>
      </c>
      <c r="F459" t="s">
        <v>580</v>
      </c>
      <c r="G459" t="s">
        <v>581</v>
      </c>
      <c r="H459">
        <v>0</v>
      </c>
      <c r="I459" t="s">
        <v>753</v>
      </c>
      <c r="J459" t="s">
        <v>739</v>
      </c>
      <c r="K459" t="s">
        <v>582</v>
      </c>
      <c r="L459" t="s">
        <v>816</v>
      </c>
      <c r="N459" t="s">
        <v>821</v>
      </c>
      <c r="O459" t="s">
        <v>825</v>
      </c>
      <c r="P459" t="s">
        <v>833</v>
      </c>
      <c r="Q459">
        <v>11215</v>
      </c>
      <c r="S459" t="s">
        <v>861</v>
      </c>
      <c r="T459" t="s">
        <v>1251</v>
      </c>
      <c r="U459" t="s">
        <v>1652</v>
      </c>
      <c r="V459" t="s">
        <v>1678</v>
      </c>
      <c r="W459" t="s">
        <v>1684</v>
      </c>
      <c r="X459">
        <v>7.9</v>
      </c>
      <c r="Y459">
        <v>0</v>
      </c>
      <c r="Z459">
        <v>1</v>
      </c>
      <c r="AA459" t="s">
        <v>1692</v>
      </c>
      <c r="AB459" t="s">
        <v>2135</v>
      </c>
      <c r="AC459">
        <v>52</v>
      </c>
      <c r="AD459" t="s">
        <v>2171</v>
      </c>
      <c r="AI459" t="s">
        <v>581</v>
      </c>
      <c r="AM459" t="s">
        <v>2523</v>
      </c>
      <c r="AR459">
        <v>1877454</v>
      </c>
    </row>
    <row r="460" spans="1:44">
      <c r="A460" s="1">
        <f>HYPERLINK("https://lsnyc.legalserver.org/matter/dynamic-profile/view/1876826","18-1876826")</f>
        <v>0</v>
      </c>
      <c r="B460" t="s">
        <v>498</v>
      </c>
      <c r="C460" t="s">
        <v>537</v>
      </c>
      <c r="D460" t="s">
        <v>545</v>
      </c>
      <c r="E460" t="s">
        <v>568</v>
      </c>
      <c r="F460" t="s">
        <v>581</v>
      </c>
      <c r="G460" t="s">
        <v>581</v>
      </c>
      <c r="H460">
        <v>0</v>
      </c>
      <c r="I460" t="s">
        <v>753</v>
      </c>
      <c r="J460" t="s">
        <v>727</v>
      </c>
      <c r="K460" t="s">
        <v>582</v>
      </c>
      <c r="L460" t="s">
        <v>816</v>
      </c>
      <c r="N460" t="s">
        <v>820</v>
      </c>
      <c r="O460" t="s">
        <v>825</v>
      </c>
      <c r="P460" t="s">
        <v>828</v>
      </c>
      <c r="Q460">
        <v>11364</v>
      </c>
      <c r="S460" t="s">
        <v>861</v>
      </c>
      <c r="T460" t="s">
        <v>1252</v>
      </c>
      <c r="U460" t="s">
        <v>1653</v>
      </c>
      <c r="V460" t="s">
        <v>1678</v>
      </c>
      <c r="W460" t="s">
        <v>1684</v>
      </c>
      <c r="X460">
        <v>4</v>
      </c>
      <c r="Y460">
        <v>0</v>
      </c>
      <c r="Z460">
        <v>1</v>
      </c>
      <c r="AA460" t="s">
        <v>1692</v>
      </c>
      <c r="AB460" t="s">
        <v>2136</v>
      </c>
      <c r="AC460">
        <v>55</v>
      </c>
      <c r="AD460" t="s">
        <v>2171</v>
      </c>
      <c r="AH460" t="s">
        <v>2488</v>
      </c>
      <c r="AI460" t="s">
        <v>581</v>
      </c>
      <c r="AK460" t="s">
        <v>2514</v>
      </c>
      <c r="AL460" t="s">
        <v>2520</v>
      </c>
      <c r="AM460" t="s">
        <v>2523</v>
      </c>
      <c r="AR460">
        <v>1877436</v>
      </c>
    </row>
    <row r="461" spans="1:44">
      <c r="A461" s="1">
        <f>HYPERLINK("https://lsnyc.legalserver.org/matter/dynamic-profile/view/1876779","18-1876779")</f>
        <v>0</v>
      </c>
      <c r="B461" t="s">
        <v>499</v>
      </c>
      <c r="C461" t="s">
        <v>540</v>
      </c>
      <c r="D461" t="s">
        <v>543</v>
      </c>
      <c r="E461" t="s">
        <v>573</v>
      </c>
      <c r="F461" t="s">
        <v>581</v>
      </c>
      <c r="G461" t="s">
        <v>581</v>
      </c>
      <c r="H461">
        <v>33.54</v>
      </c>
      <c r="I461" t="s">
        <v>753</v>
      </c>
      <c r="J461" t="s">
        <v>708</v>
      </c>
      <c r="L461" t="s">
        <v>816</v>
      </c>
      <c r="N461" t="s">
        <v>821</v>
      </c>
      <c r="O461" t="s">
        <v>824</v>
      </c>
      <c r="P461" t="s">
        <v>829</v>
      </c>
      <c r="Q461">
        <v>10469</v>
      </c>
      <c r="R461" t="s">
        <v>838</v>
      </c>
      <c r="S461" t="s">
        <v>861</v>
      </c>
      <c r="T461" t="s">
        <v>1253</v>
      </c>
      <c r="U461" t="s">
        <v>1133</v>
      </c>
      <c r="V461" t="s">
        <v>1678</v>
      </c>
      <c r="W461" t="s">
        <v>1684</v>
      </c>
      <c r="X461">
        <v>3.6</v>
      </c>
      <c r="Y461">
        <v>1</v>
      </c>
      <c r="Z461">
        <v>1</v>
      </c>
      <c r="AA461" t="s">
        <v>1692</v>
      </c>
      <c r="AB461" t="s">
        <v>2137</v>
      </c>
      <c r="AC461">
        <v>47</v>
      </c>
      <c r="AD461" t="s">
        <v>2344</v>
      </c>
      <c r="AM461" t="s">
        <v>2523</v>
      </c>
      <c r="AR461">
        <v>830831</v>
      </c>
    </row>
    <row r="462" spans="1:44">
      <c r="A462" s="1">
        <f>HYPERLINK("https://lsnyc.legalserver.org/matter/dynamic-profile/view/1876495","18-1876495")</f>
        <v>0</v>
      </c>
      <c r="B462" t="s">
        <v>500</v>
      </c>
      <c r="C462" t="s">
        <v>536</v>
      </c>
      <c r="D462" t="s">
        <v>544</v>
      </c>
      <c r="E462" t="s">
        <v>579</v>
      </c>
      <c r="F462" t="s">
        <v>581</v>
      </c>
      <c r="G462" t="s">
        <v>581</v>
      </c>
      <c r="H462">
        <v>37.17</v>
      </c>
      <c r="I462" t="s">
        <v>754</v>
      </c>
      <c r="J462" t="s">
        <v>746</v>
      </c>
      <c r="K462" t="s">
        <v>581</v>
      </c>
      <c r="L462" t="s">
        <v>816</v>
      </c>
      <c r="N462" t="s">
        <v>823</v>
      </c>
      <c r="O462" t="s">
        <v>825</v>
      </c>
      <c r="P462" t="s">
        <v>834</v>
      </c>
      <c r="Q462">
        <v>11207</v>
      </c>
      <c r="S462" t="s">
        <v>861</v>
      </c>
      <c r="T462" t="s">
        <v>1254</v>
      </c>
      <c r="U462" t="s">
        <v>1654</v>
      </c>
      <c r="V462" t="s">
        <v>1678</v>
      </c>
      <c r="W462" t="s">
        <v>1684</v>
      </c>
      <c r="X462">
        <v>3.25</v>
      </c>
      <c r="Y462">
        <v>0</v>
      </c>
      <c r="Z462">
        <v>1</v>
      </c>
      <c r="AA462" t="s">
        <v>1692</v>
      </c>
      <c r="AB462" t="s">
        <v>2138</v>
      </c>
      <c r="AC462">
        <v>28</v>
      </c>
      <c r="AD462" t="s">
        <v>2345</v>
      </c>
      <c r="AM462" t="s">
        <v>2523</v>
      </c>
      <c r="AR462">
        <v>1877105</v>
      </c>
    </row>
    <row r="463" spans="1:44">
      <c r="A463" s="1">
        <f>HYPERLINK("https://lsnyc.legalserver.org/matter/dynamic-profile/view/1876392","18-1876392")</f>
        <v>0</v>
      </c>
      <c r="B463" t="s">
        <v>501</v>
      </c>
      <c r="C463" t="s">
        <v>537</v>
      </c>
      <c r="D463" t="s">
        <v>545</v>
      </c>
      <c r="E463" t="s">
        <v>568</v>
      </c>
      <c r="F463" t="s">
        <v>581</v>
      </c>
      <c r="G463" t="s">
        <v>581</v>
      </c>
      <c r="H463">
        <v>18.98</v>
      </c>
      <c r="I463" t="s">
        <v>755</v>
      </c>
      <c r="J463" t="s">
        <v>807</v>
      </c>
      <c r="K463" t="s">
        <v>582</v>
      </c>
      <c r="L463" t="s">
        <v>816</v>
      </c>
      <c r="N463" t="s">
        <v>820</v>
      </c>
      <c r="O463" t="s">
        <v>824</v>
      </c>
      <c r="P463" t="s">
        <v>828</v>
      </c>
      <c r="Q463">
        <v>11354</v>
      </c>
      <c r="S463" t="s">
        <v>861</v>
      </c>
      <c r="T463" t="s">
        <v>1255</v>
      </c>
      <c r="U463" t="s">
        <v>1655</v>
      </c>
      <c r="V463" t="s">
        <v>1678</v>
      </c>
      <c r="W463" t="s">
        <v>1684</v>
      </c>
      <c r="X463">
        <v>2.25</v>
      </c>
      <c r="Y463">
        <v>0</v>
      </c>
      <c r="Z463">
        <v>1</v>
      </c>
      <c r="AA463" t="s">
        <v>1692</v>
      </c>
      <c r="AB463" t="s">
        <v>2001</v>
      </c>
      <c r="AC463">
        <v>48</v>
      </c>
      <c r="AD463" t="s">
        <v>2226</v>
      </c>
      <c r="AH463" t="s">
        <v>2497</v>
      </c>
      <c r="AI463" t="s">
        <v>581</v>
      </c>
      <c r="AK463" t="s">
        <v>2514</v>
      </c>
      <c r="AL463" t="s">
        <v>2520</v>
      </c>
      <c r="AM463" t="s">
        <v>2523</v>
      </c>
      <c r="AR463">
        <v>1877002</v>
      </c>
    </row>
    <row r="464" spans="1:44">
      <c r="A464" s="1">
        <f>HYPERLINK("https://lsnyc.legalserver.org/matter/dynamic-profile/view/1876088","18-1876088")</f>
        <v>0</v>
      </c>
      <c r="B464" t="s">
        <v>502</v>
      </c>
      <c r="C464" t="s">
        <v>537</v>
      </c>
      <c r="D464" t="s">
        <v>545</v>
      </c>
      <c r="E464" t="s">
        <v>568</v>
      </c>
      <c r="F464" t="s">
        <v>581</v>
      </c>
      <c r="G464" t="s">
        <v>581</v>
      </c>
      <c r="H464">
        <v>0</v>
      </c>
      <c r="I464" t="s">
        <v>756</v>
      </c>
      <c r="J464" t="s">
        <v>717</v>
      </c>
      <c r="K464" t="s">
        <v>582</v>
      </c>
      <c r="L464" t="s">
        <v>816</v>
      </c>
      <c r="N464" t="s">
        <v>820</v>
      </c>
      <c r="O464" t="s">
        <v>825</v>
      </c>
      <c r="P464" t="s">
        <v>828</v>
      </c>
      <c r="Q464">
        <v>11421</v>
      </c>
      <c r="S464" t="s">
        <v>861</v>
      </c>
      <c r="T464" t="s">
        <v>1113</v>
      </c>
      <c r="U464" t="s">
        <v>1656</v>
      </c>
      <c r="V464" t="s">
        <v>1678</v>
      </c>
      <c r="W464" t="s">
        <v>1684</v>
      </c>
      <c r="X464">
        <v>1.85</v>
      </c>
      <c r="Y464">
        <v>0</v>
      </c>
      <c r="Z464">
        <v>1</v>
      </c>
      <c r="AA464" t="s">
        <v>1692</v>
      </c>
      <c r="AB464" t="s">
        <v>2139</v>
      </c>
      <c r="AC464">
        <v>43</v>
      </c>
      <c r="AD464" t="s">
        <v>2171</v>
      </c>
      <c r="AH464" t="s">
        <v>2467</v>
      </c>
      <c r="AI464" t="s">
        <v>581</v>
      </c>
      <c r="AK464" t="s">
        <v>2514</v>
      </c>
      <c r="AL464" t="s">
        <v>2520</v>
      </c>
      <c r="AM464" t="s">
        <v>2523</v>
      </c>
      <c r="AR464">
        <v>1876697</v>
      </c>
    </row>
    <row r="465" spans="1:44">
      <c r="A465" s="1">
        <f>HYPERLINK("https://lsnyc.legalserver.org/matter/dynamic-profile/view/1876075","18-1876075")</f>
        <v>0</v>
      </c>
      <c r="B465" t="s">
        <v>503</v>
      </c>
      <c r="C465" t="s">
        <v>540</v>
      </c>
      <c r="D465" t="s">
        <v>543</v>
      </c>
      <c r="E465" t="s">
        <v>573</v>
      </c>
      <c r="F465" t="s">
        <v>580</v>
      </c>
      <c r="G465" t="s">
        <v>581</v>
      </c>
      <c r="H465">
        <v>88.45999999999999</v>
      </c>
      <c r="I465" t="s">
        <v>756</v>
      </c>
      <c r="K465" t="s">
        <v>581</v>
      </c>
      <c r="L465" t="s">
        <v>816</v>
      </c>
      <c r="N465" t="s">
        <v>821</v>
      </c>
      <c r="O465" t="s">
        <v>825</v>
      </c>
      <c r="P465" t="s">
        <v>829</v>
      </c>
      <c r="Q465">
        <v>10452</v>
      </c>
      <c r="R465" t="s">
        <v>838</v>
      </c>
      <c r="S465" t="s">
        <v>863</v>
      </c>
      <c r="T465" t="s">
        <v>1256</v>
      </c>
      <c r="U465" t="s">
        <v>1657</v>
      </c>
      <c r="W465" t="s">
        <v>1689</v>
      </c>
      <c r="X465">
        <v>11.3</v>
      </c>
      <c r="Y465">
        <v>0</v>
      </c>
      <c r="Z465">
        <v>2</v>
      </c>
      <c r="AA465" t="s">
        <v>1691</v>
      </c>
      <c r="AB465" t="s">
        <v>2140</v>
      </c>
      <c r="AC465">
        <v>56</v>
      </c>
      <c r="AD465" t="s">
        <v>2346</v>
      </c>
      <c r="AM465" t="s">
        <v>2523</v>
      </c>
      <c r="AR465">
        <v>1861564</v>
      </c>
    </row>
    <row r="466" spans="1:44">
      <c r="A466" s="1">
        <f>HYPERLINK("https://lsnyc.legalserver.org/matter/dynamic-profile/view/1875932","18-1875932")</f>
        <v>0</v>
      </c>
      <c r="B466" t="s">
        <v>504</v>
      </c>
      <c r="C466" t="s">
        <v>536</v>
      </c>
      <c r="D466" t="s">
        <v>544</v>
      </c>
      <c r="E466" t="s">
        <v>569</v>
      </c>
      <c r="F466" t="s">
        <v>580</v>
      </c>
      <c r="G466" t="s">
        <v>581</v>
      </c>
      <c r="H466">
        <v>0</v>
      </c>
      <c r="I466" t="s">
        <v>757</v>
      </c>
      <c r="J466" t="s">
        <v>751</v>
      </c>
      <c r="K466" t="s">
        <v>582</v>
      </c>
      <c r="L466" t="s">
        <v>816</v>
      </c>
      <c r="N466" t="s">
        <v>820</v>
      </c>
      <c r="O466" t="s">
        <v>824</v>
      </c>
      <c r="P466" t="s">
        <v>828</v>
      </c>
      <c r="Q466">
        <v>11238</v>
      </c>
      <c r="R466" t="s">
        <v>835</v>
      </c>
      <c r="S466" t="s">
        <v>861</v>
      </c>
      <c r="T466" t="s">
        <v>1257</v>
      </c>
      <c r="U466" t="s">
        <v>1658</v>
      </c>
      <c r="V466" t="s">
        <v>1678</v>
      </c>
      <c r="W466" t="s">
        <v>1684</v>
      </c>
      <c r="X466">
        <v>3.3</v>
      </c>
      <c r="Y466">
        <v>0</v>
      </c>
      <c r="Z466">
        <v>1</v>
      </c>
      <c r="AA466" t="s">
        <v>1692</v>
      </c>
      <c r="AB466" t="s">
        <v>2141</v>
      </c>
      <c r="AC466">
        <v>46</v>
      </c>
      <c r="AD466" t="s">
        <v>2171</v>
      </c>
      <c r="AH466" t="s">
        <v>2498</v>
      </c>
      <c r="AK466" t="s">
        <v>2514</v>
      </c>
      <c r="AM466" t="s">
        <v>2523</v>
      </c>
      <c r="AR466">
        <v>1876541</v>
      </c>
    </row>
    <row r="467" spans="1:44">
      <c r="A467" s="1">
        <f>HYPERLINK("https://lsnyc.legalserver.org/matter/dynamic-profile/view/1875954","18-1875954")</f>
        <v>0</v>
      </c>
      <c r="B467" t="s">
        <v>505</v>
      </c>
      <c r="C467" t="s">
        <v>535</v>
      </c>
      <c r="D467" t="s">
        <v>541</v>
      </c>
      <c r="E467" t="s">
        <v>563</v>
      </c>
      <c r="F467" t="s">
        <v>580</v>
      </c>
      <c r="G467" t="s">
        <v>581</v>
      </c>
      <c r="H467">
        <v>0</v>
      </c>
      <c r="I467" t="s">
        <v>757</v>
      </c>
      <c r="J467" t="s">
        <v>707</v>
      </c>
      <c r="K467" t="s">
        <v>582</v>
      </c>
      <c r="L467" t="s">
        <v>816</v>
      </c>
      <c r="N467" t="s">
        <v>820</v>
      </c>
      <c r="O467" t="s">
        <v>825</v>
      </c>
      <c r="P467" t="s">
        <v>828</v>
      </c>
      <c r="Q467">
        <v>10002</v>
      </c>
      <c r="S467" t="s">
        <v>861</v>
      </c>
      <c r="T467" t="s">
        <v>1258</v>
      </c>
      <c r="U467" t="s">
        <v>1659</v>
      </c>
      <c r="V467" t="s">
        <v>1678</v>
      </c>
      <c r="W467" t="s">
        <v>1684</v>
      </c>
      <c r="X467">
        <v>1.85</v>
      </c>
      <c r="Y467">
        <v>0</v>
      </c>
      <c r="Z467">
        <v>1</v>
      </c>
      <c r="AA467" t="s">
        <v>1692</v>
      </c>
      <c r="AB467" t="s">
        <v>2142</v>
      </c>
      <c r="AC467">
        <v>68</v>
      </c>
      <c r="AD467" t="s">
        <v>2171</v>
      </c>
      <c r="AH467" t="s">
        <v>2385</v>
      </c>
      <c r="AK467" t="s">
        <v>2514</v>
      </c>
      <c r="AM467" t="s">
        <v>2523</v>
      </c>
      <c r="AR467">
        <v>1876563</v>
      </c>
    </row>
    <row r="468" spans="1:44">
      <c r="A468" s="1">
        <f>HYPERLINK("https://lsnyc.legalserver.org/matter/dynamic-profile/view/1875915","18-1875915")</f>
        <v>0</v>
      </c>
      <c r="B468" t="s">
        <v>506</v>
      </c>
      <c r="C468" t="s">
        <v>537</v>
      </c>
      <c r="D468" t="s">
        <v>545</v>
      </c>
      <c r="E468" t="s">
        <v>568</v>
      </c>
      <c r="F468" t="s">
        <v>581</v>
      </c>
      <c r="G468" t="s">
        <v>581</v>
      </c>
      <c r="H468">
        <v>0</v>
      </c>
      <c r="I468" t="s">
        <v>757</v>
      </c>
      <c r="J468" t="s">
        <v>703</v>
      </c>
      <c r="K468" t="s">
        <v>582</v>
      </c>
      <c r="L468" t="s">
        <v>816</v>
      </c>
      <c r="N468" t="s">
        <v>820</v>
      </c>
      <c r="O468" t="s">
        <v>825</v>
      </c>
      <c r="P468" t="s">
        <v>828</v>
      </c>
      <c r="Q468">
        <v>11433</v>
      </c>
      <c r="S468" t="s">
        <v>861</v>
      </c>
      <c r="T468" t="s">
        <v>1259</v>
      </c>
      <c r="U468" t="s">
        <v>1660</v>
      </c>
      <c r="V468" t="s">
        <v>1678</v>
      </c>
      <c r="W468" t="s">
        <v>1684</v>
      </c>
      <c r="X468">
        <v>10.25</v>
      </c>
      <c r="Y468">
        <v>0</v>
      </c>
      <c r="Z468">
        <v>1</v>
      </c>
      <c r="AA468" t="s">
        <v>1692</v>
      </c>
      <c r="AB468" t="s">
        <v>2143</v>
      </c>
      <c r="AC468">
        <v>29</v>
      </c>
      <c r="AD468" t="s">
        <v>2171</v>
      </c>
      <c r="AH468" t="s">
        <v>2489</v>
      </c>
      <c r="AI468" t="s">
        <v>581</v>
      </c>
      <c r="AK468" t="s">
        <v>2514</v>
      </c>
      <c r="AL468" t="s">
        <v>2520</v>
      </c>
      <c r="AM468" t="s">
        <v>2523</v>
      </c>
      <c r="AR468">
        <v>1876524</v>
      </c>
    </row>
    <row r="469" spans="1:44">
      <c r="A469" s="1">
        <f>HYPERLINK("https://lsnyc.legalserver.org/matter/dynamic-profile/view/1875886","18-1875886")</f>
        <v>0</v>
      </c>
      <c r="B469" t="s">
        <v>507</v>
      </c>
      <c r="C469" t="s">
        <v>537</v>
      </c>
      <c r="D469" t="s">
        <v>545</v>
      </c>
      <c r="E469" t="s">
        <v>568</v>
      </c>
      <c r="F469" t="s">
        <v>581</v>
      </c>
      <c r="G469" t="s">
        <v>581</v>
      </c>
      <c r="H469">
        <v>0</v>
      </c>
      <c r="I469" t="s">
        <v>758</v>
      </c>
      <c r="J469" t="s">
        <v>703</v>
      </c>
      <c r="K469" t="s">
        <v>582</v>
      </c>
      <c r="L469" t="s">
        <v>816</v>
      </c>
      <c r="N469" t="s">
        <v>820</v>
      </c>
      <c r="O469" t="s">
        <v>825</v>
      </c>
      <c r="P469" t="s">
        <v>828</v>
      </c>
      <c r="Q469">
        <v>11378</v>
      </c>
      <c r="S469" t="s">
        <v>861</v>
      </c>
      <c r="T469" t="s">
        <v>1260</v>
      </c>
      <c r="U469" t="s">
        <v>1402</v>
      </c>
      <c r="V469" t="s">
        <v>1678</v>
      </c>
      <c r="W469" t="s">
        <v>1684</v>
      </c>
      <c r="X469">
        <v>17</v>
      </c>
      <c r="Y469">
        <v>0</v>
      </c>
      <c r="Z469">
        <v>1</v>
      </c>
      <c r="AA469" t="s">
        <v>1692</v>
      </c>
      <c r="AB469" t="s">
        <v>2144</v>
      </c>
      <c r="AC469">
        <v>60</v>
      </c>
      <c r="AD469" t="s">
        <v>2171</v>
      </c>
      <c r="AH469" t="s">
        <v>2479</v>
      </c>
      <c r="AI469" t="s">
        <v>581</v>
      </c>
      <c r="AK469" t="s">
        <v>2514</v>
      </c>
      <c r="AL469" t="s">
        <v>2520</v>
      </c>
      <c r="AM469" t="s">
        <v>2523</v>
      </c>
      <c r="AR469">
        <v>1876495</v>
      </c>
    </row>
    <row r="470" spans="1:44">
      <c r="A470" s="1">
        <f>HYPERLINK("https://lsnyc.legalserver.org/matter/dynamic-profile/view/1875904","18-1875904")</f>
        <v>0</v>
      </c>
      <c r="B470" t="s">
        <v>508</v>
      </c>
      <c r="C470" t="s">
        <v>535</v>
      </c>
      <c r="D470" t="s">
        <v>541</v>
      </c>
      <c r="E470" t="s">
        <v>561</v>
      </c>
      <c r="F470" t="s">
        <v>580</v>
      </c>
      <c r="G470" t="s">
        <v>581</v>
      </c>
      <c r="H470">
        <v>40.42</v>
      </c>
      <c r="I470" t="s">
        <v>758</v>
      </c>
      <c r="J470" t="s">
        <v>590</v>
      </c>
      <c r="L470" t="s">
        <v>816</v>
      </c>
      <c r="N470" t="s">
        <v>820</v>
      </c>
      <c r="O470" t="s">
        <v>824</v>
      </c>
      <c r="P470" t="s">
        <v>828</v>
      </c>
      <c r="Q470">
        <v>10009</v>
      </c>
      <c r="R470" t="s">
        <v>835</v>
      </c>
      <c r="S470" t="s">
        <v>863</v>
      </c>
      <c r="T470" t="s">
        <v>1261</v>
      </c>
      <c r="U470" t="s">
        <v>1548</v>
      </c>
      <c r="V470" t="s">
        <v>1678</v>
      </c>
      <c r="W470" t="s">
        <v>1684</v>
      </c>
      <c r="X470">
        <v>19.5</v>
      </c>
      <c r="Y470">
        <v>2</v>
      </c>
      <c r="Z470">
        <v>1</v>
      </c>
      <c r="AA470" t="s">
        <v>1692</v>
      </c>
      <c r="AB470" t="s">
        <v>2145</v>
      </c>
      <c r="AC470">
        <v>46</v>
      </c>
      <c r="AD470" t="s">
        <v>2347</v>
      </c>
      <c r="AH470" t="s">
        <v>2499</v>
      </c>
      <c r="AI470" t="s">
        <v>582</v>
      </c>
      <c r="AJ470" t="s">
        <v>2512</v>
      </c>
      <c r="AK470" t="s">
        <v>2514</v>
      </c>
      <c r="AL470" t="s">
        <v>2519</v>
      </c>
      <c r="AM470" t="s">
        <v>2522</v>
      </c>
      <c r="AR470">
        <v>78111</v>
      </c>
    </row>
    <row r="471" spans="1:44">
      <c r="A471" s="1">
        <f>HYPERLINK("https://lsnyc.legalserver.org/matter/dynamic-profile/view/1875765","18-1875765")</f>
        <v>0</v>
      </c>
      <c r="B471" t="s">
        <v>509</v>
      </c>
      <c r="C471" t="s">
        <v>537</v>
      </c>
      <c r="D471" t="s">
        <v>545</v>
      </c>
      <c r="E471" t="s">
        <v>568</v>
      </c>
      <c r="F471" t="s">
        <v>581</v>
      </c>
      <c r="G471" t="s">
        <v>581</v>
      </c>
      <c r="H471">
        <v>0</v>
      </c>
      <c r="I471" t="s">
        <v>759</v>
      </c>
      <c r="J471" t="s">
        <v>703</v>
      </c>
      <c r="K471" t="s">
        <v>582</v>
      </c>
      <c r="L471" t="s">
        <v>816</v>
      </c>
      <c r="N471" t="s">
        <v>820</v>
      </c>
      <c r="O471" t="s">
        <v>824</v>
      </c>
      <c r="P471" t="s">
        <v>828</v>
      </c>
      <c r="Q471">
        <v>11356</v>
      </c>
      <c r="S471" t="s">
        <v>861</v>
      </c>
      <c r="T471" t="s">
        <v>1262</v>
      </c>
      <c r="U471" t="s">
        <v>1661</v>
      </c>
      <c r="V471" t="s">
        <v>1678</v>
      </c>
      <c r="W471" t="s">
        <v>1684</v>
      </c>
      <c r="X471">
        <v>3.95</v>
      </c>
      <c r="Y471">
        <v>0</v>
      </c>
      <c r="Z471">
        <v>2</v>
      </c>
      <c r="AA471" t="s">
        <v>1692</v>
      </c>
      <c r="AB471" t="s">
        <v>2146</v>
      </c>
      <c r="AC471">
        <v>52</v>
      </c>
      <c r="AD471" t="s">
        <v>2171</v>
      </c>
      <c r="AH471" t="s">
        <v>2500</v>
      </c>
      <c r="AI471" t="s">
        <v>581</v>
      </c>
      <c r="AK471" t="s">
        <v>2514</v>
      </c>
      <c r="AL471" t="s">
        <v>2520</v>
      </c>
      <c r="AM471" t="s">
        <v>2523</v>
      </c>
      <c r="AR471">
        <v>1876374</v>
      </c>
    </row>
    <row r="472" spans="1:44">
      <c r="A472" s="1">
        <f>HYPERLINK("https://lsnyc.legalserver.org/matter/dynamic-profile/view/1875585","18-1875585")</f>
        <v>0</v>
      </c>
      <c r="B472" t="s">
        <v>422</v>
      </c>
      <c r="C472" t="s">
        <v>537</v>
      </c>
      <c r="D472" t="s">
        <v>545</v>
      </c>
      <c r="E472" t="s">
        <v>568</v>
      </c>
      <c r="F472" t="s">
        <v>580</v>
      </c>
      <c r="G472" t="s">
        <v>581</v>
      </c>
      <c r="H472">
        <v>137.92</v>
      </c>
      <c r="I472" t="s">
        <v>760</v>
      </c>
      <c r="J472" t="s">
        <v>728</v>
      </c>
      <c r="K472" t="s">
        <v>582</v>
      </c>
      <c r="L472" t="s">
        <v>816</v>
      </c>
      <c r="N472" t="s">
        <v>820</v>
      </c>
      <c r="O472" t="s">
        <v>825</v>
      </c>
      <c r="P472" t="s">
        <v>828</v>
      </c>
      <c r="Q472">
        <v>11370</v>
      </c>
      <c r="S472" t="s">
        <v>861</v>
      </c>
      <c r="T472" t="s">
        <v>1197</v>
      </c>
      <c r="U472" t="s">
        <v>1597</v>
      </c>
      <c r="V472" t="s">
        <v>1681</v>
      </c>
      <c r="W472" t="s">
        <v>1685</v>
      </c>
      <c r="X472">
        <v>12.85</v>
      </c>
      <c r="Y472">
        <v>0</v>
      </c>
      <c r="Z472">
        <v>1</v>
      </c>
      <c r="AA472" t="s">
        <v>1692</v>
      </c>
      <c r="AB472" t="s">
        <v>2064</v>
      </c>
      <c r="AC472">
        <v>38</v>
      </c>
      <c r="AD472" t="s">
        <v>2348</v>
      </c>
      <c r="AG472" t="s">
        <v>2382</v>
      </c>
      <c r="AH472" t="s">
        <v>2382</v>
      </c>
      <c r="AI472" t="s">
        <v>581</v>
      </c>
      <c r="AK472" t="s">
        <v>2516</v>
      </c>
      <c r="AL472" t="s">
        <v>2521</v>
      </c>
      <c r="AM472" t="s">
        <v>2525</v>
      </c>
      <c r="AO472" t="s">
        <v>2528</v>
      </c>
      <c r="AR472">
        <v>1876194</v>
      </c>
    </row>
    <row r="473" spans="1:44">
      <c r="A473" s="1">
        <f>HYPERLINK("https://lsnyc.legalserver.org/matter/dynamic-profile/view/1875598","18-1875598")</f>
        <v>0</v>
      </c>
      <c r="B473" t="s">
        <v>510</v>
      </c>
      <c r="C473" t="s">
        <v>537</v>
      </c>
      <c r="D473" t="s">
        <v>545</v>
      </c>
      <c r="E473" t="s">
        <v>568</v>
      </c>
      <c r="F473" t="s">
        <v>581</v>
      </c>
      <c r="G473" t="s">
        <v>581</v>
      </c>
      <c r="H473">
        <v>192.75</v>
      </c>
      <c r="I473" t="s">
        <v>760</v>
      </c>
      <c r="J473" t="s">
        <v>807</v>
      </c>
      <c r="K473" t="s">
        <v>582</v>
      </c>
      <c r="L473" t="s">
        <v>816</v>
      </c>
      <c r="N473" t="s">
        <v>820</v>
      </c>
      <c r="O473" t="s">
        <v>824</v>
      </c>
      <c r="P473" t="s">
        <v>828</v>
      </c>
      <c r="Q473">
        <v>11432</v>
      </c>
      <c r="S473" t="s">
        <v>861</v>
      </c>
      <c r="T473" t="s">
        <v>1263</v>
      </c>
      <c r="U473" t="s">
        <v>1662</v>
      </c>
      <c r="V473" t="s">
        <v>1678</v>
      </c>
      <c r="W473" t="s">
        <v>1684</v>
      </c>
      <c r="X473">
        <v>5.5</v>
      </c>
      <c r="Y473">
        <v>0</v>
      </c>
      <c r="Z473">
        <v>1</v>
      </c>
      <c r="AA473" t="s">
        <v>1692</v>
      </c>
      <c r="AB473" t="s">
        <v>2147</v>
      </c>
      <c r="AC473">
        <v>38</v>
      </c>
      <c r="AD473" t="s">
        <v>2198</v>
      </c>
      <c r="AH473" t="s">
        <v>2480</v>
      </c>
      <c r="AI473" t="s">
        <v>581</v>
      </c>
      <c r="AK473" t="s">
        <v>2514</v>
      </c>
      <c r="AL473" t="s">
        <v>2520</v>
      </c>
      <c r="AM473" t="s">
        <v>2523</v>
      </c>
      <c r="AR473">
        <v>1876207</v>
      </c>
    </row>
    <row r="474" spans="1:44">
      <c r="A474" s="1">
        <f>HYPERLINK("https://lsnyc.legalserver.org/matter/dynamic-profile/view/1875556","18-1875556")</f>
        <v>0</v>
      </c>
      <c r="B474" t="s">
        <v>511</v>
      </c>
      <c r="C474" t="s">
        <v>537</v>
      </c>
      <c r="D474" t="s">
        <v>545</v>
      </c>
      <c r="E474" t="s">
        <v>568</v>
      </c>
      <c r="F474" t="s">
        <v>581</v>
      </c>
      <c r="G474" t="s">
        <v>581</v>
      </c>
      <c r="H474">
        <v>0</v>
      </c>
      <c r="I474" t="s">
        <v>760</v>
      </c>
      <c r="J474" t="s">
        <v>697</v>
      </c>
      <c r="K474" t="s">
        <v>582</v>
      </c>
      <c r="L474" t="s">
        <v>816</v>
      </c>
      <c r="N474" t="s">
        <v>820</v>
      </c>
      <c r="O474" t="s">
        <v>825</v>
      </c>
      <c r="P474" t="s">
        <v>828</v>
      </c>
      <c r="Q474">
        <v>11419</v>
      </c>
      <c r="S474" t="s">
        <v>861</v>
      </c>
      <c r="T474" t="s">
        <v>1116</v>
      </c>
      <c r="U474" t="s">
        <v>1663</v>
      </c>
      <c r="V474" t="s">
        <v>1678</v>
      </c>
      <c r="W474" t="s">
        <v>1684</v>
      </c>
      <c r="X474">
        <v>2</v>
      </c>
      <c r="Y474">
        <v>0</v>
      </c>
      <c r="Z474">
        <v>1</v>
      </c>
      <c r="AA474" t="s">
        <v>1692</v>
      </c>
      <c r="AB474" t="s">
        <v>2148</v>
      </c>
      <c r="AC474">
        <v>61</v>
      </c>
      <c r="AD474" t="s">
        <v>2171</v>
      </c>
      <c r="AH474" t="s">
        <v>2466</v>
      </c>
      <c r="AI474" t="s">
        <v>581</v>
      </c>
      <c r="AK474" t="s">
        <v>2514</v>
      </c>
      <c r="AL474" t="s">
        <v>2520</v>
      </c>
      <c r="AM474" t="s">
        <v>2523</v>
      </c>
      <c r="AR474">
        <v>1876165</v>
      </c>
    </row>
    <row r="475" spans="1:44">
      <c r="A475" s="1">
        <f>HYPERLINK("https://lsnyc.legalserver.org/matter/dynamic-profile/view/1875552","18-1875552")</f>
        <v>0</v>
      </c>
      <c r="B475" t="s">
        <v>512</v>
      </c>
      <c r="C475" t="s">
        <v>536</v>
      </c>
      <c r="D475" t="s">
        <v>544</v>
      </c>
      <c r="E475" t="s">
        <v>569</v>
      </c>
      <c r="F475" t="s">
        <v>580</v>
      </c>
      <c r="G475" t="s">
        <v>581</v>
      </c>
      <c r="H475">
        <v>192.75</v>
      </c>
      <c r="I475" t="s">
        <v>760</v>
      </c>
      <c r="J475" t="s">
        <v>589</v>
      </c>
      <c r="K475" t="s">
        <v>582</v>
      </c>
      <c r="L475" t="s">
        <v>816</v>
      </c>
      <c r="N475" t="s">
        <v>820</v>
      </c>
      <c r="O475" t="s">
        <v>825</v>
      </c>
      <c r="P475" t="s">
        <v>828</v>
      </c>
      <c r="Q475">
        <v>11236</v>
      </c>
      <c r="R475" t="s">
        <v>835</v>
      </c>
      <c r="S475" t="s">
        <v>861</v>
      </c>
      <c r="T475" t="s">
        <v>1264</v>
      </c>
      <c r="U475" t="s">
        <v>1664</v>
      </c>
      <c r="V475" t="s">
        <v>1681</v>
      </c>
      <c r="W475" t="s">
        <v>1685</v>
      </c>
      <c r="X475">
        <v>21.2</v>
      </c>
      <c r="Y475">
        <v>0</v>
      </c>
      <c r="Z475">
        <v>1</v>
      </c>
      <c r="AA475" t="s">
        <v>1692</v>
      </c>
      <c r="AB475" t="s">
        <v>2149</v>
      </c>
      <c r="AC475">
        <v>58</v>
      </c>
      <c r="AD475" t="s">
        <v>2198</v>
      </c>
      <c r="AH475" t="s">
        <v>2501</v>
      </c>
      <c r="AI475" t="s">
        <v>582</v>
      </c>
      <c r="AJ475" t="s">
        <v>2512</v>
      </c>
      <c r="AK475" t="s">
        <v>2514</v>
      </c>
      <c r="AL475" t="s">
        <v>2521</v>
      </c>
      <c r="AM475" t="s">
        <v>2525</v>
      </c>
      <c r="AR475">
        <v>1876161</v>
      </c>
    </row>
    <row r="476" spans="1:44">
      <c r="A476" s="1">
        <f>HYPERLINK("https://lsnyc.legalserver.org/matter/dynamic-profile/view/1875446","18-1875446")</f>
        <v>0</v>
      </c>
      <c r="B476" t="s">
        <v>513</v>
      </c>
      <c r="C476" t="s">
        <v>537</v>
      </c>
      <c r="D476" t="s">
        <v>545</v>
      </c>
      <c r="E476" t="s">
        <v>568</v>
      </c>
      <c r="F476" t="s">
        <v>581</v>
      </c>
      <c r="G476" t="s">
        <v>581</v>
      </c>
      <c r="H476">
        <v>0</v>
      </c>
      <c r="I476" t="s">
        <v>761</v>
      </c>
      <c r="J476" t="s">
        <v>712</v>
      </c>
      <c r="K476" t="s">
        <v>582</v>
      </c>
      <c r="L476" t="s">
        <v>816</v>
      </c>
      <c r="N476" t="s">
        <v>820</v>
      </c>
      <c r="O476" t="s">
        <v>824</v>
      </c>
      <c r="P476" t="s">
        <v>828</v>
      </c>
      <c r="Q476">
        <v>11369</v>
      </c>
      <c r="S476" t="s">
        <v>861</v>
      </c>
      <c r="T476" t="s">
        <v>1115</v>
      </c>
      <c r="U476" t="s">
        <v>1402</v>
      </c>
      <c r="V476" t="s">
        <v>1681</v>
      </c>
      <c r="W476" t="s">
        <v>1685</v>
      </c>
      <c r="X476">
        <v>30.21</v>
      </c>
      <c r="Y476">
        <v>0</v>
      </c>
      <c r="Z476">
        <v>1</v>
      </c>
      <c r="AA476" t="s">
        <v>1692</v>
      </c>
      <c r="AB476" t="s">
        <v>2150</v>
      </c>
      <c r="AC476">
        <v>33</v>
      </c>
      <c r="AD476" t="s">
        <v>2171</v>
      </c>
      <c r="AG476" t="s">
        <v>2383</v>
      </c>
      <c r="AH476" t="s">
        <v>2484</v>
      </c>
      <c r="AI476" t="s">
        <v>581</v>
      </c>
      <c r="AK476" t="s">
        <v>2516</v>
      </c>
      <c r="AL476" t="s">
        <v>2521</v>
      </c>
      <c r="AM476" t="s">
        <v>2525</v>
      </c>
      <c r="AO476" t="s">
        <v>2528</v>
      </c>
      <c r="AR476">
        <v>1876054</v>
      </c>
    </row>
    <row r="477" spans="1:44">
      <c r="A477" s="1">
        <f>HYPERLINK("https://lsnyc.legalserver.org/matter/dynamic-profile/view/1875345","18-1875345")</f>
        <v>0</v>
      </c>
      <c r="B477" t="s">
        <v>514</v>
      </c>
      <c r="C477" t="s">
        <v>536</v>
      </c>
      <c r="D477" t="s">
        <v>544</v>
      </c>
      <c r="E477" t="s">
        <v>564</v>
      </c>
      <c r="F477" t="s">
        <v>580</v>
      </c>
      <c r="G477" t="s">
        <v>581</v>
      </c>
      <c r="H477">
        <v>36.45</v>
      </c>
      <c r="I477" t="s">
        <v>762</v>
      </c>
      <c r="J477" t="s">
        <v>699</v>
      </c>
      <c r="K477" t="s">
        <v>581</v>
      </c>
      <c r="L477" t="s">
        <v>816</v>
      </c>
      <c r="N477" t="s">
        <v>821</v>
      </c>
      <c r="O477" t="s">
        <v>825</v>
      </c>
      <c r="P477" t="s">
        <v>830</v>
      </c>
      <c r="Q477">
        <v>11218</v>
      </c>
      <c r="R477" t="s">
        <v>840</v>
      </c>
      <c r="S477" t="s">
        <v>861</v>
      </c>
      <c r="T477" t="s">
        <v>1265</v>
      </c>
      <c r="U477" t="s">
        <v>1665</v>
      </c>
      <c r="V477" t="s">
        <v>1678</v>
      </c>
      <c r="W477" t="s">
        <v>1689</v>
      </c>
      <c r="X477">
        <v>6.7</v>
      </c>
      <c r="Y477">
        <v>0</v>
      </c>
      <c r="Z477">
        <v>2</v>
      </c>
      <c r="AA477" t="s">
        <v>1692</v>
      </c>
      <c r="AB477" t="s">
        <v>2151</v>
      </c>
      <c r="AC477">
        <v>55</v>
      </c>
      <c r="AD477" t="s">
        <v>2289</v>
      </c>
      <c r="AH477" t="s">
        <v>2493</v>
      </c>
      <c r="AI477" t="s">
        <v>581</v>
      </c>
      <c r="AM477" t="s">
        <v>2523</v>
      </c>
      <c r="AR477">
        <v>1874789</v>
      </c>
    </row>
    <row r="478" spans="1:44">
      <c r="A478" s="1">
        <f>HYPERLINK("https://lsnyc.legalserver.org/matter/dynamic-profile/view/1875318","18-1875318")</f>
        <v>0</v>
      </c>
      <c r="B478" t="s">
        <v>515</v>
      </c>
      <c r="C478" t="s">
        <v>536</v>
      </c>
      <c r="D478" t="s">
        <v>544</v>
      </c>
      <c r="E478" t="s">
        <v>564</v>
      </c>
      <c r="F478" t="s">
        <v>580</v>
      </c>
      <c r="G478" t="s">
        <v>581</v>
      </c>
      <c r="H478">
        <v>16.16</v>
      </c>
      <c r="I478" t="s">
        <v>763</v>
      </c>
      <c r="J478" t="s">
        <v>813</v>
      </c>
      <c r="L478" t="s">
        <v>816</v>
      </c>
      <c r="N478" t="s">
        <v>821</v>
      </c>
      <c r="O478" t="s">
        <v>824</v>
      </c>
      <c r="P478" t="s">
        <v>832</v>
      </c>
      <c r="Q478">
        <v>11212</v>
      </c>
      <c r="S478" t="s">
        <v>861</v>
      </c>
      <c r="T478" t="s">
        <v>1266</v>
      </c>
      <c r="U478" t="s">
        <v>1666</v>
      </c>
      <c r="V478" t="s">
        <v>1678</v>
      </c>
      <c r="W478" t="s">
        <v>1684</v>
      </c>
      <c r="X478">
        <v>0.75</v>
      </c>
      <c r="Y478">
        <v>0</v>
      </c>
      <c r="Z478">
        <v>2</v>
      </c>
      <c r="AA478" t="s">
        <v>1692</v>
      </c>
      <c r="AB478" t="s">
        <v>2152</v>
      </c>
      <c r="AC478">
        <v>21</v>
      </c>
      <c r="AD478" t="s">
        <v>2349</v>
      </c>
      <c r="AH478" t="s">
        <v>2502</v>
      </c>
      <c r="AK478" t="s">
        <v>2514</v>
      </c>
      <c r="AL478" t="s">
        <v>2520</v>
      </c>
      <c r="AM478" t="s">
        <v>2523</v>
      </c>
      <c r="AR478">
        <v>1875926</v>
      </c>
    </row>
    <row r="479" spans="1:44">
      <c r="A479" s="1">
        <f>HYPERLINK("https://lsnyc.legalserver.org/matter/dynamic-profile/view/1875181","18-1875181")</f>
        <v>0</v>
      </c>
      <c r="B479" t="s">
        <v>516</v>
      </c>
      <c r="C479" t="s">
        <v>536</v>
      </c>
      <c r="D479" t="s">
        <v>544</v>
      </c>
      <c r="E479" t="s">
        <v>564</v>
      </c>
      <c r="F479" t="s">
        <v>580</v>
      </c>
      <c r="G479" t="s">
        <v>581</v>
      </c>
      <c r="H479">
        <v>0</v>
      </c>
      <c r="I479" t="s">
        <v>764</v>
      </c>
      <c r="J479" t="s">
        <v>742</v>
      </c>
      <c r="L479" t="s">
        <v>816</v>
      </c>
      <c r="N479" t="s">
        <v>821</v>
      </c>
      <c r="O479" t="s">
        <v>824</v>
      </c>
      <c r="P479" t="s">
        <v>830</v>
      </c>
      <c r="Q479">
        <v>11224</v>
      </c>
      <c r="R479" t="s">
        <v>840</v>
      </c>
      <c r="S479" t="s">
        <v>861</v>
      </c>
      <c r="T479" t="s">
        <v>1267</v>
      </c>
      <c r="U479" t="s">
        <v>1667</v>
      </c>
      <c r="V479" t="s">
        <v>1678</v>
      </c>
      <c r="X479">
        <v>2.45</v>
      </c>
      <c r="Y479">
        <v>0</v>
      </c>
      <c r="Z479">
        <v>3</v>
      </c>
      <c r="AA479" t="s">
        <v>1692</v>
      </c>
      <c r="AB479" t="s">
        <v>2153</v>
      </c>
      <c r="AC479">
        <v>54</v>
      </c>
      <c r="AD479" t="s">
        <v>2171</v>
      </c>
      <c r="AH479" t="s">
        <v>2503</v>
      </c>
      <c r="AI479" t="s">
        <v>581</v>
      </c>
      <c r="AK479" t="s">
        <v>2514</v>
      </c>
      <c r="AM479" t="s">
        <v>2523</v>
      </c>
      <c r="AR479">
        <v>1875787</v>
      </c>
    </row>
    <row r="480" spans="1:44">
      <c r="A480" s="1">
        <f>HYPERLINK("https://lsnyc.legalserver.org/matter/dynamic-profile/view/1875202","18-1875202")</f>
        <v>0</v>
      </c>
      <c r="B480" t="s">
        <v>517</v>
      </c>
      <c r="C480" t="s">
        <v>535</v>
      </c>
      <c r="D480" t="s">
        <v>541</v>
      </c>
      <c r="E480" t="s">
        <v>563</v>
      </c>
      <c r="F480" t="s">
        <v>580</v>
      </c>
      <c r="G480" t="s">
        <v>581</v>
      </c>
      <c r="H480">
        <v>0</v>
      </c>
      <c r="I480" t="s">
        <v>764</v>
      </c>
      <c r="J480" t="s">
        <v>709</v>
      </c>
      <c r="K480" t="s">
        <v>581</v>
      </c>
      <c r="L480" t="s">
        <v>816</v>
      </c>
      <c r="N480" t="s">
        <v>821</v>
      </c>
      <c r="O480" t="s">
        <v>824</v>
      </c>
      <c r="P480" t="s">
        <v>833</v>
      </c>
      <c r="Q480">
        <v>10031</v>
      </c>
      <c r="R480" t="s">
        <v>858</v>
      </c>
      <c r="S480" t="s">
        <v>861</v>
      </c>
      <c r="T480" t="s">
        <v>1268</v>
      </c>
      <c r="U480" t="s">
        <v>1660</v>
      </c>
      <c r="V480" t="s">
        <v>1678</v>
      </c>
      <c r="W480" t="s">
        <v>1684</v>
      </c>
      <c r="X480">
        <v>3.3</v>
      </c>
      <c r="Y480">
        <v>0</v>
      </c>
      <c r="Z480">
        <v>1</v>
      </c>
      <c r="AA480" t="s">
        <v>1692</v>
      </c>
      <c r="AB480" t="s">
        <v>2154</v>
      </c>
      <c r="AC480">
        <v>21</v>
      </c>
      <c r="AD480" t="s">
        <v>2171</v>
      </c>
      <c r="AM480" t="s">
        <v>2523</v>
      </c>
      <c r="AR480">
        <v>1875808</v>
      </c>
    </row>
    <row r="481" spans="1:44">
      <c r="A481" s="1">
        <f>HYPERLINK("https://lsnyc.legalserver.org/matter/dynamic-profile/view/1875093","18-1875093")</f>
        <v>0</v>
      </c>
      <c r="B481" t="s">
        <v>518</v>
      </c>
      <c r="C481" t="s">
        <v>536</v>
      </c>
      <c r="D481" t="s">
        <v>543</v>
      </c>
      <c r="E481" t="s">
        <v>564</v>
      </c>
      <c r="F481" t="s">
        <v>580</v>
      </c>
      <c r="G481" t="s">
        <v>581</v>
      </c>
      <c r="H481">
        <v>0</v>
      </c>
      <c r="I481" t="s">
        <v>765</v>
      </c>
      <c r="J481" t="s">
        <v>814</v>
      </c>
      <c r="L481" t="s">
        <v>816</v>
      </c>
      <c r="N481" t="s">
        <v>820</v>
      </c>
      <c r="O481" t="s">
        <v>824</v>
      </c>
      <c r="P481" t="s">
        <v>828</v>
      </c>
      <c r="Q481">
        <v>10462</v>
      </c>
      <c r="S481" t="s">
        <v>861</v>
      </c>
      <c r="T481" t="s">
        <v>1126</v>
      </c>
      <c r="U481" t="s">
        <v>1668</v>
      </c>
      <c r="V481" t="s">
        <v>1678</v>
      </c>
      <c r="X481">
        <v>4.5</v>
      </c>
      <c r="Y481">
        <v>0</v>
      </c>
      <c r="Z481">
        <v>2</v>
      </c>
      <c r="AA481" t="s">
        <v>1692</v>
      </c>
      <c r="AB481" t="s">
        <v>2155</v>
      </c>
      <c r="AC481">
        <v>64</v>
      </c>
      <c r="AD481" t="s">
        <v>2171</v>
      </c>
      <c r="AH481" t="s">
        <v>2382</v>
      </c>
      <c r="AI481" t="s">
        <v>581</v>
      </c>
      <c r="AL481" t="s">
        <v>2520</v>
      </c>
      <c r="AM481" t="s">
        <v>2523</v>
      </c>
      <c r="AR481">
        <v>1863745</v>
      </c>
    </row>
    <row r="482" spans="1:44">
      <c r="A482" s="1">
        <f>HYPERLINK("https://lsnyc.legalserver.org/matter/dynamic-profile/view/1874910","18-1874910")</f>
        <v>0</v>
      </c>
      <c r="B482" t="s">
        <v>519</v>
      </c>
      <c r="C482" t="s">
        <v>537</v>
      </c>
      <c r="D482" t="s">
        <v>545</v>
      </c>
      <c r="E482" t="s">
        <v>568</v>
      </c>
      <c r="F482" t="s">
        <v>581</v>
      </c>
      <c r="G482" t="s">
        <v>581</v>
      </c>
      <c r="H482">
        <v>0</v>
      </c>
      <c r="I482" t="s">
        <v>766</v>
      </c>
      <c r="J482" t="s">
        <v>703</v>
      </c>
      <c r="K482" t="s">
        <v>582</v>
      </c>
      <c r="L482" t="s">
        <v>816</v>
      </c>
      <c r="N482" t="s">
        <v>820</v>
      </c>
      <c r="O482" t="s">
        <v>824</v>
      </c>
      <c r="P482" t="s">
        <v>828</v>
      </c>
      <c r="Q482">
        <v>11435</v>
      </c>
      <c r="S482" t="s">
        <v>861</v>
      </c>
      <c r="T482" t="s">
        <v>1269</v>
      </c>
      <c r="U482" t="s">
        <v>1406</v>
      </c>
      <c r="V482" t="s">
        <v>1678</v>
      </c>
      <c r="W482" t="s">
        <v>1684</v>
      </c>
      <c r="X482">
        <v>6.25</v>
      </c>
      <c r="Y482">
        <v>0</v>
      </c>
      <c r="Z482">
        <v>1</v>
      </c>
      <c r="AA482" t="s">
        <v>1692</v>
      </c>
      <c r="AB482" t="s">
        <v>2156</v>
      </c>
      <c r="AC482">
        <v>59</v>
      </c>
      <c r="AD482" t="s">
        <v>2171</v>
      </c>
      <c r="AH482" t="s">
        <v>2481</v>
      </c>
      <c r="AI482" t="s">
        <v>581</v>
      </c>
      <c r="AK482" t="s">
        <v>2514</v>
      </c>
      <c r="AL482" t="s">
        <v>2520</v>
      </c>
      <c r="AM482" t="s">
        <v>2523</v>
      </c>
      <c r="AR482">
        <v>1875516</v>
      </c>
    </row>
    <row r="483" spans="1:44">
      <c r="A483" s="1">
        <f>HYPERLINK("https://lsnyc.legalserver.org/matter/dynamic-profile/view/1874726","18-1874726")</f>
        <v>0</v>
      </c>
      <c r="B483" t="s">
        <v>520</v>
      </c>
      <c r="C483" t="s">
        <v>537</v>
      </c>
      <c r="D483" t="s">
        <v>545</v>
      </c>
      <c r="E483" t="s">
        <v>568</v>
      </c>
      <c r="F483" t="s">
        <v>581</v>
      </c>
      <c r="G483" t="s">
        <v>581</v>
      </c>
      <c r="H483">
        <v>38.45</v>
      </c>
      <c r="I483" t="s">
        <v>767</v>
      </c>
      <c r="J483" t="s">
        <v>703</v>
      </c>
      <c r="K483" t="s">
        <v>582</v>
      </c>
      <c r="L483" t="s">
        <v>816</v>
      </c>
      <c r="N483" t="s">
        <v>820</v>
      </c>
      <c r="O483" t="s">
        <v>825</v>
      </c>
      <c r="P483" t="s">
        <v>828</v>
      </c>
      <c r="Q483">
        <v>11434</v>
      </c>
      <c r="S483" t="s">
        <v>861</v>
      </c>
      <c r="T483" t="s">
        <v>1270</v>
      </c>
      <c r="U483" t="s">
        <v>1339</v>
      </c>
      <c r="V483" t="s">
        <v>1678</v>
      </c>
      <c r="W483" t="s">
        <v>1684</v>
      </c>
      <c r="X483">
        <v>3.5</v>
      </c>
      <c r="Y483">
        <v>0</v>
      </c>
      <c r="Z483">
        <v>1</v>
      </c>
      <c r="AA483" t="s">
        <v>1692</v>
      </c>
      <c r="AB483" t="s">
        <v>2157</v>
      </c>
      <c r="AC483">
        <v>30</v>
      </c>
      <c r="AD483" t="s">
        <v>2350</v>
      </c>
      <c r="AH483" t="s">
        <v>2504</v>
      </c>
      <c r="AI483" t="s">
        <v>581</v>
      </c>
      <c r="AK483" t="s">
        <v>2514</v>
      </c>
      <c r="AL483" t="s">
        <v>2520</v>
      </c>
      <c r="AM483" t="s">
        <v>2523</v>
      </c>
      <c r="AR483">
        <v>1875331</v>
      </c>
    </row>
    <row r="484" spans="1:44">
      <c r="A484" s="1">
        <f>HYPERLINK("https://lsnyc.legalserver.org/matter/dynamic-profile/view/1874750","18-1874750")</f>
        <v>0</v>
      </c>
      <c r="B484" t="s">
        <v>521</v>
      </c>
      <c r="C484" t="s">
        <v>537</v>
      </c>
      <c r="D484" t="s">
        <v>545</v>
      </c>
      <c r="E484" t="s">
        <v>568</v>
      </c>
      <c r="F484" t="s">
        <v>581</v>
      </c>
      <c r="G484" t="s">
        <v>581</v>
      </c>
      <c r="H484">
        <v>46.2</v>
      </c>
      <c r="I484" t="s">
        <v>767</v>
      </c>
      <c r="J484" t="s">
        <v>703</v>
      </c>
      <c r="K484" t="s">
        <v>582</v>
      </c>
      <c r="L484" t="s">
        <v>816</v>
      </c>
      <c r="N484" t="s">
        <v>820</v>
      </c>
      <c r="O484" t="s">
        <v>824</v>
      </c>
      <c r="P484" t="s">
        <v>828</v>
      </c>
      <c r="Q484">
        <v>11365</v>
      </c>
      <c r="S484" t="s">
        <v>863</v>
      </c>
      <c r="T484" t="s">
        <v>1271</v>
      </c>
      <c r="U484" t="s">
        <v>1350</v>
      </c>
      <c r="V484" t="s">
        <v>1678</v>
      </c>
      <c r="W484" t="s">
        <v>1684</v>
      </c>
      <c r="X484">
        <v>11.75</v>
      </c>
      <c r="Y484">
        <v>2</v>
      </c>
      <c r="Z484">
        <v>1</v>
      </c>
      <c r="AA484" t="s">
        <v>1692</v>
      </c>
      <c r="AB484" t="s">
        <v>2158</v>
      </c>
      <c r="AC484">
        <v>43</v>
      </c>
      <c r="AD484" t="s">
        <v>2184</v>
      </c>
      <c r="AH484" t="s">
        <v>2503</v>
      </c>
      <c r="AI484" t="s">
        <v>581</v>
      </c>
      <c r="AK484" t="s">
        <v>2514</v>
      </c>
      <c r="AM484" t="s">
        <v>2523</v>
      </c>
      <c r="AR484">
        <v>1875355</v>
      </c>
    </row>
    <row r="485" spans="1:44">
      <c r="A485" s="1">
        <f>HYPERLINK("https://lsnyc.legalserver.org/matter/dynamic-profile/view/1874286","18-1874286")</f>
        <v>0</v>
      </c>
      <c r="B485" t="s">
        <v>522</v>
      </c>
      <c r="C485" t="s">
        <v>537</v>
      </c>
      <c r="D485" t="s">
        <v>545</v>
      </c>
      <c r="E485" t="s">
        <v>568</v>
      </c>
      <c r="F485" t="s">
        <v>581</v>
      </c>
      <c r="G485" t="s">
        <v>581</v>
      </c>
      <c r="H485">
        <v>53.71</v>
      </c>
      <c r="I485" t="s">
        <v>768</v>
      </c>
      <c r="J485" t="s">
        <v>715</v>
      </c>
      <c r="K485" t="s">
        <v>582</v>
      </c>
      <c r="L485" t="s">
        <v>816</v>
      </c>
      <c r="N485" t="s">
        <v>820</v>
      </c>
      <c r="O485" t="s">
        <v>824</v>
      </c>
      <c r="P485" t="s">
        <v>828</v>
      </c>
      <c r="Q485">
        <v>11434</v>
      </c>
      <c r="S485" t="s">
        <v>861</v>
      </c>
      <c r="T485" t="s">
        <v>1102</v>
      </c>
      <c r="U485" t="s">
        <v>1669</v>
      </c>
      <c r="V485" t="s">
        <v>1678</v>
      </c>
      <c r="W485" t="s">
        <v>1684</v>
      </c>
      <c r="X485">
        <v>16.5</v>
      </c>
      <c r="Y485">
        <v>1</v>
      </c>
      <c r="Z485">
        <v>1</v>
      </c>
      <c r="AA485" t="s">
        <v>1692</v>
      </c>
      <c r="AB485" t="s">
        <v>2159</v>
      </c>
      <c r="AC485">
        <v>26</v>
      </c>
      <c r="AD485" t="s">
        <v>2351</v>
      </c>
      <c r="AH485" t="s">
        <v>2480</v>
      </c>
      <c r="AI485" t="s">
        <v>581</v>
      </c>
      <c r="AK485" t="s">
        <v>2514</v>
      </c>
      <c r="AL485" t="s">
        <v>2520</v>
      </c>
      <c r="AM485" t="s">
        <v>2523</v>
      </c>
      <c r="AR485">
        <v>1874890</v>
      </c>
    </row>
    <row r="486" spans="1:44">
      <c r="A486" s="1">
        <f>HYPERLINK("https://lsnyc.legalserver.org/matter/dynamic-profile/view/1874351","18-1874351")</f>
        <v>0</v>
      </c>
      <c r="B486" t="s">
        <v>523</v>
      </c>
      <c r="C486" t="s">
        <v>537</v>
      </c>
      <c r="D486" t="s">
        <v>545</v>
      </c>
      <c r="E486" t="s">
        <v>568</v>
      </c>
      <c r="F486" t="s">
        <v>581</v>
      </c>
      <c r="G486" t="s">
        <v>581</v>
      </c>
      <c r="H486">
        <v>0</v>
      </c>
      <c r="I486" t="s">
        <v>768</v>
      </c>
      <c r="J486" t="s">
        <v>807</v>
      </c>
      <c r="K486" t="s">
        <v>582</v>
      </c>
      <c r="L486" t="s">
        <v>816</v>
      </c>
      <c r="N486" t="s">
        <v>820</v>
      </c>
      <c r="O486" t="s">
        <v>825</v>
      </c>
      <c r="P486" t="s">
        <v>828</v>
      </c>
      <c r="Q486">
        <v>11417</v>
      </c>
      <c r="S486" t="s">
        <v>861</v>
      </c>
      <c r="T486" t="s">
        <v>1147</v>
      </c>
      <c r="U486" t="s">
        <v>1334</v>
      </c>
      <c r="V486" t="s">
        <v>1678</v>
      </c>
      <c r="W486" t="s">
        <v>1684</v>
      </c>
      <c r="X486">
        <v>7</v>
      </c>
      <c r="Y486">
        <v>0</v>
      </c>
      <c r="Z486">
        <v>1</v>
      </c>
      <c r="AA486" t="s">
        <v>1692</v>
      </c>
      <c r="AB486" t="s">
        <v>2160</v>
      </c>
      <c r="AC486">
        <v>51</v>
      </c>
      <c r="AD486" t="s">
        <v>2171</v>
      </c>
      <c r="AH486" t="s">
        <v>2382</v>
      </c>
      <c r="AI486" t="s">
        <v>581</v>
      </c>
      <c r="AK486" t="s">
        <v>2514</v>
      </c>
      <c r="AL486" t="s">
        <v>2520</v>
      </c>
      <c r="AM486" t="s">
        <v>2523</v>
      </c>
      <c r="AR486">
        <v>1874955</v>
      </c>
    </row>
    <row r="487" spans="1:44">
      <c r="A487" s="1">
        <f>HYPERLINK("https://lsnyc.legalserver.org/matter/dynamic-profile/view/1873834","18-1873834")</f>
        <v>0</v>
      </c>
      <c r="B487" t="s">
        <v>524</v>
      </c>
      <c r="C487" t="s">
        <v>535</v>
      </c>
      <c r="D487" t="s">
        <v>541</v>
      </c>
      <c r="E487" t="s">
        <v>563</v>
      </c>
      <c r="F487" t="s">
        <v>580</v>
      </c>
      <c r="G487" t="s">
        <v>581</v>
      </c>
      <c r="H487">
        <v>128.5</v>
      </c>
      <c r="I487" t="s">
        <v>769</v>
      </c>
      <c r="J487" t="s">
        <v>806</v>
      </c>
      <c r="K487" t="s">
        <v>581</v>
      </c>
      <c r="L487" t="s">
        <v>816</v>
      </c>
      <c r="N487" t="s">
        <v>821</v>
      </c>
      <c r="O487" t="s">
        <v>824</v>
      </c>
      <c r="P487" t="s">
        <v>829</v>
      </c>
      <c r="Q487">
        <v>10033</v>
      </c>
      <c r="R487" t="s">
        <v>838</v>
      </c>
      <c r="S487" t="s">
        <v>861</v>
      </c>
      <c r="T487" t="s">
        <v>1272</v>
      </c>
      <c r="U487" t="s">
        <v>1670</v>
      </c>
      <c r="V487" t="s">
        <v>1678</v>
      </c>
      <c r="W487" t="s">
        <v>1684</v>
      </c>
      <c r="X487">
        <v>3</v>
      </c>
      <c r="Y487">
        <v>0</v>
      </c>
      <c r="Z487">
        <v>1</v>
      </c>
      <c r="AA487" t="s">
        <v>1692</v>
      </c>
      <c r="AB487" t="s">
        <v>2161</v>
      </c>
      <c r="AC487">
        <v>36</v>
      </c>
      <c r="AD487" t="s">
        <v>2268</v>
      </c>
      <c r="AH487" t="s">
        <v>2505</v>
      </c>
      <c r="AI487" t="s">
        <v>581</v>
      </c>
      <c r="AJ487" t="s">
        <v>2511</v>
      </c>
      <c r="AK487" t="s">
        <v>2514</v>
      </c>
      <c r="AL487" t="s">
        <v>2520</v>
      </c>
      <c r="AM487" t="s">
        <v>2523</v>
      </c>
      <c r="AR487">
        <v>1874437</v>
      </c>
    </row>
    <row r="488" spans="1:44">
      <c r="A488" s="1">
        <f>HYPERLINK("https://lsnyc.legalserver.org/matter/dynamic-profile/view/1873725","18-1873725")</f>
        <v>0</v>
      </c>
      <c r="B488" t="s">
        <v>525</v>
      </c>
      <c r="C488" t="s">
        <v>535</v>
      </c>
      <c r="D488" t="s">
        <v>541</v>
      </c>
      <c r="E488" t="s">
        <v>563</v>
      </c>
      <c r="F488" t="s">
        <v>580</v>
      </c>
      <c r="G488" t="s">
        <v>581</v>
      </c>
      <c r="H488">
        <v>2.27</v>
      </c>
      <c r="I488" t="s">
        <v>769</v>
      </c>
      <c r="K488" t="s">
        <v>581</v>
      </c>
      <c r="L488" t="s">
        <v>816</v>
      </c>
      <c r="N488" t="s">
        <v>821</v>
      </c>
      <c r="O488" t="s">
        <v>824</v>
      </c>
      <c r="P488" t="s">
        <v>829</v>
      </c>
      <c r="Q488">
        <v>10003</v>
      </c>
      <c r="S488" t="s">
        <v>861</v>
      </c>
      <c r="T488" t="s">
        <v>1273</v>
      </c>
      <c r="U488" t="s">
        <v>1671</v>
      </c>
      <c r="W488" t="s">
        <v>1684</v>
      </c>
      <c r="X488">
        <v>1.45</v>
      </c>
      <c r="Y488">
        <v>0</v>
      </c>
      <c r="Z488">
        <v>1</v>
      </c>
      <c r="AA488" t="s">
        <v>1691</v>
      </c>
      <c r="AB488" t="s">
        <v>2162</v>
      </c>
      <c r="AC488">
        <v>27</v>
      </c>
      <c r="AD488" t="s">
        <v>2352</v>
      </c>
      <c r="AJ488" t="s">
        <v>2511</v>
      </c>
      <c r="AM488" t="s">
        <v>2523</v>
      </c>
      <c r="AR488">
        <v>1874328</v>
      </c>
    </row>
    <row r="489" spans="1:44">
      <c r="A489" s="1">
        <f>HYPERLINK("https://lsnyc.legalserver.org/matter/dynamic-profile/view/1873511","18-1873511")</f>
        <v>0</v>
      </c>
      <c r="B489" t="s">
        <v>526</v>
      </c>
      <c r="C489" t="s">
        <v>535</v>
      </c>
      <c r="D489" t="s">
        <v>543</v>
      </c>
      <c r="E489" t="s">
        <v>563</v>
      </c>
      <c r="F489" t="s">
        <v>580</v>
      </c>
      <c r="G489" t="s">
        <v>581</v>
      </c>
      <c r="H489">
        <v>0</v>
      </c>
      <c r="I489" t="s">
        <v>770</v>
      </c>
      <c r="J489" t="s">
        <v>707</v>
      </c>
      <c r="K489" t="s">
        <v>582</v>
      </c>
      <c r="L489" t="s">
        <v>816</v>
      </c>
      <c r="N489" t="s">
        <v>820</v>
      </c>
      <c r="O489" t="s">
        <v>824</v>
      </c>
      <c r="P489" t="s">
        <v>828</v>
      </c>
      <c r="Q489">
        <v>10462</v>
      </c>
      <c r="S489" t="s">
        <v>861</v>
      </c>
      <c r="T489" t="s">
        <v>1274</v>
      </c>
      <c r="U489" t="s">
        <v>1672</v>
      </c>
      <c r="V489" t="s">
        <v>1678</v>
      </c>
      <c r="W489" t="s">
        <v>1684</v>
      </c>
      <c r="X489">
        <v>2.35</v>
      </c>
      <c r="Y489">
        <v>1</v>
      </c>
      <c r="Z489">
        <v>1</v>
      </c>
      <c r="AA489" t="s">
        <v>1692</v>
      </c>
      <c r="AB489" t="s">
        <v>2163</v>
      </c>
      <c r="AC489">
        <v>29</v>
      </c>
      <c r="AD489" t="s">
        <v>2171</v>
      </c>
      <c r="AH489" t="s">
        <v>2506</v>
      </c>
      <c r="AI489" t="s">
        <v>581</v>
      </c>
      <c r="AK489" t="s">
        <v>2514</v>
      </c>
      <c r="AL489" t="s">
        <v>2520</v>
      </c>
      <c r="AM489" t="s">
        <v>2523</v>
      </c>
      <c r="AR489">
        <v>1874114</v>
      </c>
    </row>
    <row r="490" spans="1:44">
      <c r="A490" s="1">
        <f>HYPERLINK("https://lsnyc.legalserver.org/matter/dynamic-profile/view/1873536","18-1873536")</f>
        <v>0</v>
      </c>
      <c r="B490" t="s">
        <v>527</v>
      </c>
      <c r="C490" t="s">
        <v>535</v>
      </c>
      <c r="D490" t="s">
        <v>543</v>
      </c>
      <c r="E490" t="s">
        <v>561</v>
      </c>
      <c r="F490" t="s">
        <v>580</v>
      </c>
      <c r="G490" t="s">
        <v>581</v>
      </c>
      <c r="H490">
        <v>107.08</v>
      </c>
      <c r="I490" t="s">
        <v>770</v>
      </c>
      <c r="J490" t="s">
        <v>809</v>
      </c>
      <c r="K490" t="s">
        <v>582</v>
      </c>
      <c r="L490" t="s">
        <v>816</v>
      </c>
      <c r="N490" t="s">
        <v>820</v>
      </c>
      <c r="O490" t="s">
        <v>824</v>
      </c>
      <c r="P490" t="s">
        <v>828</v>
      </c>
      <c r="Q490">
        <v>10470</v>
      </c>
      <c r="R490" t="s">
        <v>835</v>
      </c>
      <c r="S490" t="s">
        <v>861</v>
      </c>
      <c r="T490" t="s">
        <v>1275</v>
      </c>
      <c r="U490" t="s">
        <v>1673</v>
      </c>
      <c r="V490" t="s">
        <v>1681</v>
      </c>
      <c r="W490" t="s">
        <v>1685</v>
      </c>
      <c r="X490">
        <v>39.3</v>
      </c>
      <c r="Y490">
        <v>0</v>
      </c>
      <c r="Z490">
        <v>1</v>
      </c>
      <c r="AA490" t="s">
        <v>1692</v>
      </c>
      <c r="AB490" t="s">
        <v>2164</v>
      </c>
      <c r="AC490">
        <v>48</v>
      </c>
      <c r="AD490" t="s">
        <v>2204</v>
      </c>
      <c r="AG490" t="s">
        <v>2384</v>
      </c>
      <c r="AI490" t="s">
        <v>581</v>
      </c>
      <c r="AJ490" t="s">
        <v>2511</v>
      </c>
      <c r="AL490" t="s">
        <v>2521</v>
      </c>
      <c r="AM490" t="s">
        <v>2525</v>
      </c>
      <c r="AO490" t="s">
        <v>2528</v>
      </c>
      <c r="AR490">
        <v>306122</v>
      </c>
    </row>
    <row r="491" spans="1:44">
      <c r="A491" s="1">
        <f>HYPERLINK("https://lsnyc.legalserver.org/matter/dynamic-profile/view/1873250","18-1873250")</f>
        <v>0</v>
      </c>
      <c r="B491" t="s">
        <v>528</v>
      </c>
      <c r="C491" t="s">
        <v>535</v>
      </c>
      <c r="D491" t="s">
        <v>541</v>
      </c>
      <c r="E491" t="s">
        <v>563</v>
      </c>
      <c r="F491" t="s">
        <v>580</v>
      </c>
      <c r="G491" t="s">
        <v>581</v>
      </c>
      <c r="H491">
        <v>44.48</v>
      </c>
      <c r="I491" t="s">
        <v>771</v>
      </c>
      <c r="J491" t="s">
        <v>809</v>
      </c>
      <c r="K491" t="s">
        <v>582</v>
      </c>
      <c r="L491" t="s">
        <v>816</v>
      </c>
      <c r="N491" t="s">
        <v>820</v>
      </c>
      <c r="O491" t="s">
        <v>825</v>
      </c>
      <c r="P491" t="s">
        <v>828</v>
      </c>
      <c r="Q491">
        <v>10025</v>
      </c>
      <c r="R491" t="s">
        <v>835</v>
      </c>
      <c r="S491" t="s">
        <v>861</v>
      </c>
      <c r="T491" t="s">
        <v>1276</v>
      </c>
      <c r="U491" t="s">
        <v>1674</v>
      </c>
      <c r="V491" t="s">
        <v>1681</v>
      </c>
      <c r="W491" t="s">
        <v>1685</v>
      </c>
      <c r="X491">
        <v>23.5</v>
      </c>
      <c r="Y491">
        <v>0</v>
      </c>
      <c r="Z491">
        <v>1</v>
      </c>
      <c r="AA491" t="s">
        <v>1692</v>
      </c>
      <c r="AB491" t="s">
        <v>2165</v>
      </c>
      <c r="AC491">
        <v>32</v>
      </c>
      <c r="AD491" t="s">
        <v>2213</v>
      </c>
      <c r="AG491" t="s">
        <v>2385</v>
      </c>
      <c r="AI491" t="s">
        <v>581</v>
      </c>
      <c r="AJ491" t="s">
        <v>2511</v>
      </c>
      <c r="AL491" t="s">
        <v>2521</v>
      </c>
      <c r="AM491" t="s">
        <v>2525</v>
      </c>
      <c r="AO491" t="s">
        <v>2528</v>
      </c>
      <c r="AR491">
        <v>1873852</v>
      </c>
    </row>
    <row r="492" spans="1:44">
      <c r="A492" s="1">
        <f>HYPERLINK("https://lsnyc.legalserver.org/matter/dynamic-profile/view/1872654","18-1872654")</f>
        <v>0</v>
      </c>
      <c r="B492" t="s">
        <v>529</v>
      </c>
      <c r="C492" t="s">
        <v>540</v>
      </c>
      <c r="D492" t="s">
        <v>543</v>
      </c>
      <c r="E492" t="s">
        <v>578</v>
      </c>
      <c r="F492" t="s">
        <v>581</v>
      </c>
      <c r="G492" t="s">
        <v>581</v>
      </c>
      <c r="H492">
        <v>0</v>
      </c>
      <c r="I492" t="s">
        <v>772</v>
      </c>
      <c r="J492" t="s">
        <v>815</v>
      </c>
      <c r="K492" t="s">
        <v>582</v>
      </c>
      <c r="L492" t="s">
        <v>816</v>
      </c>
      <c r="N492" t="s">
        <v>820</v>
      </c>
      <c r="O492" t="s">
        <v>825</v>
      </c>
      <c r="P492" t="s">
        <v>828</v>
      </c>
      <c r="Q492">
        <v>10462</v>
      </c>
      <c r="S492" t="s">
        <v>861</v>
      </c>
      <c r="T492" t="s">
        <v>907</v>
      </c>
      <c r="U492" t="s">
        <v>1675</v>
      </c>
      <c r="V492" t="s">
        <v>1678</v>
      </c>
      <c r="W492" t="s">
        <v>1684</v>
      </c>
      <c r="X492">
        <v>1.66</v>
      </c>
      <c r="Y492">
        <v>0</v>
      </c>
      <c r="Z492">
        <v>1</v>
      </c>
      <c r="AA492" t="s">
        <v>1692</v>
      </c>
      <c r="AB492" t="s">
        <v>1883</v>
      </c>
      <c r="AC492">
        <v>35</v>
      </c>
      <c r="AD492" t="s">
        <v>2171</v>
      </c>
      <c r="AH492" t="s">
        <v>2507</v>
      </c>
      <c r="AI492" t="s">
        <v>581</v>
      </c>
      <c r="AK492" t="s">
        <v>2514</v>
      </c>
      <c r="AL492" t="s">
        <v>2520</v>
      </c>
      <c r="AM492" t="s">
        <v>2523</v>
      </c>
      <c r="AR492">
        <v>1873256</v>
      </c>
    </row>
    <row r="493" spans="1:44">
      <c r="A493" s="1">
        <f>HYPERLINK("https://lsnyc.legalserver.org/matter/dynamic-profile/view/1872020","18-1872020")</f>
        <v>0</v>
      </c>
      <c r="B493" t="s">
        <v>530</v>
      </c>
      <c r="C493" t="s">
        <v>536</v>
      </c>
      <c r="D493" t="s">
        <v>544</v>
      </c>
      <c r="E493" t="s">
        <v>569</v>
      </c>
      <c r="F493" t="s">
        <v>580</v>
      </c>
      <c r="G493" t="s">
        <v>581</v>
      </c>
      <c r="H493">
        <v>101.81</v>
      </c>
      <c r="I493" t="s">
        <v>773</v>
      </c>
      <c r="J493" t="s">
        <v>751</v>
      </c>
      <c r="L493" t="s">
        <v>816</v>
      </c>
      <c r="N493" t="s">
        <v>821</v>
      </c>
      <c r="O493" t="s">
        <v>825</v>
      </c>
      <c r="P493" t="s">
        <v>832</v>
      </c>
      <c r="Q493">
        <v>11207</v>
      </c>
      <c r="S493" t="s">
        <v>861</v>
      </c>
      <c r="T493" t="s">
        <v>904</v>
      </c>
      <c r="U493" t="s">
        <v>1465</v>
      </c>
      <c r="V493" t="s">
        <v>1678</v>
      </c>
      <c r="X493">
        <v>1.8</v>
      </c>
      <c r="Y493">
        <v>0</v>
      </c>
      <c r="Z493">
        <v>1</v>
      </c>
      <c r="AA493" t="s">
        <v>1692</v>
      </c>
      <c r="AB493" t="s">
        <v>2166</v>
      </c>
      <c r="AC493">
        <v>64</v>
      </c>
      <c r="AD493" t="s">
        <v>2353</v>
      </c>
      <c r="AH493" t="s">
        <v>2508</v>
      </c>
      <c r="AI493" t="s">
        <v>582</v>
      </c>
      <c r="AK493" t="s">
        <v>2514</v>
      </c>
      <c r="AM493" t="s">
        <v>2522</v>
      </c>
      <c r="AR493">
        <v>1872621</v>
      </c>
    </row>
    <row r="494" spans="1:44">
      <c r="A494" s="1">
        <f>HYPERLINK("https://lsnyc.legalserver.org/matter/dynamic-profile/view/1871850","18-1871850")</f>
        <v>0</v>
      </c>
      <c r="B494" t="s">
        <v>531</v>
      </c>
      <c r="C494" t="s">
        <v>535</v>
      </c>
      <c r="D494" t="s">
        <v>543</v>
      </c>
      <c r="E494" t="s">
        <v>563</v>
      </c>
      <c r="F494" t="s">
        <v>580</v>
      </c>
      <c r="G494" t="s">
        <v>581</v>
      </c>
      <c r="H494">
        <v>0</v>
      </c>
      <c r="I494" t="s">
        <v>774</v>
      </c>
      <c r="J494" t="s">
        <v>709</v>
      </c>
      <c r="K494" t="s">
        <v>582</v>
      </c>
      <c r="L494" t="s">
        <v>816</v>
      </c>
      <c r="N494" t="s">
        <v>820</v>
      </c>
      <c r="O494" t="s">
        <v>825</v>
      </c>
      <c r="P494" t="s">
        <v>828</v>
      </c>
      <c r="Q494">
        <v>10466</v>
      </c>
      <c r="S494" t="s">
        <v>861</v>
      </c>
      <c r="T494" t="s">
        <v>1277</v>
      </c>
      <c r="U494" t="s">
        <v>1505</v>
      </c>
      <c r="V494" t="s">
        <v>1678</v>
      </c>
      <c r="W494" t="s">
        <v>1684</v>
      </c>
      <c r="X494">
        <v>2.95</v>
      </c>
      <c r="Y494">
        <v>0</v>
      </c>
      <c r="Z494">
        <v>1</v>
      </c>
      <c r="AA494" t="s">
        <v>1692</v>
      </c>
      <c r="AB494" t="s">
        <v>2167</v>
      </c>
      <c r="AC494">
        <v>35</v>
      </c>
      <c r="AD494" t="s">
        <v>2171</v>
      </c>
      <c r="AK494" t="s">
        <v>2514</v>
      </c>
      <c r="AM494" t="s">
        <v>2523</v>
      </c>
      <c r="AR494">
        <v>1872451</v>
      </c>
    </row>
    <row r="495" spans="1:44">
      <c r="A495" s="1">
        <f>HYPERLINK("https://lsnyc.legalserver.org/matter/dynamic-profile/view/1871744","18-1871744")</f>
        <v>0</v>
      </c>
      <c r="B495" t="s">
        <v>532</v>
      </c>
      <c r="C495" t="s">
        <v>535</v>
      </c>
      <c r="D495" t="s">
        <v>545</v>
      </c>
      <c r="E495" t="s">
        <v>563</v>
      </c>
      <c r="F495" t="s">
        <v>580</v>
      </c>
      <c r="G495" t="s">
        <v>581</v>
      </c>
      <c r="H495">
        <v>49.42</v>
      </c>
      <c r="I495" t="s">
        <v>775</v>
      </c>
      <c r="J495" t="s">
        <v>707</v>
      </c>
      <c r="K495" t="s">
        <v>581</v>
      </c>
      <c r="L495" t="s">
        <v>816</v>
      </c>
      <c r="N495" t="s">
        <v>821</v>
      </c>
      <c r="O495" t="s">
        <v>824</v>
      </c>
      <c r="P495" t="s">
        <v>829</v>
      </c>
      <c r="Q495">
        <v>11102</v>
      </c>
      <c r="R495" t="s">
        <v>838</v>
      </c>
      <c r="S495" t="s">
        <v>861</v>
      </c>
      <c r="T495" t="s">
        <v>1278</v>
      </c>
      <c r="U495" t="s">
        <v>1676</v>
      </c>
      <c r="V495" t="s">
        <v>1678</v>
      </c>
      <c r="W495" t="s">
        <v>1684</v>
      </c>
      <c r="X495">
        <v>2.3</v>
      </c>
      <c r="Y495">
        <v>0</v>
      </c>
      <c r="Z495">
        <v>1</v>
      </c>
      <c r="AA495" t="s">
        <v>1692</v>
      </c>
      <c r="AB495" t="s">
        <v>2168</v>
      </c>
      <c r="AC495">
        <v>63</v>
      </c>
      <c r="AD495" t="s">
        <v>2289</v>
      </c>
      <c r="AH495" t="s">
        <v>2509</v>
      </c>
      <c r="AK495" t="s">
        <v>2514</v>
      </c>
      <c r="AM495" t="s">
        <v>2523</v>
      </c>
      <c r="AR495">
        <v>1872345</v>
      </c>
    </row>
    <row r="496" spans="1:44">
      <c r="A496" s="1">
        <f>HYPERLINK("https://lsnyc.legalserver.org/matter/dynamic-profile/view/1870362","18-1870362")</f>
        <v>0</v>
      </c>
      <c r="B496" t="s">
        <v>229</v>
      </c>
      <c r="C496" t="s">
        <v>536</v>
      </c>
      <c r="D496" t="s">
        <v>542</v>
      </c>
      <c r="E496" t="s">
        <v>564</v>
      </c>
      <c r="F496" t="s">
        <v>582</v>
      </c>
      <c r="G496" t="s">
        <v>582</v>
      </c>
      <c r="H496">
        <v>134.93</v>
      </c>
      <c r="I496" t="s">
        <v>776</v>
      </c>
      <c r="K496" t="s">
        <v>581</v>
      </c>
      <c r="L496" t="s">
        <v>816</v>
      </c>
      <c r="N496" t="s">
        <v>821</v>
      </c>
      <c r="O496" t="s">
        <v>825</v>
      </c>
      <c r="P496" t="s">
        <v>833</v>
      </c>
      <c r="Q496">
        <v>10314</v>
      </c>
      <c r="R496" t="s">
        <v>847</v>
      </c>
      <c r="S496" t="s">
        <v>861</v>
      </c>
      <c r="T496" t="s">
        <v>1037</v>
      </c>
      <c r="U496" t="s">
        <v>1443</v>
      </c>
      <c r="W496" t="s">
        <v>1685</v>
      </c>
      <c r="X496">
        <v>88.59999999999999</v>
      </c>
      <c r="Y496">
        <v>0</v>
      </c>
      <c r="Z496">
        <v>1</v>
      </c>
      <c r="AA496" t="s">
        <v>1691</v>
      </c>
      <c r="AB496" t="s">
        <v>1877</v>
      </c>
      <c r="AC496">
        <v>34</v>
      </c>
      <c r="AD496" t="s">
        <v>2315</v>
      </c>
      <c r="AH496" t="s">
        <v>2510</v>
      </c>
      <c r="AI496" t="s">
        <v>582</v>
      </c>
      <c r="AJ496" t="s">
        <v>2512</v>
      </c>
      <c r="AK496" t="s">
        <v>2518</v>
      </c>
      <c r="AL496" t="s">
        <v>2521</v>
      </c>
      <c r="AM496" t="s">
        <v>2526</v>
      </c>
      <c r="AQ496" t="s">
        <v>2530</v>
      </c>
      <c r="AR496">
        <v>1863567</v>
      </c>
    </row>
    <row r="497" spans="1:44">
      <c r="A497" s="1">
        <f>HYPERLINK("https://lsnyc.legalserver.org/matter/dynamic-profile/view/1866888","18-1866888")</f>
        <v>0</v>
      </c>
      <c r="B497" t="s">
        <v>533</v>
      </c>
      <c r="C497" t="s">
        <v>536</v>
      </c>
      <c r="D497" t="s">
        <v>544</v>
      </c>
      <c r="E497" t="s">
        <v>562</v>
      </c>
      <c r="F497" t="s">
        <v>580</v>
      </c>
      <c r="G497" t="s">
        <v>581</v>
      </c>
      <c r="H497">
        <v>63.18</v>
      </c>
      <c r="I497" t="s">
        <v>777</v>
      </c>
      <c r="L497" t="s">
        <v>816</v>
      </c>
      <c r="N497" t="s">
        <v>821</v>
      </c>
      <c r="O497" t="s">
        <v>824</v>
      </c>
      <c r="P497" t="s">
        <v>829</v>
      </c>
      <c r="Q497">
        <v>11212</v>
      </c>
      <c r="R497" t="s">
        <v>849</v>
      </c>
      <c r="S497" t="s">
        <v>861</v>
      </c>
      <c r="T497" t="s">
        <v>1279</v>
      </c>
      <c r="U497" t="s">
        <v>1677</v>
      </c>
      <c r="W497" t="s">
        <v>1686</v>
      </c>
      <c r="X497">
        <v>51.1</v>
      </c>
      <c r="Y497">
        <v>0</v>
      </c>
      <c r="Z497">
        <v>2</v>
      </c>
      <c r="AA497" t="s">
        <v>1691</v>
      </c>
      <c r="AB497" t="s">
        <v>2169</v>
      </c>
      <c r="AC497">
        <v>33</v>
      </c>
      <c r="AD497" t="s">
        <v>2186</v>
      </c>
      <c r="AI497" t="s">
        <v>582</v>
      </c>
      <c r="AJ497" t="s">
        <v>2512</v>
      </c>
      <c r="AL497" t="s">
        <v>2519</v>
      </c>
      <c r="AM497" t="s">
        <v>2527</v>
      </c>
      <c r="AQ497" t="s">
        <v>700</v>
      </c>
      <c r="AR497">
        <v>1867480</v>
      </c>
    </row>
    <row r="498" spans="1:44">
      <c r="A498" s="1">
        <f>HYPERLINK("https://lsnyc.legalserver.org/matter/dynamic-profile/view/1854674","17-1854674")</f>
        <v>0</v>
      </c>
      <c r="B498" t="s">
        <v>534</v>
      </c>
      <c r="C498" t="s">
        <v>535</v>
      </c>
      <c r="D498" t="s">
        <v>545</v>
      </c>
      <c r="E498" t="s">
        <v>563</v>
      </c>
      <c r="F498" t="s">
        <v>580</v>
      </c>
      <c r="G498" t="s">
        <v>581</v>
      </c>
      <c r="H498">
        <v>56.54</v>
      </c>
      <c r="I498" t="s">
        <v>778</v>
      </c>
      <c r="J498" t="s">
        <v>709</v>
      </c>
      <c r="K498" t="s">
        <v>581</v>
      </c>
      <c r="L498" t="s">
        <v>816</v>
      </c>
      <c r="N498" t="s">
        <v>821</v>
      </c>
      <c r="O498" t="s">
        <v>825</v>
      </c>
      <c r="P498" t="s">
        <v>833</v>
      </c>
      <c r="Q498">
        <v>11423</v>
      </c>
      <c r="R498" t="s">
        <v>845</v>
      </c>
      <c r="S498" t="s">
        <v>863</v>
      </c>
      <c r="T498" t="s">
        <v>1280</v>
      </c>
      <c r="U498" t="s">
        <v>1483</v>
      </c>
      <c r="V498" t="s">
        <v>1678</v>
      </c>
      <c r="W498" t="s">
        <v>1684</v>
      </c>
      <c r="X498">
        <v>2.55</v>
      </c>
      <c r="Y498">
        <v>3</v>
      </c>
      <c r="Z498">
        <v>2</v>
      </c>
      <c r="AA498" t="s">
        <v>1692</v>
      </c>
      <c r="AB498" t="s">
        <v>2170</v>
      </c>
      <c r="AC498">
        <v>67</v>
      </c>
      <c r="AD498" t="s">
        <v>2354</v>
      </c>
      <c r="AM498" t="s">
        <v>2523</v>
      </c>
      <c r="AR498">
        <v>1855219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Grants Management IOI Employmen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2019-08-13T17:21:45Z</dcterms:created>
  <dcterms:modified xsi:type="dcterms:W3CDTF">2019-08-13T17:21:45Z</dcterms:modified>
</cp:coreProperties>
</file>