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<sst xmlns="http://schemas.openxmlformats.org/spreadsheetml/2006/main" count="16706" uniqueCount="3278">
  <si>
    <t>Hyperlinked Case #</t>
  </si>
  <si>
    <t>Assigned Branch/CC</t>
  </si>
  <si>
    <t>Primary Advocate</t>
  </si>
  <si>
    <t>Tester Tester</t>
  </si>
  <si>
    <t>Eligibility Tester</t>
  </si>
  <si>
    <t>HAL Eligibility Date</t>
  </si>
  <si>
    <t>Blank Case Type Tester</t>
  </si>
  <si>
    <t>Housing Type Of Case</t>
  </si>
  <si>
    <t>HRA Release/Consent Tester</t>
  </si>
  <si>
    <t>HRA Release?</t>
  </si>
  <si>
    <t>Income Verification Tester</t>
  </si>
  <si>
    <t>Gen Pub Assist Case Number</t>
  </si>
  <si>
    <t>Housing Signed DHCI Form</t>
  </si>
  <si>
    <t>Housing Income Verification</t>
  </si>
  <si>
    <t>Level of Service Tester</t>
  </si>
  <si>
    <t>Housing Level of Service</t>
  </si>
  <si>
    <t>Outcome Tester</t>
  </si>
  <si>
    <t>Housing Outcome</t>
  </si>
  <si>
    <t>Housing Outcome Date</t>
  </si>
  <si>
    <t>Client First Name</t>
  </si>
  <si>
    <t>Client Last Name</t>
  </si>
  <si>
    <t>Date Opened</t>
  </si>
  <si>
    <t>Date Closed</t>
  </si>
  <si>
    <t>Case Disposition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</si>
  <si>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</si>
  <si>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</si>
  <si>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</si>
  <si>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</si>
  <si>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</si>
  <si>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</si>
  <si>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</si>
  <si>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</si>
  <si>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</si>
  <si>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</si>
  <si>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</si>
  <si>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</si>
  <si>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</si>
  <si>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</si>
  <si>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</si>
  <si>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</si>
  <si>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</si>
  <si>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</si>
  <si>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</si>
  <si>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</si>
  <si>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</si>
  <si>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</si>
  <si>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</si>
  <si>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</si>
  <si>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</si>
  <si>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</si>
  <si>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</si>
  <si>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</si>
  <si>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</si>
  <si>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</si>
  <si>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</si>
  <si>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</si>
  <si>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</si>
  <si>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</si>
  <si>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</si>
  <si>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</si>
  <si>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</si>
  <si>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</si>
  <si>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</si>
  <si>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</si>
  <si>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BkLS</t>
  </si>
  <si>
    <t>BxLS</t>
  </si>
  <si>
    <t>MLS</t>
  </si>
  <si>
    <t>QLS</t>
  </si>
  <si>
    <t>SILS</t>
  </si>
  <si>
    <t>Wong, Humbert</t>
  </si>
  <si>
    <t>Gathing, Vance</t>
  </si>
  <si>
    <t>Geha, Nada</t>
  </si>
  <si>
    <t>Ginsberg, Irene</t>
  </si>
  <si>
    <t>Gardner III, George</t>
  </si>
  <si>
    <t>Reed, Jessica</t>
  </si>
  <si>
    <t>Miller, Thomas</t>
  </si>
  <si>
    <t>Pangonis, Dustin</t>
  </si>
  <si>
    <t>Schiff, Logan</t>
  </si>
  <si>
    <t>Sandoval, Sandra</t>
  </si>
  <si>
    <t>Samuel, Somalia</t>
  </si>
  <si>
    <t>Fuller-Bennett, Reuben</t>
  </si>
  <si>
    <t>Elmore, Josh</t>
  </si>
  <si>
    <t>Lee, Jooyeon</t>
  </si>
  <si>
    <t>Ortiz, Andrew</t>
  </si>
  <si>
    <t>Nadeau-Rifkind, Al</t>
  </si>
  <si>
    <t>McHugh Mills, Maura</t>
  </si>
  <si>
    <t>Kramer, Kramer</t>
  </si>
  <si>
    <t>James, Natalie</t>
  </si>
  <si>
    <t>Johnson, Chantal</t>
  </si>
  <si>
    <t>Joly, Coco</t>
  </si>
  <si>
    <t>Drumm, Kristen</t>
  </si>
  <si>
    <t>Cepeda, Jeanette</t>
  </si>
  <si>
    <t>Castronovo, Julian</t>
  </si>
  <si>
    <t>Carter, Corinthia</t>
  </si>
  <si>
    <t>Stevens, Jean</t>
  </si>
  <si>
    <t>Deolarte, Stephanie</t>
  </si>
  <si>
    <t>Dolin, Brett</t>
  </si>
  <si>
    <t>Massey, Randi</t>
  </si>
  <si>
    <t>Navarro, Norey</t>
  </si>
  <si>
    <t>Tongo, Salima</t>
  </si>
  <si>
    <t>Lynch, Megan</t>
  </si>
  <si>
    <t>Mancias, Fernando</t>
  </si>
  <si>
    <t>Mbame, Etondi</t>
  </si>
  <si>
    <t>McDonald, John</t>
  </si>
  <si>
    <t>Ansari, Saif</t>
  </si>
  <si>
    <t>Alvarez, Adriana</t>
  </si>
  <si>
    <t>Osei, Dionne</t>
  </si>
  <si>
    <t>Goyzueta, Anna</t>
  </si>
  <si>
    <t>Greene, Janelle</t>
  </si>
  <si>
    <t>Solivan, Jackeline</t>
  </si>
  <si>
    <t>Rahman, Urooj</t>
  </si>
  <si>
    <t>Price, Adriana</t>
  </si>
  <si>
    <t>Roberts, Jonathan</t>
  </si>
  <si>
    <t>Rosen, David</t>
  </si>
  <si>
    <t>DeVolld, Angela</t>
  </si>
  <si>
    <t>Cruz-Perez, Javier</t>
  </si>
  <si>
    <t>Silliman, Stacey</t>
  </si>
  <si>
    <t>Smith, Sara</t>
  </si>
  <si>
    <t>Herrmann, Neil</t>
  </si>
  <si>
    <t>Kalum, Nicole</t>
  </si>
  <si>
    <t>Kook, Heejung</t>
  </si>
  <si>
    <t>Santana, Bridgette</t>
  </si>
  <si>
    <t>Laffer, Tara</t>
  </si>
  <si>
    <t>Brutus, Jean-Pierre</t>
  </si>
  <si>
    <t>Scott, Samuel</t>
  </si>
  <si>
    <t>Encarnacion-Badru, Bea</t>
  </si>
  <si>
    <t>Succop, Steven</t>
  </si>
  <si>
    <t>Licharson, Tom</t>
  </si>
  <si>
    <t>Caldwell-Kuru, Hazel</t>
  </si>
  <si>
    <t>Castro, Cristina</t>
  </si>
  <si>
    <t>Catuira, Rochelle</t>
  </si>
  <si>
    <t>Shah, Ami</t>
  </si>
  <si>
    <t>Sharma, Sagar</t>
  </si>
  <si>
    <t>Treadwell, Nathan</t>
  </si>
  <si>
    <t>Spencer, Eleanor</t>
  </si>
  <si>
    <t>Abbas, Sayeda</t>
  </si>
  <si>
    <t>Evers, Erin</t>
  </si>
  <si>
    <t>He, Ricky</t>
  </si>
  <si>
    <t>Englard, Rubin</t>
  </si>
  <si>
    <t>Guillaume, Naura</t>
  </si>
  <si>
    <t>Hao, Lindsay</t>
  </si>
  <si>
    <t>Braudy, Erica</t>
  </si>
  <si>
    <t>Black, Rosalind</t>
  </si>
  <si>
    <t>Basu, Shantonu</t>
  </si>
  <si>
    <t>Freeman, Daniel</t>
  </si>
  <si>
    <t>Wilkes, Nicole</t>
  </si>
  <si>
    <t>Anunkor, Ifeoma</t>
  </si>
  <si>
    <t>Diaz, Lino</t>
  </si>
  <si>
    <t>Saywack, Priam</t>
  </si>
  <si>
    <t>Santos, Marisol</t>
  </si>
  <si>
    <t>Salas, Emma</t>
  </si>
  <si>
    <t>Chan, Vincce</t>
  </si>
  <si>
    <t>Ascher, Ann</t>
  </si>
  <si>
    <t>Atuegbu, Chidera</t>
  </si>
  <si>
    <t>Tadepalli, Ashwin</t>
  </si>
  <si>
    <t>Barrett, Samantha</t>
  </si>
  <si>
    <t>Carwin, Mikailla</t>
  </si>
  <si>
    <t>Lin, Tina</t>
  </si>
  <si>
    <t>Flores, Irene</t>
  </si>
  <si>
    <t>Pozo, Caridad</t>
  </si>
  <si>
    <t>Mui, Ernie</t>
  </si>
  <si>
    <t>Goldberg, Heather</t>
  </si>
  <si>
    <t>Rhee, Bohee</t>
  </si>
  <si>
    <t>Hammond, Robert</t>
  </si>
  <si>
    <t>Ramroop, Nikki</t>
  </si>
  <si>
    <t>Puleo Jr, Michael</t>
  </si>
  <si>
    <t>Burns, Erin</t>
  </si>
  <si>
    <t>Hong, Connie</t>
  </si>
  <si>
    <t>Rave, Helen</t>
  </si>
  <si>
    <t>Montoute, John</t>
  </si>
  <si>
    <t>Case Needs Attention</t>
  </si>
  <si>
    <t>Needs Eligibility Date</t>
  </si>
  <si>
    <t>All Good!</t>
  </si>
  <si>
    <t>Eligibility Date Out of Contract Year</t>
  </si>
  <si>
    <t>07/10/2019</t>
  </si>
  <si>
    <t>07/29/2019</t>
  </si>
  <si>
    <t>07/11/2019</t>
  </si>
  <si>
    <t>08/20/2019</t>
  </si>
  <si>
    <t>08/01/2019</t>
  </si>
  <si>
    <t>07/15/2019</t>
  </si>
  <si>
    <t>07/19/2019</t>
  </si>
  <si>
    <t>06/19/2019</t>
  </si>
  <si>
    <t>06/27/2019</t>
  </si>
  <si>
    <t>08/09/2019</t>
  </si>
  <si>
    <t>08/12/2019</t>
  </si>
  <si>
    <t>08/27/2019</t>
  </si>
  <si>
    <t>07/02/2019</t>
  </si>
  <si>
    <t>07/16/2019</t>
  </si>
  <si>
    <t>09/01/2019</t>
  </si>
  <si>
    <t>06/28/2019</t>
  </si>
  <si>
    <t>08/19/2019</t>
  </si>
  <si>
    <t>08/15/2019</t>
  </si>
  <si>
    <t>08/22/2019</t>
  </si>
  <si>
    <t>08/13/2019</t>
  </si>
  <si>
    <t>08/28/2019</t>
  </si>
  <si>
    <t>07/31/2019</t>
  </si>
  <si>
    <t>07/18/2019</t>
  </si>
  <si>
    <t>08/05/2019</t>
  </si>
  <si>
    <t>07/12/2019</t>
  </si>
  <si>
    <t>08/08/2019</t>
  </si>
  <si>
    <t>07/01/2019</t>
  </si>
  <si>
    <t>07/08/2019</t>
  </si>
  <si>
    <t>08/21/2019</t>
  </si>
  <si>
    <t>07/17/2019</t>
  </si>
  <si>
    <t>07/26/2019</t>
  </si>
  <si>
    <t>02/06/2019</t>
  </si>
  <si>
    <t>08/30/2019</t>
  </si>
  <si>
    <t>09/16/2019</t>
  </si>
  <si>
    <t>08/06/2019</t>
  </si>
  <si>
    <t>07/30/2019</t>
  </si>
  <si>
    <t>08/16/2019</t>
  </si>
  <si>
    <t>07/25/2019</t>
  </si>
  <si>
    <t>08/07/2019</t>
  </si>
  <si>
    <t>08/29/2019</t>
  </si>
  <si>
    <t>07/23/2019</t>
  </si>
  <si>
    <t>09/11/2019</t>
  </si>
  <si>
    <t>06/03/2019</t>
  </si>
  <si>
    <t>07/22/2019</t>
  </si>
  <si>
    <t>05/07/2019</t>
  </si>
  <si>
    <t>Needs Housing Case Type</t>
  </si>
  <si>
    <t>Holdover</t>
  </si>
  <si>
    <t>Non-payment</t>
  </si>
  <si>
    <t>HP Action</t>
  </si>
  <si>
    <t>Section 8 share</t>
  </si>
  <si>
    <t>Illegal Lockout</t>
  </si>
  <si>
    <t>NYCHA Housing Termination</t>
  </si>
  <si>
    <t>No Case</t>
  </si>
  <si>
    <t>Tenant Rights</t>
  </si>
  <si>
    <t>NYCHA Housing Grievance</t>
  </si>
  <si>
    <t>Other Administrative Proceeding</t>
  </si>
  <si>
    <t>Needs HRA Release/Consent Form</t>
  </si>
  <si>
    <t>Yes</t>
  </si>
  <si>
    <t xml:space="preserve"> </t>
  </si>
  <si>
    <t>No</t>
  </si>
  <si>
    <t>Needs DHCI</t>
  </si>
  <si>
    <t>016568806A</t>
  </si>
  <si>
    <t>018236495A</t>
  </si>
  <si>
    <t>01776794E</t>
  </si>
  <si>
    <t>006501305E</t>
  </si>
  <si>
    <t>037007181D</t>
  </si>
  <si>
    <t>0059199331F</t>
  </si>
  <si>
    <t>013534309D</t>
  </si>
  <si>
    <t>017609918C</t>
  </si>
  <si>
    <t>018797897I</t>
  </si>
  <si>
    <t>018758470B</t>
  </si>
  <si>
    <t>15369633B</t>
  </si>
  <si>
    <t>037296728B</t>
  </si>
  <si>
    <t>000986312H</t>
  </si>
  <si>
    <t>3767211I</t>
  </si>
  <si>
    <t>009814063F</t>
  </si>
  <si>
    <t>004532153G</t>
  </si>
  <si>
    <t>012481657A</t>
  </si>
  <si>
    <t>None</t>
  </si>
  <si>
    <t>035415904i</t>
  </si>
  <si>
    <t>030650784J</t>
  </si>
  <si>
    <t>037303586E</t>
  </si>
  <si>
    <t>09264712C</t>
  </si>
  <si>
    <t>037600843J</t>
  </si>
  <si>
    <t>037701214B</t>
  </si>
  <si>
    <t>036803664G</t>
  </si>
  <si>
    <t>00037720129I</t>
  </si>
  <si>
    <t>221967D</t>
  </si>
  <si>
    <t>00037628114D</t>
  </si>
  <si>
    <t>00037710838G</t>
  </si>
  <si>
    <t>006652190H</t>
  </si>
  <si>
    <t>016779625J</t>
  </si>
  <si>
    <t>00012976968D</t>
  </si>
  <si>
    <t>00018909329N</t>
  </si>
  <si>
    <t>036788062C</t>
  </si>
  <si>
    <t>001321835J</t>
  </si>
  <si>
    <t>005550356J</t>
  </si>
  <si>
    <t>000298543A</t>
  </si>
  <si>
    <t>009139831D</t>
  </si>
  <si>
    <t>012395001G</t>
  </si>
  <si>
    <t>00037679735D</t>
  </si>
  <si>
    <t>037389516I</t>
  </si>
  <si>
    <t>018953965D</t>
  </si>
  <si>
    <t>005650556D</t>
  </si>
  <si>
    <t>012998755I</t>
  </si>
  <si>
    <t>007231919H</t>
  </si>
  <si>
    <t>036870683E</t>
  </si>
  <si>
    <t>00036916436D</t>
  </si>
  <si>
    <t>009737098F</t>
  </si>
  <si>
    <t>037385870D</t>
  </si>
  <si>
    <t>037084809F</t>
  </si>
  <si>
    <t>04933681B</t>
  </si>
  <si>
    <t>008592549D</t>
  </si>
  <si>
    <t>018288231G</t>
  </si>
  <si>
    <t>036987178F</t>
  </si>
  <si>
    <t>009417081I</t>
  </si>
  <si>
    <t>016594404C</t>
  </si>
  <si>
    <t>005217525E</t>
  </si>
  <si>
    <t>004802293D</t>
  </si>
  <si>
    <t>none</t>
  </si>
  <si>
    <t>010044797I</t>
  </si>
  <si>
    <t>need to fill in</t>
  </si>
  <si>
    <t>37705360I</t>
  </si>
  <si>
    <t>001269522H</t>
  </si>
  <si>
    <t>031003426J</t>
  </si>
  <si>
    <t>015827335J</t>
  </si>
  <si>
    <t>017915849I</t>
  </si>
  <si>
    <t>037431412I</t>
  </si>
  <si>
    <t>008524279A</t>
  </si>
  <si>
    <t>00012472968C</t>
  </si>
  <si>
    <t>017119586A</t>
  </si>
  <si>
    <t>037669966G</t>
  </si>
  <si>
    <t>004508204H</t>
  </si>
  <si>
    <t>00018958214B</t>
  </si>
  <si>
    <t>037039391A</t>
  </si>
  <si>
    <t>011136690C</t>
  </si>
  <si>
    <t>006964444B</t>
  </si>
  <si>
    <t>DHCI Form</t>
  </si>
  <si>
    <t>Active CA/SNAP</t>
  </si>
  <si>
    <t>Needs Level of Service</t>
  </si>
  <si>
    <t>Advice</t>
  </si>
  <si>
    <t>Hold For Review</t>
  </si>
  <si>
    <t>Representation - State Court</t>
  </si>
  <si>
    <t>Out-of-Court Advocacy</t>
  </si>
  <si>
    <t>Brief Service</t>
  </si>
  <si>
    <t>Representation - Admin. Agency</t>
  </si>
  <si>
    <t>Representation - Federal Court</t>
  </si>
  <si>
    <t>Case Not Closed</t>
  </si>
  <si>
    <t>Needs Outcome &amp; Outcome Date</t>
  </si>
  <si>
    <t>Needs Outcome</t>
  </si>
  <si>
    <t>Client Allowed to Remain in Residence</t>
  </si>
  <si>
    <t>Client Required to be Displaced from Residence</t>
  </si>
  <si>
    <t>2019-08-16</t>
  </si>
  <si>
    <t>2019-08-01</t>
  </si>
  <si>
    <t>2019-07-15</t>
  </si>
  <si>
    <t>2019-07-25</t>
  </si>
  <si>
    <t>2019-08-02</t>
  </si>
  <si>
    <t>2019-08-06</t>
  </si>
  <si>
    <t>2019-07-16</t>
  </si>
  <si>
    <t>2019-08-30</t>
  </si>
  <si>
    <t>2019-08-23</t>
  </si>
  <si>
    <t>2019-07-12</t>
  </si>
  <si>
    <t>2019-02-06</t>
  </si>
  <si>
    <t>Madeline</t>
  </si>
  <si>
    <t>Claire</t>
  </si>
  <si>
    <t>Felix</t>
  </si>
  <si>
    <t>Marie Guileme</t>
  </si>
  <si>
    <t>Lakesia</t>
  </si>
  <si>
    <t>Heidi</t>
  </si>
  <si>
    <t>Renee</t>
  </si>
  <si>
    <t>Kadisha</t>
  </si>
  <si>
    <t>Angel</t>
  </si>
  <si>
    <t>Mary</t>
  </si>
  <si>
    <t>Miriam</t>
  </si>
  <si>
    <t>Michael</t>
  </si>
  <si>
    <t>Leorn</t>
  </si>
  <si>
    <t>Lynette</t>
  </si>
  <si>
    <t>Dashawna</t>
  </si>
  <si>
    <t>Anna</t>
  </si>
  <si>
    <t>Cecilia</t>
  </si>
  <si>
    <t>Raymond</t>
  </si>
  <si>
    <t>Megan</t>
  </si>
  <si>
    <t>Marthe</t>
  </si>
  <si>
    <t>Lookman</t>
  </si>
  <si>
    <t>Lilly</t>
  </si>
  <si>
    <t>Rochelle</t>
  </si>
  <si>
    <t>Shana</t>
  </si>
  <si>
    <t>Terrence</t>
  </si>
  <si>
    <t>Marie</t>
  </si>
  <si>
    <t>Veronique</t>
  </si>
  <si>
    <t>Allison</t>
  </si>
  <si>
    <t>Marcey</t>
  </si>
  <si>
    <t>Esther</t>
  </si>
  <si>
    <t>Evan</t>
  </si>
  <si>
    <t>Tiffany</t>
  </si>
  <si>
    <t>Wanda</t>
  </si>
  <si>
    <t>Robert</t>
  </si>
  <si>
    <t>Cheryl</t>
  </si>
  <si>
    <t>Lashanda</t>
  </si>
  <si>
    <t>Norma</t>
  </si>
  <si>
    <t>Patricia</t>
  </si>
  <si>
    <t>Brenda</t>
  </si>
  <si>
    <t>Jean</t>
  </si>
  <si>
    <t>Gisela</t>
  </si>
  <si>
    <t>Lou Ann</t>
  </si>
  <si>
    <t>Juana</t>
  </si>
  <si>
    <t>Maria</t>
  </si>
  <si>
    <t>Crystal</t>
  </si>
  <si>
    <t>Winston</t>
  </si>
  <si>
    <t>Victoria</t>
  </si>
  <si>
    <t>Tardrea</t>
  </si>
  <si>
    <t>Delisse</t>
  </si>
  <si>
    <t>Sharee</t>
  </si>
  <si>
    <t>Shauna</t>
  </si>
  <si>
    <t>Louise</t>
  </si>
  <si>
    <t>Desiree</t>
  </si>
  <si>
    <t>Trishina</t>
  </si>
  <si>
    <t>Andrea</t>
  </si>
  <si>
    <t>Sharmine</t>
  </si>
  <si>
    <t>Richard</t>
  </si>
  <si>
    <t>Yvonne</t>
  </si>
  <si>
    <t>Nnamdi</t>
  </si>
  <si>
    <t>Fritz</t>
  </si>
  <si>
    <t>Shakema</t>
  </si>
  <si>
    <t>Wendy</t>
  </si>
  <si>
    <t>Jennifer</t>
  </si>
  <si>
    <t>Agniman</t>
  </si>
  <si>
    <t>Wilner</t>
  </si>
  <si>
    <t>Troy</t>
  </si>
  <si>
    <t>Joanne</t>
  </si>
  <si>
    <t>Urooj</t>
  </si>
  <si>
    <t>Evelia</t>
  </si>
  <si>
    <t>Elizabeth</t>
  </si>
  <si>
    <t>Muhamed</t>
  </si>
  <si>
    <t>Christian</t>
  </si>
  <si>
    <t>Marcia</t>
  </si>
  <si>
    <t>Anthonia</t>
  </si>
  <si>
    <t>Yvette</t>
  </si>
  <si>
    <t>Natasha</t>
  </si>
  <si>
    <t>Rose</t>
  </si>
  <si>
    <t>Antonette</t>
  </si>
  <si>
    <t>Janelle</t>
  </si>
  <si>
    <t>Analisa</t>
  </si>
  <si>
    <t>Diane</t>
  </si>
  <si>
    <t>Cortney</t>
  </si>
  <si>
    <t>Carol</t>
  </si>
  <si>
    <t>Jasmine</t>
  </si>
  <si>
    <t>Dania</t>
  </si>
  <si>
    <t>Aleksandr</t>
  </si>
  <si>
    <t>Lola</t>
  </si>
  <si>
    <t>Nigel</t>
  </si>
  <si>
    <t>Maya</t>
  </si>
  <si>
    <t>Pamela</t>
  </si>
  <si>
    <t>Lilian</t>
  </si>
  <si>
    <t>Beverly</t>
  </si>
  <si>
    <t>Avesta</t>
  </si>
  <si>
    <t>Eric</t>
  </si>
  <si>
    <t>Genesis</t>
  </si>
  <si>
    <t>Nicholas</t>
  </si>
  <si>
    <t>Chalette</t>
  </si>
  <si>
    <t>Tameka</t>
  </si>
  <si>
    <t>Mark</t>
  </si>
  <si>
    <t>Ryneisha</t>
  </si>
  <si>
    <t>Tariq</t>
  </si>
  <si>
    <t>Jermaine</t>
  </si>
  <si>
    <t>Paul</t>
  </si>
  <si>
    <t>Clair</t>
  </si>
  <si>
    <t>Rosetta</t>
  </si>
  <si>
    <t>Guy</t>
  </si>
  <si>
    <t>Vaughn</t>
  </si>
  <si>
    <t>Hermione</t>
  </si>
  <si>
    <t>Carolyn</t>
  </si>
  <si>
    <t>Terrance</t>
  </si>
  <si>
    <t>Darlene</t>
  </si>
  <si>
    <t>Johanna</t>
  </si>
  <si>
    <t>Myron</t>
  </si>
  <si>
    <t>Regina</t>
  </si>
  <si>
    <t>Bessie</t>
  </si>
  <si>
    <t>Frank</t>
  </si>
  <si>
    <t>Yasmin</t>
  </si>
  <si>
    <t>Laura</t>
  </si>
  <si>
    <t>Natalie</t>
  </si>
  <si>
    <t>Mario</t>
  </si>
  <si>
    <t>Gary</t>
  </si>
  <si>
    <t>Tanisha</t>
  </si>
  <si>
    <t>Tyrone</t>
  </si>
  <si>
    <t>Milagros</t>
  </si>
  <si>
    <t>Pedro</t>
  </si>
  <si>
    <t>Tabu</t>
  </si>
  <si>
    <t>Lorena</t>
  </si>
  <si>
    <t>Helena</t>
  </si>
  <si>
    <t>CELINA</t>
  </si>
  <si>
    <t>Al</t>
  </si>
  <si>
    <t>Gloria</t>
  </si>
  <si>
    <t>George</t>
  </si>
  <si>
    <t>Jacqueline</t>
  </si>
  <si>
    <t>Nykeeba</t>
  </si>
  <si>
    <t>Grace</t>
  </si>
  <si>
    <t>Rudy</t>
  </si>
  <si>
    <t>Angie</t>
  </si>
  <si>
    <t>JUANITA</t>
  </si>
  <si>
    <t>Ricardo</t>
  </si>
  <si>
    <t>Tara</t>
  </si>
  <si>
    <t>Larry</t>
  </si>
  <si>
    <t>Zujeri</t>
  </si>
  <si>
    <t>Adrielle</t>
  </si>
  <si>
    <t>Shantell</t>
  </si>
  <si>
    <t>Joann</t>
  </si>
  <si>
    <t>Malinda</t>
  </si>
  <si>
    <t>Linda</t>
  </si>
  <si>
    <t>Elisa</t>
  </si>
  <si>
    <t>Fara</t>
  </si>
  <si>
    <t>Nilsia</t>
  </si>
  <si>
    <t>Lourdes</t>
  </si>
  <si>
    <t>Muhammad</t>
  </si>
  <si>
    <t>Aicha</t>
  </si>
  <si>
    <t>Catherine</t>
  </si>
  <si>
    <t>Michelle</t>
  </si>
  <si>
    <t>Maleek</t>
  </si>
  <si>
    <t>GLADYS</t>
  </si>
  <si>
    <t>Eglan</t>
  </si>
  <si>
    <t>Oslyn</t>
  </si>
  <si>
    <t>Carlos</t>
  </si>
  <si>
    <t>Kour</t>
  </si>
  <si>
    <t>Melanea</t>
  </si>
  <si>
    <t>Eduardo</t>
  </si>
  <si>
    <t>Toroy</t>
  </si>
  <si>
    <t>Derrick</t>
  </si>
  <si>
    <t>Antonio</t>
  </si>
  <si>
    <t>Abigail</t>
  </si>
  <si>
    <t>Mahranie</t>
  </si>
  <si>
    <t>Evelyn</t>
  </si>
  <si>
    <t>Josefina</t>
  </si>
  <si>
    <t>Felicia</t>
  </si>
  <si>
    <t>Dora</t>
  </si>
  <si>
    <t>Maritza</t>
  </si>
  <si>
    <t>Alicia</t>
  </si>
  <si>
    <t>Jerali</t>
  </si>
  <si>
    <t>Khadijah</t>
  </si>
  <si>
    <t>Santiago</t>
  </si>
  <si>
    <t>Ami</t>
  </si>
  <si>
    <t>Shannon</t>
  </si>
  <si>
    <t>Gilbert</t>
  </si>
  <si>
    <t>Luisa</t>
  </si>
  <si>
    <t>Julio</t>
  </si>
  <si>
    <t>Shashi</t>
  </si>
  <si>
    <t>Samballa</t>
  </si>
  <si>
    <t>Harriel</t>
  </si>
  <si>
    <t>Mara</t>
  </si>
  <si>
    <t>Eileen</t>
  </si>
  <si>
    <t>Ahimo</t>
  </si>
  <si>
    <t>Luis</t>
  </si>
  <si>
    <t>Donisha</t>
  </si>
  <si>
    <t>Bryant</t>
  </si>
  <si>
    <t>Theressa</t>
  </si>
  <si>
    <t>Rosa</t>
  </si>
  <si>
    <t>Francesca</t>
  </si>
  <si>
    <t>Ivelisse</t>
  </si>
  <si>
    <t>Nicole</t>
  </si>
  <si>
    <t>Fransisco</t>
  </si>
  <si>
    <t>Ann</t>
  </si>
  <si>
    <t>Guadalupe</t>
  </si>
  <si>
    <t>Altagracia</t>
  </si>
  <si>
    <t>Sergio</t>
  </si>
  <si>
    <t>Tamika</t>
  </si>
  <si>
    <t>Selena</t>
  </si>
  <si>
    <t>Idalma</t>
  </si>
  <si>
    <t>Reginald</t>
  </si>
  <si>
    <t>Franciscos</t>
  </si>
  <si>
    <t>Geraldine</t>
  </si>
  <si>
    <t>Nyasia</t>
  </si>
  <si>
    <t>Rahmell</t>
  </si>
  <si>
    <t>Sharkina</t>
  </si>
  <si>
    <t>Misty</t>
  </si>
  <si>
    <t>Tasia</t>
  </si>
  <si>
    <t>Judy</t>
  </si>
  <si>
    <t>Shonell</t>
  </si>
  <si>
    <t>Zaida</t>
  </si>
  <si>
    <t>Aaron</t>
  </si>
  <si>
    <t>Julia</t>
  </si>
  <si>
    <t>Edward</t>
  </si>
  <si>
    <t>Soraya</t>
  </si>
  <si>
    <t>Ramona</t>
  </si>
  <si>
    <t>Albania</t>
  </si>
  <si>
    <t>William</t>
  </si>
  <si>
    <t>Fernando</t>
  </si>
  <si>
    <t>Julian</t>
  </si>
  <si>
    <t>Juanita</t>
  </si>
  <si>
    <t>Aleyssa</t>
  </si>
  <si>
    <t>Elecia</t>
  </si>
  <si>
    <t>Rahimina</t>
  </si>
  <si>
    <t>Hector</t>
  </si>
  <si>
    <t>Yorkelis</t>
  </si>
  <si>
    <t>Tomasina</t>
  </si>
  <si>
    <t>Charlie</t>
  </si>
  <si>
    <t>Kevin</t>
  </si>
  <si>
    <t>Musa</t>
  </si>
  <si>
    <t>Marlyne</t>
  </si>
  <si>
    <t>Roselyn</t>
  </si>
  <si>
    <t>Glendalee</t>
  </si>
  <si>
    <t>Daysi</t>
  </si>
  <si>
    <t>Veronica</t>
  </si>
  <si>
    <t>Laye</t>
  </si>
  <si>
    <t>Mercedes</t>
  </si>
  <si>
    <t>Corrine</t>
  </si>
  <si>
    <t>Pablo</t>
  </si>
  <si>
    <t>Sunilda</t>
  </si>
  <si>
    <t>Aurora</t>
  </si>
  <si>
    <t>Thomisina</t>
  </si>
  <si>
    <t>Marvin</t>
  </si>
  <si>
    <t>Jamar</t>
  </si>
  <si>
    <t>Carlton</t>
  </si>
  <si>
    <t>Selina</t>
  </si>
  <si>
    <t>Venus</t>
  </si>
  <si>
    <t>Irina</t>
  </si>
  <si>
    <t>Ruth</t>
  </si>
  <si>
    <t>Jessica</t>
  </si>
  <si>
    <t>Joyce</t>
  </si>
  <si>
    <t>Yismeidy</t>
  </si>
  <si>
    <t>Ashley</t>
  </si>
  <si>
    <t>Catalina</t>
  </si>
  <si>
    <t>Elvira</t>
  </si>
  <si>
    <t>Malonnie</t>
  </si>
  <si>
    <t>Marie-Angeline</t>
  </si>
  <si>
    <t>Alinca</t>
  </si>
  <si>
    <t>Nora</t>
  </si>
  <si>
    <t>Yolanda</t>
  </si>
  <si>
    <t>Leigha</t>
  </si>
  <si>
    <t>Gus</t>
  </si>
  <si>
    <t>Donna</t>
  </si>
  <si>
    <t>Dorothy</t>
  </si>
  <si>
    <t>Darryl</t>
  </si>
  <si>
    <t>Shakeem</t>
  </si>
  <si>
    <t>Derwood</t>
  </si>
  <si>
    <t>Shanon</t>
  </si>
  <si>
    <t>Delores</t>
  </si>
  <si>
    <t>Martinique</t>
  </si>
  <si>
    <t>Anntoinette</t>
  </si>
  <si>
    <t>Ethel</t>
  </si>
  <si>
    <t>Vincent</t>
  </si>
  <si>
    <t>Chao Jiang</t>
  </si>
  <si>
    <t>Kurell</t>
  </si>
  <si>
    <t>David</t>
  </si>
  <si>
    <t>Hezekiah</t>
  </si>
  <si>
    <t>Laurette</t>
  </si>
  <si>
    <t>Jeanette</t>
  </si>
  <si>
    <t>Aneudy</t>
  </si>
  <si>
    <t>Zachary</t>
  </si>
  <si>
    <t>Victor</t>
  </si>
  <si>
    <t>Unique</t>
  </si>
  <si>
    <t>Angela</t>
  </si>
  <si>
    <t>Shameka</t>
  </si>
  <si>
    <t>Hernande</t>
  </si>
  <si>
    <t>Daquwane</t>
  </si>
  <si>
    <t>Mollie</t>
  </si>
  <si>
    <t>Elsie</t>
  </si>
  <si>
    <t>Krystal</t>
  </si>
  <si>
    <t>Peter</t>
  </si>
  <si>
    <t>Susan</t>
  </si>
  <si>
    <t>Nancy</t>
  </si>
  <si>
    <t>Siobhan</t>
  </si>
  <si>
    <t>Harold</t>
  </si>
  <si>
    <t>Lai Kheng</t>
  </si>
  <si>
    <t>Tonya</t>
  </si>
  <si>
    <t>Bernal</t>
  </si>
  <si>
    <t>Juan</t>
  </si>
  <si>
    <t>Kelly</t>
  </si>
  <si>
    <t>Kailani</t>
  </si>
  <si>
    <t>Jogui</t>
  </si>
  <si>
    <t>Girleene</t>
  </si>
  <si>
    <t>Alam</t>
  </si>
  <si>
    <t>Jermail</t>
  </si>
  <si>
    <t>Sursattie</t>
  </si>
  <si>
    <t>Charmaine</t>
  </si>
  <si>
    <t>Deborah</t>
  </si>
  <si>
    <t>Anthony</t>
  </si>
  <si>
    <t>Alex</t>
  </si>
  <si>
    <t>Phyllis</t>
  </si>
  <si>
    <t>Aneris</t>
  </si>
  <si>
    <t>Felicita</t>
  </si>
  <si>
    <t>Firoz</t>
  </si>
  <si>
    <t>Cynthia</t>
  </si>
  <si>
    <t>Celina</t>
  </si>
  <si>
    <t>Cozette</t>
  </si>
  <si>
    <t>Shirley</t>
  </si>
  <si>
    <t>Curtis</t>
  </si>
  <si>
    <t>Deloris</t>
  </si>
  <si>
    <t>Garland</t>
  </si>
  <si>
    <t>Alisha</t>
  </si>
  <si>
    <t>Jazzmera</t>
  </si>
  <si>
    <t>Lavinia</t>
  </si>
  <si>
    <t>Shadira</t>
  </si>
  <si>
    <t>Hernan</t>
  </si>
  <si>
    <t>Davina</t>
  </si>
  <si>
    <t>Cleo</t>
  </si>
  <si>
    <t>Denise</t>
  </si>
  <si>
    <t>Doris</t>
  </si>
  <si>
    <t>Bryana</t>
  </si>
  <si>
    <t>Tayanara</t>
  </si>
  <si>
    <t>Carmen</t>
  </si>
  <si>
    <t>Nandanie</t>
  </si>
  <si>
    <t>Dong</t>
  </si>
  <si>
    <t>Robin</t>
  </si>
  <si>
    <t>Terri</t>
  </si>
  <si>
    <t>Hugette</t>
  </si>
  <si>
    <t>Miguel</t>
  </si>
  <si>
    <t>Silvia</t>
  </si>
  <si>
    <t>Ingrid</t>
  </si>
  <si>
    <t>StacyAnn</t>
  </si>
  <si>
    <t>Rosa Lee</t>
  </si>
  <si>
    <t>Jeannette</t>
  </si>
  <si>
    <t>Alberto</t>
  </si>
  <si>
    <t>Tonesha</t>
  </si>
  <si>
    <t>Conrad</t>
  </si>
  <si>
    <t>Amy</t>
  </si>
  <si>
    <t>Stephanie</t>
  </si>
  <si>
    <t>Itorobong</t>
  </si>
  <si>
    <t>Marilu</t>
  </si>
  <si>
    <t>Kim</t>
  </si>
  <si>
    <t>Alejandro</t>
  </si>
  <si>
    <t>Regla</t>
  </si>
  <si>
    <t>Xiomara</t>
  </si>
  <si>
    <t>Zhane</t>
  </si>
  <si>
    <t>Asad</t>
  </si>
  <si>
    <t>Josephine</t>
  </si>
  <si>
    <t>Allen</t>
  </si>
  <si>
    <t>Kathryn</t>
  </si>
  <si>
    <t>Iyanna</t>
  </si>
  <si>
    <t>Cindy</t>
  </si>
  <si>
    <t>Keisha</t>
  </si>
  <si>
    <t>Emelinda</t>
  </si>
  <si>
    <t>Rashida</t>
  </si>
  <si>
    <t>Hanna</t>
  </si>
  <si>
    <t>Hawa</t>
  </si>
  <si>
    <t>Fatima</t>
  </si>
  <si>
    <t>Belle</t>
  </si>
  <si>
    <t>Lauren</t>
  </si>
  <si>
    <t>Naomi</t>
  </si>
  <si>
    <t>Betty</t>
  </si>
  <si>
    <t>Brett</t>
  </si>
  <si>
    <t>Dale</t>
  </si>
  <si>
    <t>Amirrah</t>
  </si>
  <si>
    <t>Tesha</t>
  </si>
  <si>
    <t>Denis</t>
  </si>
  <si>
    <t>Moss</t>
  </si>
  <si>
    <t>Aguero</t>
  </si>
  <si>
    <t>Elie</t>
  </si>
  <si>
    <t>Bellinger</t>
  </si>
  <si>
    <t>Magnus</t>
  </si>
  <si>
    <t>Glover</t>
  </si>
  <si>
    <t>Serrano</t>
  </si>
  <si>
    <t>Perez</t>
  </si>
  <si>
    <t>Calhoun</t>
  </si>
  <si>
    <t>Landau</t>
  </si>
  <si>
    <t>Marksman</t>
  </si>
  <si>
    <t>Viviel</t>
  </si>
  <si>
    <t>Braswell</t>
  </si>
  <si>
    <t>Phillip</t>
  </si>
  <si>
    <t>Thomas</t>
  </si>
  <si>
    <t>Legions</t>
  </si>
  <si>
    <t>Clerveaux</t>
  </si>
  <si>
    <t>Ford</t>
  </si>
  <si>
    <t>Kinoshi</t>
  </si>
  <si>
    <t>McGee</t>
  </si>
  <si>
    <t>Heim</t>
  </si>
  <si>
    <t>Sorhaindo</t>
  </si>
  <si>
    <t>Graham</t>
  </si>
  <si>
    <t>Pierre</t>
  </si>
  <si>
    <t>St. Ellien</t>
  </si>
  <si>
    <t>Mohammed</t>
  </si>
  <si>
    <t>Jennett</t>
  </si>
  <si>
    <t>Grosvenor</t>
  </si>
  <si>
    <t>Willis</t>
  </si>
  <si>
    <t>Williams</t>
  </si>
  <si>
    <t>Vazquez- DeJesus</t>
  </si>
  <si>
    <t>Burstin</t>
  </si>
  <si>
    <t>Braz</t>
  </si>
  <si>
    <t>Morrison</t>
  </si>
  <si>
    <t>Martinez</t>
  </si>
  <si>
    <t>Riley</t>
  </si>
  <si>
    <t>Thompson</t>
  </si>
  <si>
    <t>Kruse</t>
  </si>
  <si>
    <t>Gentile</t>
  </si>
  <si>
    <t>Bonilla</t>
  </si>
  <si>
    <t>Ospina</t>
  </si>
  <si>
    <t>Harrison</t>
  </si>
  <si>
    <t>Francis</t>
  </si>
  <si>
    <t>Johnson</t>
  </si>
  <si>
    <t>Vicenty</t>
  </si>
  <si>
    <t>Desmoulin</t>
  </si>
  <si>
    <t>Hartley</t>
  </si>
  <si>
    <t>Simmons</t>
  </si>
  <si>
    <t>Noel</t>
  </si>
  <si>
    <t>Evans</t>
  </si>
  <si>
    <t>Banton</t>
  </si>
  <si>
    <t>Cerrato</t>
  </si>
  <si>
    <t>Thom</t>
  </si>
  <si>
    <t>Masney</t>
  </si>
  <si>
    <t>Lane</t>
  </si>
  <si>
    <t>McClean</t>
  </si>
  <si>
    <t>Sulaimon</t>
  </si>
  <si>
    <t>Bosquet</t>
  </si>
  <si>
    <t>Antonie</t>
  </si>
  <si>
    <t>Martin</t>
  </si>
  <si>
    <t>Juneau</t>
  </si>
  <si>
    <t>Djekan</t>
  </si>
  <si>
    <t>Dubresil</t>
  </si>
  <si>
    <t>Mitchell</t>
  </si>
  <si>
    <t>Hastick</t>
  </si>
  <si>
    <t>Kokab</t>
  </si>
  <si>
    <t>Hall</t>
  </si>
  <si>
    <t>Alicea</t>
  </si>
  <si>
    <t>Fowler</t>
  </si>
  <si>
    <t>Gaye</t>
  </si>
  <si>
    <t>Andrews</t>
  </si>
  <si>
    <t>Frazier</t>
  </si>
  <si>
    <t>Ennis</t>
  </si>
  <si>
    <t>Fleurimont</t>
  </si>
  <si>
    <t>Georges</t>
  </si>
  <si>
    <t>Samuel</t>
  </si>
  <si>
    <t>Grimmond</t>
  </si>
  <si>
    <t>Bowles</t>
  </si>
  <si>
    <t>Atkinson</t>
  </si>
  <si>
    <t>Jones</t>
  </si>
  <si>
    <t>Roderiguez</t>
  </si>
  <si>
    <t>Rodriguez</t>
  </si>
  <si>
    <t>Zemlyanskiy</t>
  </si>
  <si>
    <t>Phillips</t>
  </si>
  <si>
    <t>McNeil</t>
  </si>
  <si>
    <t>Haynes</t>
  </si>
  <si>
    <t>Nettles</t>
  </si>
  <si>
    <t>Baker</t>
  </si>
  <si>
    <t>Vega</t>
  </si>
  <si>
    <t>Leach</t>
  </si>
  <si>
    <t>Adams</t>
  </si>
  <si>
    <t>Benjamin</t>
  </si>
  <si>
    <t>Siegel</t>
  </si>
  <si>
    <t>Montanez</t>
  </si>
  <si>
    <t>Logan</t>
  </si>
  <si>
    <t>Smith</t>
  </si>
  <si>
    <t>Esberry</t>
  </si>
  <si>
    <t>Gatewood</t>
  </si>
  <si>
    <t>Pollas</t>
  </si>
  <si>
    <t>El Saleh</t>
  </si>
  <si>
    <t>Nelson</t>
  </si>
  <si>
    <t>Morgan</t>
  </si>
  <si>
    <t>Sandy</t>
  </si>
  <si>
    <t>Harford</t>
  </si>
  <si>
    <t>Fleury</t>
  </si>
  <si>
    <t>Constantino</t>
  </si>
  <si>
    <t>Jean Baptiste</t>
  </si>
  <si>
    <t>Barrow</t>
  </si>
  <si>
    <t>Butler</t>
  </si>
  <si>
    <t>Luncheon</t>
  </si>
  <si>
    <t>Lee</t>
  </si>
  <si>
    <t>Clearfield</t>
  </si>
  <si>
    <t>Sumpter</t>
  </si>
  <si>
    <t>Polk</t>
  </si>
  <si>
    <t>Ramos</t>
  </si>
  <si>
    <t>Garcia</t>
  </si>
  <si>
    <t>Fair</t>
  </si>
  <si>
    <t>Romeo</t>
  </si>
  <si>
    <t>Green</t>
  </si>
  <si>
    <t>Cortez</t>
  </si>
  <si>
    <t>Avis</t>
  </si>
  <si>
    <t>Knight</t>
  </si>
  <si>
    <t>Innerarity</t>
  </si>
  <si>
    <t>Olivares</t>
  </si>
  <si>
    <t>Yearwood</t>
  </si>
  <si>
    <t>Miles</t>
  </si>
  <si>
    <t>Soto</t>
  </si>
  <si>
    <t>Espinal</t>
  </si>
  <si>
    <t>Hampden</t>
  </si>
  <si>
    <t>De Jesus</t>
  </si>
  <si>
    <t>Del Valle</t>
  </si>
  <si>
    <t>WILLIAMS</t>
  </si>
  <si>
    <t>McCutter</t>
  </si>
  <si>
    <t>Washington</t>
  </si>
  <si>
    <t>Eremeyev</t>
  </si>
  <si>
    <t>Swaby</t>
  </si>
  <si>
    <t>Curran</t>
  </si>
  <si>
    <t>Brown</t>
  </si>
  <si>
    <t>Davis</t>
  </si>
  <si>
    <t>Lazazzera</t>
  </si>
  <si>
    <t>Alvarez</t>
  </si>
  <si>
    <t>LAUREANO</t>
  </si>
  <si>
    <t>Simmons Jr.</t>
  </si>
  <si>
    <t>Taylor</t>
  </si>
  <si>
    <t>Lewis</t>
  </si>
  <si>
    <t>Ramirez</t>
  </si>
  <si>
    <t>Silvestri</t>
  </si>
  <si>
    <t>Roberts</t>
  </si>
  <si>
    <t>Maldonado</t>
  </si>
  <si>
    <t>Ruiz</t>
  </si>
  <si>
    <t>Gilliam</t>
  </si>
  <si>
    <t>Adorno</t>
  </si>
  <si>
    <t>Waring</t>
  </si>
  <si>
    <t>Medina</t>
  </si>
  <si>
    <t>Morales</t>
  </si>
  <si>
    <t>Ha'saan</t>
  </si>
  <si>
    <t>Donzo</t>
  </si>
  <si>
    <t>Morillo</t>
  </si>
  <si>
    <t>Daley</t>
  </si>
  <si>
    <t>SEMIDEY</t>
  </si>
  <si>
    <t>Ryan</t>
  </si>
  <si>
    <t>Kingston</t>
  </si>
  <si>
    <t>Natalio</t>
  </si>
  <si>
    <t>Hernandez</t>
  </si>
  <si>
    <t>Dokie</t>
  </si>
  <si>
    <t>Lapaix</t>
  </si>
  <si>
    <t>Daniels</t>
  </si>
  <si>
    <t>Gallardo</t>
  </si>
  <si>
    <t>Sawh</t>
  </si>
  <si>
    <t>Vazquez</t>
  </si>
  <si>
    <t>Goldston</t>
  </si>
  <si>
    <t>Freeman</t>
  </si>
  <si>
    <t>Howell</t>
  </si>
  <si>
    <t>Yensi</t>
  </si>
  <si>
    <t>Joseph</t>
  </si>
  <si>
    <t>Rivas</t>
  </si>
  <si>
    <t>Abdullah-Greene</t>
  </si>
  <si>
    <t>Kake</t>
  </si>
  <si>
    <t>Terrell</t>
  </si>
  <si>
    <t>Machado</t>
  </si>
  <si>
    <t>Diaz</t>
  </si>
  <si>
    <t>Marcano</t>
  </si>
  <si>
    <t>Vasquez</t>
  </si>
  <si>
    <t>Pachnanda</t>
  </si>
  <si>
    <t>Conteh</t>
  </si>
  <si>
    <t>Cruz</t>
  </si>
  <si>
    <t>Rivera</t>
  </si>
  <si>
    <t>Colbourne</t>
  </si>
  <si>
    <t>Rincon</t>
  </si>
  <si>
    <t>Dunbar</t>
  </si>
  <si>
    <t>Hicks</t>
  </si>
  <si>
    <t>Mensah</t>
  </si>
  <si>
    <t>Mendoza</t>
  </si>
  <si>
    <t>Ricardi</t>
  </si>
  <si>
    <t>Henriquez</t>
  </si>
  <si>
    <t>Jimenez</t>
  </si>
  <si>
    <t>Carranza</t>
  </si>
  <si>
    <t>Kong</t>
  </si>
  <si>
    <t>Sanchez</t>
  </si>
  <si>
    <t>Collins</t>
  </si>
  <si>
    <t>Auson</t>
  </si>
  <si>
    <t>Reape</t>
  </si>
  <si>
    <t>Soilis</t>
  </si>
  <si>
    <t>Walker</t>
  </si>
  <si>
    <t>Slowley</t>
  </si>
  <si>
    <t>White</t>
  </si>
  <si>
    <t>Law</t>
  </si>
  <si>
    <t>Wilson</t>
  </si>
  <si>
    <t>Hubbard</t>
  </si>
  <si>
    <t>Coley</t>
  </si>
  <si>
    <t>McKinley</t>
  </si>
  <si>
    <t>McDonald</t>
  </si>
  <si>
    <t>Robinson</t>
  </si>
  <si>
    <t>Lopez</t>
  </si>
  <si>
    <t>Rice</t>
  </si>
  <si>
    <t>Suarez</t>
  </si>
  <si>
    <t>Duarte</t>
  </si>
  <si>
    <t>Villa</t>
  </si>
  <si>
    <t>Grier</t>
  </si>
  <si>
    <t>Liner</t>
  </si>
  <si>
    <t>Reyes</t>
  </si>
  <si>
    <t>Gunz</t>
  </si>
  <si>
    <t>Remy</t>
  </si>
  <si>
    <t>Carty</t>
  </si>
  <si>
    <t>BaBa</t>
  </si>
  <si>
    <t>Quinones</t>
  </si>
  <si>
    <t>De la cruz</t>
  </si>
  <si>
    <t>Aquino</t>
  </si>
  <si>
    <t>Bennett</t>
  </si>
  <si>
    <t>Kabba</t>
  </si>
  <si>
    <t>Guevara</t>
  </si>
  <si>
    <t>Colon</t>
  </si>
  <si>
    <t>Bautista</t>
  </si>
  <si>
    <t>Flores</t>
  </si>
  <si>
    <t>Camara</t>
  </si>
  <si>
    <t>Espinal Rivera</t>
  </si>
  <si>
    <t>Nieves</t>
  </si>
  <si>
    <t>Barea</t>
  </si>
  <si>
    <t>Guerrero</t>
  </si>
  <si>
    <t>Clemons</t>
  </si>
  <si>
    <t>Ovalle</t>
  </si>
  <si>
    <t>Henry</t>
  </si>
  <si>
    <t>Ortiz</t>
  </si>
  <si>
    <t>Campbell</t>
  </si>
  <si>
    <t>Mills</t>
  </si>
  <si>
    <t>Pressley</t>
  </si>
  <si>
    <t>Franks</t>
  </si>
  <si>
    <t>Goldfeld</t>
  </si>
  <si>
    <t>Johannes</t>
  </si>
  <si>
    <t>Regins</t>
  </si>
  <si>
    <t>Guzman</t>
  </si>
  <si>
    <t>Alvarez Eusebio</t>
  </si>
  <si>
    <t>Sandoval</t>
  </si>
  <si>
    <t>Jackson</t>
  </si>
  <si>
    <t>Legette</t>
  </si>
  <si>
    <t>Girault</t>
  </si>
  <si>
    <t>Hamilton</t>
  </si>
  <si>
    <t>Presley</t>
  </si>
  <si>
    <t>Lark</t>
  </si>
  <si>
    <t>Legins</t>
  </si>
  <si>
    <t>Cerease</t>
  </si>
  <si>
    <t>Theodoro</t>
  </si>
  <si>
    <t>McFarlane</t>
  </si>
  <si>
    <t>Grant</t>
  </si>
  <si>
    <t>McAlister</t>
  </si>
  <si>
    <t>Vazoumana Turner</t>
  </si>
  <si>
    <t>Renneker</t>
  </si>
  <si>
    <t>Angrum</t>
  </si>
  <si>
    <t>Bates</t>
  </si>
  <si>
    <t>D'Arata</t>
  </si>
  <si>
    <t>Wu</t>
  </si>
  <si>
    <t>Negron</t>
  </si>
  <si>
    <t>Allan</t>
  </si>
  <si>
    <t>Fournier</t>
  </si>
  <si>
    <t>DeLos Santos</t>
  </si>
  <si>
    <t>Husser</t>
  </si>
  <si>
    <t>Chisom</t>
  </si>
  <si>
    <t>Batista</t>
  </si>
  <si>
    <t>James</t>
  </si>
  <si>
    <t>Beriguete</t>
  </si>
  <si>
    <t>Weaver</t>
  </si>
  <si>
    <t>Rufino</t>
  </si>
  <si>
    <t>Wharton</t>
  </si>
  <si>
    <t>Brightbill</t>
  </si>
  <si>
    <t>Danzy</t>
  </si>
  <si>
    <t>Woody</t>
  </si>
  <si>
    <t>Hirsch</t>
  </si>
  <si>
    <t>Ng</t>
  </si>
  <si>
    <t>Jordan</t>
  </si>
  <si>
    <t>Middleton</t>
  </si>
  <si>
    <t>Munoz</t>
  </si>
  <si>
    <t>Chamorro Loaiza</t>
  </si>
  <si>
    <t>Charlton</t>
  </si>
  <si>
    <t>Ludena Vasquez</t>
  </si>
  <si>
    <t>Brady</t>
  </si>
  <si>
    <t>Moore</t>
  </si>
  <si>
    <t>Rivera Tovar</t>
  </si>
  <si>
    <t>Watkins</t>
  </si>
  <si>
    <t>Dhanraj Smith</t>
  </si>
  <si>
    <t>Maine</t>
  </si>
  <si>
    <t>Ferguson</t>
  </si>
  <si>
    <t>Belmosa</t>
  </si>
  <si>
    <t>Marte</t>
  </si>
  <si>
    <t>Gause</t>
  </si>
  <si>
    <t>Largo</t>
  </si>
  <si>
    <t>Chunara</t>
  </si>
  <si>
    <t>Moses</t>
  </si>
  <si>
    <t>Miller</t>
  </si>
  <si>
    <t>Brooks</t>
  </si>
  <si>
    <t>Voltaire</t>
  </si>
  <si>
    <t>Haskins</t>
  </si>
  <si>
    <t>Maddicks</t>
  </si>
  <si>
    <t>Crawford</t>
  </si>
  <si>
    <t>McClain</t>
  </si>
  <si>
    <t>Mercado</t>
  </si>
  <si>
    <t>Samuels</t>
  </si>
  <si>
    <t>Lovett</t>
  </si>
  <si>
    <t>McCleese Douglas</t>
  </si>
  <si>
    <t>Patton</t>
  </si>
  <si>
    <t>Sorenson</t>
  </si>
  <si>
    <t>Desmond</t>
  </si>
  <si>
    <t>Charles</t>
  </si>
  <si>
    <t>Groves</t>
  </si>
  <si>
    <t>Wells</t>
  </si>
  <si>
    <t>Mahadeo</t>
  </si>
  <si>
    <t>Ying</t>
  </si>
  <si>
    <t>Pokedoff</t>
  </si>
  <si>
    <t>Orse</t>
  </si>
  <si>
    <t>Smith-Watson</t>
  </si>
  <si>
    <t>Castro</t>
  </si>
  <si>
    <t>Zapata</t>
  </si>
  <si>
    <t>Cimma</t>
  </si>
  <si>
    <t>Duffer-Ordonez</t>
  </si>
  <si>
    <t>Tow</t>
  </si>
  <si>
    <t>Silvera</t>
  </si>
  <si>
    <t>Reid Rose</t>
  </si>
  <si>
    <t>Kippes</t>
  </si>
  <si>
    <t>Faverey</t>
  </si>
  <si>
    <t>Gutierrez</t>
  </si>
  <si>
    <t>Angulo</t>
  </si>
  <si>
    <t>Ossa</t>
  </si>
  <si>
    <t>Layden</t>
  </si>
  <si>
    <t>Rosario</t>
  </si>
  <si>
    <t>Delgado</t>
  </si>
  <si>
    <t>Fredericks</t>
  </si>
  <si>
    <t>Trantham</t>
  </si>
  <si>
    <t>Chauncey</t>
  </si>
  <si>
    <t>Beck</t>
  </si>
  <si>
    <t>Ekpo</t>
  </si>
  <si>
    <t>Rosado</t>
  </si>
  <si>
    <t>Albertini</t>
  </si>
  <si>
    <t>Hidalgo</t>
  </si>
  <si>
    <t>Pineda</t>
  </si>
  <si>
    <t>Peguero</t>
  </si>
  <si>
    <t>Guity</t>
  </si>
  <si>
    <t>Parla-Edwards</t>
  </si>
  <si>
    <t>Mahmud</t>
  </si>
  <si>
    <t>Cartagena</t>
  </si>
  <si>
    <t>Levine</t>
  </si>
  <si>
    <t>Jenkins</t>
  </si>
  <si>
    <t>Whitely</t>
  </si>
  <si>
    <t>Cubides</t>
  </si>
  <si>
    <t>Banuchi</t>
  </si>
  <si>
    <t>Begum</t>
  </si>
  <si>
    <t>Baclawska</t>
  </si>
  <si>
    <t>Kaba</t>
  </si>
  <si>
    <t>Coniglario</t>
  </si>
  <si>
    <t>DeSantiago</t>
  </si>
  <si>
    <t>Matias</t>
  </si>
  <si>
    <t>Birmingham</t>
  </si>
  <si>
    <t>Clinton</t>
  </si>
  <si>
    <t>Acevedo</t>
  </si>
  <si>
    <t>Rivieccio</t>
  </si>
  <si>
    <t>Stewart</t>
  </si>
  <si>
    <t>Castellano</t>
  </si>
  <si>
    <t>Bratcher</t>
  </si>
  <si>
    <t>Quian</t>
  </si>
  <si>
    <t>Cucci</t>
  </si>
  <si>
    <t>Edwards Dunning</t>
  </si>
  <si>
    <t>08/02/2019</t>
  </si>
  <si>
    <t>08/23/2019</t>
  </si>
  <si>
    <t>08/14/2019</t>
  </si>
  <si>
    <t>08/26/2019</t>
  </si>
  <si>
    <t>07/09/2019</t>
  </si>
  <si>
    <t>07/05/2019</t>
  </si>
  <si>
    <t>07/24/2019</t>
  </si>
  <si>
    <t>07/03/2019</t>
  </si>
  <si>
    <t>07/18/2018</t>
  </si>
  <si>
    <t>08/04/2019</t>
  </si>
  <si>
    <t>09/10/2019</t>
  </si>
  <si>
    <t>09/04/2019</t>
  </si>
  <si>
    <t>09/13/2019</t>
  </si>
  <si>
    <t>09/05/2019</t>
  </si>
  <si>
    <t>09/06/2019</t>
  </si>
  <si>
    <t>Open</t>
  </si>
  <si>
    <t>Closed</t>
  </si>
  <si>
    <t>2070 Union St</t>
  </si>
  <si>
    <t>454 Empire Blvd</t>
  </si>
  <si>
    <t>249 Ralph Ave</t>
  </si>
  <si>
    <t>855 E 19th St</t>
  </si>
  <si>
    <t>140 Moore St</t>
  </si>
  <si>
    <t>333 Mcdonald Ave</t>
  </si>
  <si>
    <t>111 Bridge St</t>
  </si>
  <si>
    <t>470 Kosciusko Street</t>
  </si>
  <si>
    <t>783 Lincoln Pl</t>
  </si>
  <si>
    <t>1350 Bedford Ave</t>
  </si>
  <si>
    <t>70 Ross St</t>
  </si>
  <si>
    <t>711 Ocean Ave</t>
  </si>
  <si>
    <t>305 Linden Blvd</t>
  </si>
  <si>
    <t>1150 President St</t>
  </si>
  <si>
    <t>555 Ocean Ave</t>
  </si>
  <si>
    <t>201 Crown St</t>
  </si>
  <si>
    <t>470 Ocean Ave</t>
  </si>
  <si>
    <t>781 Greene Ave</t>
  </si>
  <si>
    <t>452 Madison St</t>
  </si>
  <si>
    <t>611 Greene Ave</t>
  </si>
  <si>
    <t>346 Jefferson Ave</t>
  </si>
  <si>
    <t>333 New Lots Avenue</t>
  </si>
  <si>
    <t>263 Parkside Ave</t>
  </si>
  <si>
    <t>130 Moore St</t>
  </si>
  <si>
    <t>2511 Newkirk Ave</t>
  </si>
  <si>
    <t>2110 Westbury Ct</t>
  </si>
  <si>
    <t>11 Maple St</t>
  </si>
  <si>
    <t>10608 Glenwood Rd</t>
  </si>
  <si>
    <t>49 E 19th St</t>
  </si>
  <si>
    <t>1015 Hancock St</t>
  </si>
  <si>
    <t>257 E 32nd St</t>
  </si>
  <si>
    <t>298 Rogers Ave</t>
  </si>
  <si>
    <t>107 Harman St</t>
  </si>
  <si>
    <t>525 E 21st St</t>
  </si>
  <si>
    <t>600 Gates Ave</t>
  </si>
  <si>
    <t>330 Lewis Ave</t>
  </si>
  <si>
    <t>194 Malcom X Blvd</t>
  </si>
  <si>
    <t>150 Linden St</t>
  </si>
  <si>
    <t>9225 Foster Ave</t>
  </si>
  <si>
    <t>201 Brighton 1st Rd # 203</t>
  </si>
  <si>
    <t>1818 Benson Ave</t>
  </si>
  <si>
    <t>95 Cornelia St</t>
  </si>
  <si>
    <t>1963 73rd St</t>
  </si>
  <si>
    <t>456 Nostrand Ave</t>
  </si>
  <si>
    <t>1040 Park Pl</t>
  </si>
  <si>
    <t>869 Flushing Ave</t>
  </si>
  <si>
    <t>12 Kingston Ave</t>
  </si>
  <si>
    <t>20 N 5th St</t>
  </si>
  <si>
    <t>1381 E 105th St</t>
  </si>
  <si>
    <t>501 Lefferts Ave</t>
  </si>
  <si>
    <t>36 Kenilworth Pl</t>
  </si>
  <si>
    <t>1772 Flatbush Ave</t>
  </si>
  <si>
    <t>744 Gates Ave</t>
  </si>
  <si>
    <t>532 Bristol St</t>
  </si>
  <si>
    <t>9418 Wogan Ter</t>
  </si>
  <si>
    <t>1409 Troy Ave</t>
  </si>
  <si>
    <t>57 Herkimer St</t>
  </si>
  <si>
    <t>865 Gates Ave</t>
  </si>
  <si>
    <t>718 Saint Marks Ave</t>
  </si>
  <si>
    <t>1307 Loring Ave</t>
  </si>
  <si>
    <t>325 Kent Ave</t>
  </si>
  <si>
    <t>756 Stanley Ave</t>
  </si>
  <si>
    <t>190 62nd St</t>
  </si>
  <si>
    <t>53 Boerum Pl</t>
  </si>
  <si>
    <t>1501 Fulton St</t>
  </si>
  <si>
    <t>331 Tompkins Ave</t>
  </si>
  <si>
    <t>530 Parkside Ave</t>
  </si>
  <si>
    <t>1561 W 6th St</t>
  </si>
  <si>
    <t>630 Linden Blvd</t>
  </si>
  <si>
    <t>50 Stuyvesant Ave</t>
  </si>
  <si>
    <t>222 Malcolm X Blvd</t>
  </si>
  <si>
    <t>201 E 18th St</t>
  </si>
  <si>
    <t>1030 Ocean Ave</t>
  </si>
  <si>
    <t>131 Moore St</t>
  </si>
  <si>
    <t>2503 Cortelyou Rd</t>
  </si>
  <si>
    <t>300 Linden Blvd</t>
  </si>
  <si>
    <t>55 Linden Blvd</t>
  </si>
  <si>
    <t>222 Lenox Rd</t>
  </si>
  <si>
    <t>372 Kosciuszko St</t>
  </si>
  <si>
    <t>997 DeKalb Ave</t>
  </si>
  <si>
    <t>281 Quincy St</t>
  </si>
  <si>
    <t>1023 Putnam Ave</t>
  </si>
  <si>
    <t>25 Spencer Pl</t>
  </si>
  <si>
    <t>287 Linden Blvd</t>
  </si>
  <si>
    <t>805 Ditmas Ave</t>
  </si>
  <si>
    <t>3500 Snyder Ave</t>
  </si>
  <si>
    <t>400 Tompkins Ave</t>
  </si>
  <si>
    <t>14 Arlington Pl</t>
  </si>
  <si>
    <t>1455 Bedford Ave</t>
  </si>
  <si>
    <t>132 Halsey St</t>
  </si>
  <si>
    <t>1023 Broadway</t>
  </si>
  <si>
    <t>740 Uclid Avenue</t>
  </si>
  <si>
    <t>2567 Bedford Ave</t>
  </si>
  <si>
    <t>864 Euclid Ave</t>
  </si>
  <si>
    <t>2011 Newkirk Ave</t>
  </si>
  <si>
    <t>255 E 25th St</t>
  </si>
  <si>
    <t>61 Martense St</t>
  </si>
  <si>
    <t>1284 Saint Johns Pl</t>
  </si>
  <si>
    <t>909 E 29th St</t>
  </si>
  <si>
    <t>8525 Avenue J</t>
  </si>
  <si>
    <t>2532 Bedford Ave</t>
  </si>
  <si>
    <t>1966 70th St</t>
  </si>
  <si>
    <t>557 Rockaway Ave</t>
  </si>
  <si>
    <t>760 Rogers Ave</t>
  </si>
  <si>
    <t>245 Midwood St</t>
  </si>
  <si>
    <t>99 Madison St</t>
  </si>
  <si>
    <t>775 Saint Johns Pl</t>
  </si>
  <si>
    <t>72 Hemlock St</t>
  </si>
  <si>
    <t>358 Marcus Garvey Blvd</t>
  </si>
  <si>
    <t>1 Tennis Ct</t>
  </si>
  <si>
    <t>1041 Bushwick Ave</t>
  </si>
  <si>
    <t>690 Gates Ave</t>
  </si>
  <si>
    <t>1604 Bedford Ave</t>
  </si>
  <si>
    <t>1048 Union St</t>
  </si>
  <si>
    <t>699 Ocean Ave</t>
  </si>
  <si>
    <t>444 Lexington Ave</t>
  </si>
  <si>
    <t>1225 Tabor Ct</t>
  </si>
  <si>
    <t>1098 Liberty Ave</t>
  </si>
  <si>
    <t>67 Saint Pauls Pl</t>
  </si>
  <si>
    <t>1820 Avenue P</t>
  </si>
  <si>
    <t>346 E 29th St</t>
  </si>
  <si>
    <t>28 Paerdegat 5th St</t>
  </si>
  <si>
    <t>1209 Bushwick Ave</t>
  </si>
  <si>
    <t>5212 Glenwood Rd</t>
  </si>
  <si>
    <t>1785 Bedford Ave</t>
  </si>
  <si>
    <t>1422 Lincoln Pl</t>
  </si>
  <si>
    <t>1388 E 92nd St</t>
  </si>
  <si>
    <t>1358 Washington Ave</t>
  </si>
  <si>
    <t>1750 Davidson Ave</t>
  </si>
  <si>
    <t>1400 Jesup Ave</t>
  </si>
  <si>
    <t>324 E 143rd St</t>
  </si>
  <si>
    <t>917 Ogden Ave</t>
  </si>
  <si>
    <t>2734 Kingsbridge Ter</t>
  </si>
  <si>
    <t>1106 Morris Ave</t>
  </si>
  <si>
    <t>600 Trinity Ave</t>
  </si>
  <si>
    <t>1635 Mahan Ave</t>
  </si>
  <si>
    <t>345 Cypress Ave</t>
  </si>
  <si>
    <t>717 Crotona Park N</t>
  </si>
  <si>
    <t>800 E 160th st</t>
  </si>
  <si>
    <t>3980 Orloff Ave</t>
  </si>
  <si>
    <t>655 E 228th St</t>
  </si>
  <si>
    <t>2878 Harrington Ave</t>
  </si>
  <si>
    <t>502 E 189th St</t>
  </si>
  <si>
    <t>1625 Arnow Ave</t>
  </si>
  <si>
    <t>1640 Macombs Rd</t>
  </si>
  <si>
    <t>420 E 169th St</t>
  </si>
  <si>
    <t>1702 Wallace Ave</t>
  </si>
  <si>
    <t>1005 Walton Ave</t>
  </si>
  <si>
    <t>1485 Macombs Rd</t>
  </si>
  <si>
    <t>2119 Colonial Ave</t>
  </si>
  <si>
    <t>203 E 175th St</t>
  </si>
  <si>
    <t>1687 Hoe Ave</t>
  </si>
  <si>
    <t>1041 E 230th St</t>
  </si>
  <si>
    <t>4140 Carpenter Ave</t>
  </si>
  <si>
    <t>3125 Park Ave</t>
  </si>
  <si>
    <t>411 E 136th St</t>
  </si>
  <si>
    <t>20 Richman Plz</t>
  </si>
  <si>
    <t>1539 Rosedale Ave</t>
  </si>
  <si>
    <t>820 E 180th St</t>
  </si>
  <si>
    <t>1437 Leland Ave</t>
  </si>
  <si>
    <t>1971 Grand Ave</t>
  </si>
  <si>
    <t>1669 Grand Ave</t>
  </si>
  <si>
    <t>1500 Noble Ave</t>
  </si>
  <si>
    <t>1046 E 241st St</t>
  </si>
  <si>
    <t>225 Mcclellan St</t>
  </si>
  <si>
    <t>311 Bedford Park Blvd</t>
  </si>
  <si>
    <t>751 Tilden St</t>
  </si>
  <si>
    <t>1130 Boynton Ave</t>
  </si>
  <si>
    <t>1020 Boynton AVe</t>
  </si>
  <si>
    <t>360 E 234th St</t>
  </si>
  <si>
    <t>3317 Seymour Ave</t>
  </si>
  <si>
    <t>3014 Bouck Ave</t>
  </si>
  <si>
    <t>2855 Grand Concourse</t>
  </si>
  <si>
    <t>165 W 197th St</t>
  </si>
  <si>
    <t>3204 Holland Ave</t>
  </si>
  <si>
    <t>135 Elliot Pl</t>
  </si>
  <si>
    <t>2504 Olinville Ave</t>
  </si>
  <si>
    <t>3012 Wallace Ave</t>
  </si>
  <si>
    <t>2840 Sedgwick Ave</t>
  </si>
  <si>
    <t>2125 Cruger Ave</t>
  </si>
  <si>
    <t>2103 Honeywell Ave</t>
  </si>
  <si>
    <t>3424 Gates Pl</t>
  </si>
  <si>
    <t>414 E 204th St</t>
  </si>
  <si>
    <t>315 E 206th St</t>
  </si>
  <si>
    <t>718 Garden St</t>
  </si>
  <si>
    <t>3220 Perry Ave</t>
  </si>
  <si>
    <t>3562 Carlisle Pl</t>
  </si>
  <si>
    <t>2060 Anthony Ave</t>
  </si>
  <si>
    <t>2025 Seward Ave</t>
  </si>
  <si>
    <t>2929 Bainbridge Ave</t>
  </si>
  <si>
    <t>710 Noble Ave</t>
  </si>
  <si>
    <t>643 Thieriot Ave</t>
  </si>
  <si>
    <t>1230 Teller Ave</t>
  </si>
  <si>
    <t>2985 Webster Ave Apt 3</t>
  </si>
  <si>
    <t>428 E 137th St</t>
  </si>
  <si>
    <t>2330 Valentine Ave</t>
  </si>
  <si>
    <t>2700 Grand Concourse</t>
  </si>
  <si>
    <t>329 E 197th St</t>
  </si>
  <si>
    <t>220 E 204th St</t>
  </si>
  <si>
    <t>2728 Marion Ave</t>
  </si>
  <si>
    <t>950 Union Ave</t>
  </si>
  <si>
    <t>1017 Freeman St</t>
  </si>
  <si>
    <t>994 Intervale Ave</t>
  </si>
  <si>
    <t>993 Union Ave</t>
  </si>
  <si>
    <t>576 Timpson Pl</t>
  </si>
  <si>
    <t>673 Beck St</t>
  </si>
  <si>
    <t>455 E 148th St</t>
  </si>
  <si>
    <t>846 E 156th St</t>
  </si>
  <si>
    <t>1141 E 224th St</t>
  </si>
  <si>
    <t>1202 Noble Ave</t>
  </si>
  <si>
    <t>18a Broun Pl</t>
  </si>
  <si>
    <t>860 Bryant Ave</t>
  </si>
  <si>
    <t>1012 Garrison Ave</t>
  </si>
  <si>
    <t>140 W 238th St</t>
  </si>
  <si>
    <t>272 E Gun Hill Rd</t>
  </si>
  <si>
    <t>2487 Grand Ave</t>
  </si>
  <si>
    <t>3304 Bronx Blvd</t>
  </si>
  <si>
    <t>1944 Unionport Rd</t>
  </si>
  <si>
    <t>730 Grand Concourse</t>
  </si>
  <si>
    <t>1710 Andrews Ave</t>
  </si>
  <si>
    <t>1015 E 179th St</t>
  </si>
  <si>
    <t>221 W 233rd St</t>
  </si>
  <si>
    <t>739 Tilden St</t>
  </si>
  <si>
    <t>2881 Heath Ave</t>
  </si>
  <si>
    <t>2500 University Ave</t>
  </si>
  <si>
    <t>3121 Villa Ave</t>
  </si>
  <si>
    <t>1763 Fulton Ave</t>
  </si>
  <si>
    <t>2388 Creston Ave</t>
  </si>
  <si>
    <t>725 Garden St</t>
  </si>
  <si>
    <t>1722 Purdy St</t>
  </si>
  <si>
    <t>2543 Bronxwood Ave</t>
  </si>
  <si>
    <t>2435 Barker Ave</t>
  </si>
  <si>
    <t>770 Bryant Ave</t>
  </si>
  <si>
    <t>264 Echo Pl</t>
  </si>
  <si>
    <t>2911 Barnes Ave</t>
  </si>
  <si>
    <t>2098 Ryer Ave</t>
  </si>
  <si>
    <t>1560 Grand Concourse</t>
  </si>
  <si>
    <t>1511 Sheridan Ave</t>
  </si>
  <si>
    <t>3521 Dekalb Ave</t>
  </si>
  <si>
    <t>2141 Starling Ave</t>
  </si>
  <si>
    <t>1236 Burke Ave</t>
  </si>
  <si>
    <t>582 Courtlandt Ave</t>
  </si>
  <si>
    <t>1801 Loring Pl S</t>
  </si>
  <si>
    <t>5550 Fieldston Rd</t>
  </si>
  <si>
    <t>1585 White Plains Rd</t>
  </si>
  <si>
    <t>1520 Sheridan Ave</t>
  </si>
  <si>
    <t>823 E 217th St</t>
  </si>
  <si>
    <t>3035 White Plains Rd</t>
  </si>
  <si>
    <t>3707 Olinville Ave</t>
  </si>
  <si>
    <t>2434 Prospect Ave</t>
  </si>
  <si>
    <t>3185 Villa Ave</t>
  </si>
  <si>
    <t>542 E 182nd St</t>
  </si>
  <si>
    <t>1590 Undercliff Ave</t>
  </si>
  <si>
    <t>2515 Olinville Ave</t>
  </si>
  <si>
    <t>1898 Belmont Ave</t>
  </si>
  <si>
    <t>355 E 184th St</t>
  </si>
  <si>
    <t>768 Van Nest Ave</t>
  </si>
  <si>
    <t>2045 Holland Ave</t>
  </si>
  <si>
    <t>1901 Hennessy Pl</t>
  </si>
  <si>
    <t>2277 Andrews Ave</t>
  </si>
  <si>
    <t>2015 Belmont Ave</t>
  </si>
  <si>
    <t>769 Bryant Ave</t>
  </si>
  <si>
    <t>1480 Popham Ave</t>
  </si>
  <si>
    <t>1514 Townsend Ave</t>
  </si>
  <si>
    <t>2615 Grand Concourse</t>
  </si>
  <si>
    <t>80 W 170th St</t>
  </si>
  <si>
    <t>1720 Victor St</t>
  </si>
  <si>
    <t>3021 Holland Ave</t>
  </si>
  <si>
    <t>50 E 196th St</t>
  </si>
  <si>
    <t>85 Strong St</t>
  </si>
  <si>
    <t>1600 Metropolitan Ave</t>
  </si>
  <si>
    <t>162 E 184th St</t>
  </si>
  <si>
    <t>2547 Cruger Ave</t>
  </si>
  <si>
    <t>2140 Cruger Ave</t>
  </si>
  <si>
    <t>400 E 147th St</t>
  </si>
  <si>
    <t>92 W Tremont Ave</t>
  </si>
  <si>
    <t>653 Britton St</t>
  </si>
  <si>
    <t>983 E 181st St</t>
  </si>
  <si>
    <t>900 Lydig Ave</t>
  </si>
  <si>
    <t>955 Walton Ave</t>
  </si>
  <si>
    <t>2332 Creston Ave</t>
  </si>
  <si>
    <t>2060 White Plains Rd</t>
  </si>
  <si>
    <t>1357 Plimpton Ave</t>
  </si>
  <si>
    <t>3500 Tryon Ave</t>
  </si>
  <si>
    <t>2028 Grand Concourse</t>
  </si>
  <si>
    <t>2111 Southern Blvd</t>
  </si>
  <si>
    <t>2409 Beaumont Ave</t>
  </si>
  <si>
    <t>3535 Rochambeau ave</t>
  </si>
  <si>
    <t>994 E 180th St</t>
  </si>
  <si>
    <t>55 Tiemann Pl</t>
  </si>
  <si>
    <t>17 W 125th St</t>
  </si>
  <si>
    <t>65 W 96th St</t>
  </si>
  <si>
    <t>2430 W 111th St</t>
  </si>
  <si>
    <t>2949 8th Ave</t>
  </si>
  <si>
    <t>160 Madison St</t>
  </si>
  <si>
    <t>241 6th Ave</t>
  </si>
  <si>
    <t>1391 2nd Ave</t>
  </si>
  <si>
    <t>596 Riverside Dr</t>
  </si>
  <si>
    <t>71 W 112th St</t>
  </si>
  <si>
    <t>511 W 177th St</t>
  </si>
  <si>
    <t>480 Saint Nicholas Ave</t>
  </si>
  <si>
    <t>1751 2nd Ave</t>
  </si>
  <si>
    <t>2101 Madison Ave</t>
  </si>
  <si>
    <t>415 W 25th St</t>
  </si>
  <si>
    <t>2166 Frederick Douglass Blvd</t>
  </si>
  <si>
    <t>1365 Saint Nicholas Ave</t>
  </si>
  <si>
    <t>1867 7th Ave</t>
  </si>
  <si>
    <t>719 Saint Nicholas Ave</t>
  </si>
  <si>
    <t>3544 Broadway</t>
  </si>
  <si>
    <t>450 W 42nd St</t>
  </si>
  <si>
    <t>2081 2nd Ave</t>
  </si>
  <si>
    <t>45 W 110th St</t>
  </si>
  <si>
    <t>795 Saint Nicholas Ave</t>
  </si>
  <si>
    <t>165 E 112th St</t>
  </si>
  <si>
    <t>135 W 115th St</t>
  </si>
  <si>
    <t>419 W 34th St</t>
  </si>
  <si>
    <t>266 Nagle Ave</t>
  </si>
  <si>
    <t>1900 Lexington Ave</t>
  </si>
  <si>
    <t>1420 Amsterdam Ave</t>
  </si>
  <si>
    <t>644 Riverside Dr</t>
  </si>
  <si>
    <t>3170 Broadway</t>
  </si>
  <si>
    <t>1470 Amsterdam Ave</t>
  </si>
  <si>
    <t>525 Fdr Dr</t>
  </si>
  <si>
    <t>430 W 125th St</t>
  </si>
  <si>
    <t>388 Audubon Ave</t>
  </si>
  <si>
    <t>600 W 142nd St</t>
  </si>
  <si>
    <t>101 W 130th St</t>
  </si>
  <si>
    <t>792 Columbus Ave</t>
  </si>
  <si>
    <t>180 E 122nd St</t>
  </si>
  <si>
    <t>225 W 106th St</t>
  </si>
  <si>
    <t>452 Saint Nicholas Ave</t>
  </si>
  <si>
    <t>312 W 112th St</t>
  </si>
  <si>
    <t>742 E 6th St</t>
  </si>
  <si>
    <t>89 Avenue C</t>
  </si>
  <si>
    <t>666 W End Ave</t>
  </si>
  <si>
    <t>200 W 143rd St</t>
  </si>
  <si>
    <t>46 Madison St</t>
  </si>
  <si>
    <t>120 E 123rd St</t>
  </si>
  <si>
    <t>16225 112th Rd</t>
  </si>
  <si>
    <t>10702 154th St</t>
  </si>
  <si>
    <t>4216 82nd St</t>
  </si>
  <si>
    <t>7939 Calamus Ave</t>
  </si>
  <si>
    <t>11635 Sutphin Blvd</t>
  </si>
  <si>
    <t>12365 147th St</t>
  </si>
  <si>
    <t>5305 92nd St</t>
  </si>
  <si>
    <t>9511 90th St</t>
  </si>
  <si>
    <t>172-10 133rd Avenue</t>
  </si>
  <si>
    <t>15327 73rd Ave</t>
  </si>
  <si>
    <t>16909 105th Ave</t>
  </si>
  <si>
    <t>2130 35th Ave</t>
  </si>
  <si>
    <t>9116 95th Ave</t>
  </si>
  <si>
    <t>10632 98th St</t>
  </si>
  <si>
    <t>14027 183rd St</t>
  </si>
  <si>
    <t>17711 105th Ave</t>
  </si>
  <si>
    <t>5928 Xenia St</t>
  </si>
  <si>
    <t>17436 126th Ave</t>
  </si>
  <si>
    <t>3950 60th St</t>
  </si>
  <si>
    <t>8415 109th Ave</t>
  </si>
  <si>
    <t>8616 60th Ave</t>
  </si>
  <si>
    <t>11469 208th St</t>
  </si>
  <si>
    <t>3221 34th St</t>
  </si>
  <si>
    <t>8105 Rockaway Beach Blvd</t>
  </si>
  <si>
    <t>16329 130th Ave</t>
  </si>
  <si>
    <t>12619 Inwood St</t>
  </si>
  <si>
    <t>14643 105th Ave</t>
  </si>
  <si>
    <t>1351 Boston Rd</t>
  </si>
  <si>
    <t>11942 177th St</t>
  </si>
  <si>
    <t>10644 Ruscoe St</t>
  </si>
  <si>
    <t>16824 127th Ave</t>
  </si>
  <si>
    <t>20218 43rd Ave</t>
  </si>
  <si>
    <t>5933 59th Dr</t>
  </si>
  <si>
    <t>8202 Rockaway Beach Blvd</t>
  </si>
  <si>
    <t>7127 65th St</t>
  </si>
  <si>
    <t>14964 256th St</t>
  </si>
  <si>
    <t>10841 159th St</t>
  </si>
  <si>
    <t>10854 159th St</t>
  </si>
  <si>
    <t>10838 159th St</t>
  </si>
  <si>
    <t>15901 110th Ave</t>
  </si>
  <si>
    <t>10748 159th St</t>
  </si>
  <si>
    <t>1737 Willoughby Ave</t>
  </si>
  <si>
    <t>10624 159th St</t>
  </si>
  <si>
    <t>16311 Foch Blvd</t>
  </si>
  <si>
    <t>10610 Atlantic Ave</t>
  </si>
  <si>
    <t>17024 130th ave</t>
  </si>
  <si>
    <t>10538 170th St</t>
  </si>
  <si>
    <t>133-08 41st Ave</t>
  </si>
  <si>
    <t>13538 123rd St</t>
  </si>
  <si>
    <t>9835 57th Ave</t>
  </si>
  <si>
    <t>10511 Inwood St</t>
  </si>
  <si>
    <t>1715 Gates Ave</t>
  </si>
  <si>
    <t>4116 51st St</t>
  </si>
  <si>
    <t>8333 118th St</t>
  </si>
  <si>
    <t>14711 71st Rd</t>
  </si>
  <si>
    <t>11803 Farmers Blvd</t>
  </si>
  <si>
    <t>11369 Springfield Blvd</t>
  </si>
  <si>
    <t>8720 109th St</t>
  </si>
  <si>
    <t>5337 97th St</t>
  </si>
  <si>
    <t>10707 157th St</t>
  </si>
  <si>
    <t>13534 116th St</t>
  </si>
  <si>
    <t>32-2 28th Avenue</t>
  </si>
  <si>
    <t>5610 94th St</t>
  </si>
  <si>
    <t>15046 72nd Dr</t>
  </si>
  <si>
    <t>11422 158th St</t>
  </si>
  <si>
    <t>6129 56th St</t>
  </si>
  <si>
    <t>14235 231st St</t>
  </si>
  <si>
    <t>6514 Parsons Blvd</t>
  </si>
  <si>
    <t>6091 70th Ave</t>
  </si>
  <si>
    <t>9728 Linden Blvd</t>
  </si>
  <si>
    <t>150-29 Forch Blvd</t>
  </si>
  <si>
    <t>4033 74th St</t>
  </si>
  <si>
    <t>4102 12th St</t>
  </si>
  <si>
    <t>458 Woodward Ave</t>
  </si>
  <si>
    <t>15707 Rockaway Blvd</t>
  </si>
  <si>
    <t>9163 85th St</t>
  </si>
  <si>
    <t>5302 Browvale Ln</t>
  </si>
  <si>
    <t>105-24 171rst Place</t>
  </si>
  <si>
    <t>10910 Park Ln S</t>
  </si>
  <si>
    <t>5906 Catalpa Ave</t>
  </si>
  <si>
    <t>3519 99th St</t>
  </si>
  <si>
    <t>12052 168th St</t>
  </si>
  <si>
    <t>12560 Sutphin Blvd</t>
  </si>
  <si>
    <t>13215 155th St</t>
  </si>
  <si>
    <t>6418 32nd Ave</t>
  </si>
  <si>
    <t>3421 21st St</t>
  </si>
  <si>
    <t>11155 77th Ave</t>
  </si>
  <si>
    <t>8412 Rockaway Beach Blvd</t>
  </si>
  <si>
    <t>3415 12th St</t>
  </si>
  <si>
    <t>99-19 66th rd</t>
  </si>
  <si>
    <t>6520 Parsons Blvd</t>
  </si>
  <si>
    <t>206 Astoria Blvd</t>
  </si>
  <si>
    <t>5238 69th St</t>
  </si>
  <si>
    <t>6832 64th Pl</t>
  </si>
  <si>
    <t>9425 57th Ave</t>
  </si>
  <si>
    <t>14 Skinner Ln</t>
  </si>
  <si>
    <t>165 Vassar St</t>
  </si>
  <si>
    <t>185 Saint Marks Pl</t>
  </si>
  <si>
    <t>125 Freedom Ave</t>
  </si>
  <si>
    <t>806 Henderson Ave</t>
  </si>
  <si>
    <t>17 Slaight St</t>
  </si>
  <si>
    <t>65 Holland Ave</t>
  </si>
  <si>
    <t>1331 Bay St</t>
  </si>
  <si>
    <t>35 Androvette St</t>
  </si>
  <si>
    <t>256 Egbert Ave</t>
  </si>
  <si>
    <t>1726 Richmond Rd</t>
  </si>
  <si>
    <t>1077 Castleton Ave</t>
  </si>
  <si>
    <t>88 Renee Pl</t>
  </si>
  <si>
    <t>260 Broadway</t>
  </si>
  <si>
    <t>#3F</t>
  </si>
  <si>
    <t>1R</t>
  </si>
  <si>
    <t>2nd Floor</t>
  </si>
  <si>
    <t>3A</t>
  </si>
  <si>
    <t>2E</t>
  </si>
  <si>
    <t>6A</t>
  </si>
  <si>
    <t>13 E</t>
  </si>
  <si>
    <t>2A</t>
  </si>
  <si>
    <t>2R</t>
  </si>
  <si>
    <t>5K</t>
  </si>
  <si>
    <t>2F</t>
  </si>
  <si>
    <t>3B</t>
  </si>
  <si>
    <t>C17</t>
  </si>
  <si>
    <t>D4</t>
  </si>
  <si>
    <t>5C</t>
  </si>
  <si>
    <t>2C</t>
  </si>
  <si>
    <t>RE6</t>
  </si>
  <si>
    <t>1st Floor</t>
  </si>
  <si>
    <t>1B</t>
  </si>
  <si>
    <t>3rd Floor</t>
  </si>
  <si>
    <t>4B</t>
  </si>
  <si>
    <t>Apt. 2F</t>
  </si>
  <si>
    <t>A5</t>
  </si>
  <si>
    <t>B7</t>
  </si>
  <si>
    <t>2D</t>
  </si>
  <si>
    <t>F10</t>
  </si>
  <si>
    <t>2nd floor, left rear room</t>
  </si>
  <si>
    <t>1D</t>
  </si>
  <si>
    <t>#2A</t>
  </si>
  <si>
    <t>#C5</t>
  </si>
  <si>
    <t>#2F</t>
  </si>
  <si>
    <t>Basement</t>
  </si>
  <si>
    <t>#1-S</t>
  </si>
  <si>
    <t>Apt. 1F</t>
  </si>
  <si>
    <t>1st floor</t>
  </si>
  <si>
    <t>C6</t>
  </si>
  <si>
    <t>18F</t>
  </si>
  <si>
    <t>4A</t>
  </si>
  <si>
    <t>#1</t>
  </si>
  <si>
    <t>5D</t>
  </si>
  <si>
    <t>#1C</t>
  </si>
  <si>
    <t>1A</t>
  </si>
  <si>
    <t>7C</t>
  </si>
  <si>
    <t>PH1G</t>
  </si>
  <si>
    <t>3R</t>
  </si>
  <si>
    <t>6G</t>
  </si>
  <si>
    <t>1-C</t>
  </si>
  <si>
    <t>A2</t>
  </si>
  <si>
    <t>2N</t>
  </si>
  <si>
    <t>14C</t>
  </si>
  <si>
    <t>2H</t>
  </si>
  <si>
    <t>1 Rm 5</t>
  </si>
  <si>
    <t>#9B</t>
  </si>
  <si>
    <t>4D</t>
  </si>
  <si>
    <t>3T</t>
  </si>
  <si>
    <t>5p</t>
  </si>
  <si>
    <t>#13F</t>
  </si>
  <si>
    <t>2B</t>
  </si>
  <si>
    <t>17C</t>
  </si>
  <si>
    <t>3K</t>
  </si>
  <si>
    <t>1F</t>
  </si>
  <si>
    <t>2V</t>
  </si>
  <si>
    <t>B</t>
  </si>
  <si>
    <t>2X</t>
  </si>
  <si>
    <t>2 Floor</t>
  </si>
  <si>
    <t>D9</t>
  </si>
  <si>
    <t>4F</t>
  </si>
  <si>
    <t>#4B</t>
  </si>
  <si>
    <t>#1K</t>
  </si>
  <si>
    <t>Apt 3R</t>
  </si>
  <si>
    <t>#6J</t>
  </si>
  <si>
    <t>4O</t>
  </si>
  <si>
    <t>#1st floor</t>
  </si>
  <si>
    <t>3rd floor</t>
  </si>
  <si>
    <t>D12</t>
  </si>
  <si>
    <t>#1E</t>
  </si>
  <si>
    <t>4C</t>
  </si>
  <si>
    <t>4J</t>
  </si>
  <si>
    <t>2nd floor</t>
  </si>
  <si>
    <t>Top Floor</t>
  </si>
  <si>
    <t>6E</t>
  </si>
  <si>
    <t>4H</t>
  </si>
  <si>
    <t>2G</t>
  </si>
  <si>
    <t>5B</t>
  </si>
  <si>
    <t>5H</t>
  </si>
  <si>
    <t>3E</t>
  </si>
  <si>
    <t>21W</t>
  </si>
  <si>
    <t>Bsmt</t>
  </si>
  <si>
    <t>3G</t>
  </si>
  <si>
    <t>15F</t>
  </si>
  <si>
    <t>3b</t>
  </si>
  <si>
    <t>6F</t>
  </si>
  <si>
    <t>16B</t>
  </si>
  <si>
    <t>A-A</t>
  </si>
  <si>
    <t>5A</t>
  </si>
  <si>
    <t>2n</t>
  </si>
  <si>
    <t>1K</t>
  </si>
  <si>
    <t>RM 1</t>
  </si>
  <si>
    <t>3F</t>
  </si>
  <si>
    <t>5F</t>
  </si>
  <si>
    <t>5E</t>
  </si>
  <si>
    <t>7B</t>
  </si>
  <si>
    <t>4E</t>
  </si>
  <si>
    <t>G</t>
  </si>
  <si>
    <t>3D</t>
  </si>
  <si>
    <t>1M</t>
  </si>
  <si>
    <t>3M</t>
  </si>
  <si>
    <t>1G</t>
  </si>
  <si>
    <t>3H</t>
  </si>
  <si>
    <t>4e</t>
  </si>
  <si>
    <t>5R</t>
  </si>
  <si>
    <t>6C</t>
  </si>
  <si>
    <t>8H</t>
  </si>
  <si>
    <t>2-D</t>
  </si>
  <si>
    <t>B3</t>
  </si>
  <si>
    <t>1Q</t>
  </si>
  <si>
    <t>a21</t>
  </si>
  <si>
    <t>D3</t>
  </si>
  <si>
    <t>s-34</t>
  </si>
  <si>
    <t>4G</t>
  </si>
  <si>
    <t>5L</t>
  </si>
  <si>
    <t>10D</t>
  </si>
  <si>
    <t>3C</t>
  </si>
  <si>
    <t>13E</t>
  </si>
  <si>
    <t>Apt 1R</t>
  </si>
  <si>
    <t>A68</t>
  </si>
  <si>
    <t>47A</t>
  </si>
  <si>
    <t>4a</t>
  </si>
  <si>
    <t>4l</t>
  </si>
  <si>
    <t>2 D</t>
  </si>
  <si>
    <t>9H</t>
  </si>
  <si>
    <t>6a</t>
  </si>
  <si>
    <t>1W</t>
  </si>
  <si>
    <t>5M</t>
  </si>
  <si>
    <t>1N</t>
  </si>
  <si>
    <t>A55</t>
  </si>
  <si>
    <t>5G</t>
  </si>
  <si>
    <t>C4</t>
  </si>
  <si>
    <t>2M</t>
  </si>
  <si>
    <t>2S</t>
  </si>
  <si>
    <t>27D</t>
  </si>
  <si>
    <t>2c</t>
  </si>
  <si>
    <t>6D</t>
  </si>
  <si>
    <t>2K</t>
  </si>
  <si>
    <t>25D</t>
  </si>
  <si>
    <t>8N</t>
  </si>
  <si>
    <t>16H</t>
  </si>
  <si>
    <t>5S</t>
  </si>
  <si>
    <t>7K</t>
  </si>
  <si>
    <t>3I</t>
  </si>
  <si>
    <t>7L</t>
  </si>
  <si>
    <t>2J</t>
  </si>
  <si>
    <t>9B</t>
  </si>
  <si>
    <t>4K</t>
  </si>
  <si>
    <t>16A</t>
  </si>
  <si>
    <t>12G1</t>
  </si>
  <si>
    <t>13A</t>
  </si>
  <si>
    <t>4k</t>
  </si>
  <si>
    <t>1C</t>
  </si>
  <si>
    <t>21K</t>
  </si>
  <si>
    <t>10S</t>
  </si>
  <si>
    <t>8B</t>
  </si>
  <si>
    <t>12K</t>
  </si>
  <si>
    <t>7G</t>
  </si>
  <si>
    <t>APpt. 5G</t>
  </si>
  <si>
    <t>4R</t>
  </si>
  <si>
    <t>B45</t>
  </si>
  <si>
    <t>1st Floor- Apt 1</t>
  </si>
  <si>
    <t>10B</t>
  </si>
  <si>
    <t>1st</t>
  </si>
  <si>
    <t>5-D</t>
  </si>
  <si>
    <t>GF</t>
  </si>
  <si>
    <t>1st FL</t>
  </si>
  <si>
    <t>7F</t>
  </si>
  <si>
    <t>02B</t>
  </si>
  <si>
    <t>8A</t>
  </si>
  <si>
    <t>bsmnt</t>
  </si>
  <si>
    <t>1st fl</t>
  </si>
  <si>
    <t>3L</t>
  </si>
  <si>
    <t>2L</t>
  </si>
  <si>
    <t>311A</t>
  </si>
  <si>
    <t>Bsmnt</t>
  </si>
  <si>
    <t>basement</t>
  </si>
  <si>
    <t>5c</t>
  </si>
  <si>
    <t>B5</t>
  </si>
  <si>
    <t>C309</t>
  </si>
  <si>
    <t>01D</t>
  </si>
  <si>
    <t>1st. Floor</t>
  </si>
  <si>
    <t>7R</t>
  </si>
  <si>
    <t>2b</t>
  </si>
  <si>
    <t>7b</t>
  </si>
  <si>
    <t>7A</t>
  </si>
  <si>
    <t>LO</t>
  </si>
  <si>
    <t>Brooklyn</t>
  </si>
  <si>
    <t>Bronx</t>
  </si>
  <si>
    <t>New York</t>
  </si>
  <si>
    <t>Jamaica</t>
  </si>
  <si>
    <t>Elmhurst</t>
  </si>
  <si>
    <t>Ozone Park</t>
  </si>
  <si>
    <t>Flushing</t>
  </si>
  <si>
    <t>Astoria</t>
  </si>
  <si>
    <t>Springfield Gardens</t>
  </si>
  <si>
    <t>Corona</t>
  </si>
  <si>
    <t>Woodside</t>
  </si>
  <si>
    <t>Cambria Hts</t>
  </si>
  <si>
    <t>Rockaway Beach</t>
  </si>
  <si>
    <t>Bayside</t>
  </si>
  <si>
    <t>Maspeth</t>
  </si>
  <si>
    <t>Glendale</t>
  </si>
  <si>
    <t>Rosedale</t>
  </si>
  <si>
    <t>Ridgewood</t>
  </si>
  <si>
    <t>South Ozone Park</t>
  </si>
  <si>
    <t>College Point</t>
  </si>
  <si>
    <t>Kew Gardens</t>
  </si>
  <si>
    <t>Saint Albans</t>
  </si>
  <si>
    <t>Queens Village</t>
  </si>
  <si>
    <t>Richmond Hill</t>
  </si>
  <si>
    <t>Laurelton</t>
  </si>
  <si>
    <t>Fresh Meadows</t>
  </si>
  <si>
    <t>Long Island City</t>
  </si>
  <si>
    <t>Woodhaven</t>
  </si>
  <si>
    <t>Little Neck</t>
  </si>
  <si>
    <t>Forest Hills</t>
  </si>
  <si>
    <t>Rego Park</t>
  </si>
  <si>
    <t>Staten Island</t>
  </si>
  <si>
    <t>NY</t>
  </si>
  <si>
    <t>HRA</t>
  </si>
  <si>
    <t>Returning Client</t>
  </si>
  <si>
    <t>HRA ELS Part F Brooklyn</t>
  </si>
  <si>
    <t>Court Referral-NON HRA</t>
  </si>
  <si>
    <t>Community Organization</t>
  </si>
  <si>
    <t>Friends/Family</t>
  </si>
  <si>
    <t>Other</t>
  </si>
  <si>
    <t>Self-referred</t>
  </si>
  <si>
    <t>Elected Official</t>
  </si>
  <si>
    <t>Word of mouth</t>
  </si>
  <si>
    <t>In-House</t>
  </si>
  <si>
    <t>3-1-1</t>
  </si>
  <si>
    <t>Outreach</t>
  </si>
  <si>
    <t>LT-068551-19/KI</t>
  </si>
  <si>
    <t>L&amp;T-094615-18/KI</t>
  </si>
  <si>
    <t>LT-069298-19/KI</t>
  </si>
  <si>
    <t>LT-096595-18/KI</t>
  </si>
  <si>
    <t>LT-018067-19/KI</t>
  </si>
  <si>
    <t>LT-003977-18/KI</t>
  </si>
  <si>
    <t>070743-19</t>
  </si>
  <si>
    <t>LT-064826-19/KI</t>
  </si>
  <si>
    <t>LT-069807-19/KI</t>
  </si>
  <si>
    <t>LT-071586-19/KI</t>
  </si>
  <si>
    <t>LT-067015-19/KI</t>
  </si>
  <si>
    <t>LT-069591-19/KI</t>
  </si>
  <si>
    <t>LT-069908-19/KI</t>
  </si>
  <si>
    <t>LT-061076-19/KI</t>
  </si>
  <si>
    <t>LT-070300-19/KI</t>
  </si>
  <si>
    <t>LT-068809-19/KI</t>
  </si>
  <si>
    <t>LT-071806-19/KI</t>
  </si>
  <si>
    <t>LT-073634-19/KI</t>
  </si>
  <si>
    <t>LT-068266-19/KI</t>
  </si>
  <si>
    <t>LT-062237-19/KI</t>
  </si>
  <si>
    <t>LT-065971-19/KI</t>
  </si>
  <si>
    <t>LT-072299-19/KI</t>
  </si>
  <si>
    <t>LT-017851-18/KI</t>
  </si>
  <si>
    <t>LT-085018-18/KI</t>
  </si>
  <si>
    <t>LT-072488-19/KI</t>
  </si>
  <si>
    <t>LT-071993-19/KI</t>
  </si>
  <si>
    <t>LT-073557-19/KI</t>
  </si>
  <si>
    <t>LT-068666-19/KI</t>
  </si>
  <si>
    <t>LT-072104-19/KI</t>
  </si>
  <si>
    <t>LT-063887-19/KI</t>
  </si>
  <si>
    <t>LT-073738-19/KI</t>
  </si>
  <si>
    <t>LT-074230-19/KI</t>
  </si>
  <si>
    <t>LT-072882-19/KI</t>
  </si>
  <si>
    <t>LT-001778-19/KI</t>
  </si>
  <si>
    <t>LT-092551-18/KI</t>
  </si>
  <si>
    <t>LT-053787-19</t>
  </si>
  <si>
    <t>LT-062394-19/KI</t>
  </si>
  <si>
    <t>LT-017993-19</t>
  </si>
  <si>
    <t>LT-059339-19/KI</t>
  </si>
  <si>
    <t>LT-071865-19/KI</t>
  </si>
  <si>
    <t>LT-18158-19/KI</t>
  </si>
  <si>
    <t>LT-057738-18/KI</t>
  </si>
  <si>
    <t>LT-069127-19/KI</t>
  </si>
  <si>
    <t>LT-072724-19/KI</t>
  </si>
  <si>
    <t>57603-19</t>
  </si>
  <si>
    <t>L&amp;T-071608-19/KI</t>
  </si>
  <si>
    <t>LT-073837-19/KI</t>
  </si>
  <si>
    <t>LT-012935-19</t>
  </si>
  <si>
    <t>LT-087159-18/KI</t>
  </si>
  <si>
    <t>LT-073880-19/KI</t>
  </si>
  <si>
    <t>LT-069741-19/KI</t>
  </si>
  <si>
    <t>LT-060956-18/KI</t>
  </si>
  <si>
    <t>LT-069568-19/KI</t>
  </si>
  <si>
    <t>LT-072962-19/KI</t>
  </si>
  <si>
    <t>LT-072071-19/KI</t>
  </si>
  <si>
    <t>LT-071415-19/KI</t>
  </si>
  <si>
    <t>LT-016016-19/KI</t>
  </si>
  <si>
    <t>LT-069809-19/KI</t>
  </si>
  <si>
    <t>LT-071564-19/KI</t>
  </si>
  <si>
    <t>LT-067966-19/KI</t>
  </si>
  <si>
    <t>LT-072565-19/KI</t>
  </si>
  <si>
    <t>LT-016738-19/KI</t>
  </si>
  <si>
    <t>LT-069721-19/KI</t>
  </si>
  <si>
    <t>LT-067794-19/KI</t>
  </si>
  <si>
    <t>LT-064083-19/KI</t>
  </si>
  <si>
    <t>LT-74111-2019/KI</t>
  </si>
  <si>
    <t>LT-071261-19/KI</t>
  </si>
  <si>
    <t>LT-016119-19/KI</t>
  </si>
  <si>
    <t>LT-069949-19/KI</t>
  </si>
  <si>
    <t>LT-061599-19/KI</t>
  </si>
  <si>
    <t>LT-072447-19/KI</t>
  </si>
  <si>
    <t>LT-069761-19/KI</t>
  </si>
  <si>
    <t>LT-055489-19/KI</t>
  </si>
  <si>
    <t>LT-052346-19/KI</t>
  </si>
  <si>
    <t>LT-071749-19/KI</t>
  </si>
  <si>
    <t>LT-072138-19/KI</t>
  </si>
  <si>
    <t>LT-071918-19/KI</t>
  </si>
  <si>
    <t>LT-072680-19/KI</t>
  </si>
  <si>
    <t>LT-070165-19/KI</t>
  </si>
  <si>
    <t>LT-066171-19/KI</t>
  </si>
  <si>
    <t>LT-014727-19</t>
  </si>
  <si>
    <t>LT-071565-19/KI</t>
  </si>
  <si>
    <t>LT-072054-19/KI</t>
  </si>
  <si>
    <t>LT-067791-19/KI</t>
  </si>
  <si>
    <t>LT-070347-19/KI</t>
  </si>
  <si>
    <t>LT-059457-19/KI</t>
  </si>
  <si>
    <t>LT-069590-19/KI</t>
  </si>
  <si>
    <t>LT-59727-19/KI</t>
  </si>
  <si>
    <t>LT-068826-19/KI</t>
  </si>
  <si>
    <t>LT-072876-19/KI</t>
  </si>
  <si>
    <t>LT-066302-19/KI</t>
  </si>
  <si>
    <t>LT-065217-19/KI</t>
  </si>
  <si>
    <t>L&amp;T-17553-19</t>
  </si>
  <si>
    <t>LT-072698-19/KI</t>
  </si>
  <si>
    <t>LT-060046-19/KI</t>
  </si>
  <si>
    <t>LT-001988-19/KI</t>
  </si>
  <si>
    <t>LT-068790-19/KI</t>
  </si>
  <si>
    <t>LT-50155-19/KI</t>
  </si>
  <si>
    <t>LT-071132-19/KI</t>
  </si>
  <si>
    <t>LT-056662-19/KI</t>
  </si>
  <si>
    <t>LT-073559-19/KI</t>
  </si>
  <si>
    <t>LT-067733-19/KI</t>
  </si>
  <si>
    <t>LT-074211-18/K</t>
  </si>
  <si>
    <t>LT-068118-19/KI</t>
  </si>
  <si>
    <t>LT-071723-19</t>
  </si>
  <si>
    <t>LT-071566-19</t>
  </si>
  <si>
    <t>06355727-19</t>
  </si>
  <si>
    <t>LT-069474-19/KI</t>
  </si>
  <si>
    <t>LT-060605-19/KI</t>
  </si>
  <si>
    <t>LT-071969-19/KI</t>
  </si>
  <si>
    <t>LT-071696-19/KI</t>
  </si>
  <si>
    <t>LT-064044-19/KI</t>
  </si>
  <si>
    <t>LT-052112-18</t>
  </si>
  <si>
    <t>LT-71000-19/KI</t>
  </si>
  <si>
    <t>LT-069904-19/KI</t>
  </si>
  <si>
    <t>LT-072659-19/KI</t>
  </si>
  <si>
    <t>LT-806729-19/BX</t>
  </si>
  <si>
    <t>LT-050662-18/BX</t>
  </si>
  <si>
    <t>LT-001763-18/BX</t>
  </si>
  <si>
    <t>LT-806356-18/BX</t>
  </si>
  <si>
    <t>LT-026497-19/BX</t>
  </si>
  <si>
    <t>LT-018667-19/BX</t>
  </si>
  <si>
    <t>LT-029999-19/BX</t>
  </si>
  <si>
    <t>LT-021613-13/BX</t>
  </si>
  <si>
    <t>LT-23705/17-BX</t>
  </si>
  <si>
    <t>LT-031264-19/BX</t>
  </si>
  <si>
    <t>LT-029544-19/BX</t>
  </si>
  <si>
    <t>LT-029358-19/BX</t>
  </si>
  <si>
    <t>LT-033900-19/BX</t>
  </si>
  <si>
    <t>LT-031329-19/BX</t>
  </si>
  <si>
    <t>LT-014407-19/BX</t>
  </si>
  <si>
    <t>LT-014279-19/BX</t>
  </si>
  <si>
    <t>LT-806255-19/BX</t>
  </si>
  <si>
    <t>LT-033312-19/BX</t>
  </si>
  <si>
    <t>LT-003356-19/BX</t>
  </si>
  <si>
    <t>LT-030593-18/BX</t>
  </si>
  <si>
    <t>LT-026492-19/BX</t>
  </si>
  <si>
    <t>LT-025690-19/BX</t>
  </si>
  <si>
    <t>LT-010222-19/BX</t>
  </si>
  <si>
    <t>LT-30072-19/BX</t>
  </si>
  <si>
    <t>LT-059537-18/BX</t>
  </si>
  <si>
    <t>LT-804603-15/BX</t>
  </si>
  <si>
    <t>LT-032882-19/BX</t>
  </si>
  <si>
    <t>LT-685987-18/BX</t>
  </si>
  <si>
    <t>LT-033637-19/BX</t>
  </si>
  <si>
    <t>LT-030510-19/BX</t>
  </si>
  <si>
    <t>LT-031779-19/BX</t>
  </si>
  <si>
    <t>LT-021753-19/BX</t>
  </si>
  <si>
    <t>LT-029217-19/BX</t>
  </si>
  <si>
    <t>LT-013619-19/BX</t>
  </si>
  <si>
    <t>LT-032135-19/BX</t>
  </si>
  <si>
    <t>LT-023131-19/BX</t>
  </si>
  <si>
    <t>LT-034826-19/BX</t>
  </si>
  <si>
    <t>LT-031693-19/BX</t>
  </si>
  <si>
    <t>LT-029199-19/BX</t>
  </si>
  <si>
    <t>LT-36397/19-BX</t>
  </si>
  <si>
    <t>LT-028667-19/BX</t>
  </si>
  <si>
    <t>LT-031480-19/BX</t>
  </si>
  <si>
    <t>LT-031781-19/BX</t>
  </si>
  <si>
    <t>LT-028501-19/BX</t>
  </si>
  <si>
    <t>LT-030016-19/BX</t>
  </si>
  <si>
    <t>LT-034757-19/BX</t>
  </si>
  <si>
    <t>LT-035254-19/BX</t>
  </si>
  <si>
    <t>LT-035065-19/BX</t>
  </si>
  <si>
    <t>LT-028391-19/BX</t>
  </si>
  <si>
    <t>LT-034366-19/BX</t>
  </si>
  <si>
    <t>LT-024939-19/BX</t>
  </si>
  <si>
    <t>LT-032613-19/BX</t>
  </si>
  <si>
    <t>LT-031295-19/BX</t>
  </si>
  <si>
    <t>LT-027239-19/BX</t>
  </si>
  <si>
    <t>LT-026493-19/BX</t>
  </si>
  <si>
    <t>LT-033255-19/BX</t>
  </si>
  <si>
    <t>LT-024670-19/BX</t>
  </si>
  <si>
    <t>LT-028032-19/BX</t>
  </si>
  <si>
    <t>LT-813546-18/BX</t>
  </si>
  <si>
    <t>LT-031673-19/BX</t>
  </si>
  <si>
    <t>LT-033453-19/BX</t>
  </si>
  <si>
    <t>LT-026372-19/BX</t>
  </si>
  <si>
    <t>LT-028220-19/BX</t>
  </si>
  <si>
    <t>LT-033409-19/BX</t>
  </si>
  <si>
    <t>LT-031783-19/BX</t>
  </si>
  <si>
    <t>LT-032140-19/BX</t>
  </si>
  <si>
    <t>LT-030279-19/BX</t>
  </si>
  <si>
    <t>LT-026970-19/BX</t>
  </si>
  <si>
    <t>LT-032202-19/BX</t>
  </si>
  <si>
    <t>LT-022097-19/BX</t>
  </si>
  <si>
    <t>LT-009769-19/BX</t>
  </si>
  <si>
    <t>LT-019189-19/BX</t>
  </si>
  <si>
    <t>LT-021609-19/BX</t>
  </si>
  <si>
    <t>LT-027891-19/BX</t>
  </si>
  <si>
    <t>LT-034488-19/BX</t>
  </si>
  <si>
    <t>LT-032387-19/BX</t>
  </si>
  <si>
    <t>LT-022734-19/BX</t>
  </si>
  <si>
    <t>LT-025905-19/BX</t>
  </si>
  <si>
    <t>LT-031530-19/BX</t>
  </si>
  <si>
    <t>LT-030598-19/BX</t>
  </si>
  <si>
    <t>LT-036317-19/BX</t>
  </si>
  <si>
    <t>LT-014213-19/BX</t>
  </si>
  <si>
    <t>LT-031914-9/BX</t>
  </si>
  <si>
    <t>LT-033836-19/BX</t>
  </si>
  <si>
    <t>LT-033209-19/BX</t>
  </si>
  <si>
    <t>LT-025758-19/BX</t>
  </si>
  <si>
    <t>LT-013499-18/BX</t>
  </si>
  <si>
    <t>LT-030033-19/BX</t>
  </si>
  <si>
    <t>LT-003838-18/BX</t>
  </si>
  <si>
    <t>LT-031335-19/BX</t>
  </si>
  <si>
    <t>LT-025343-19/BX</t>
  </si>
  <si>
    <t>LT-32886-19/BX</t>
  </si>
  <si>
    <t>LT-028131-19/BX</t>
  </si>
  <si>
    <t>LT-033769-19/BX</t>
  </si>
  <si>
    <t>LT-032928-19/BX</t>
  </si>
  <si>
    <t>LT-025412-19/BX</t>
  </si>
  <si>
    <t>LT-047350-18/BX</t>
  </si>
  <si>
    <t>LT-33694-19/BX</t>
  </si>
  <si>
    <t>LT-032141-19/BX</t>
  </si>
  <si>
    <t>LT-023424-19/BX</t>
  </si>
  <si>
    <t>LT 033361-19BX</t>
  </si>
  <si>
    <t>LT-035006-19/BX</t>
  </si>
  <si>
    <t>LT-031477-19/BX</t>
  </si>
  <si>
    <t>LT-025073-19/BX</t>
  </si>
  <si>
    <t>LT-033753-19/BX</t>
  </si>
  <si>
    <t>LT-025970-19/BX</t>
  </si>
  <si>
    <t>LT-032739-19/BX</t>
  </si>
  <si>
    <t>LT-803288-16/BX</t>
  </si>
  <si>
    <t>LT-058934-18/BX</t>
  </si>
  <si>
    <t>LT-059244-18/BX</t>
  </si>
  <si>
    <t>LT-050784-18/BX</t>
  </si>
  <si>
    <t>LT-035123-19/BX</t>
  </si>
  <si>
    <t>LT-033410-19/BX</t>
  </si>
  <si>
    <t>LT-032393-19/BX</t>
  </si>
  <si>
    <t>LT-035452-19/BX</t>
  </si>
  <si>
    <t>LT-022195-19/BX</t>
  </si>
  <si>
    <t>LT 032075/19 BX</t>
  </si>
  <si>
    <t>LT-030529-19/BX</t>
  </si>
  <si>
    <t>LT-027986-19/BX</t>
  </si>
  <si>
    <t>LT-021910-19/BX</t>
  </si>
  <si>
    <t>LT-073121-19/BX</t>
  </si>
  <si>
    <t>LT-031577-19/BX</t>
  </si>
  <si>
    <t>LT-032435-19/BX</t>
  </si>
  <si>
    <t>LT-038451-18/BX</t>
  </si>
  <si>
    <t>LT-031906-19/BX</t>
  </si>
  <si>
    <t>LT-033025-19/BX</t>
  </si>
  <si>
    <t>LT-026818-19/BX</t>
  </si>
  <si>
    <t>LT-054650-18/BX</t>
  </si>
  <si>
    <t>LT-017711-19/BX</t>
  </si>
  <si>
    <t>LT 12023/19</t>
  </si>
  <si>
    <t>LT-032611-19/BX</t>
  </si>
  <si>
    <t>LT-033164-19/BX</t>
  </si>
  <si>
    <t>LT-034966-19/BX</t>
  </si>
  <si>
    <t>LT-031894-19/BX</t>
  </si>
  <si>
    <t>LT-035590-19/BX</t>
  </si>
  <si>
    <t>LT-020714-19/BX</t>
  </si>
  <si>
    <t>LT-005595-19/BX</t>
  </si>
  <si>
    <t>LT-804639-17/BX</t>
  </si>
  <si>
    <t>LT-009316-18/BX</t>
  </si>
  <si>
    <t>LT-031033-19/BX</t>
  </si>
  <si>
    <t>LT-029477-19/BX</t>
  </si>
  <si>
    <t>LT-026480-19/BX</t>
  </si>
  <si>
    <t>LT-066911-18/BX</t>
  </si>
  <si>
    <t>LT-034316-19/BX</t>
  </si>
  <si>
    <t>LT-035459-19/BX</t>
  </si>
  <si>
    <t>LT-057737-18/BX</t>
  </si>
  <si>
    <t>LT-027704-19/BX</t>
  </si>
  <si>
    <t>LT-032144-19/BX</t>
  </si>
  <si>
    <t>LT-035793-18/BX</t>
  </si>
  <si>
    <t>LT-021832-16/BX</t>
  </si>
  <si>
    <t>LT-040640-18/BX</t>
  </si>
  <si>
    <t>LT-063980-19/NY</t>
  </si>
  <si>
    <t>LT-057534-19/NY</t>
  </si>
  <si>
    <t>62661-19</t>
  </si>
  <si>
    <t>LT-011579-19/NY</t>
  </si>
  <si>
    <t>LT-061344-19/NY</t>
  </si>
  <si>
    <t>LT-063261-19/NY</t>
  </si>
  <si>
    <t>LT-063992-19/NY</t>
  </si>
  <si>
    <t>LT-016518-16/NY</t>
  </si>
  <si>
    <t>LT-064034-19/NY</t>
  </si>
  <si>
    <t>LT-059978-19/NY</t>
  </si>
  <si>
    <t>910569-An-2019</t>
  </si>
  <si>
    <t>LT-014172-19/NY</t>
  </si>
  <si>
    <t>LT-050467-19/NY</t>
  </si>
  <si>
    <t>LT-055486-19/NY</t>
  </si>
  <si>
    <t>063246-19</t>
  </si>
  <si>
    <t>0151596/2019</t>
  </si>
  <si>
    <t>LT-064209-19/NY</t>
  </si>
  <si>
    <t>LT-064874-19/NY</t>
  </si>
  <si>
    <t>LT-064261-19/NY</t>
  </si>
  <si>
    <t>LT-064091-19/NY</t>
  </si>
  <si>
    <t>LT-013820-19/NY</t>
  </si>
  <si>
    <t>LT-056299-19/NY</t>
  </si>
  <si>
    <t>LT-065110-19/NY</t>
  </si>
  <si>
    <t>LT-059192-19/NY</t>
  </si>
  <si>
    <t>LT-250009-HA</t>
  </si>
  <si>
    <t>LT-017991-18/NY</t>
  </si>
  <si>
    <t>LT-063588-19/NY</t>
  </si>
  <si>
    <t>LT-018671-17/NY</t>
  </si>
  <si>
    <t>LT-013699-18/NY</t>
  </si>
  <si>
    <t>LT-063016-19/NY</t>
  </si>
  <si>
    <t>062930-19</t>
  </si>
  <si>
    <t>LT-062388-19/NY</t>
  </si>
  <si>
    <t>LT-057650-19/NY</t>
  </si>
  <si>
    <t>LT-252351-HA</t>
  </si>
  <si>
    <t>LT-057937-19/NY</t>
  </si>
  <si>
    <t>LT-052817-19/NY</t>
  </si>
  <si>
    <t>LT-063772-19/NY</t>
  </si>
  <si>
    <t>LT-060641-19/NY</t>
  </si>
  <si>
    <t>LT-016275-19/NY</t>
  </si>
  <si>
    <t>LT-080137-16/NY</t>
  </si>
  <si>
    <t>910368-NB-2019</t>
  </si>
  <si>
    <t>910790-TD-2019</t>
  </si>
  <si>
    <t>LT-250778-19/NY</t>
  </si>
  <si>
    <t>LT-064677-19/QU</t>
  </si>
  <si>
    <t>LT-063687-19/QU</t>
  </si>
  <si>
    <t>LT-073141-18/QU</t>
  </si>
  <si>
    <t>LT-064716-19/QU</t>
  </si>
  <si>
    <t>LT-064881-19/QU</t>
  </si>
  <si>
    <t>LT-060995-19/QU</t>
  </si>
  <si>
    <t>LT-064570-19/QU</t>
  </si>
  <si>
    <t>LT-057789-19/QU</t>
  </si>
  <si>
    <t>LT-061806-19/QU</t>
  </si>
  <si>
    <t>LT 055703-19 QU</t>
  </si>
  <si>
    <t>LT-069850-18/QU</t>
  </si>
  <si>
    <t>LT-011108-18/QU</t>
  </si>
  <si>
    <t>LT-059920-19 QU</t>
  </si>
  <si>
    <t>LT-065532-19/QU</t>
  </si>
  <si>
    <t>LT-61784-19/QU</t>
  </si>
  <si>
    <t>LT-064782-19/QU</t>
  </si>
  <si>
    <t>LT-062031-19/QU</t>
  </si>
  <si>
    <t>LT-011479-19/QU</t>
  </si>
  <si>
    <t>LT-063478-19/QU</t>
  </si>
  <si>
    <t>LT-065746-19/QU</t>
  </si>
  <si>
    <t>LT-063385-19/QU</t>
  </si>
  <si>
    <t>LT-078842-18/QU</t>
  </si>
  <si>
    <t>LT-061067-19/QU</t>
  </si>
  <si>
    <t>LT-011993-19/QU</t>
  </si>
  <si>
    <t>LT-057699-19/QU</t>
  </si>
  <si>
    <t>LT-065385-19/QU</t>
  </si>
  <si>
    <t>LT-064731-19/QU</t>
  </si>
  <si>
    <t>LT-064694-19/QU</t>
  </si>
  <si>
    <t>LT-064807-19/QU</t>
  </si>
  <si>
    <t>LT-053042-19/QU</t>
  </si>
  <si>
    <t>LT-057535-19/QU</t>
  </si>
  <si>
    <t>LT-063899-19/QU</t>
  </si>
  <si>
    <t>LT-011992-19/QU</t>
  </si>
  <si>
    <t>LT-063412-19/QU</t>
  </si>
  <si>
    <t>LT-063262-19/QU</t>
  </si>
  <si>
    <t>LT-012301-19/QU</t>
  </si>
  <si>
    <t>LT-012286-19/QU</t>
  </si>
  <si>
    <t>LT-012281-19/QU</t>
  </si>
  <si>
    <t>LT-012309-19/QU</t>
  </si>
  <si>
    <t>LT-012276-19/QU</t>
  </si>
  <si>
    <t>LT-063917-19/QU</t>
  </si>
  <si>
    <t>LT-012280-19/QU</t>
  </si>
  <si>
    <t>LT-012076-19/QU</t>
  </si>
  <si>
    <t>LT-063172-19/QU</t>
  </si>
  <si>
    <t>LT-63320-19/QU</t>
  </si>
  <si>
    <t>LT-063349-19/QU</t>
  </si>
  <si>
    <t>LT-063330-19/QU</t>
  </si>
  <si>
    <t>LT-065568-19/QU</t>
  </si>
  <si>
    <t>LT-060402-19/QU</t>
  </si>
  <si>
    <t>LT-064088-19/QU</t>
  </si>
  <si>
    <t>LT-57535-19/QU</t>
  </si>
  <si>
    <t>LT-050058-19/QU</t>
  </si>
  <si>
    <t>LT-61903-19/QU</t>
  </si>
  <si>
    <t>LT-058918-19/QU</t>
  </si>
  <si>
    <t>LT-057933-19/QU</t>
  </si>
  <si>
    <t>LT-063939-19/QU</t>
  </si>
  <si>
    <t>LT-064756-19/QU</t>
  </si>
  <si>
    <t>LT-057616-19/QU</t>
  </si>
  <si>
    <t>LT-063968-19/QU</t>
  </si>
  <si>
    <t>LT-063572-19/QU</t>
  </si>
  <si>
    <t>LT-059436-19/QU</t>
  </si>
  <si>
    <t>LT-61035-19/QU</t>
  </si>
  <si>
    <t>LT-012262-19/QU</t>
  </si>
  <si>
    <t>LT-063938-19/QU</t>
  </si>
  <si>
    <t>LT-065183-19/QU</t>
  </si>
  <si>
    <t>LT-063911-19/QU</t>
  </si>
  <si>
    <t>LT-011168-19/QU</t>
  </si>
  <si>
    <t>LT-63821/19</t>
  </si>
  <si>
    <t>LT-064166-19/QU</t>
  </si>
  <si>
    <t>LT-061421-19/QU</t>
  </si>
  <si>
    <t>LT-64712-19/QU</t>
  </si>
  <si>
    <t>LT-013124-19/QU</t>
  </si>
  <si>
    <t>LT-063993-19/QU</t>
  </si>
  <si>
    <t>LT-065410-19/QU</t>
  </si>
  <si>
    <t>LT-061275-19/QU</t>
  </si>
  <si>
    <t>LT-064934-19/QU</t>
  </si>
  <si>
    <t>LT-063530-19/QU</t>
  </si>
  <si>
    <t>LT-054888-19/QU</t>
  </si>
  <si>
    <t>LT-065300-19/QU</t>
  </si>
  <si>
    <t>LT-063205-19/QU</t>
  </si>
  <si>
    <t>LT-063223-19/QU</t>
  </si>
  <si>
    <t>LT-063304-19/QU</t>
  </si>
  <si>
    <t>LT-063832-19/QU</t>
  </si>
  <si>
    <t>LT-011930-19-QU</t>
  </si>
  <si>
    <t>LT-064869-19/QU</t>
  </si>
  <si>
    <t>LT-012235-19/QU</t>
  </si>
  <si>
    <t>LT-000000-19/QU</t>
  </si>
  <si>
    <t>LT-064877-19/QU</t>
  </si>
  <si>
    <t>LT-012024-19/QU</t>
  </si>
  <si>
    <t>LT-053548-19/QU</t>
  </si>
  <si>
    <t>LT-064851-19/QU</t>
  </si>
  <si>
    <t>LT-065137-19/QU</t>
  </si>
  <si>
    <t>LT-051785-19/RI</t>
  </si>
  <si>
    <t>LT-051862-19/RI</t>
  </si>
  <si>
    <t>LT-050913-19/RI</t>
  </si>
  <si>
    <t>LT-051798-19/RI</t>
  </si>
  <si>
    <t>No case</t>
  </si>
  <si>
    <t>LT-050474-19/RI</t>
  </si>
  <si>
    <t>LT-051623-19/RI</t>
  </si>
  <si>
    <t>LT-051723-19/RI</t>
  </si>
  <si>
    <t>LT-010500-19/RI</t>
  </si>
  <si>
    <t>no case</t>
  </si>
  <si>
    <t>LT-052009-19/RI</t>
  </si>
  <si>
    <t>LT-011300-18/RI</t>
  </si>
  <si>
    <t>A - Counsel and Advice</t>
  </si>
  <si>
    <t>G - Negotiated Settlement with Litigation</t>
  </si>
  <si>
    <t>F - Negotiated Settlement w/out Litigation</t>
  </si>
  <si>
    <t>B - Limited Action (Brief Service)</t>
  </si>
  <si>
    <t>3112 HPLP-Homelessness Prevention Law Project</t>
  </si>
  <si>
    <t>3121 Universal Access to Counsel – (UAC)</t>
  </si>
  <si>
    <t>3114 HRA-HPLP-Homelessness Prevention Law Project</t>
  </si>
  <si>
    <t>3122 Universal Access to Counsel – (UAC)</t>
  </si>
  <si>
    <t>3123 Universal Access to Counsel – (UAC)</t>
  </si>
  <si>
    <t>3115 HPLP-Homelessness Prevention Law Project</t>
  </si>
  <si>
    <t>3124 Universal Access to Counsel – (UAC)</t>
  </si>
  <si>
    <t>3113 HPLP-Homelessness Prevention Law Project</t>
  </si>
  <si>
    <t>3125 Universal Access to Counsel – (UAC)</t>
  </si>
  <si>
    <t>3111 HPLP-Homelessness Prevention Law Project</t>
  </si>
  <si>
    <t>5556 Robin Hood-Foreclosure and Housing</t>
  </si>
  <si>
    <t>3020 CLS-Civil Legal Services</t>
  </si>
  <si>
    <t>63 Private Landlord/Tenant</t>
  </si>
  <si>
    <t>64 Public Housing</t>
  </si>
  <si>
    <t>69 Other Housing</t>
  </si>
  <si>
    <t>66 Housing Discrimination</t>
  </si>
  <si>
    <t>71 TANF</t>
  </si>
  <si>
    <t>61 Federally Subsidized Housing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</si>
  <si>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</si>
  <si>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</si>
  <si>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</si>
  <si>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</si>
  <si>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On for Trial</t>
  </si>
  <si>
    <t>Post-Judgment, Tenant Out of Possession</t>
  </si>
  <si>
    <t>6014-Obtained advice and counsel on a Housing matter</t>
  </si>
  <si>
    <t>6001-Prevented eviction from public housing</t>
  </si>
  <si>
    <t>6002-Prevented eviction from private housing</t>
  </si>
  <si>
    <t>03/08/1985</t>
  </si>
  <si>
    <t>08/12/1943</t>
  </si>
  <si>
    <t>08/01/1942</t>
  </si>
  <si>
    <t>05/01/1957</t>
  </si>
  <si>
    <t>10/30/1975</t>
  </si>
  <si>
    <t>10/26/1966</t>
  </si>
  <si>
    <t>01/10/1949</t>
  </si>
  <si>
    <t>06/11/1987</t>
  </si>
  <si>
    <t>11/16/1985</t>
  </si>
  <si>
    <t>03/14/1959</t>
  </si>
  <si>
    <t>10/27/1949</t>
  </si>
  <si>
    <t>01/17/1984</t>
  </si>
  <si>
    <t>04/06/1982</t>
  </si>
  <si>
    <t>10/16/1979</t>
  </si>
  <si>
    <t>04/17/1987</t>
  </si>
  <si>
    <t>12/04/1953</t>
  </si>
  <si>
    <t>01/14/1956</t>
  </si>
  <si>
    <t>10/30/1956</t>
  </si>
  <si>
    <t>07/24/1986</t>
  </si>
  <si>
    <t>02/01/1956</t>
  </si>
  <si>
    <t>01/21/1984</t>
  </si>
  <si>
    <t>03/30/1953</t>
  </si>
  <si>
    <t>03/19/1974</t>
  </si>
  <si>
    <t>04/18/1977</t>
  </si>
  <si>
    <t>10/21/1972</t>
  </si>
  <si>
    <t>03/15/1955</t>
  </si>
  <si>
    <t>01/13/1960</t>
  </si>
  <si>
    <t>01/06/1967</t>
  </si>
  <si>
    <t>02/18/1971</t>
  </si>
  <si>
    <t>10/13/1934</t>
  </si>
  <si>
    <t>08/08/1937</t>
  </si>
  <si>
    <t>08/07/1974</t>
  </si>
  <si>
    <t>11/14/1973</t>
  </si>
  <si>
    <t>10/20/1961</t>
  </si>
  <si>
    <t>09/12/1951</t>
  </si>
  <si>
    <t>11/03/1988</t>
  </si>
  <si>
    <t>05/19/1952</t>
  </si>
  <si>
    <t>08/11/1950</t>
  </si>
  <si>
    <t>05/31/1953</t>
  </si>
  <si>
    <t>06/09/1962</t>
  </si>
  <si>
    <t>03/06/1965</t>
  </si>
  <si>
    <t>07/25/1964</t>
  </si>
  <si>
    <t>09/15/1974</t>
  </si>
  <si>
    <t>11/03/1964</t>
  </si>
  <si>
    <t>02/11/1986</t>
  </si>
  <si>
    <t>10/04/1943</t>
  </si>
  <si>
    <t>05/12/1931</t>
  </si>
  <si>
    <t>08/17/1979</t>
  </si>
  <si>
    <t>08/27/1981</t>
  </si>
  <si>
    <t>03/21/1986</t>
  </si>
  <si>
    <t>10/11/1980</t>
  </si>
  <si>
    <t>11/09/1966</t>
  </si>
  <si>
    <t>05/24/1962</t>
  </si>
  <si>
    <t>11/28/1964</t>
  </si>
  <si>
    <t>03/08/1990</t>
  </si>
  <si>
    <t>10/05/1975</t>
  </si>
  <si>
    <t>04/01/1977</t>
  </si>
  <si>
    <t>05/16/1969</t>
  </si>
  <si>
    <t>07/02/1955</t>
  </si>
  <si>
    <t>04/02/1993</t>
  </si>
  <si>
    <t>01/03/1958</t>
  </si>
  <si>
    <t>01/10/1986</t>
  </si>
  <si>
    <t>10/24/1982</t>
  </si>
  <si>
    <t>12/01/1958</t>
  </si>
  <si>
    <t>04/15/1966</t>
  </si>
  <si>
    <t>01/19/1977</t>
  </si>
  <si>
    <t>06/13/1956</t>
  </si>
  <si>
    <t>01/10/1988</t>
  </si>
  <si>
    <t>10/23/1969</t>
  </si>
  <si>
    <t>10/15/1983</t>
  </si>
  <si>
    <t>03/23/1964</t>
  </si>
  <si>
    <t>10/11/1988</t>
  </si>
  <si>
    <t>04/20/1958</t>
  </si>
  <si>
    <t>01/19/1994</t>
  </si>
  <si>
    <t>03/02/1975</t>
  </si>
  <si>
    <t>05/06/1963</t>
  </si>
  <si>
    <t>12/12/1991</t>
  </si>
  <si>
    <t>05/31/1970</t>
  </si>
  <si>
    <t>08/26/1987</t>
  </si>
  <si>
    <t>03/19/1928</t>
  </si>
  <si>
    <t>08/30/1958</t>
  </si>
  <si>
    <t>03/04/1980</t>
  </si>
  <si>
    <t>06/22/1992</t>
  </si>
  <si>
    <t>02/23/1946</t>
  </si>
  <si>
    <t>02/16/1982</t>
  </si>
  <si>
    <t>10/27/1963</t>
  </si>
  <si>
    <t>01/11/1992</t>
  </si>
  <si>
    <t>12/10/1981</t>
  </si>
  <si>
    <t>08/08/1985</t>
  </si>
  <si>
    <t>06/24/1939</t>
  </si>
  <si>
    <t>08/08/1966</t>
  </si>
  <si>
    <t>08/05/1953</t>
  </si>
  <si>
    <t>07/30/1978</t>
  </si>
  <si>
    <t>10/11/1956</t>
  </si>
  <si>
    <t>09/27/1964</t>
  </si>
  <si>
    <t>11/07/1953</t>
  </si>
  <si>
    <t>04/20/1982</t>
  </si>
  <si>
    <t>11/02/1959</t>
  </si>
  <si>
    <t>08/12/1982</t>
  </si>
  <si>
    <t>08/13/1995</t>
  </si>
  <si>
    <t>12/06/1937</t>
  </si>
  <si>
    <t>09/28/1964</t>
  </si>
  <si>
    <t>06/24/1972</t>
  </si>
  <si>
    <t>06/13/1975</t>
  </si>
  <si>
    <t>12/16/1996</t>
  </si>
  <si>
    <t>08/31/1963</t>
  </si>
  <si>
    <t>06/12/1969</t>
  </si>
  <si>
    <t>08/02/1976</t>
  </si>
  <si>
    <t>07/13/1963</t>
  </si>
  <si>
    <t>12/28/1950</t>
  </si>
  <si>
    <t>07/06/1946</t>
  </si>
  <si>
    <t>09/06/1967</t>
  </si>
  <si>
    <t>06/17/1990</t>
  </si>
  <si>
    <t>08/15/1944</t>
  </si>
  <si>
    <t>03/05/1974</t>
  </si>
  <si>
    <t>01/14/1968</t>
  </si>
  <si>
    <t>08/25/1978</t>
  </si>
  <si>
    <t>08/20/1963</t>
  </si>
  <si>
    <t>09/05/1964</t>
  </si>
  <si>
    <t>12/29/1960</t>
  </si>
  <si>
    <t>06/26/1953</t>
  </si>
  <si>
    <t>10/27/1967</t>
  </si>
  <si>
    <t>05/11/1960</t>
  </si>
  <si>
    <t>10/02/1976</t>
  </si>
  <si>
    <t>02/04/1961</t>
  </si>
  <si>
    <t>09/25/1996</t>
  </si>
  <si>
    <t>03/18/1964</t>
  </si>
  <si>
    <t>09/02/1978</t>
  </si>
  <si>
    <t>05/05/1950</t>
  </si>
  <si>
    <t>07/12/1980</t>
  </si>
  <si>
    <t>04/03/1959</t>
  </si>
  <si>
    <t>04/18/1980</t>
  </si>
  <si>
    <t>01/21/1993</t>
  </si>
  <si>
    <t>02/09/1991</t>
  </si>
  <si>
    <t>11/13/1981</t>
  </si>
  <si>
    <t>08/11/1988</t>
  </si>
  <si>
    <t>07/05/1966</t>
  </si>
  <si>
    <t>02/20/1967</t>
  </si>
  <si>
    <t>01/12/1983</t>
  </si>
  <si>
    <t>05/12/1990</t>
  </si>
  <si>
    <t>12/17/1972</t>
  </si>
  <si>
    <t>08/13/1969</t>
  </si>
  <si>
    <t>10/01/1971</t>
  </si>
  <si>
    <t>07/07/1965</t>
  </si>
  <si>
    <t>04/16/1951</t>
  </si>
  <si>
    <t>10/31/1946</t>
  </si>
  <si>
    <t>10/01/1957</t>
  </si>
  <si>
    <t>11/22/1988</t>
  </si>
  <si>
    <t>12/30/1930</t>
  </si>
  <si>
    <t>09/23/1949</t>
  </si>
  <si>
    <t>06/17/1986</t>
  </si>
  <si>
    <t>03/07/1973</t>
  </si>
  <si>
    <t>12/23/1955</t>
  </si>
  <si>
    <t>02/11/1965</t>
  </si>
  <si>
    <t>07/17/1964</t>
  </si>
  <si>
    <t>05/26/1959</t>
  </si>
  <si>
    <t>01/18/1976</t>
  </si>
  <si>
    <t>07/24/1947</t>
  </si>
  <si>
    <t>08/15/1967</t>
  </si>
  <si>
    <t>10/23/1991</t>
  </si>
  <si>
    <t>09/18/1962</t>
  </si>
  <si>
    <t>12/18/1987</t>
  </si>
  <si>
    <t>02/23/1973</t>
  </si>
  <si>
    <t>12/28/1964</t>
  </si>
  <si>
    <t>11/16/1976</t>
  </si>
  <si>
    <t>07/01/1981</t>
  </si>
  <si>
    <t>01/14/1959</t>
  </si>
  <si>
    <t>01/13/1958</t>
  </si>
  <si>
    <t>09/10/1979</t>
  </si>
  <si>
    <t>11/22/1974</t>
  </si>
  <si>
    <t>05/12/1968</t>
  </si>
  <si>
    <t>02/10/1991</t>
  </si>
  <si>
    <t>12/03/1976</t>
  </si>
  <si>
    <t>04/21/1987</t>
  </si>
  <si>
    <t>04/15/1942</t>
  </si>
  <si>
    <t>05/07/1974</t>
  </si>
  <si>
    <t>07/15/1957</t>
  </si>
  <si>
    <t>07/30/1968</t>
  </si>
  <si>
    <t>05/20/1982</t>
  </si>
  <si>
    <t>11/07/1957</t>
  </si>
  <si>
    <t>01/04/1988</t>
  </si>
  <si>
    <t>05/02/1968</t>
  </si>
  <si>
    <t>11/30/1969</t>
  </si>
  <si>
    <t>06/13/1960</t>
  </si>
  <si>
    <t>08/16/1979</t>
  </si>
  <si>
    <t>09/15/1955</t>
  </si>
  <si>
    <t>01/15/1963</t>
  </si>
  <si>
    <t>04/12/1987</t>
  </si>
  <si>
    <t>03/15/1983</t>
  </si>
  <si>
    <t>07/07/1981</t>
  </si>
  <si>
    <t>07/10/1976</t>
  </si>
  <si>
    <t>08/11/1960</t>
  </si>
  <si>
    <t>05/30/1964</t>
  </si>
  <si>
    <t>12/18/1988</t>
  </si>
  <si>
    <t>04/29/1971</t>
  </si>
  <si>
    <t>08/12/1956</t>
  </si>
  <si>
    <t>03/20/1985</t>
  </si>
  <si>
    <t>03/18/1989</t>
  </si>
  <si>
    <t>05/04/1999</t>
  </si>
  <si>
    <t>10/11/1983</t>
  </si>
  <si>
    <t>12/25/1984</t>
  </si>
  <si>
    <t>02/09/1983</t>
  </si>
  <si>
    <t>01/09/1952</t>
  </si>
  <si>
    <t>01/04/1970</t>
  </si>
  <si>
    <t>09/04/1966</t>
  </si>
  <si>
    <t>04/11/1976</t>
  </si>
  <si>
    <t>02/16/1974</t>
  </si>
  <si>
    <t>11/30/1982</t>
  </si>
  <si>
    <t>04/01/1958</t>
  </si>
  <si>
    <t>12/31/1975</t>
  </si>
  <si>
    <t>10/03/1962</t>
  </si>
  <si>
    <t>02/22/1987</t>
  </si>
  <si>
    <t>10/08/1965</t>
  </si>
  <si>
    <t>09/04/1967</t>
  </si>
  <si>
    <t>05/06/1959</t>
  </si>
  <si>
    <t>04/05/1992</t>
  </si>
  <si>
    <t>03/16/1982</t>
  </si>
  <si>
    <t>04/17/1950</t>
  </si>
  <si>
    <t>01/22/1993</t>
  </si>
  <si>
    <t>10/30/1994</t>
  </si>
  <si>
    <t>05/21/1968</t>
  </si>
  <si>
    <t>06/08/1960</t>
  </si>
  <si>
    <t>09/20/1961</t>
  </si>
  <si>
    <t>01/24/1977</t>
  </si>
  <si>
    <t>04/05/1972</t>
  </si>
  <si>
    <t>07/10/1971</t>
  </si>
  <si>
    <t>09/06/1960</t>
  </si>
  <si>
    <t>10/30/1954</t>
  </si>
  <si>
    <t>08/20/1955</t>
  </si>
  <si>
    <t>07/27/1990</t>
  </si>
  <si>
    <t>04/04/1990</t>
  </si>
  <si>
    <t>10/13/1982</t>
  </si>
  <si>
    <t>07/29/1977</t>
  </si>
  <si>
    <t>05/19/1974</t>
  </si>
  <si>
    <t>01/01/1989</t>
  </si>
  <si>
    <t>06/16/1963</t>
  </si>
  <si>
    <t>12/05/1971</t>
  </si>
  <si>
    <t>06/16/1974</t>
  </si>
  <si>
    <t>10/14/1988</t>
  </si>
  <si>
    <t>03/22/1958</t>
  </si>
  <si>
    <t>11/12/1964</t>
  </si>
  <si>
    <t>04/14/1974</t>
  </si>
  <si>
    <t>04/12/1969</t>
  </si>
  <si>
    <t>12/19/1984</t>
  </si>
  <si>
    <t>05/02/1992</t>
  </si>
  <si>
    <t>12/09/1986</t>
  </si>
  <si>
    <t>12/11/1958</t>
  </si>
  <si>
    <t>04/12/1947</t>
  </si>
  <si>
    <t>09/22/1973</t>
  </si>
  <si>
    <t>10/30/1996</t>
  </si>
  <si>
    <t>01/09/1973</t>
  </si>
  <si>
    <t>02/03/1984</t>
  </si>
  <si>
    <t>05/30/1989</t>
  </si>
  <si>
    <t>04/21/1964</t>
  </si>
  <si>
    <t>11/13/1957</t>
  </si>
  <si>
    <t>11/20/1983</t>
  </si>
  <si>
    <t>12/29/1963</t>
  </si>
  <si>
    <t>11/20/1993</t>
  </si>
  <si>
    <t>05/31/1993</t>
  </si>
  <si>
    <t>01/10/1961</t>
  </si>
  <si>
    <t>09/23/1987</t>
  </si>
  <si>
    <t>05/26/1977</t>
  </si>
  <si>
    <t>07/16/1985</t>
  </si>
  <si>
    <t>05/21/1990</t>
  </si>
  <si>
    <t>11/16/1973</t>
  </si>
  <si>
    <t>12/27/1971</t>
  </si>
  <si>
    <t>01/15/1950</t>
  </si>
  <si>
    <t>12/16/1983</t>
  </si>
  <si>
    <t>09/26/1963</t>
  </si>
  <si>
    <t>11/25/1972</t>
  </si>
  <si>
    <t>12/01/1978</t>
  </si>
  <si>
    <t>09/11/1973</t>
  </si>
  <si>
    <t>02/19/1985</t>
  </si>
  <si>
    <t>09/21/1981</t>
  </si>
  <si>
    <t>03/29/1980</t>
  </si>
  <si>
    <t>02/06/1962</t>
  </si>
  <si>
    <t>04/13/1959</t>
  </si>
  <si>
    <t>09/07/1977</t>
  </si>
  <si>
    <t>07/07/1980</t>
  </si>
  <si>
    <t>10/23/1980</t>
  </si>
  <si>
    <t>07/03/1964</t>
  </si>
  <si>
    <t>04/10/1963</t>
  </si>
  <si>
    <t>10/24/1978</t>
  </si>
  <si>
    <t>02/12/1948</t>
  </si>
  <si>
    <t>03/06/1957</t>
  </si>
  <si>
    <t>01/06/1977</t>
  </si>
  <si>
    <t>09/15/1992</t>
  </si>
  <si>
    <t>05/14/1992</t>
  </si>
  <si>
    <t>06/19/1999</t>
  </si>
  <si>
    <t>05/31/1972</t>
  </si>
  <si>
    <t>06/06/1963</t>
  </si>
  <si>
    <t>05/05/1967</t>
  </si>
  <si>
    <t>05/17/1993</t>
  </si>
  <si>
    <t>10/24/1961</t>
  </si>
  <si>
    <t>07/15/1988</t>
  </si>
  <si>
    <t>03/24/1961</t>
  </si>
  <si>
    <t>06/22/1968</t>
  </si>
  <si>
    <t>05/12/2000</t>
  </si>
  <si>
    <t>06/12/1992</t>
  </si>
  <si>
    <t>11/10/1939</t>
  </si>
  <si>
    <t>10/23/1965</t>
  </si>
  <si>
    <t>12/08/1981</t>
  </si>
  <si>
    <t>10/01/1989</t>
  </si>
  <si>
    <t>12/03/1975</t>
  </si>
  <si>
    <t>09/22/1970</t>
  </si>
  <si>
    <t>01/03/1971</t>
  </si>
  <si>
    <t>04/10/1945</t>
  </si>
  <si>
    <t>08/14/1982</t>
  </si>
  <si>
    <t>09/09/1949</t>
  </si>
  <si>
    <t>07/25/1963</t>
  </si>
  <si>
    <t>07/11/1934</t>
  </si>
  <si>
    <t>04/08/1958</t>
  </si>
  <si>
    <t>07/20/1962</t>
  </si>
  <si>
    <t>12/01/1963</t>
  </si>
  <si>
    <t>09/28/1973</t>
  </si>
  <si>
    <t>03/16/1986</t>
  </si>
  <si>
    <t>06/17/1955</t>
  </si>
  <si>
    <t>02/21/1949</t>
  </si>
  <si>
    <t>05/03/1964</t>
  </si>
  <si>
    <t>08/11/1967</t>
  </si>
  <si>
    <t>04/12/1959</t>
  </si>
  <si>
    <t>08/29/1979</t>
  </si>
  <si>
    <t>02/28/1970</t>
  </si>
  <si>
    <t>06/28/1962</t>
  </si>
  <si>
    <t>09/08/1991</t>
  </si>
  <si>
    <t>08/02/1940</t>
  </si>
  <si>
    <t>07/31/1981</t>
  </si>
  <si>
    <t>01/26/1969</t>
  </si>
  <si>
    <t>07/08/1989</t>
  </si>
  <si>
    <t>06/29/1990</t>
  </si>
  <si>
    <t>08/12/1979</t>
  </si>
  <si>
    <t>07/31/1983</t>
  </si>
  <si>
    <t>07/06/1955</t>
  </si>
  <si>
    <t>12/04/1970</t>
  </si>
  <si>
    <t>09/13/1956</t>
  </si>
  <si>
    <t>10/28/1963</t>
  </si>
  <si>
    <t>02/06/1989</t>
  </si>
  <si>
    <t>05/19/1950</t>
  </si>
  <si>
    <t>12/31/1966</t>
  </si>
  <si>
    <t>06/20/1946</t>
  </si>
  <si>
    <t>01/25/1970</t>
  </si>
  <si>
    <t>12/08/1959</t>
  </si>
  <si>
    <t>09/28/1962</t>
  </si>
  <si>
    <t>02/27/1980</t>
  </si>
  <si>
    <t>04/06/1998</t>
  </si>
  <si>
    <t>12/06/1994</t>
  </si>
  <si>
    <t>09/06/1942</t>
  </si>
  <si>
    <t>04/19/1971</t>
  </si>
  <si>
    <t>11/13/1987</t>
  </si>
  <si>
    <t>07/23/1952</t>
  </si>
  <si>
    <t>09/29/1987</t>
  </si>
  <si>
    <t>07/03/1978</t>
  </si>
  <si>
    <t>12/28/1967</t>
  </si>
  <si>
    <t>02/19/1978</t>
  </si>
  <si>
    <t>08/31/1970</t>
  </si>
  <si>
    <t>07/28/1959</t>
  </si>
  <si>
    <t>07/30/1961</t>
  </si>
  <si>
    <t>08/26/1963</t>
  </si>
  <si>
    <t>07/02/1961</t>
  </si>
  <si>
    <t>10/22/1951</t>
  </si>
  <si>
    <t>08/21/1953</t>
  </si>
  <si>
    <t>10/19/1953</t>
  </si>
  <si>
    <t>01/31/1995</t>
  </si>
  <si>
    <t>01/09/1975</t>
  </si>
  <si>
    <t>08/30/1967</t>
  </si>
  <si>
    <t>06/05/1963</t>
  </si>
  <si>
    <t>07/10/1945</t>
  </si>
  <si>
    <t>11/11/1939</t>
  </si>
  <si>
    <t>03/23/1989</t>
  </si>
  <si>
    <t>09/03/1984</t>
  </si>
  <si>
    <t>03/02/1956</t>
  </si>
  <si>
    <t>03/11/1979</t>
  </si>
  <si>
    <t>06/16/1999</t>
  </si>
  <si>
    <t>11/27/1989</t>
  </si>
  <si>
    <t>05/20/1970</t>
  </si>
  <si>
    <t>09/21/1982</t>
  </si>
  <si>
    <t>08/26/1964</t>
  </si>
  <si>
    <t>09/12/1975</t>
  </si>
  <si>
    <t>03/06/1956</t>
  </si>
  <si>
    <t>09/13/1963</t>
  </si>
  <si>
    <t>08/01/1980</t>
  </si>
  <si>
    <t>10/30/1992</t>
  </si>
  <si>
    <t>07/24/1977</t>
  </si>
  <si>
    <t>05/12/1962</t>
  </si>
  <si>
    <t>01/30/1973</t>
  </si>
  <si>
    <t>08/04/1952</t>
  </si>
  <si>
    <t>09/22/1963</t>
  </si>
  <si>
    <t>10/23/1946</t>
  </si>
  <si>
    <t>08/14/1969</t>
  </si>
  <si>
    <t>03/11/1950</t>
  </si>
  <si>
    <t>11/23/1960</t>
  </si>
  <si>
    <t>05/08/1970</t>
  </si>
  <si>
    <t>12/24/1935</t>
  </si>
  <si>
    <t>12/17/1967</t>
  </si>
  <si>
    <t>08/20/1951</t>
  </si>
  <si>
    <t>10/05/1980</t>
  </si>
  <si>
    <t>01/11/1973</t>
  </si>
  <si>
    <t>08/27/1994</t>
  </si>
  <si>
    <t>01/23/1992</t>
  </si>
  <si>
    <t>09/06/1952</t>
  </si>
  <si>
    <t>07/08/1988</t>
  </si>
  <si>
    <t>01/09/1953</t>
  </si>
  <si>
    <t>05/16/1954</t>
  </si>
  <si>
    <t>12/18/1953</t>
  </si>
  <si>
    <t>10/02/1958</t>
  </si>
  <si>
    <t>11/07/1960</t>
  </si>
  <si>
    <t>02/19/1992</t>
  </si>
  <si>
    <t>07/15/1961</t>
  </si>
  <si>
    <t>01/27/1978</t>
  </si>
  <si>
    <t>02/20/1990</t>
  </si>
  <si>
    <t>11/22/1953</t>
  </si>
  <si>
    <t>09/26/1960</t>
  </si>
  <si>
    <t>10/17/1987</t>
  </si>
  <si>
    <t>04/05/1986</t>
  </si>
  <si>
    <t>11/10/1978</t>
  </si>
  <si>
    <t>10/28/1974</t>
  </si>
  <si>
    <t>06/13/1961</t>
  </si>
  <si>
    <t>09/17/1977</t>
  </si>
  <si>
    <t>09/28/1979</t>
  </si>
  <si>
    <t>12/08/1969</t>
  </si>
  <si>
    <t>09/09/1987</t>
  </si>
  <si>
    <t>10/27/1998</t>
  </si>
  <si>
    <t>06/15/1985</t>
  </si>
  <si>
    <t>02/16/1962</t>
  </si>
  <si>
    <t>06/29/1981</t>
  </si>
  <si>
    <t>02/13/1941</t>
  </si>
  <si>
    <t>12/28/1972</t>
  </si>
  <si>
    <t>09/20/1979</t>
  </si>
  <si>
    <t>07/04/1990</t>
  </si>
  <si>
    <t>03/06/1974</t>
  </si>
  <si>
    <t>02/13/1986</t>
  </si>
  <si>
    <t>07/01/1972</t>
  </si>
  <si>
    <t>03/01/1951</t>
  </si>
  <si>
    <t>04/18/1994</t>
  </si>
  <si>
    <t>12/21/1987</t>
  </si>
  <si>
    <t>01/27/1980</t>
  </si>
  <si>
    <t>01/16/1990</t>
  </si>
  <si>
    <t>11/15/1981</t>
  </si>
  <si>
    <t>10/11/1955</t>
  </si>
  <si>
    <t>07/21/1960</t>
  </si>
  <si>
    <t>12/16/1986</t>
  </si>
  <si>
    <t>04/28/1947</t>
  </si>
  <si>
    <t>10/28/1986</t>
  </si>
  <si>
    <t>07/22/1963</t>
  </si>
  <si>
    <t>01/08/1995</t>
  </si>
  <si>
    <t>12/30/1971</t>
  </si>
  <si>
    <t>08/02/1974</t>
  </si>
  <si>
    <t>07/30/1947</t>
  </si>
  <si>
    <t>061-80-7115</t>
  </si>
  <si>
    <t>000-00-4035</t>
  </si>
  <si>
    <t>263-99-2839</t>
  </si>
  <si>
    <t>000-00-1501</t>
  </si>
  <si>
    <t>000-00-8825</t>
  </si>
  <si>
    <t>059-42-2791</t>
  </si>
  <si>
    <t>000-00-3625</t>
  </si>
  <si>
    <t>000-00-7285</t>
  </si>
  <si>
    <t>000-00-7531</t>
  </si>
  <si>
    <t>121-46-4394</t>
  </si>
  <si>
    <t>095-68-3768</t>
  </si>
  <si>
    <t>000-00-6118</t>
  </si>
  <si>
    <t>067-74-8168</t>
  </si>
  <si>
    <t>000-00-8807</t>
  </si>
  <si>
    <t>000-00-4236</t>
  </si>
  <si>
    <t>000-00-7757</t>
  </si>
  <si>
    <t>063-74-0604</t>
  </si>
  <si>
    <t>000-00-4770</t>
  </si>
  <si>
    <t>129-88-3969</t>
  </si>
  <si>
    <t>091-42-4424</t>
  </si>
  <si>
    <t>076-60-2503</t>
  </si>
  <si>
    <t>076-82-0813</t>
  </si>
  <si>
    <t>127-58-6921</t>
  </si>
  <si>
    <t>128-48-3275</t>
  </si>
  <si>
    <t>058-76-4962</t>
  </si>
  <si>
    <t>000-00-5470</t>
  </si>
  <si>
    <t>148-40-0566</t>
  </si>
  <si>
    <t>000-00-6553</t>
  </si>
  <si>
    <t>127-58-7981</t>
  </si>
  <si>
    <t>000-00-8810</t>
  </si>
  <si>
    <t>000-00-6375</t>
  </si>
  <si>
    <t>000-00-9126</t>
  </si>
  <si>
    <t>052-44-7744</t>
  </si>
  <si>
    <t>156-42-7140</t>
  </si>
  <si>
    <t>073-44-8389</t>
  </si>
  <si>
    <t>760-54-7947</t>
  </si>
  <si>
    <t>075-92-4099</t>
  </si>
  <si>
    <t>094-64-7196</t>
  </si>
  <si>
    <t>131-98-4050</t>
  </si>
  <si>
    <t>115-88-5127</t>
  </si>
  <si>
    <t>000-00-2247</t>
  </si>
  <si>
    <t>121-48-5149</t>
  </si>
  <si>
    <t>000-00-0884</t>
  </si>
  <si>
    <t>072-64-1343</t>
  </si>
  <si>
    <t>079-66-0530</t>
  </si>
  <si>
    <t>069-90-3023</t>
  </si>
  <si>
    <t>000-00-3682</t>
  </si>
  <si>
    <t>084-68-4470</t>
  </si>
  <si>
    <t>000-00-9627</t>
  </si>
  <si>
    <t>000-00-6212</t>
  </si>
  <si>
    <t>131-76-7640</t>
  </si>
  <si>
    <t>000-00-8408</t>
  </si>
  <si>
    <t>000-00-8962</t>
  </si>
  <si>
    <t>159-64-1282</t>
  </si>
  <si>
    <t>126-46-2645</t>
  </si>
  <si>
    <t>000-00-2374</t>
  </si>
  <si>
    <t>095-74-5808</t>
  </si>
  <si>
    <t>027-72-6388</t>
  </si>
  <si>
    <t>075-72-7634</t>
  </si>
  <si>
    <t>080-86-0776</t>
  </si>
  <si>
    <t>000-00-0956</t>
  </si>
  <si>
    <t>317-35-8147</t>
  </si>
  <si>
    <t>591-54-8293</t>
  </si>
  <si>
    <t>384-11-9733</t>
  </si>
  <si>
    <t>668-34-5027</t>
  </si>
  <si>
    <t>000-00-0050</t>
  </si>
  <si>
    <t>000-00-1174</t>
  </si>
  <si>
    <t>000-00-0034</t>
  </si>
  <si>
    <t>000-00-8158</t>
  </si>
  <si>
    <t>038-62-6383</t>
  </si>
  <si>
    <t>055-62-2445</t>
  </si>
  <si>
    <t>120-58-9462</t>
  </si>
  <si>
    <t>064-80-7375</t>
  </si>
  <si>
    <t>000-00-1647</t>
  </si>
  <si>
    <t>000-00-6654</t>
  </si>
  <si>
    <t>119-68-7068</t>
  </si>
  <si>
    <t>082-68-9233</t>
  </si>
  <si>
    <t>086-80-3130</t>
  </si>
  <si>
    <t>103-35-1525</t>
  </si>
  <si>
    <t>000-00-7147</t>
  </si>
  <si>
    <t>122-56-9500</t>
  </si>
  <si>
    <t>000-00-7019</t>
  </si>
  <si>
    <t>109-84-6043</t>
  </si>
  <si>
    <t>000-00-6043</t>
  </si>
  <si>
    <t>091-90-6224</t>
  </si>
  <si>
    <t>000-00-1159</t>
  </si>
  <si>
    <t>054-58-7116</t>
  </si>
  <si>
    <t>220-06-4793</t>
  </si>
  <si>
    <t>224-17-4997</t>
  </si>
  <si>
    <t>000-00-2327</t>
  </si>
  <si>
    <t>098-56-4787</t>
  </si>
  <si>
    <t>000-00-6844</t>
  </si>
  <si>
    <t>000-00-8939</t>
  </si>
  <si>
    <t>000-00-4861</t>
  </si>
  <si>
    <t>000-00-8569</t>
  </si>
  <si>
    <t>596-48-6132</t>
  </si>
  <si>
    <t>125-86-9638</t>
  </si>
  <si>
    <t>000-00-0224</t>
  </si>
  <si>
    <t>072-60-5007</t>
  </si>
  <si>
    <t>116-74-0383</t>
  </si>
  <si>
    <t>079-86-9141</t>
  </si>
  <si>
    <t>000-00-9526</t>
  </si>
  <si>
    <t>000-00-3830</t>
  </si>
  <si>
    <t>053-60-1689</t>
  </si>
  <si>
    <t>000-00-7259</t>
  </si>
  <si>
    <t>083-62-5171</t>
  </si>
  <si>
    <t>059-72-6348</t>
  </si>
  <si>
    <t>000-00-2763</t>
  </si>
  <si>
    <t>121-96-6367</t>
  </si>
  <si>
    <t>109-34-1440</t>
  </si>
  <si>
    <t>059-90-7583</t>
  </si>
  <si>
    <t>000-00-1034</t>
  </si>
  <si>
    <t>112-62-7928</t>
  </si>
  <si>
    <t>134-56-6932</t>
  </si>
  <si>
    <t>174-54-3954</t>
  </si>
  <si>
    <t>000-00-4891</t>
  </si>
  <si>
    <t>245-19-0937</t>
  </si>
  <si>
    <t>000-00-7323</t>
  </si>
  <si>
    <t>000-00-4412</t>
  </si>
  <si>
    <t>076-80-7904</t>
  </si>
  <si>
    <t>082-86-8099</t>
  </si>
  <si>
    <t>000-00-5682</t>
  </si>
  <si>
    <t>000-00-0655</t>
  </si>
  <si>
    <t>000-00-1216</t>
  </si>
  <si>
    <t>000-00-4856</t>
  </si>
  <si>
    <t>096-50-1500</t>
  </si>
  <si>
    <t>000-00-1119</t>
  </si>
  <si>
    <t>000-00-4041</t>
  </si>
  <si>
    <t>102-80-1013</t>
  </si>
  <si>
    <t>127-66-4955</t>
  </si>
  <si>
    <t>584-92-3882</t>
  </si>
  <si>
    <t>069-58-2284</t>
  </si>
  <si>
    <t>085-64-7245</t>
  </si>
  <si>
    <t>239-25-8334</t>
  </si>
  <si>
    <t>132-68-3499</t>
  </si>
  <si>
    <t>063-56-0560</t>
  </si>
  <si>
    <t>072-76-7496</t>
  </si>
  <si>
    <t>082-46-4681</t>
  </si>
  <si>
    <t>073-42-1573</t>
  </si>
  <si>
    <t>100-52-0179</t>
  </si>
  <si>
    <t>119-76-2239</t>
  </si>
  <si>
    <t>114-56-6587</t>
  </si>
  <si>
    <t>104-48-9084</t>
  </si>
  <si>
    <t>128-60-5427</t>
  </si>
  <si>
    <t>086-60-9667</t>
  </si>
  <si>
    <t>053-54-7371</t>
  </si>
  <si>
    <t>119-62-1549</t>
  </si>
  <si>
    <t>103-38-8186</t>
  </si>
  <si>
    <t>000-00-7021</t>
  </si>
  <si>
    <t>096-56-7923</t>
  </si>
  <si>
    <t>067-74-3441</t>
  </si>
  <si>
    <t>096-70-7153</t>
  </si>
  <si>
    <t>069-58-0987</t>
  </si>
  <si>
    <t>067-84-2757</t>
  </si>
  <si>
    <t>581-15-4631</t>
  </si>
  <si>
    <t>131-52-0779</t>
  </si>
  <si>
    <t>106-94-5307</t>
  </si>
  <si>
    <t>120-74-2691</t>
  </si>
  <si>
    <t>753-46-7607</t>
  </si>
  <si>
    <t>101-78-4889</t>
  </si>
  <si>
    <t>106-60-2468</t>
  </si>
  <si>
    <t>126-76-4099</t>
  </si>
  <si>
    <t>096-68-1376</t>
  </si>
  <si>
    <t>000-00-0642</t>
  </si>
  <si>
    <t>088-74-8465</t>
  </si>
  <si>
    <t>110-86-3325</t>
  </si>
  <si>
    <t>094-56-2120</t>
  </si>
  <si>
    <t>066-64-1544</t>
  </si>
  <si>
    <t>091-80-0654</t>
  </si>
  <si>
    <t>119-66-8939</t>
  </si>
  <si>
    <t>133-64-1123</t>
  </si>
  <si>
    <t>122-84-4594</t>
  </si>
  <si>
    <t>057-74-7612</t>
  </si>
  <si>
    <t>104-68-1566</t>
  </si>
  <si>
    <t>097-56-8499</t>
  </si>
  <si>
    <t>115-76-6280</t>
  </si>
  <si>
    <t>086-76-2933</t>
  </si>
  <si>
    <t>099-88-6051</t>
  </si>
  <si>
    <t>072-70-0780</t>
  </si>
  <si>
    <t>012-64-4773</t>
  </si>
  <si>
    <t>091-58-8600</t>
  </si>
  <si>
    <t>067-66-8911</t>
  </si>
  <si>
    <t>000-00-6034</t>
  </si>
  <si>
    <t>130-68-1772</t>
  </si>
  <si>
    <t>074-58-4288</t>
  </si>
  <si>
    <t>080-54-5004</t>
  </si>
  <si>
    <t>070-74-0645</t>
  </si>
  <si>
    <t>000-00-9794</t>
  </si>
  <si>
    <t>122-86-6587</t>
  </si>
  <si>
    <t>094-52-5487</t>
  </si>
  <si>
    <t>081-80-2016</t>
  </si>
  <si>
    <t>079-66-1818</t>
  </si>
  <si>
    <t>054-82-3620</t>
  </si>
  <si>
    <t>100-43-7140</t>
  </si>
  <si>
    <t>096-76-8412</t>
  </si>
  <si>
    <t>077-58-3007</t>
  </si>
  <si>
    <t>584-33-1406</t>
  </si>
  <si>
    <t>060-78-2331</t>
  </si>
  <si>
    <t>118-58-0924</t>
  </si>
  <si>
    <t>100-64-8971</t>
  </si>
  <si>
    <t>112-86-9975</t>
  </si>
  <si>
    <t>057-58-2207</t>
  </si>
  <si>
    <t>206-44-9645</t>
  </si>
  <si>
    <t>127-46-0384</t>
  </si>
  <si>
    <t>076-78-3782</t>
  </si>
  <si>
    <t>101-66-6319</t>
  </si>
  <si>
    <t>108-60-7775</t>
  </si>
  <si>
    <t>063-58-6655</t>
  </si>
  <si>
    <t>000-00-1480</t>
  </si>
  <si>
    <t>097-56-3862</t>
  </si>
  <si>
    <t>562-71-5766</t>
  </si>
  <si>
    <t>090-66-4257</t>
  </si>
  <si>
    <t>110-92-6213</t>
  </si>
  <si>
    <t>082-46-5855</t>
  </si>
  <si>
    <t>062-62-0711</t>
  </si>
  <si>
    <t>119-76-4981</t>
  </si>
  <si>
    <t>095-02-7209</t>
  </si>
  <si>
    <t>178-24-4163</t>
  </si>
  <si>
    <t>091-80-5585</t>
  </si>
  <si>
    <t>599-24-5532</t>
  </si>
  <si>
    <t>127-36-9940</t>
  </si>
  <si>
    <t>118-84-5702</t>
  </si>
  <si>
    <t>033-49-0701</t>
  </si>
  <si>
    <t>421-91-5113</t>
  </si>
  <si>
    <t>090-68-8414</t>
  </si>
  <si>
    <t>815-06-8289</t>
  </si>
  <si>
    <t>090-88-3948</t>
  </si>
  <si>
    <t>073-48-8107</t>
  </si>
  <si>
    <t>109-82-9461</t>
  </si>
  <si>
    <t>063-70-2565</t>
  </si>
  <si>
    <t>082-82-2767</t>
  </si>
  <si>
    <t>064-82-3159</t>
  </si>
  <si>
    <t>930-72-6024</t>
  </si>
  <si>
    <t>106-72-1625</t>
  </si>
  <si>
    <t>105-64-6473</t>
  </si>
  <si>
    <t>599-30-6722</t>
  </si>
  <si>
    <t>063-96-6689</t>
  </si>
  <si>
    <t>105-78-5632</t>
  </si>
  <si>
    <t>078-86-9083</t>
  </si>
  <si>
    <t>058-70-9553</t>
  </si>
  <si>
    <t>127-64-6009</t>
  </si>
  <si>
    <t>108-86-4731</t>
  </si>
  <si>
    <t>072-70-0675</t>
  </si>
  <si>
    <t>068-58-5931</t>
  </si>
  <si>
    <t>349-69-0608</t>
  </si>
  <si>
    <t>063-64-3960</t>
  </si>
  <si>
    <t>068-80-9536</t>
  </si>
  <si>
    <t>118-54-0404</t>
  </si>
  <si>
    <t>056-62-5869</t>
  </si>
  <si>
    <t>123-64-8619</t>
  </si>
  <si>
    <t>580-21-5253</t>
  </si>
  <si>
    <t>124-56-9596</t>
  </si>
  <si>
    <t>098-58-4620</t>
  </si>
  <si>
    <t>057-84-1589</t>
  </si>
  <si>
    <t>129-46-7944</t>
  </si>
  <si>
    <t>084-48-5648</t>
  </si>
  <si>
    <t>087-60-0433</t>
  </si>
  <si>
    <t>113-80-0755</t>
  </si>
  <si>
    <t>122-98-7891</t>
  </si>
  <si>
    <t>106-88-2630</t>
  </si>
  <si>
    <t>153-78-9628</t>
  </si>
  <si>
    <t>091-58-9904</t>
  </si>
  <si>
    <t>505-99-3087</t>
  </si>
  <si>
    <t>063-82-7448</t>
  </si>
  <si>
    <t>071-54-5016</t>
  </si>
  <si>
    <t>124-74-5121</t>
  </si>
  <si>
    <t>262-27-8124</t>
  </si>
  <si>
    <t>108-66-8695</t>
  </si>
  <si>
    <t>058-90-6025</t>
  </si>
  <si>
    <t>124-98-7250</t>
  </si>
  <si>
    <t>134-30-6863</t>
  </si>
  <si>
    <t>081-86-3596</t>
  </si>
  <si>
    <t>084-66-0268</t>
  </si>
  <si>
    <t>100-76-5378</t>
  </si>
  <si>
    <t>055-60-1207</t>
  </si>
  <si>
    <t>094-52-8972</t>
  </si>
  <si>
    <t>086-70-5208</t>
  </si>
  <si>
    <t>059-36-8266</t>
  </si>
  <si>
    <t>077-60-7676</t>
  </si>
  <si>
    <t>371-02-0875</t>
  </si>
  <si>
    <t>105-84-4205</t>
  </si>
  <si>
    <t>057-60-9812</t>
  </si>
  <si>
    <t>000-00-0000</t>
  </si>
  <si>
    <t>068-60-0172</t>
  </si>
  <si>
    <t>128-90-7212</t>
  </si>
  <si>
    <t>078-72-4853</t>
  </si>
  <si>
    <t>103-70-6335</t>
  </si>
  <si>
    <t>098-46-1764</t>
  </si>
  <si>
    <t>068-62-8316</t>
  </si>
  <si>
    <t>065-62-1047</t>
  </si>
  <si>
    <t>056-58-0867</t>
  </si>
  <si>
    <t>068-52-7414</t>
  </si>
  <si>
    <t>122-64-3956</t>
  </si>
  <si>
    <t>053-66-4996</t>
  </si>
  <si>
    <t>084-80-5013</t>
  </si>
  <si>
    <t>129-78-2722</t>
  </si>
  <si>
    <t>582-66-5931</t>
  </si>
  <si>
    <t>064-66-1028</t>
  </si>
  <si>
    <t>118-80-5425</t>
  </si>
  <si>
    <t>090-76-0625</t>
  </si>
  <si>
    <t>033-72-7061</t>
  </si>
  <si>
    <t>122-60-0938</t>
  </si>
  <si>
    <t>060-70-2064</t>
  </si>
  <si>
    <t>318-52-7710</t>
  </si>
  <si>
    <t>079-66-9930</t>
  </si>
  <si>
    <t>116-46-4869</t>
  </si>
  <si>
    <t>206-48-8604</t>
  </si>
  <si>
    <t>060-78-3270</t>
  </si>
  <si>
    <t>112-40-3796</t>
  </si>
  <si>
    <t>051-30-6077</t>
  </si>
  <si>
    <t>157-56-1823</t>
  </si>
  <si>
    <t>055-54-2061</t>
  </si>
  <si>
    <t>589-11-0670</t>
  </si>
  <si>
    <t>078-94-2471</t>
  </si>
  <si>
    <t>081-84-5149</t>
  </si>
  <si>
    <t>380-42-1354</t>
  </si>
  <si>
    <t>931-70-5725</t>
  </si>
  <si>
    <t>070-74-5339</t>
  </si>
  <si>
    <t>084-42-6059</t>
  </si>
  <si>
    <t>777-33-0164</t>
  </si>
  <si>
    <t>066-66-7105</t>
  </si>
  <si>
    <t>059-62-8747</t>
  </si>
  <si>
    <t>625-71-9125</t>
  </si>
  <si>
    <t>114-50-6813</t>
  </si>
  <si>
    <t>060-54-8911</t>
  </si>
  <si>
    <t>078-64-7604</t>
  </si>
  <si>
    <t>100-58-8528</t>
  </si>
  <si>
    <t>083-92-4183</t>
  </si>
  <si>
    <t>056-42-4502</t>
  </si>
  <si>
    <t>080-80-8322</t>
  </si>
  <si>
    <t>577-06-3448</t>
  </si>
  <si>
    <t>024-89-0404</t>
  </si>
  <si>
    <t>075-60-3931</t>
  </si>
  <si>
    <t>112-76-5042</t>
  </si>
  <si>
    <t>061-54-3323</t>
  </si>
  <si>
    <t>092-40-3191</t>
  </si>
  <si>
    <t>064-32-4842</t>
  </si>
  <si>
    <t>118-68-3680</t>
  </si>
  <si>
    <t>108-58-4021</t>
  </si>
  <si>
    <t>108-62-7128</t>
  </si>
  <si>
    <t>106-88-3060</t>
  </si>
  <si>
    <t>094-76-7225</t>
  </si>
  <si>
    <t>080-80-7239</t>
  </si>
  <si>
    <t>105-66-8557</t>
  </si>
  <si>
    <t>176-58-9095</t>
  </si>
  <si>
    <t>083-58-8293</t>
  </si>
  <si>
    <t>123-50-3171</t>
  </si>
  <si>
    <t>126-60-4400</t>
  </si>
  <si>
    <t>089-64-9189</t>
  </si>
  <si>
    <t>082-50-7868</t>
  </si>
  <si>
    <t>084-52-7018</t>
  </si>
  <si>
    <t>084-44-1167</t>
  </si>
  <si>
    <t>060-74-5338</t>
  </si>
  <si>
    <t>660-67-4776</t>
  </si>
  <si>
    <t>093-66-4014</t>
  </si>
  <si>
    <t>119-42-9950</t>
  </si>
  <si>
    <t>065-64-3931</t>
  </si>
  <si>
    <t>068-78-5935</t>
  </si>
  <si>
    <t>086-76-5772</t>
  </si>
  <si>
    <t>057-68-5180</t>
  </si>
  <si>
    <t>107-40-4435</t>
  </si>
  <si>
    <t>744-60-7293</t>
  </si>
  <si>
    <t>009-82-8545</t>
  </si>
  <si>
    <t>065-84-9286</t>
  </si>
  <si>
    <t>084-80-8099</t>
  </si>
  <si>
    <t>053-46-7871</t>
  </si>
  <si>
    <t>102-74-3278</t>
  </si>
  <si>
    <t>459-48-7955</t>
  </si>
  <si>
    <t>115-76-7553</t>
  </si>
  <si>
    <t>158-46-8859</t>
  </si>
  <si>
    <t>804-80-6041</t>
  </si>
  <si>
    <t>077-92-4376</t>
  </si>
  <si>
    <t>117-56-1571</t>
  </si>
  <si>
    <t>105-62-7094</t>
  </si>
  <si>
    <t>120-90-3919</t>
  </si>
  <si>
    <t>058-80-7052</t>
  </si>
  <si>
    <t>106-48-3373</t>
  </si>
  <si>
    <t>066-74-5501</t>
  </si>
  <si>
    <t>192-65-1173</t>
  </si>
  <si>
    <t>087-62-1545</t>
  </si>
  <si>
    <t>582-61-3047</t>
  </si>
  <si>
    <t>073-58-4381</t>
  </si>
  <si>
    <t>113-60-8981</t>
  </si>
  <si>
    <t>056-58-4858</t>
  </si>
  <si>
    <t>270-21-5660</t>
  </si>
  <si>
    <t>078-88-2001</t>
  </si>
  <si>
    <t>108-76-5513</t>
  </si>
  <si>
    <t>105-82-9933</t>
  </si>
  <si>
    <t>599-18-8788</t>
  </si>
  <si>
    <t>103-32-5163</t>
  </si>
  <si>
    <t>092-58-6633</t>
  </si>
  <si>
    <t>585-73-9160</t>
  </si>
  <si>
    <t>128-94-8614</t>
  </si>
  <si>
    <t>112-58-3781</t>
  </si>
  <si>
    <t>102-70-3872</t>
  </si>
  <si>
    <t>055-84-4621</t>
  </si>
  <si>
    <t>106-88-4506</t>
  </si>
  <si>
    <t>115-49-4798</t>
  </si>
  <si>
    <t>081-78-9984</t>
  </si>
  <si>
    <t>072-64-3786</t>
  </si>
  <si>
    <t>111-76-6302</t>
  </si>
  <si>
    <t>124-68-0274</t>
  </si>
  <si>
    <t>114-46-2516</t>
  </si>
  <si>
    <t>174-66-4928</t>
  </si>
  <si>
    <t>050-72-4818</t>
  </si>
  <si>
    <t>078-36-0732</t>
  </si>
  <si>
    <t>089-72-3016</t>
  </si>
  <si>
    <t>070-56-7397</t>
  </si>
  <si>
    <t>087-84-6755</t>
  </si>
  <si>
    <t>933-62-9150</t>
  </si>
  <si>
    <t>082-60-5054</t>
  </si>
  <si>
    <t>071-40-0578</t>
  </si>
  <si>
    <t>Mitchell-Lama</t>
  </si>
  <si>
    <t>Rent Stabilized</t>
  </si>
  <si>
    <t>Public Housing/NYCHA</t>
  </si>
  <si>
    <t>Unregulated</t>
  </si>
  <si>
    <t>Unknown</t>
  </si>
  <si>
    <t>HDFC</t>
  </si>
  <si>
    <t>Public Housing</t>
  </si>
  <si>
    <t>Rent Controlled</t>
  </si>
  <si>
    <t>Unregulated – Other</t>
  </si>
  <si>
    <t>Supportive Housing</t>
  </si>
  <si>
    <t>Project-based Sec. 8</t>
  </si>
  <si>
    <t>Low Income Tax Credit</t>
  </si>
  <si>
    <t>Unregulated – Co-Op</t>
  </si>
  <si>
    <t>Other Subsidized Housing</t>
  </si>
  <si>
    <t>09/09/2019</t>
  </si>
  <si>
    <t>06/24/2019</t>
  </si>
  <si>
    <t>Income Waiver</t>
  </si>
  <si>
    <t>DRIE/SCRIE</t>
  </si>
  <si>
    <t>Section 8</t>
  </si>
  <si>
    <t>FEPS</t>
  </si>
  <si>
    <t>City FEPS</t>
  </si>
  <si>
    <t>HUD VASH</t>
  </si>
  <si>
    <t>HASA</t>
  </si>
  <si>
    <t>SEPS</t>
  </si>
  <si>
    <t>LINC</t>
  </si>
  <si>
    <t>English</t>
  </si>
  <si>
    <t>Spanish</t>
  </si>
  <si>
    <t>Creole</t>
  </si>
  <si>
    <t>Sign Language</t>
  </si>
  <si>
    <t>Finnish</t>
  </si>
  <si>
    <t>French</t>
  </si>
  <si>
    <t>Rumanian</t>
  </si>
  <si>
    <t>Cantonese</t>
  </si>
  <si>
    <t>Mandarin</t>
  </si>
  <si>
    <t>Polish</t>
  </si>
  <si>
    <t>DHCI missing DOB for HH</t>
  </si>
  <si>
    <t>&gt;200%</t>
  </si>
  <si>
    <t>8/28- waiting for advice notes</t>
  </si>
  <si>
    <t>overincome advice only</t>
  </si>
  <si>
    <t>Missing Forms</t>
  </si>
  <si>
    <t>needs waiver if full rep</t>
  </si>
  <si>
    <t>income waiver needed</t>
  </si>
  <si>
    <t>missing forms</t>
  </si>
  <si>
    <t>Missing forms</t>
  </si>
  <si>
    <t>over 200%</t>
  </si>
  <si>
    <t>needs waiver</t>
  </si>
  <si>
    <t>UA Advice - clt refused full rep</t>
  </si>
  <si>
    <t>verbal consent needed</t>
  </si>
  <si>
    <t>Lane, Diane</t>
  </si>
  <si>
    <t>Escobar, Sarah</t>
  </si>
  <si>
    <t>Wilson-Wieland, Cherille</t>
  </si>
  <si>
    <t>Frias De Sosa, Yajaira</t>
  </si>
  <si>
    <t>Oquendo, Joann</t>
  </si>
  <si>
    <t>Villalobos, Tanya</t>
  </si>
  <si>
    <t>Then, Laura</t>
  </si>
  <si>
    <t>Lebro-Lopez, Wanda</t>
  </si>
  <si>
    <t>Pierre, Haenley</t>
  </si>
  <si>
    <t>Acevedo, Tiffany</t>
  </si>
  <si>
    <t>Prado, Steven</t>
  </si>
  <si>
    <t>Diaz, Sharon</t>
  </si>
  <si>
    <t>Castellanos, Rachel</t>
  </si>
  <si>
    <t>Castillo, Angel</t>
  </si>
  <si>
    <t>Ukegbu, Ezi</t>
  </si>
  <si>
    <t>Medina, Marta</t>
  </si>
  <si>
    <t>Ortega, Luis</t>
  </si>
  <si>
    <t>Guzman Velazquez, Leida</t>
  </si>
  <si>
    <t>Wong, Angela</t>
  </si>
  <si>
    <t>Velasquez, Diana</t>
  </si>
  <si>
    <t>Benitez, Vicenta</t>
  </si>
  <si>
    <t>McDonald, Susan</t>
  </si>
  <si>
    <t>Santiago, Denya</t>
  </si>
  <si>
    <t>Vergeli, Evelyn</t>
  </si>
  <si>
    <t>Acosta, Rosa</t>
  </si>
  <si>
    <t>Garcia, Alexandra</t>
  </si>
  <si>
    <t>Guerra, Yolanda</t>
  </si>
  <si>
    <t>Pujols, Isabel</t>
  </si>
  <si>
    <t>Bernardez, Florencita</t>
  </si>
  <si>
    <t>Umoke, Jacob</t>
  </si>
  <si>
    <t>Bauer, Kai</t>
  </si>
  <si>
    <t>Martinez, Renee</t>
  </si>
  <si>
    <t>Fuentes, Maria</t>
  </si>
  <si>
    <t>Counsel Assisted in Filing or Refiling of Answer, Filed/Argued/Supplemented Dispositive or other Substantive Motion</t>
  </si>
  <si>
    <t>Filed/Argued/Supplemented Dispositive or other Substantive Motion</t>
  </si>
  <si>
    <t>Filed for an Emergency Order to Show Cause</t>
  </si>
  <si>
    <t>Case Discontinued/Dismissed/Landlord Fails to Prosecute</t>
  </si>
  <si>
    <t>Case Discontinued/Dismissed/Landlord Fails to Prosecute, Case Resolved without Judgment of Eviction Against Client</t>
  </si>
  <si>
    <t>Obtain Ongoing Rent Subsidy</t>
  </si>
  <si>
    <t>Case Discontinued/Dismissed/Landlord Fails to Prosecute, Case Resolved without Judgment of Eviction Against Client, Secured Order or Agreement for Repairs in Apartment/Building</t>
  </si>
  <si>
    <t>Food Stamps (SNAP), SSI</t>
  </si>
  <si>
    <t>Food Stamps (SNAP), Welfare</t>
  </si>
  <si>
    <t>Employment, Food Stamps (SNAP), SSI</t>
  </si>
  <si>
    <t>SSI</t>
  </si>
  <si>
    <t>Employment, Food Stamps (SNAP)</t>
  </si>
  <si>
    <t>Employment</t>
  </si>
  <si>
    <t>Food Stamps (SNAP), Social Security</t>
  </si>
  <si>
    <t>Food Stamps (SNAP), Medicaid (MA), Social Security</t>
  </si>
  <si>
    <t>Food Stamps (SNAP), Medicaid (MA), SSI, Welfare</t>
  </si>
  <si>
    <t>Child Support, Employment, Food Stamps (SNAP)</t>
  </si>
  <si>
    <t>Pension/Retirement (Not Soc. Sec.), Social Security</t>
  </si>
  <si>
    <t>Food Stamps (SNAP), Pension/Retirement (Not Soc. Sec.), Social Security</t>
  </si>
  <si>
    <t>Employment, Social Security Disability, Welfare</t>
  </si>
  <si>
    <t>Unemployment Compensation</t>
  </si>
  <si>
    <t>Social Security</t>
  </si>
  <si>
    <t>Food Stamps (SNAP), Social Security, Social Security Disability</t>
  </si>
  <si>
    <t>Food Stamps (SNAP), Social Security Disability</t>
  </si>
  <si>
    <t>No Income</t>
  </si>
  <si>
    <t>Employment, Food Stamps (SNAP), Welfare</t>
  </si>
  <si>
    <t>Employment, Food Stamps (SNAP), Social Security</t>
  </si>
  <si>
    <t>General Assistance</t>
  </si>
  <si>
    <t>Employment (Self-Employed)</t>
  </si>
  <si>
    <t>Social Security Disability</t>
  </si>
  <si>
    <t>Child Support, Employment</t>
  </si>
  <si>
    <t>Child Support, Food Stamps (SNAP), Welfare</t>
  </si>
  <si>
    <t>Food Stamps (SNAP), Other, SSI</t>
  </si>
  <si>
    <t>Employment, Social Security</t>
  </si>
  <si>
    <t>Food Stamps (SNAP)</t>
  </si>
  <si>
    <t>Employment, SSI</t>
  </si>
  <si>
    <t>Both SSI and SSD</t>
  </si>
  <si>
    <t>Food Stamps (SNAP), Other, Social Security Disability</t>
  </si>
  <si>
    <t>Child Support</t>
  </si>
  <si>
    <t>Food Stamps (SNAP), TANF</t>
  </si>
  <si>
    <t>Employment, Employment (Self-Employed), Food Stamps (SNAP)</t>
  </si>
  <si>
    <t>Food Stamps (SNAP), Social Security Disability, Welfare</t>
  </si>
  <si>
    <t>Disability</t>
  </si>
  <si>
    <t>Alimony, Food Stamps (SNAP)</t>
  </si>
  <si>
    <t>Employment, Other</t>
  </si>
  <si>
    <t>Income Not Provided</t>
  </si>
  <si>
    <t>Welfare</t>
  </si>
  <si>
    <t>Food Stamps (SNAP), SSI, Welfare</t>
  </si>
  <si>
    <t>Disability, Employment</t>
  </si>
  <si>
    <t>Food Stamps (SNAP), Veterans Benefits</t>
  </si>
  <si>
    <t>Employment, Social Security Disability</t>
  </si>
  <si>
    <t>Disability, Food Stamps (SNAP), SSI</t>
  </si>
  <si>
    <t>Employment, Welfare</t>
  </si>
  <si>
    <t>Child Support, SSI</t>
  </si>
  <si>
    <t>Employment (Self-Employed), Food Stamps (SNAP)</t>
  </si>
  <si>
    <t>Workers Compensation</t>
  </si>
  <si>
    <t>Pension/Retirement (Not Soc. Sec.)</t>
  </si>
  <si>
    <t>Disability, SSI</t>
  </si>
  <si>
    <t>Employment, Food Stamps (SNAP), Social Security Disability</t>
  </si>
  <si>
    <t>Employment, Food Stamps (SNAP), Worker's Compensation</t>
  </si>
  <si>
    <t>Social Security Retirement</t>
  </si>
  <si>
    <t>Food Stamps (SNAP), Other</t>
  </si>
  <si>
    <t>TANF</t>
  </si>
  <si>
    <t>Veterans Benefits</t>
  </si>
  <si>
    <t>Child Support, Social Security Disability</t>
  </si>
  <si>
    <t>Food Stamps (SNAP), Social Security Retirement</t>
  </si>
  <si>
    <t>SSI, Welfare</t>
  </si>
  <si>
    <t>Employment, General Assistance</t>
  </si>
  <si>
    <t>Food Stamps (SNAP), General Assistance</t>
  </si>
  <si>
    <t>Employment, Employment (Self-Employed)</t>
  </si>
  <si>
    <t>Food Stamps (SNAP), Social Security Disability, Unemployment Compensation</t>
  </si>
  <si>
    <t>Disability, Food Stamps (SNAP)</t>
  </si>
  <si>
    <t>Social Security Retirement, SSI</t>
  </si>
  <si>
    <t>Food Stamps (SNAP), Welfare - Fam. Assis.</t>
  </si>
  <si>
    <t>Welfare - Fam. Assis.</t>
  </si>
  <si>
    <t>SSI, TANF</t>
  </si>
  <si>
    <t>Both SSI and SSD, Child Support, Food Stamps (SNAP)</t>
  </si>
  <si>
    <t>Other, Social Security, Welfare - Fam. Assis.</t>
  </si>
  <si>
    <t>Disability, Social Security</t>
  </si>
  <si>
    <t>Employment, Social Security Disability, Social Security Retirement</t>
  </si>
  <si>
    <t>Child Support, Food Stamps (SNAP), Social Security Disability</t>
  </si>
  <si>
    <t>Other, Social Security</t>
  </si>
  <si>
    <t>TANF, Worker's Compensation</t>
  </si>
  <si>
    <t>Social Security, Welfare</t>
  </si>
  <si>
    <t>Child Support, Food Stamps (SNAP)</t>
  </si>
  <si>
    <t>Food Stamps (SNAP), Social Security Disability, Welfare - Fam. Assis.</t>
  </si>
  <si>
    <t>Employment, Food Stamps (SNAP), Unemployment Compensation</t>
  </si>
  <si>
    <t>Pension/Retirement (Not Soc. Sec.), SSI</t>
  </si>
  <si>
    <t>09/12/2019</t>
  </si>
  <si>
    <t>09/03/2019</t>
  </si>
  <si>
    <t>09/17/2019</t>
  </si>
  <si>
    <t>09/23/2019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</si>
</sst>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M461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6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13</v>
      </c>
    </row>
    <row r="2" spans="1:65">
      <c r="A2" s="1">
        <f>HYPERLINK("https://lsnyc.legalserver.org/matter/dynamic-profile/view/1906438","19-1906438")</f>
        <v>0</v>
      </c>
      <c r="B2" t="s">
        <v>64</v>
      </c>
      <c r="C2" t="s">
        <v>69</v>
      </c>
      <c r="D2" t="s">
        <v>170</v>
      </c>
      <c r="E2" t="s">
        <v>171</v>
      </c>
      <c r="G2" t="s">
        <v>219</v>
      </c>
      <c r="I2" t="s">
        <v>172</v>
      </c>
      <c r="J2" t="s">
        <v>231</v>
      </c>
      <c r="K2" t="s">
        <v>172</v>
      </c>
      <c r="M2" t="s">
        <v>232</v>
      </c>
      <c r="N2" t="s">
        <v>311</v>
      </c>
      <c r="O2" t="s">
        <v>313</v>
      </c>
      <c r="Q2" t="s">
        <v>321</v>
      </c>
      <c r="T2" t="s">
        <v>337</v>
      </c>
      <c r="U2" t="s">
        <v>717</v>
      </c>
      <c r="V2" t="s">
        <v>178</v>
      </c>
      <c r="X2" t="s">
        <v>1112</v>
      </c>
      <c r="Y2" t="s">
        <v>1114</v>
      </c>
      <c r="Z2" t="s">
        <v>1561</v>
      </c>
      <c r="AA2" t="s">
        <v>1754</v>
      </c>
      <c r="AB2" t="s">
        <v>1786</v>
      </c>
      <c r="AC2">
        <v>11212</v>
      </c>
      <c r="AD2" t="s">
        <v>1787</v>
      </c>
      <c r="AE2" t="s">
        <v>1800</v>
      </c>
      <c r="AF2">
        <v>6</v>
      </c>
      <c r="AH2" t="s">
        <v>2218</v>
      </c>
      <c r="AI2" t="s">
        <v>233</v>
      </c>
      <c r="AL2" t="s">
        <v>2230</v>
      </c>
      <c r="AN2">
        <v>0</v>
      </c>
      <c r="AO2">
        <v>217</v>
      </c>
      <c r="AP2">
        <v>5.5</v>
      </c>
      <c r="AR2" t="s">
        <v>2245</v>
      </c>
      <c r="AS2" t="s">
        <v>2693</v>
      </c>
      <c r="AT2">
        <v>0</v>
      </c>
      <c r="AV2">
        <v>1</v>
      </c>
      <c r="AW2">
        <v>4</v>
      </c>
      <c r="AX2">
        <v>25.73</v>
      </c>
      <c r="BC2" t="s">
        <v>3130</v>
      </c>
      <c r="BD2">
        <v>7764</v>
      </c>
      <c r="BH2" t="s">
        <v>3153</v>
      </c>
      <c r="BK2" t="s">
        <v>3193</v>
      </c>
      <c r="BL2" t="s">
        <v>212</v>
      </c>
      <c r="BM2" t="s">
        <v>311</v>
      </c>
    </row>
    <row r="3" spans="1:65">
      <c r="A3" s="1">
        <f>HYPERLINK("https://lsnyc.legalserver.org/matter/dynamic-profile/view/1903855","19-1903855")</f>
        <v>0</v>
      </c>
      <c r="B3" t="s">
        <v>64</v>
      </c>
      <c r="C3" t="s">
        <v>70</v>
      </c>
      <c r="D3" t="s">
        <v>170</v>
      </c>
      <c r="E3" t="s">
        <v>171</v>
      </c>
      <c r="G3" t="s">
        <v>219</v>
      </c>
      <c r="I3" t="s">
        <v>230</v>
      </c>
      <c r="J3" t="s">
        <v>232</v>
      </c>
      <c r="K3" t="s">
        <v>234</v>
      </c>
      <c r="M3" t="s">
        <v>232</v>
      </c>
      <c r="O3" t="s">
        <v>172</v>
      </c>
      <c r="P3" t="s">
        <v>314</v>
      </c>
      <c r="Q3" t="s">
        <v>321</v>
      </c>
      <c r="T3" t="s">
        <v>338</v>
      </c>
      <c r="U3" t="s">
        <v>718</v>
      </c>
      <c r="V3" t="s">
        <v>186</v>
      </c>
      <c r="X3" t="s">
        <v>1112</v>
      </c>
      <c r="Y3" t="s">
        <v>1115</v>
      </c>
      <c r="Z3" t="s">
        <v>1562</v>
      </c>
      <c r="AA3" t="s">
        <v>1754</v>
      </c>
      <c r="AB3" t="s">
        <v>1786</v>
      </c>
      <c r="AC3">
        <v>11225</v>
      </c>
      <c r="AE3" t="s">
        <v>1801</v>
      </c>
      <c r="AF3">
        <v>1</v>
      </c>
      <c r="AH3" t="s">
        <v>2219</v>
      </c>
      <c r="AI3" t="s">
        <v>233</v>
      </c>
      <c r="AL3" t="s">
        <v>2230</v>
      </c>
      <c r="AN3">
        <v>0</v>
      </c>
      <c r="AO3">
        <v>176</v>
      </c>
      <c r="AP3">
        <v>16.1</v>
      </c>
      <c r="AR3" t="s">
        <v>2246</v>
      </c>
      <c r="AS3" t="s">
        <v>2694</v>
      </c>
      <c r="AT3">
        <v>4</v>
      </c>
      <c r="AV3">
        <v>1</v>
      </c>
      <c r="AW3">
        <v>0</v>
      </c>
      <c r="AX3">
        <v>33.63</v>
      </c>
      <c r="BC3" t="s">
        <v>3130</v>
      </c>
      <c r="BD3">
        <v>4200</v>
      </c>
      <c r="BH3" t="s">
        <v>3154</v>
      </c>
      <c r="BK3" t="s">
        <v>3193</v>
      </c>
      <c r="BL3" t="s">
        <v>207</v>
      </c>
    </row>
    <row r="4" spans="1:65">
      <c r="A4" s="1">
        <f>HYPERLINK("https://lsnyc.legalserver.org/matter/dynamic-profile/view/1906599","19-1906599")</f>
        <v>0</v>
      </c>
      <c r="B4" t="s">
        <v>64</v>
      </c>
      <c r="C4" t="s">
        <v>71</v>
      </c>
      <c r="D4" t="s">
        <v>170</v>
      </c>
      <c r="E4" t="s">
        <v>171</v>
      </c>
      <c r="G4" t="s">
        <v>172</v>
      </c>
      <c r="H4" t="s">
        <v>220</v>
      </c>
      <c r="I4" t="s">
        <v>172</v>
      </c>
      <c r="J4" t="s">
        <v>231</v>
      </c>
      <c r="K4" t="s">
        <v>172</v>
      </c>
      <c r="M4" t="s">
        <v>232</v>
      </c>
      <c r="N4" t="s">
        <v>311</v>
      </c>
      <c r="O4" t="s">
        <v>172</v>
      </c>
      <c r="P4" t="s">
        <v>314</v>
      </c>
      <c r="Q4" t="s">
        <v>321</v>
      </c>
      <c r="T4" t="s">
        <v>339</v>
      </c>
      <c r="U4" t="s">
        <v>719</v>
      </c>
      <c r="V4" t="s">
        <v>197</v>
      </c>
      <c r="X4" t="s">
        <v>1112</v>
      </c>
      <c r="Y4" t="s">
        <v>1116</v>
      </c>
      <c r="Z4" t="s">
        <v>1563</v>
      </c>
      <c r="AA4" t="s">
        <v>1754</v>
      </c>
      <c r="AB4" t="s">
        <v>1786</v>
      </c>
      <c r="AC4">
        <v>11233</v>
      </c>
      <c r="AD4" t="s">
        <v>1787</v>
      </c>
      <c r="AE4" t="s">
        <v>1802</v>
      </c>
      <c r="AF4">
        <v>0</v>
      </c>
      <c r="AH4" t="s">
        <v>2218</v>
      </c>
      <c r="AI4" t="s">
        <v>233</v>
      </c>
      <c r="AL4" t="s">
        <v>2230</v>
      </c>
      <c r="AN4">
        <v>0</v>
      </c>
      <c r="AO4">
        <v>0</v>
      </c>
      <c r="AP4">
        <v>0.6</v>
      </c>
      <c r="AR4" t="s">
        <v>2247</v>
      </c>
      <c r="AS4" t="s">
        <v>2695</v>
      </c>
      <c r="AT4">
        <v>2</v>
      </c>
      <c r="AV4">
        <v>1</v>
      </c>
      <c r="AW4">
        <v>0</v>
      </c>
      <c r="AX4">
        <v>17.58</v>
      </c>
      <c r="BC4" t="s">
        <v>3131</v>
      </c>
      <c r="BD4">
        <v>2196</v>
      </c>
      <c r="BH4" t="s">
        <v>3155</v>
      </c>
      <c r="BK4" t="s">
        <v>3194</v>
      </c>
      <c r="BL4" t="s">
        <v>197</v>
      </c>
      <c r="BM4" t="s">
        <v>311</v>
      </c>
    </row>
    <row r="5" spans="1:65">
      <c r="A5" s="1">
        <f>HYPERLINK("https://lsnyc.legalserver.org/matter/dynamic-profile/view/1905339","19-1905339")</f>
        <v>0</v>
      </c>
      <c r="B5" t="s">
        <v>64</v>
      </c>
      <c r="C5" t="s">
        <v>71</v>
      </c>
      <c r="D5" t="s">
        <v>170</v>
      </c>
      <c r="E5" t="s">
        <v>171</v>
      </c>
      <c r="G5" t="s">
        <v>172</v>
      </c>
      <c r="H5" t="s">
        <v>221</v>
      </c>
      <c r="I5" t="s">
        <v>172</v>
      </c>
      <c r="J5" t="s">
        <v>231</v>
      </c>
      <c r="K5" t="s">
        <v>172</v>
      </c>
      <c r="L5" t="s">
        <v>235</v>
      </c>
      <c r="M5" t="s">
        <v>232</v>
      </c>
      <c r="N5" t="s">
        <v>311</v>
      </c>
      <c r="O5" t="s">
        <v>313</v>
      </c>
      <c r="P5" t="s">
        <v>315</v>
      </c>
      <c r="Q5" t="s">
        <v>321</v>
      </c>
      <c r="T5" t="s">
        <v>340</v>
      </c>
      <c r="U5" t="s">
        <v>720</v>
      </c>
      <c r="V5" t="s">
        <v>180</v>
      </c>
      <c r="X5" t="s">
        <v>1112</v>
      </c>
      <c r="Y5" t="s">
        <v>1117</v>
      </c>
      <c r="Z5" t="s">
        <v>1564</v>
      </c>
      <c r="AA5" t="s">
        <v>1754</v>
      </c>
      <c r="AB5" t="s">
        <v>1786</v>
      </c>
      <c r="AC5">
        <v>11230</v>
      </c>
      <c r="AD5" t="s">
        <v>1787</v>
      </c>
      <c r="AE5" t="s">
        <v>1803</v>
      </c>
      <c r="AF5">
        <v>29</v>
      </c>
      <c r="AH5" t="s">
        <v>2218</v>
      </c>
      <c r="AI5" t="s">
        <v>233</v>
      </c>
      <c r="AL5" t="s">
        <v>2230</v>
      </c>
      <c r="AN5">
        <v>0</v>
      </c>
      <c r="AO5">
        <v>1050</v>
      </c>
      <c r="AP5">
        <v>0.2</v>
      </c>
      <c r="AR5" t="s">
        <v>2248</v>
      </c>
      <c r="AS5" t="s">
        <v>2696</v>
      </c>
      <c r="AT5">
        <v>60</v>
      </c>
      <c r="AV5">
        <v>1</v>
      </c>
      <c r="AW5">
        <v>0</v>
      </c>
      <c r="AX5">
        <v>133.79</v>
      </c>
      <c r="BB5" t="s">
        <v>3122</v>
      </c>
      <c r="BC5" t="s">
        <v>3130</v>
      </c>
      <c r="BD5">
        <v>16709.8</v>
      </c>
      <c r="BH5" t="s">
        <v>3155</v>
      </c>
      <c r="BK5" t="s">
        <v>3195</v>
      </c>
      <c r="BL5" t="s">
        <v>175</v>
      </c>
      <c r="BM5" t="s">
        <v>311</v>
      </c>
    </row>
    <row r="6" spans="1:65">
      <c r="A6" s="1">
        <f>HYPERLINK("https://lsnyc.legalserver.org/matter/dynamic-profile/view/1906716","19-1906716")</f>
        <v>0</v>
      </c>
      <c r="B6" t="s">
        <v>64</v>
      </c>
      <c r="C6" t="s">
        <v>71</v>
      </c>
      <c r="D6" t="s">
        <v>170</v>
      </c>
      <c r="E6" t="s">
        <v>171</v>
      </c>
      <c r="G6" t="s">
        <v>172</v>
      </c>
      <c r="H6" t="s">
        <v>221</v>
      </c>
      <c r="I6" t="s">
        <v>172</v>
      </c>
      <c r="J6" t="s">
        <v>231</v>
      </c>
      <c r="K6" t="s">
        <v>172</v>
      </c>
      <c r="M6" t="s">
        <v>232</v>
      </c>
      <c r="N6" t="s">
        <v>311</v>
      </c>
      <c r="O6" t="s">
        <v>313</v>
      </c>
      <c r="P6" t="s">
        <v>315</v>
      </c>
      <c r="Q6" t="s">
        <v>321</v>
      </c>
      <c r="T6" t="s">
        <v>341</v>
      </c>
      <c r="U6" t="s">
        <v>721</v>
      </c>
      <c r="V6" t="s">
        <v>208</v>
      </c>
      <c r="X6" t="s">
        <v>1112</v>
      </c>
      <c r="Y6" t="s">
        <v>1118</v>
      </c>
      <c r="Z6" t="s">
        <v>1565</v>
      </c>
      <c r="AA6" t="s">
        <v>1754</v>
      </c>
      <c r="AB6" t="s">
        <v>1786</v>
      </c>
      <c r="AC6">
        <v>11206</v>
      </c>
      <c r="AD6" t="s">
        <v>1787</v>
      </c>
      <c r="AE6" t="s">
        <v>1804</v>
      </c>
      <c r="AF6">
        <v>0</v>
      </c>
      <c r="AH6" t="s">
        <v>2218</v>
      </c>
      <c r="AI6" t="s">
        <v>233</v>
      </c>
      <c r="AL6" t="s">
        <v>2231</v>
      </c>
      <c r="AN6">
        <v>0</v>
      </c>
      <c r="AO6">
        <v>0</v>
      </c>
      <c r="AP6">
        <v>0</v>
      </c>
      <c r="AR6" t="s">
        <v>2249</v>
      </c>
      <c r="AT6">
        <v>0</v>
      </c>
      <c r="AV6">
        <v>1</v>
      </c>
      <c r="AW6">
        <v>0</v>
      </c>
      <c r="AX6">
        <v>66.58</v>
      </c>
      <c r="BC6" t="s">
        <v>3130</v>
      </c>
      <c r="BD6">
        <v>8316</v>
      </c>
      <c r="BH6" t="s">
        <v>3156</v>
      </c>
      <c r="BK6" t="s">
        <v>3196</v>
      </c>
      <c r="BM6" t="s">
        <v>311</v>
      </c>
    </row>
    <row r="7" spans="1:65">
      <c r="A7" s="1">
        <f>HYPERLINK("https://lsnyc.legalserver.org/matter/dynamic-profile/view/1903910","19-1903910")</f>
        <v>0</v>
      </c>
      <c r="B7" t="s">
        <v>64</v>
      </c>
      <c r="C7" t="s">
        <v>71</v>
      </c>
      <c r="D7" t="s">
        <v>170</v>
      </c>
      <c r="E7" t="s">
        <v>171</v>
      </c>
      <c r="G7" t="s">
        <v>219</v>
      </c>
      <c r="I7" t="s">
        <v>230</v>
      </c>
      <c r="J7" t="s">
        <v>232</v>
      </c>
      <c r="K7" t="s">
        <v>172</v>
      </c>
      <c r="L7" t="s">
        <v>236</v>
      </c>
      <c r="M7" t="s">
        <v>232</v>
      </c>
      <c r="O7" t="s">
        <v>313</v>
      </c>
      <c r="P7" t="s">
        <v>315</v>
      </c>
      <c r="Q7" t="s">
        <v>321</v>
      </c>
      <c r="T7" t="s">
        <v>342</v>
      </c>
      <c r="U7" t="s">
        <v>722</v>
      </c>
      <c r="V7" t="s">
        <v>186</v>
      </c>
      <c r="X7" t="s">
        <v>1112</v>
      </c>
      <c r="Y7" t="s">
        <v>1119</v>
      </c>
      <c r="Z7" t="s">
        <v>1566</v>
      </c>
      <c r="AA7" t="s">
        <v>1754</v>
      </c>
      <c r="AB7" t="s">
        <v>1786</v>
      </c>
      <c r="AC7">
        <v>11218</v>
      </c>
      <c r="AD7" t="s">
        <v>1788</v>
      </c>
      <c r="AF7">
        <v>9</v>
      </c>
      <c r="AH7" t="s">
        <v>2218</v>
      </c>
      <c r="AI7" t="s">
        <v>233</v>
      </c>
      <c r="AL7" t="s">
        <v>2230</v>
      </c>
      <c r="AN7">
        <v>0</v>
      </c>
      <c r="AO7">
        <v>1442</v>
      </c>
      <c r="AP7">
        <v>0.7</v>
      </c>
      <c r="AR7" t="s">
        <v>2250</v>
      </c>
      <c r="AS7" t="s">
        <v>2697</v>
      </c>
      <c r="AT7">
        <v>80</v>
      </c>
      <c r="AV7">
        <v>1</v>
      </c>
      <c r="AW7">
        <v>0</v>
      </c>
      <c r="AX7">
        <v>62.45</v>
      </c>
      <c r="BC7" t="s">
        <v>3130</v>
      </c>
      <c r="BD7">
        <v>7800</v>
      </c>
      <c r="BH7" t="s">
        <v>3154</v>
      </c>
      <c r="BK7" t="s">
        <v>3197</v>
      </c>
      <c r="BL7" t="s">
        <v>209</v>
      </c>
    </row>
    <row r="8" spans="1:65">
      <c r="A8" s="1">
        <f>HYPERLINK("https://lsnyc.legalserver.org/matter/dynamic-profile/view/1906636","19-1906636")</f>
        <v>0</v>
      </c>
      <c r="B8" t="s">
        <v>64</v>
      </c>
      <c r="C8" t="s">
        <v>71</v>
      </c>
      <c r="D8" t="s">
        <v>170</v>
      </c>
      <c r="E8" t="s">
        <v>171</v>
      </c>
      <c r="G8" t="s">
        <v>172</v>
      </c>
      <c r="H8" t="s">
        <v>222</v>
      </c>
      <c r="I8" t="s">
        <v>230</v>
      </c>
      <c r="J8" t="s">
        <v>233</v>
      </c>
      <c r="K8" t="s">
        <v>172</v>
      </c>
      <c r="M8" t="s">
        <v>232</v>
      </c>
      <c r="N8" t="s">
        <v>311</v>
      </c>
      <c r="O8" t="s">
        <v>172</v>
      </c>
      <c r="P8" t="s">
        <v>314</v>
      </c>
      <c r="Q8" t="s">
        <v>321</v>
      </c>
      <c r="T8" t="s">
        <v>343</v>
      </c>
      <c r="U8" t="s">
        <v>723</v>
      </c>
      <c r="V8" t="s">
        <v>197</v>
      </c>
      <c r="X8" t="s">
        <v>1112</v>
      </c>
      <c r="Y8" t="s">
        <v>1120</v>
      </c>
      <c r="Z8" t="s">
        <v>1567</v>
      </c>
      <c r="AA8" t="s">
        <v>1754</v>
      </c>
      <c r="AB8" t="s">
        <v>1786</v>
      </c>
      <c r="AC8">
        <v>11201</v>
      </c>
      <c r="AD8" t="s">
        <v>1787</v>
      </c>
      <c r="AE8" t="s">
        <v>1805</v>
      </c>
      <c r="AF8">
        <v>0</v>
      </c>
      <c r="AH8" t="s">
        <v>2218</v>
      </c>
      <c r="AI8" t="s">
        <v>233</v>
      </c>
      <c r="AL8" t="s">
        <v>2231</v>
      </c>
      <c r="AN8">
        <v>0</v>
      </c>
      <c r="AO8">
        <v>449</v>
      </c>
      <c r="AP8">
        <v>0.6</v>
      </c>
      <c r="AR8" t="s">
        <v>2251</v>
      </c>
      <c r="AS8" t="s">
        <v>2698</v>
      </c>
      <c r="AT8">
        <v>140</v>
      </c>
      <c r="AV8">
        <v>2</v>
      </c>
      <c r="AW8">
        <v>1</v>
      </c>
      <c r="AX8">
        <v>11.09</v>
      </c>
      <c r="BC8" t="s">
        <v>3130</v>
      </c>
      <c r="BD8">
        <v>2366</v>
      </c>
      <c r="BH8" t="s">
        <v>3155</v>
      </c>
      <c r="BK8" t="s">
        <v>3194</v>
      </c>
      <c r="BL8" t="s">
        <v>197</v>
      </c>
      <c r="BM8" t="s">
        <v>311</v>
      </c>
    </row>
    <row r="9" spans="1:65">
      <c r="A9" s="1">
        <f>HYPERLINK("https://lsnyc.legalserver.org/matter/dynamic-profile/view/1905939","19-1905939")</f>
        <v>0</v>
      </c>
      <c r="B9" t="s">
        <v>64</v>
      </c>
      <c r="C9" t="s">
        <v>72</v>
      </c>
      <c r="D9" t="s">
        <v>170</v>
      </c>
      <c r="E9" t="s">
        <v>171</v>
      </c>
      <c r="G9" t="s">
        <v>172</v>
      </c>
      <c r="H9" t="s">
        <v>221</v>
      </c>
      <c r="I9" t="s">
        <v>230</v>
      </c>
      <c r="J9" t="s">
        <v>232</v>
      </c>
      <c r="K9" t="s">
        <v>234</v>
      </c>
      <c r="M9" t="s">
        <v>232</v>
      </c>
      <c r="O9" t="s">
        <v>172</v>
      </c>
      <c r="P9" t="s">
        <v>316</v>
      </c>
      <c r="Q9" t="s">
        <v>321</v>
      </c>
      <c r="T9" t="s">
        <v>344</v>
      </c>
      <c r="U9" t="s">
        <v>724</v>
      </c>
      <c r="V9" t="s">
        <v>204</v>
      </c>
      <c r="X9" t="s">
        <v>1112</v>
      </c>
      <c r="Y9" t="s">
        <v>1121</v>
      </c>
      <c r="Z9" t="s">
        <v>1568</v>
      </c>
      <c r="AA9" t="s">
        <v>1754</v>
      </c>
      <c r="AB9" t="s">
        <v>1786</v>
      </c>
      <c r="AC9">
        <v>11221</v>
      </c>
      <c r="AE9" t="s">
        <v>1806</v>
      </c>
      <c r="AF9">
        <v>1</v>
      </c>
      <c r="AH9" t="s">
        <v>2219</v>
      </c>
      <c r="AI9" t="s">
        <v>233</v>
      </c>
      <c r="AJ9" t="s">
        <v>233</v>
      </c>
      <c r="AL9" t="s">
        <v>2230</v>
      </c>
      <c r="AM9" t="s">
        <v>2236</v>
      </c>
      <c r="AN9">
        <v>0</v>
      </c>
      <c r="AO9">
        <v>1619</v>
      </c>
      <c r="AP9">
        <v>8.6</v>
      </c>
      <c r="AR9" t="s">
        <v>2252</v>
      </c>
      <c r="AS9" t="s">
        <v>2699</v>
      </c>
      <c r="AT9">
        <v>0</v>
      </c>
      <c r="AU9" t="s">
        <v>3105</v>
      </c>
      <c r="AV9">
        <v>1</v>
      </c>
      <c r="AW9">
        <v>3</v>
      </c>
      <c r="AX9">
        <v>260.97</v>
      </c>
      <c r="AY9" t="s">
        <v>1098</v>
      </c>
      <c r="AZ9" t="s">
        <v>3121</v>
      </c>
      <c r="BC9" t="s">
        <v>3130</v>
      </c>
      <c r="BD9">
        <v>67200</v>
      </c>
      <c r="BH9" t="s">
        <v>3157</v>
      </c>
      <c r="BK9" t="s">
        <v>3198</v>
      </c>
      <c r="BL9" t="s">
        <v>210</v>
      </c>
    </row>
    <row r="10" spans="1:65">
      <c r="A10" s="1">
        <f>HYPERLINK("https://lsnyc.legalserver.org/matter/dynamic-profile/view/1903720","19-1903720")</f>
        <v>0</v>
      </c>
      <c r="B10" t="s">
        <v>64</v>
      </c>
      <c r="C10" t="s">
        <v>72</v>
      </c>
      <c r="D10" t="s">
        <v>170</v>
      </c>
      <c r="E10" t="s">
        <v>171</v>
      </c>
      <c r="G10" t="s">
        <v>172</v>
      </c>
      <c r="H10" t="s">
        <v>221</v>
      </c>
      <c r="I10" t="s">
        <v>172</v>
      </c>
      <c r="J10" t="s">
        <v>231</v>
      </c>
      <c r="K10" t="s">
        <v>172</v>
      </c>
      <c r="M10" t="s">
        <v>232</v>
      </c>
      <c r="N10" t="s">
        <v>311</v>
      </c>
      <c r="O10" t="s">
        <v>172</v>
      </c>
      <c r="P10" t="s">
        <v>316</v>
      </c>
      <c r="Q10" t="s">
        <v>321</v>
      </c>
      <c r="T10" t="s">
        <v>345</v>
      </c>
      <c r="U10" t="s">
        <v>725</v>
      </c>
      <c r="V10" t="s">
        <v>200</v>
      </c>
      <c r="X10" t="s">
        <v>1112</v>
      </c>
      <c r="Y10" t="s">
        <v>1122</v>
      </c>
      <c r="Z10" t="s">
        <v>1569</v>
      </c>
      <c r="AA10" t="s">
        <v>1754</v>
      </c>
      <c r="AB10" t="s">
        <v>1786</v>
      </c>
      <c r="AC10">
        <v>11216</v>
      </c>
      <c r="AD10" t="s">
        <v>1789</v>
      </c>
      <c r="AE10" t="s">
        <v>1807</v>
      </c>
      <c r="AF10">
        <v>2</v>
      </c>
      <c r="AH10" t="s">
        <v>2219</v>
      </c>
      <c r="AI10" t="s">
        <v>233</v>
      </c>
      <c r="AJ10" t="s">
        <v>233</v>
      </c>
      <c r="AL10" t="s">
        <v>2230</v>
      </c>
      <c r="AN10">
        <v>0</v>
      </c>
      <c r="AO10">
        <v>2350</v>
      </c>
      <c r="AP10">
        <v>7</v>
      </c>
      <c r="AR10" t="s">
        <v>2253</v>
      </c>
      <c r="AS10" t="s">
        <v>2700</v>
      </c>
      <c r="AT10">
        <v>0</v>
      </c>
      <c r="AV10">
        <v>1</v>
      </c>
      <c r="AW10">
        <v>0</v>
      </c>
      <c r="AX10">
        <v>192.15</v>
      </c>
      <c r="BC10" t="s">
        <v>3130</v>
      </c>
      <c r="BD10">
        <v>24000</v>
      </c>
      <c r="BH10" t="s">
        <v>3156</v>
      </c>
      <c r="BK10" t="s">
        <v>3198</v>
      </c>
      <c r="BL10" t="s">
        <v>1099</v>
      </c>
      <c r="BM10" t="s">
        <v>311</v>
      </c>
    </row>
    <row r="11" spans="1:65">
      <c r="A11" s="1">
        <f>HYPERLINK("https://lsnyc.legalserver.org/matter/dynamic-profile/view/1903742","19-1903742")</f>
        <v>0</v>
      </c>
      <c r="B11" t="s">
        <v>64</v>
      </c>
      <c r="C11" t="s">
        <v>72</v>
      </c>
      <c r="D11" t="s">
        <v>170</v>
      </c>
      <c r="E11" t="s">
        <v>171</v>
      </c>
      <c r="G11" t="s">
        <v>172</v>
      </c>
      <c r="H11" t="s">
        <v>221</v>
      </c>
      <c r="I11" t="s">
        <v>172</v>
      </c>
      <c r="J11" t="s">
        <v>231</v>
      </c>
      <c r="K11" t="s">
        <v>172</v>
      </c>
      <c r="M11" t="s">
        <v>232</v>
      </c>
      <c r="N11" t="s">
        <v>311</v>
      </c>
      <c r="O11" t="s">
        <v>172</v>
      </c>
      <c r="P11" t="s">
        <v>316</v>
      </c>
      <c r="Q11" t="s">
        <v>321</v>
      </c>
      <c r="T11" t="s">
        <v>346</v>
      </c>
      <c r="U11" t="s">
        <v>726</v>
      </c>
      <c r="V11" t="s">
        <v>200</v>
      </c>
      <c r="X11" t="s">
        <v>1112</v>
      </c>
      <c r="Y11" t="s">
        <v>1123</v>
      </c>
      <c r="Z11" t="s">
        <v>1570</v>
      </c>
      <c r="AA11" t="s">
        <v>1754</v>
      </c>
      <c r="AB11" t="s">
        <v>1786</v>
      </c>
      <c r="AC11">
        <v>11216</v>
      </c>
      <c r="AD11" t="s">
        <v>1789</v>
      </c>
      <c r="AE11" t="s">
        <v>1808</v>
      </c>
      <c r="AF11">
        <v>30</v>
      </c>
      <c r="AH11" t="s">
        <v>2219</v>
      </c>
      <c r="AI11" t="s">
        <v>233</v>
      </c>
      <c r="AJ11" t="s">
        <v>233</v>
      </c>
      <c r="AL11" t="s">
        <v>2230</v>
      </c>
      <c r="AN11">
        <v>0</v>
      </c>
      <c r="AO11">
        <v>256</v>
      </c>
      <c r="AP11">
        <v>4.6</v>
      </c>
      <c r="AR11" t="s">
        <v>2254</v>
      </c>
      <c r="AS11" t="s">
        <v>2701</v>
      </c>
      <c r="AT11">
        <v>0</v>
      </c>
      <c r="AV11">
        <v>1</v>
      </c>
      <c r="AW11">
        <v>0</v>
      </c>
      <c r="AX11">
        <v>107.03</v>
      </c>
      <c r="BB11" t="s">
        <v>3123</v>
      </c>
      <c r="BC11" t="s">
        <v>3130</v>
      </c>
      <c r="BD11">
        <v>13368</v>
      </c>
      <c r="BH11" t="s">
        <v>3156</v>
      </c>
      <c r="BK11" t="s">
        <v>3199</v>
      </c>
      <c r="BL11" t="s">
        <v>1099</v>
      </c>
      <c r="BM11" t="s">
        <v>311</v>
      </c>
    </row>
    <row r="12" spans="1:65">
      <c r="A12" s="1">
        <f>HYPERLINK("https://lsnyc.legalserver.org/matter/dynamic-profile/view/1904387","19-1904387")</f>
        <v>0</v>
      </c>
      <c r="B12" t="s">
        <v>64</v>
      </c>
      <c r="C12" t="s">
        <v>73</v>
      </c>
      <c r="D12" t="s">
        <v>170</v>
      </c>
      <c r="E12" t="s">
        <v>172</v>
      </c>
      <c r="F12" t="s">
        <v>174</v>
      </c>
      <c r="G12" t="s">
        <v>219</v>
      </c>
      <c r="I12" t="s">
        <v>172</v>
      </c>
      <c r="J12" t="s">
        <v>231</v>
      </c>
      <c r="K12" t="s">
        <v>172</v>
      </c>
      <c r="L12" t="s">
        <v>237</v>
      </c>
      <c r="M12" t="s">
        <v>232</v>
      </c>
      <c r="N12" t="s">
        <v>311</v>
      </c>
      <c r="O12" t="s">
        <v>313</v>
      </c>
      <c r="P12" t="s">
        <v>315</v>
      </c>
      <c r="Q12" t="s">
        <v>321</v>
      </c>
      <c r="T12" t="s">
        <v>347</v>
      </c>
      <c r="U12" t="s">
        <v>727</v>
      </c>
      <c r="V12" t="s">
        <v>174</v>
      </c>
      <c r="X12" t="s">
        <v>1112</v>
      </c>
      <c r="Y12" t="s">
        <v>1124</v>
      </c>
      <c r="Z12" t="s">
        <v>1571</v>
      </c>
      <c r="AA12" t="s">
        <v>1754</v>
      </c>
      <c r="AB12" t="s">
        <v>1786</v>
      </c>
      <c r="AC12">
        <v>11249</v>
      </c>
      <c r="AD12" t="s">
        <v>1787</v>
      </c>
      <c r="AF12">
        <v>3</v>
      </c>
      <c r="AH12" t="s">
        <v>2218</v>
      </c>
      <c r="AI12" t="s">
        <v>233</v>
      </c>
      <c r="AL12" t="s">
        <v>2230</v>
      </c>
      <c r="AN12">
        <v>0</v>
      </c>
      <c r="AO12">
        <v>1159</v>
      </c>
      <c r="AP12">
        <v>0</v>
      </c>
      <c r="AR12" t="s">
        <v>2255</v>
      </c>
      <c r="AS12" t="s">
        <v>2702</v>
      </c>
      <c r="AT12">
        <v>83</v>
      </c>
      <c r="AU12" t="s">
        <v>3105</v>
      </c>
      <c r="AV12">
        <v>1</v>
      </c>
      <c r="AW12">
        <v>0</v>
      </c>
      <c r="AX12">
        <v>58.9</v>
      </c>
      <c r="BC12" t="s">
        <v>3130</v>
      </c>
      <c r="BD12">
        <v>7356</v>
      </c>
      <c r="BH12" t="s">
        <v>3154</v>
      </c>
      <c r="BK12" t="s">
        <v>3200</v>
      </c>
      <c r="BM12" t="s">
        <v>311</v>
      </c>
    </row>
    <row r="13" spans="1:65">
      <c r="A13" s="1">
        <f>HYPERLINK("https://lsnyc.legalserver.org/matter/dynamic-profile/view/1908398","19-1908398")</f>
        <v>0</v>
      </c>
      <c r="B13" t="s">
        <v>64</v>
      </c>
      <c r="C13" t="s">
        <v>72</v>
      </c>
      <c r="D13" t="s">
        <v>170</v>
      </c>
      <c r="E13" t="s">
        <v>171</v>
      </c>
      <c r="G13" t="s">
        <v>172</v>
      </c>
      <c r="H13" t="s">
        <v>223</v>
      </c>
      <c r="I13" t="s">
        <v>230</v>
      </c>
      <c r="J13" t="s">
        <v>232</v>
      </c>
      <c r="K13" t="s">
        <v>234</v>
      </c>
      <c r="M13" t="s">
        <v>232</v>
      </c>
      <c r="O13" t="s">
        <v>172</v>
      </c>
      <c r="P13" t="s">
        <v>317</v>
      </c>
      <c r="Q13" t="s">
        <v>321</v>
      </c>
      <c r="T13" t="s">
        <v>348</v>
      </c>
      <c r="U13" t="s">
        <v>457</v>
      </c>
      <c r="V13" t="s">
        <v>1097</v>
      </c>
      <c r="X13" t="s">
        <v>1112</v>
      </c>
      <c r="Y13" t="s">
        <v>1125</v>
      </c>
      <c r="Z13" t="s">
        <v>1572</v>
      </c>
      <c r="AA13" t="s">
        <v>1754</v>
      </c>
      <c r="AB13" t="s">
        <v>1786</v>
      </c>
      <c r="AC13">
        <v>11226</v>
      </c>
      <c r="AD13" t="s">
        <v>1788</v>
      </c>
      <c r="AF13">
        <v>35</v>
      </c>
      <c r="AH13" t="s">
        <v>2218</v>
      </c>
      <c r="AI13" t="s">
        <v>233</v>
      </c>
      <c r="AJ13" t="s">
        <v>233</v>
      </c>
      <c r="AL13" t="s">
        <v>2232</v>
      </c>
      <c r="AN13">
        <v>0</v>
      </c>
      <c r="AO13">
        <v>1378.1</v>
      </c>
      <c r="AP13">
        <v>7.4</v>
      </c>
      <c r="AR13" t="s">
        <v>2256</v>
      </c>
      <c r="AS13" t="s">
        <v>2703</v>
      </c>
      <c r="AT13">
        <v>0</v>
      </c>
      <c r="AU13" t="s">
        <v>3106</v>
      </c>
      <c r="AV13">
        <v>2</v>
      </c>
      <c r="AW13">
        <v>2</v>
      </c>
      <c r="AX13">
        <v>34.02</v>
      </c>
      <c r="BB13" t="s">
        <v>3123</v>
      </c>
      <c r="BC13" t="s">
        <v>3130</v>
      </c>
      <c r="BD13">
        <v>8759.4</v>
      </c>
      <c r="BH13" t="s">
        <v>72</v>
      </c>
      <c r="BK13" t="s">
        <v>3201</v>
      </c>
      <c r="BL13" t="s">
        <v>210</v>
      </c>
    </row>
    <row r="14" spans="1:65">
      <c r="A14" s="1">
        <f>HYPERLINK("https://lsnyc.legalserver.org/matter/dynamic-profile/view/1906301","19-1906301")</f>
        <v>0</v>
      </c>
      <c r="B14" t="s">
        <v>64</v>
      </c>
      <c r="C14" t="s">
        <v>74</v>
      </c>
      <c r="D14" t="s">
        <v>170</v>
      </c>
      <c r="E14" t="s">
        <v>171</v>
      </c>
      <c r="G14" t="s">
        <v>172</v>
      </c>
      <c r="H14" t="s">
        <v>220</v>
      </c>
      <c r="I14" t="s">
        <v>172</v>
      </c>
      <c r="J14" t="s">
        <v>231</v>
      </c>
      <c r="K14" t="s">
        <v>172</v>
      </c>
      <c r="M14" t="s">
        <v>232</v>
      </c>
      <c r="N14" t="s">
        <v>311</v>
      </c>
      <c r="O14" t="s">
        <v>172</v>
      </c>
      <c r="P14" t="s">
        <v>316</v>
      </c>
      <c r="Q14" t="s">
        <v>321</v>
      </c>
      <c r="T14" t="s">
        <v>349</v>
      </c>
      <c r="U14" t="s">
        <v>728</v>
      </c>
      <c r="V14" t="s">
        <v>195</v>
      </c>
      <c r="X14" t="s">
        <v>1112</v>
      </c>
      <c r="Y14" t="s">
        <v>1126</v>
      </c>
      <c r="Z14" t="s">
        <v>1573</v>
      </c>
      <c r="AA14" t="s">
        <v>1754</v>
      </c>
      <c r="AB14" t="s">
        <v>1786</v>
      </c>
      <c r="AC14">
        <v>11226</v>
      </c>
      <c r="AD14" t="s">
        <v>1787</v>
      </c>
      <c r="AE14" t="s">
        <v>1809</v>
      </c>
      <c r="AF14">
        <v>9</v>
      </c>
      <c r="AH14" t="s">
        <v>2219</v>
      </c>
      <c r="AI14" t="s">
        <v>233</v>
      </c>
      <c r="AJ14" t="s">
        <v>233</v>
      </c>
      <c r="AL14" t="s">
        <v>2230</v>
      </c>
      <c r="AN14">
        <v>0</v>
      </c>
      <c r="AO14">
        <v>1380.12</v>
      </c>
      <c r="AP14">
        <v>0</v>
      </c>
      <c r="AR14" t="s">
        <v>2257</v>
      </c>
      <c r="AS14" t="s">
        <v>2704</v>
      </c>
      <c r="AT14">
        <v>0</v>
      </c>
      <c r="AV14">
        <v>1</v>
      </c>
      <c r="AW14">
        <v>2</v>
      </c>
      <c r="AX14">
        <v>146.27</v>
      </c>
      <c r="BC14" t="s">
        <v>3130</v>
      </c>
      <c r="BD14">
        <v>31200</v>
      </c>
      <c r="BH14" t="s">
        <v>3156</v>
      </c>
      <c r="BK14" t="s">
        <v>3202</v>
      </c>
      <c r="BM14" t="s">
        <v>311</v>
      </c>
    </row>
    <row r="15" spans="1:65">
      <c r="A15" s="1">
        <f>HYPERLINK("https://lsnyc.legalserver.org/matter/dynamic-profile/view/1908070","19-1908070")</f>
        <v>0</v>
      </c>
      <c r="B15" t="s">
        <v>64</v>
      </c>
      <c r="C15" t="s">
        <v>74</v>
      </c>
      <c r="D15" t="s">
        <v>170</v>
      </c>
      <c r="E15" t="s">
        <v>171</v>
      </c>
      <c r="G15" t="s">
        <v>172</v>
      </c>
      <c r="H15" t="s">
        <v>221</v>
      </c>
      <c r="I15" t="s">
        <v>172</v>
      </c>
      <c r="J15" t="s">
        <v>231</v>
      </c>
      <c r="K15" t="s">
        <v>172</v>
      </c>
      <c r="M15" t="s">
        <v>232</v>
      </c>
      <c r="N15" t="s">
        <v>311</v>
      </c>
      <c r="O15" t="s">
        <v>172</v>
      </c>
      <c r="P15" t="s">
        <v>316</v>
      </c>
      <c r="Q15" t="s">
        <v>321</v>
      </c>
      <c r="T15" t="s">
        <v>350</v>
      </c>
      <c r="U15" t="s">
        <v>729</v>
      </c>
      <c r="V15" t="s">
        <v>1098</v>
      </c>
      <c r="X15" t="s">
        <v>1112</v>
      </c>
      <c r="Y15" t="s">
        <v>1127</v>
      </c>
      <c r="Z15" t="s">
        <v>1574</v>
      </c>
      <c r="AA15" t="s">
        <v>1754</v>
      </c>
      <c r="AB15" t="s">
        <v>1786</v>
      </c>
      <c r="AC15">
        <v>11225</v>
      </c>
      <c r="AD15" t="s">
        <v>1789</v>
      </c>
      <c r="AE15" t="s">
        <v>1810</v>
      </c>
      <c r="AF15">
        <v>0</v>
      </c>
      <c r="AH15" t="s">
        <v>2219</v>
      </c>
      <c r="AI15" t="s">
        <v>233</v>
      </c>
      <c r="AJ15" t="s">
        <v>233</v>
      </c>
      <c r="AL15" t="s">
        <v>2230</v>
      </c>
      <c r="AN15">
        <v>0</v>
      </c>
      <c r="AO15">
        <v>0</v>
      </c>
      <c r="AP15">
        <v>0.75</v>
      </c>
      <c r="AR15" t="s">
        <v>2258</v>
      </c>
      <c r="AS15" t="s">
        <v>2705</v>
      </c>
      <c r="AT15">
        <v>0</v>
      </c>
      <c r="AV15">
        <v>1</v>
      </c>
      <c r="AW15">
        <v>0</v>
      </c>
      <c r="AX15">
        <v>184.15</v>
      </c>
      <c r="BC15" t="s">
        <v>3130</v>
      </c>
      <c r="BD15">
        <v>23000</v>
      </c>
      <c r="BH15" t="s">
        <v>3156</v>
      </c>
      <c r="BK15" t="s">
        <v>3198</v>
      </c>
      <c r="BL15" t="s">
        <v>1098</v>
      </c>
      <c r="BM15" t="s">
        <v>311</v>
      </c>
    </row>
    <row r="16" spans="1:65">
      <c r="A16" s="1">
        <f>HYPERLINK("https://lsnyc.legalserver.org/matter/dynamic-profile/view/1906182","19-1906182")</f>
        <v>0</v>
      </c>
      <c r="B16" t="s">
        <v>64</v>
      </c>
      <c r="C16" t="s">
        <v>74</v>
      </c>
      <c r="D16" t="s">
        <v>170</v>
      </c>
      <c r="E16" t="s">
        <v>171</v>
      </c>
      <c r="G16" t="s">
        <v>172</v>
      </c>
      <c r="H16" t="s">
        <v>221</v>
      </c>
      <c r="I16" t="s">
        <v>172</v>
      </c>
      <c r="J16" t="s">
        <v>231</v>
      </c>
      <c r="K16" t="s">
        <v>172</v>
      </c>
      <c r="M16" t="s">
        <v>232</v>
      </c>
      <c r="N16" t="s">
        <v>311</v>
      </c>
      <c r="O16" t="s">
        <v>172</v>
      </c>
      <c r="P16" t="s">
        <v>316</v>
      </c>
      <c r="Q16" t="s">
        <v>321</v>
      </c>
      <c r="T16" t="s">
        <v>351</v>
      </c>
      <c r="U16" t="s">
        <v>730</v>
      </c>
      <c r="V16" t="s">
        <v>209</v>
      </c>
      <c r="X16" t="s">
        <v>1112</v>
      </c>
      <c r="Y16" t="s">
        <v>1128</v>
      </c>
      <c r="Z16" t="s">
        <v>1575</v>
      </c>
      <c r="AA16" t="s">
        <v>1754</v>
      </c>
      <c r="AB16" t="s">
        <v>1786</v>
      </c>
      <c r="AC16">
        <v>11226</v>
      </c>
      <c r="AD16" t="s">
        <v>1787</v>
      </c>
      <c r="AE16" t="s">
        <v>1811</v>
      </c>
      <c r="AF16">
        <v>32</v>
      </c>
      <c r="AH16" t="s">
        <v>2219</v>
      </c>
      <c r="AI16" t="s">
        <v>233</v>
      </c>
      <c r="AJ16" t="s">
        <v>233</v>
      </c>
      <c r="AL16" t="s">
        <v>2230</v>
      </c>
      <c r="AN16">
        <v>0</v>
      </c>
      <c r="AO16">
        <v>1848</v>
      </c>
      <c r="AP16">
        <v>0.75</v>
      </c>
      <c r="AR16" t="s">
        <v>2259</v>
      </c>
      <c r="AS16" t="s">
        <v>2706</v>
      </c>
      <c r="AT16">
        <v>0</v>
      </c>
      <c r="AV16">
        <v>2</v>
      </c>
      <c r="AW16">
        <v>3</v>
      </c>
      <c r="AX16">
        <v>165.73</v>
      </c>
      <c r="BB16" t="s">
        <v>3123</v>
      </c>
      <c r="BC16" t="s">
        <v>3130</v>
      </c>
      <c r="BD16">
        <v>50000</v>
      </c>
      <c r="BH16" t="s">
        <v>3156</v>
      </c>
      <c r="BK16" t="s">
        <v>3198</v>
      </c>
      <c r="BL16" t="s">
        <v>1097</v>
      </c>
      <c r="BM16" t="s">
        <v>311</v>
      </c>
    </row>
    <row r="17" spans="1:65">
      <c r="A17" s="1">
        <f>HYPERLINK("https://lsnyc.legalserver.org/matter/dynamic-profile/view/1903794","19-1903794")</f>
        <v>0</v>
      </c>
      <c r="B17" t="s">
        <v>64</v>
      </c>
      <c r="C17" t="s">
        <v>74</v>
      </c>
      <c r="D17" t="s">
        <v>170</v>
      </c>
      <c r="E17" t="s">
        <v>171</v>
      </c>
      <c r="G17" t="s">
        <v>172</v>
      </c>
      <c r="H17" t="s">
        <v>220</v>
      </c>
      <c r="I17" t="s">
        <v>172</v>
      </c>
      <c r="J17" t="s">
        <v>231</v>
      </c>
      <c r="K17" t="s">
        <v>172</v>
      </c>
      <c r="M17" t="s">
        <v>232</v>
      </c>
      <c r="N17" t="s">
        <v>311</v>
      </c>
      <c r="O17" t="s">
        <v>172</v>
      </c>
      <c r="P17" t="s">
        <v>316</v>
      </c>
      <c r="Q17" t="s">
        <v>321</v>
      </c>
      <c r="T17" t="s">
        <v>352</v>
      </c>
      <c r="U17" t="s">
        <v>731</v>
      </c>
      <c r="V17" t="s">
        <v>186</v>
      </c>
      <c r="X17" t="s">
        <v>1112</v>
      </c>
      <c r="Y17" t="s">
        <v>1129</v>
      </c>
      <c r="Z17" t="s">
        <v>1576</v>
      </c>
      <c r="AA17" t="s">
        <v>1754</v>
      </c>
      <c r="AB17" t="s">
        <v>1786</v>
      </c>
      <c r="AC17">
        <v>11225</v>
      </c>
      <c r="AD17" t="s">
        <v>1789</v>
      </c>
      <c r="AE17" t="s">
        <v>1812</v>
      </c>
      <c r="AF17">
        <v>4</v>
      </c>
      <c r="AH17" t="s">
        <v>2219</v>
      </c>
      <c r="AI17" t="s">
        <v>233</v>
      </c>
      <c r="AJ17" t="s">
        <v>233</v>
      </c>
      <c r="AL17" t="s">
        <v>2230</v>
      </c>
      <c r="AN17">
        <v>0</v>
      </c>
      <c r="AO17">
        <v>1036.29</v>
      </c>
      <c r="AP17">
        <v>0.5</v>
      </c>
      <c r="AR17" t="s">
        <v>2260</v>
      </c>
      <c r="AT17">
        <v>0</v>
      </c>
      <c r="AV17">
        <v>1</v>
      </c>
      <c r="AW17">
        <v>0</v>
      </c>
      <c r="AX17">
        <v>96.08</v>
      </c>
      <c r="BC17" t="s">
        <v>3130</v>
      </c>
      <c r="BD17">
        <v>12000</v>
      </c>
      <c r="BH17" t="s">
        <v>3156</v>
      </c>
      <c r="BK17" t="s">
        <v>3198</v>
      </c>
      <c r="BL17" t="s">
        <v>209</v>
      </c>
      <c r="BM17" t="s">
        <v>311</v>
      </c>
    </row>
    <row r="18" spans="1:65">
      <c r="A18" s="1">
        <f>HYPERLINK("https://lsnyc.legalserver.org/matter/dynamic-profile/view/1906176","19-1906176")</f>
        <v>0</v>
      </c>
      <c r="B18" t="s">
        <v>64</v>
      </c>
      <c r="C18" t="s">
        <v>75</v>
      </c>
      <c r="D18" t="s">
        <v>170</v>
      </c>
      <c r="E18" t="s">
        <v>171</v>
      </c>
      <c r="G18" t="s">
        <v>172</v>
      </c>
      <c r="H18" t="s">
        <v>221</v>
      </c>
      <c r="I18" t="s">
        <v>172</v>
      </c>
      <c r="J18" t="s">
        <v>231</v>
      </c>
      <c r="K18" t="s">
        <v>172</v>
      </c>
      <c r="L18">
        <v>33807854</v>
      </c>
      <c r="M18" t="s">
        <v>232</v>
      </c>
      <c r="N18" t="s">
        <v>311</v>
      </c>
      <c r="O18" t="s">
        <v>172</v>
      </c>
      <c r="P18" t="s">
        <v>316</v>
      </c>
      <c r="Q18" t="s">
        <v>321</v>
      </c>
      <c r="T18" t="s">
        <v>353</v>
      </c>
      <c r="U18" t="s">
        <v>732</v>
      </c>
      <c r="V18" t="s">
        <v>209</v>
      </c>
      <c r="X18" t="s">
        <v>1112</v>
      </c>
      <c r="Y18" t="s">
        <v>1130</v>
      </c>
      <c r="Z18" t="s">
        <v>1577</v>
      </c>
      <c r="AA18" t="s">
        <v>1754</v>
      </c>
      <c r="AB18" t="s">
        <v>1786</v>
      </c>
      <c r="AC18">
        <v>11226</v>
      </c>
      <c r="AD18" t="s">
        <v>1787</v>
      </c>
      <c r="AE18" t="s">
        <v>1813</v>
      </c>
      <c r="AF18">
        <v>26</v>
      </c>
      <c r="AH18" t="s">
        <v>2219</v>
      </c>
      <c r="AI18" t="s">
        <v>233</v>
      </c>
      <c r="AJ18" t="s">
        <v>233</v>
      </c>
      <c r="AL18" t="s">
        <v>2230</v>
      </c>
      <c r="AM18" t="s">
        <v>2236</v>
      </c>
      <c r="AN18">
        <v>0</v>
      </c>
      <c r="AO18">
        <v>1431</v>
      </c>
      <c r="AP18">
        <v>1.4</v>
      </c>
      <c r="AR18" t="s">
        <v>2261</v>
      </c>
      <c r="AS18" t="s">
        <v>2707</v>
      </c>
      <c r="AT18">
        <v>110</v>
      </c>
      <c r="AV18">
        <v>4</v>
      </c>
      <c r="AW18">
        <v>1</v>
      </c>
      <c r="AX18">
        <v>112.36</v>
      </c>
      <c r="BB18" t="s">
        <v>252</v>
      </c>
      <c r="BC18" t="s">
        <v>3130</v>
      </c>
      <c r="BD18">
        <v>33900</v>
      </c>
      <c r="BH18" t="s">
        <v>3156</v>
      </c>
      <c r="BK18" t="s">
        <v>3203</v>
      </c>
      <c r="BL18" t="s">
        <v>213</v>
      </c>
      <c r="BM18" t="s">
        <v>311</v>
      </c>
    </row>
    <row r="19" spans="1:65">
      <c r="A19" s="1">
        <f>HYPERLINK("https://lsnyc.legalserver.org/matter/dynamic-profile/view/1903836","19-1903836")</f>
        <v>0</v>
      </c>
      <c r="B19" t="s">
        <v>64</v>
      </c>
      <c r="C19" t="s">
        <v>74</v>
      </c>
      <c r="D19" t="s">
        <v>170</v>
      </c>
      <c r="E19" t="s">
        <v>171</v>
      </c>
      <c r="G19" t="s">
        <v>172</v>
      </c>
      <c r="H19" t="s">
        <v>221</v>
      </c>
      <c r="I19" t="s">
        <v>172</v>
      </c>
      <c r="J19" t="s">
        <v>231</v>
      </c>
      <c r="K19" t="s">
        <v>172</v>
      </c>
      <c r="M19" t="s">
        <v>232</v>
      </c>
      <c r="N19" t="s">
        <v>311</v>
      </c>
      <c r="O19" t="s">
        <v>172</v>
      </c>
      <c r="P19" t="s">
        <v>316</v>
      </c>
      <c r="Q19" t="s">
        <v>321</v>
      </c>
      <c r="T19" t="s">
        <v>354</v>
      </c>
      <c r="U19" t="s">
        <v>733</v>
      </c>
      <c r="V19" t="s">
        <v>186</v>
      </c>
      <c r="X19" t="s">
        <v>1112</v>
      </c>
      <c r="Y19" t="s">
        <v>1131</v>
      </c>
      <c r="Z19" t="s">
        <v>1578</v>
      </c>
      <c r="AA19" t="s">
        <v>1754</v>
      </c>
      <c r="AB19" t="s">
        <v>1786</v>
      </c>
      <c r="AC19">
        <v>11221</v>
      </c>
      <c r="AD19" t="s">
        <v>1789</v>
      </c>
      <c r="AE19" t="s">
        <v>1814</v>
      </c>
      <c r="AF19">
        <v>11</v>
      </c>
      <c r="AH19" t="s">
        <v>2219</v>
      </c>
      <c r="AI19" t="s">
        <v>233</v>
      </c>
      <c r="AL19" t="s">
        <v>2230</v>
      </c>
      <c r="AN19">
        <v>0</v>
      </c>
      <c r="AO19">
        <v>1575</v>
      </c>
      <c r="AP19">
        <v>9.25</v>
      </c>
      <c r="AR19" t="s">
        <v>2262</v>
      </c>
      <c r="AS19" t="s">
        <v>2708</v>
      </c>
      <c r="AT19">
        <v>2</v>
      </c>
      <c r="AV19">
        <v>2</v>
      </c>
      <c r="AW19">
        <v>0</v>
      </c>
      <c r="AX19">
        <v>171.5</v>
      </c>
      <c r="BC19" t="s">
        <v>3130</v>
      </c>
      <c r="BD19">
        <v>29000</v>
      </c>
      <c r="BH19" t="s">
        <v>3155</v>
      </c>
      <c r="BK19" t="s">
        <v>3198</v>
      </c>
      <c r="BL19" t="s">
        <v>199</v>
      </c>
      <c r="BM19" t="s">
        <v>311</v>
      </c>
    </row>
    <row r="20" spans="1:65">
      <c r="A20" s="1">
        <f>HYPERLINK("https://lsnyc.legalserver.org/matter/dynamic-profile/view/1907243","19-1907243")</f>
        <v>0</v>
      </c>
      <c r="B20" t="s">
        <v>64</v>
      </c>
      <c r="C20" t="s">
        <v>74</v>
      </c>
      <c r="D20" t="s">
        <v>170</v>
      </c>
      <c r="E20" t="s">
        <v>171</v>
      </c>
      <c r="G20" t="s">
        <v>172</v>
      </c>
      <c r="H20" t="s">
        <v>220</v>
      </c>
      <c r="I20" t="s">
        <v>172</v>
      </c>
      <c r="J20" t="s">
        <v>231</v>
      </c>
      <c r="K20" t="s">
        <v>172</v>
      </c>
      <c r="M20" t="s">
        <v>232</v>
      </c>
      <c r="N20" t="s">
        <v>311</v>
      </c>
      <c r="O20" t="s">
        <v>313</v>
      </c>
      <c r="P20" t="s">
        <v>315</v>
      </c>
      <c r="Q20" t="s">
        <v>321</v>
      </c>
      <c r="T20" t="s">
        <v>355</v>
      </c>
      <c r="U20" t="s">
        <v>734</v>
      </c>
      <c r="V20" t="s">
        <v>193</v>
      </c>
      <c r="X20" t="s">
        <v>1112</v>
      </c>
      <c r="Y20" t="s">
        <v>1132</v>
      </c>
      <c r="Z20" t="s">
        <v>1572</v>
      </c>
      <c r="AA20" t="s">
        <v>1754</v>
      </c>
      <c r="AB20" t="s">
        <v>1786</v>
      </c>
      <c r="AC20">
        <v>11221</v>
      </c>
      <c r="AD20" t="s">
        <v>1788</v>
      </c>
      <c r="AF20">
        <v>5</v>
      </c>
      <c r="AH20" t="s">
        <v>2219</v>
      </c>
      <c r="AI20" t="s">
        <v>233</v>
      </c>
      <c r="AL20" t="s">
        <v>2230</v>
      </c>
      <c r="AN20">
        <v>0</v>
      </c>
      <c r="AO20">
        <v>1119</v>
      </c>
      <c r="AP20">
        <v>1.25</v>
      </c>
      <c r="AR20" t="s">
        <v>2263</v>
      </c>
      <c r="AS20" t="s">
        <v>2709</v>
      </c>
      <c r="AT20">
        <v>6</v>
      </c>
      <c r="AU20" t="s">
        <v>3106</v>
      </c>
      <c r="AV20">
        <v>2</v>
      </c>
      <c r="AW20">
        <v>0</v>
      </c>
      <c r="AX20">
        <v>184.51</v>
      </c>
      <c r="BB20" t="s">
        <v>252</v>
      </c>
      <c r="BC20" t="s">
        <v>3130</v>
      </c>
      <c r="BD20">
        <v>31200</v>
      </c>
      <c r="BH20" t="s">
        <v>3155</v>
      </c>
      <c r="BK20" t="s">
        <v>3198</v>
      </c>
      <c r="BL20" t="s">
        <v>178</v>
      </c>
      <c r="BM20" t="s">
        <v>311</v>
      </c>
    </row>
    <row r="21" spans="1:65">
      <c r="A21" s="1">
        <f>HYPERLINK("https://lsnyc.legalserver.org/matter/dynamic-profile/view/1906264","19-1906264")</f>
        <v>0</v>
      </c>
      <c r="B21" t="s">
        <v>64</v>
      </c>
      <c r="C21" t="s">
        <v>74</v>
      </c>
      <c r="D21" t="s">
        <v>170</v>
      </c>
      <c r="E21" t="s">
        <v>171</v>
      </c>
      <c r="G21" t="s">
        <v>172</v>
      </c>
      <c r="H21" t="s">
        <v>221</v>
      </c>
      <c r="I21" t="s">
        <v>172</v>
      </c>
      <c r="J21" t="s">
        <v>231</v>
      </c>
      <c r="K21" t="s">
        <v>172</v>
      </c>
      <c r="M21" t="s">
        <v>232</v>
      </c>
      <c r="N21" t="s">
        <v>311</v>
      </c>
      <c r="O21" t="s">
        <v>172</v>
      </c>
      <c r="P21" t="s">
        <v>316</v>
      </c>
      <c r="Q21" t="s">
        <v>321</v>
      </c>
      <c r="T21" t="s">
        <v>356</v>
      </c>
      <c r="U21" t="s">
        <v>735</v>
      </c>
      <c r="V21" t="s">
        <v>195</v>
      </c>
      <c r="X21" t="s">
        <v>1112</v>
      </c>
      <c r="Y21" t="s">
        <v>1128</v>
      </c>
      <c r="Z21" t="s">
        <v>1579</v>
      </c>
      <c r="AA21" t="s">
        <v>1754</v>
      </c>
      <c r="AB21" t="s">
        <v>1786</v>
      </c>
      <c r="AC21">
        <v>11226</v>
      </c>
      <c r="AD21" t="s">
        <v>1787</v>
      </c>
      <c r="AE21" t="s">
        <v>1815</v>
      </c>
      <c r="AF21">
        <v>7</v>
      </c>
      <c r="AH21" t="s">
        <v>2219</v>
      </c>
      <c r="AI21" t="s">
        <v>233</v>
      </c>
      <c r="AJ21" t="s">
        <v>233</v>
      </c>
      <c r="AL21" t="s">
        <v>2230</v>
      </c>
      <c r="AM21" t="s">
        <v>2236</v>
      </c>
      <c r="AN21">
        <v>0</v>
      </c>
      <c r="AO21">
        <v>1250</v>
      </c>
      <c r="AP21">
        <v>3.5</v>
      </c>
      <c r="AR21" t="s">
        <v>2264</v>
      </c>
      <c r="AS21" t="s">
        <v>2710</v>
      </c>
      <c r="AT21">
        <v>85</v>
      </c>
      <c r="AU21" t="s">
        <v>3106</v>
      </c>
      <c r="AV21">
        <v>2</v>
      </c>
      <c r="AW21">
        <v>1</v>
      </c>
      <c r="AX21">
        <v>160.9</v>
      </c>
      <c r="BB21" t="s">
        <v>3122</v>
      </c>
      <c r="BC21" t="s">
        <v>3130</v>
      </c>
      <c r="BD21">
        <v>34320</v>
      </c>
      <c r="BH21" t="s">
        <v>3156</v>
      </c>
      <c r="BK21" t="s">
        <v>3203</v>
      </c>
      <c r="BL21" t="s">
        <v>210</v>
      </c>
      <c r="BM21" t="s">
        <v>311</v>
      </c>
    </row>
    <row r="22" spans="1:65">
      <c r="A22" s="1">
        <f>HYPERLINK("https://lsnyc.legalserver.org/matter/dynamic-profile/view/1906155","19-1906155")</f>
        <v>0</v>
      </c>
      <c r="B22" t="s">
        <v>64</v>
      </c>
      <c r="C22" t="s">
        <v>76</v>
      </c>
      <c r="D22" t="s">
        <v>170</v>
      </c>
      <c r="E22" t="s">
        <v>171</v>
      </c>
      <c r="G22" t="s">
        <v>172</v>
      </c>
      <c r="H22" t="s">
        <v>220</v>
      </c>
      <c r="I22" t="s">
        <v>172</v>
      </c>
      <c r="J22" t="s">
        <v>231</v>
      </c>
      <c r="K22" t="s">
        <v>172</v>
      </c>
      <c r="M22" t="s">
        <v>232</v>
      </c>
      <c r="N22" t="s">
        <v>311</v>
      </c>
      <c r="O22" t="s">
        <v>172</v>
      </c>
      <c r="P22" t="s">
        <v>316</v>
      </c>
      <c r="Q22" t="s">
        <v>321</v>
      </c>
      <c r="T22" t="s">
        <v>357</v>
      </c>
      <c r="U22" t="s">
        <v>736</v>
      </c>
      <c r="V22" t="s">
        <v>209</v>
      </c>
      <c r="X22" t="s">
        <v>1112</v>
      </c>
      <c r="Y22" t="s">
        <v>1133</v>
      </c>
      <c r="Z22" t="s">
        <v>1580</v>
      </c>
      <c r="AA22" t="s">
        <v>1754</v>
      </c>
      <c r="AB22" t="s">
        <v>1786</v>
      </c>
      <c r="AC22">
        <v>11221</v>
      </c>
      <c r="AE22" t="s">
        <v>1816</v>
      </c>
      <c r="AF22">
        <v>9</v>
      </c>
      <c r="AH22" t="s">
        <v>2219</v>
      </c>
      <c r="AI22" t="s">
        <v>233</v>
      </c>
      <c r="AL22" t="s">
        <v>2230</v>
      </c>
      <c r="AN22">
        <v>0</v>
      </c>
      <c r="AO22">
        <v>1500</v>
      </c>
      <c r="AP22">
        <v>5.5</v>
      </c>
      <c r="AR22" t="s">
        <v>2265</v>
      </c>
      <c r="AS22" t="s">
        <v>2711</v>
      </c>
      <c r="AT22">
        <v>4</v>
      </c>
      <c r="AV22">
        <v>1</v>
      </c>
      <c r="AW22">
        <v>1</v>
      </c>
      <c r="AX22">
        <v>153.76</v>
      </c>
      <c r="BC22" t="s">
        <v>3130</v>
      </c>
      <c r="BD22">
        <v>26000</v>
      </c>
      <c r="BH22" t="s">
        <v>3153</v>
      </c>
      <c r="BK22" t="s">
        <v>3197</v>
      </c>
      <c r="BL22" t="s">
        <v>207</v>
      </c>
      <c r="BM22" t="s">
        <v>311</v>
      </c>
    </row>
    <row r="23" spans="1:65">
      <c r="A23" s="1">
        <f>HYPERLINK("https://lsnyc.legalserver.org/matter/dynamic-profile/view/1908615","19-1908615")</f>
        <v>0</v>
      </c>
      <c r="B23" t="s">
        <v>64</v>
      </c>
      <c r="C23" t="s">
        <v>72</v>
      </c>
      <c r="D23" t="s">
        <v>170</v>
      </c>
      <c r="E23" t="s">
        <v>171</v>
      </c>
      <c r="G23" t="s">
        <v>172</v>
      </c>
      <c r="H23" t="s">
        <v>221</v>
      </c>
      <c r="I23" t="s">
        <v>172</v>
      </c>
      <c r="J23" t="s">
        <v>231</v>
      </c>
      <c r="K23" t="s">
        <v>172</v>
      </c>
      <c r="M23" t="s">
        <v>232</v>
      </c>
      <c r="N23" t="s">
        <v>311</v>
      </c>
      <c r="O23" t="s">
        <v>172</v>
      </c>
      <c r="P23" t="s">
        <v>316</v>
      </c>
      <c r="Q23" t="s">
        <v>321</v>
      </c>
      <c r="T23" t="s">
        <v>358</v>
      </c>
      <c r="U23" t="s">
        <v>737</v>
      </c>
      <c r="V23" t="s">
        <v>206</v>
      </c>
      <c r="X23" t="s">
        <v>1112</v>
      </c>
      <c r="Y23" t="s">
        <v>1134</v>
      </c>
      <c r="Z23" t="s">
        <v>1581</v>
      </c>
      <c r="AA23" t="s">
        <v>1754</v>
      </c>
      <c r="AB23" t="s">
        <v>1786</v>
      </c>
      <c r="AC23">
        <v>11221</v>
      </c>
      <c r="AD23" t="s">
        <v>1789</v>
      </c>
      <c r="AE23" t="s">
        <v>1817</v>
      </c>
      <c r="AF23">
        <v>0</v>
      </c>
      <c r="AH23" t="s">
        <v>2219</v>
      </c>
      <c r="AI23" t="s">
        <v>233</v>
      </c>
      <c r="AJ23" t="s">
        <v>233</v>
      </c>
      <c r="AL23" t="s">
        <v>2230</v>
      </c>
      <c r="AN23">
        <v>0</v>
      </c>
      <c r="AO23">
        <v>0</v>
      </c>
      <c r="AP23">
        <v>0</v>
      </c>
      <c r="AR23" t="s">
        <v>2266</v>
      </c>
      <c r="AS23" t="s">
        <v>2712</v>
      </c>
      <c r="AT23">
        <v>0</v>
      </c>
      <c r="AV23">
        <v>2</v>
      </c>
      <c r="AW23">
        <v>2</v>
      </c>
      <c r="AX23">
        <v>40.08</v>
      </c>
      <c r="BC23" t="s">
        <v>3130</v>
      </c>
      <c r="BD23">
        <v>10320</v>
      </c>
      <c r="BH23" t="s">
        <v>3156</v>
      </c>
      <c r="BK23" t="s">
        <v>3204</v>
      </c>
      <c r="BM23" t="s">
        <v>311</v>
      </c>
    </row>
    <row r="24" spans="1:65">
      <c r="A24" s="1">
        <f>HYPERLINK("https://lsnyc.legalserver.org/matter/dynamic-profile/view/1907411","19-1907411")</f>
        <v>0</v>
      </c>
      <c r="B24" t="s">
        <v>64</v>
      </c>
      <c r="C24" t="s">
        <v>73</v>
      </c>
      <c r="D24" t="s">
        <v>170</v>
      </c>
      <c r="E24" t="s">
        <v>171</v>
      </c>
      <c r="G24" t="s">
        <v>219</v>
      </c>
      <c r="I24" t="s">
        <v>230</v>
      </c>
      <c r="J24" t="s">
        <v>233</v>
      </c>
      <c r="K24" t="s">
        <v>234</v>
      </c>
      <c r="M24" t="s">
        <v>232</v>
      </c>
      <c r="O24" t="s">
        <v>172</v>
      </c>
      <c r="P24" t="s">
        <v>314</v>
      </c>
      <c r="Q24" t="s">
        <v>321</v>
      </c>
      <c r="T24" t="s">
        <v>359</v>
      </c>
      <c r="U24" t="s">
        <v>738</v>
      </c>
      <c r="V24" t="s">
        <v>1099</v>
      </c>
      <c r="X24" t="s">
        <v>1112</v>
      </c>
      <c r="Y24" t="s">
        <v>1135</v>
      </c>
      <c r="Z24" t="s">
        <v>1582</v>
      </c>
      <c r="AA24" t="s">
        <v>1754</v>
      </c>
      <c r="AB24" t="s">
        <v>1786</v>
      </c>
      <c r="AC24">
        <v>11207</v>
      </c>
      <c r="AF24">
        <v>1</v>
      </c>
      <c r="AH24" t="s">
        <v>2218</v>
      </c>
      <c r="AI24" t="s">
        <v>233</v>
      </c>
      <c r="AL24" t="s">
        <v>2230</v>
      </c>
      <c r="AN24">
        <v>0</v>
      </c>
      <c r="AO24">
        <v>278</v>
      </c>
      <c r="AP24">
        <v>0</v>
      </c>
      <c r="AR24" t="s">
        <v>2267</v>
      </c>
      <c r="AS24" t="s">
        <v>2713</v>
      </c>
      <c r="AT24">
        <v>0</v>
      </c>
      <c r="AV24">
        <v>2</v>
      </c>
      <c r="AW24">
        <v>1</v>
      </c>
      <c r="AX24">
        <v>62.73</v>
      </c>
      <c r="BC24" t="s">
        <v>3130</v>
      </c>
      <c r="BD24">
        <v>13380</v>
      </c>
      <c r="BH24" t="s">
        <v>73</v>
      </c>
      <c r="BK24" t="s">
        <v>3205</v>
      </c>
    </row>
    <row r="25" spans="1:65">
      <c r="A25" s="1">
        <f>HYPERLINK("https://lsnyc.legalserver.org/matter/dynamic-profile/view/1907012","19-1907012")</f>
        <v>0</v>
      </c>
      <c r="B25" t="s">
        <v>64</v>
      </c>
      <c r="C25" t="s">
        <v>73</v>
      </c>
      <c r="D25" t="s">
        <v>170</v>
      </c>
      <c r="E25" t="s">
        <v>171</v>
      </c>
      <c r="G25" t="s">
        <v>172</v>
      </c>
      <c r="H25" t="s">
        <v>221</v>
      </c>
      <c r="I25" t="s">
        <v>172</v>
      </c>
      <c r="J25" t="s">
        <v>231</v>
      </c>
      <c r="K25" t="s">
        <v>172</v>
      </c>
      <c r="M25" t="s">
        <v>232</v>
      </c>
      <c r="N25" t="s">
        <v>311</v>
      </c>
      <c r="O25" t="s">
        <v>313</v>
      </c>
      <c r="P25" t="s">
        <v>315</v>
      </c>
      <c r="Q25" t="s">
        <v>321</v>
      </c>
      <c r="T25" t="s">
        <v>360</v>
      </c>
      <c r="U25" t="s">
        <v>739</v>
      </c>
      <c r="V25" t="s">
        <v>183</v>
      </c>
      <c r="X25" t="s">
        <v>1112</v>
      </c>
      <c r="Y25" t="s">
        <v>1136</v>
      </c>
      <c r="Z25" t="s">
        <v>1583</v>
      </c>
      <c r="AA25" t="s">
        <v>1754</v>
      </c>
      <c r="AB25" t="s">
        <v>1786</v>
      </c>
      <c r="AC25">
        <v>11226</v>
      </c>
      <c r="AD25" t="s">
        <v>1787</v>
      </c>
      <c r="AE25" t="s">
        <v>1818</v>
      </c>
      <c r="AF25">
        <v>25</v>
      </c>
      <c r="AH25" t="s">
        <v>2219</v>
      </c>
      <c r="AI25" t="s">
        <v>233</v>
      </c>
      <c r="AL25" t="s">
        <v>2230</v>
      </c>
      <c r="AN25">
        <v>0</v>
      </c>
      <c r="AO25">
        <v>1119.3</v>
      </c>
      <c r="AP25">
        <v>0.5</v>
      </c>
      <c r="AR25" t="s">
        <v>2268</v>
      </c>
      <c r="AS25" t="s">
        <v>2714</v>
      </c>
      <c r="AT25">
        <v>23</v>
      </c>
      <c r="AV25">
        <v>2</v>
      </c>
      <c r="AW25">
        <v>1</v>
      </c>
      <c r="AX25">
        <v>134.92</v>
      </c>
      <c r="BB25" t="s">
        <v>252</v>
      </c>
      <c r="BC25" t="s">
        <v>3130</v>
      </c>
      <c r="BD25">
        <v>28777.84</v>
      </c>
      <c r="BH25" t="s">
        <v>3155</v>
      </c>
      <c r="BK25" t="s">
        <v>3197</v>
      </c>
      <c r="BL25" t="s">
        <v>177</v>
      </c>
      <c r="BM25" t="s">
        <v>311</v>
      </c>
    </row>
    <row r="26" spans="1:65">
      <c r="A26" s="1">
        <f>HYPERLINK("https://lsnyc.legalserver.org/matter/dynamic-profile/view/1906845","19-1906845")</f>
        <v>0</v>
      </c>
      <c r="B26" t="s">
        <v>64</v>
      </c>
      <c r="C26" t="s">
        <v>73</v>
      </c>
      <c r="D26" t="s">
        <v>170</v>
      </c>
      <c r="E26" t="s">
        <v>171</v>
      </c>
      <c r="G26" t="s">
        <v>219</v>
      </c>
      <c r="I26" t="s">
        <v>230</v>
      </c>
      <c r="J26" t="s">
        <v>233</v>
      </c>
      <c r="K26" t="s">
        <v>234</v>
      </c>
      <c r="M26" t="s">
        <v>232</v>
      </c>
      <c r="O26" t="s">
        <v>172</v>
      </c>
      <c r="P26" t="s">
        <v>318</v>
      </c>
      <c r="Q26" t="s">
        <v>321</v>
      </c>
      <c r="T26" t="s">
        <v>361</v>
      </c>
      <c r="U26" t="s">
        <v>740</v>
      </c>
      <c r="V26" t="s">
        <v>212</v>
      </c>
      <c r="X26" t="s">
        <v>1112</v>
      </c>
      <c r="Y26" t="s">
        <v>1137</v>
      </c>
      <c r="AA26" t="s">
        <v>1754</v>
      </c>
      <c r="AB26" t="s">
        <v>1786</v>
      </c>
      <c r="AC26">
        <v>11206</v>
      </c>
      <c r="AD26" t="s">
        <v>1787</v>
      </c>
      <c r="AF26">
        <v>2</v>
      </c>
      <c r="AH26" t="s">
        <v>2218</v>
      </c>
      <c r="AI26" t="s">
        <v>233</v>
      </c>
      <c r="AL26" t="s">
        <v>2231</v>
      </c>
      <c r="AN26">
        <v>0</v>
      </c>
      <c r="AO26">
        <v>0</v>
      </c>
      <c r="AP26">
        <v>6</v>
      </c>
      <c r="AR26" t="s">
        <v>2269</v>
      </c>
      <c r="AS26" t="s">
        <v>2715</v>
      </c>
      <c r="AT26">
        <v>100</v>
      </c>
      <c r="AV26">
        <v>1</v>
      </c>
      <c r="AW26">
        <v>0</v>
      </c>
      <c r="AX26">
        <v>72.06</v>
      </c>
      <c r="BC26" t="s">
        <v>3130</v>
      </c>
      <c r="BD26">
        <v>9000</v>
      </c>
      <c r="BH26" t="s">
        <v>3154</v>
      </c>
      <c r="BK26" t="s">
        <v>3206</v>
      </c>
      <c r="BL26" t="s">
        <v>194</v>
      </c>
    </row>
    <row r="27" spans="1:65">
      <c r="A27" s="1">
        <f>HYPERLINK("https://lsnyc.legalserver.org/matter/dynamic-profile/view/1906061","19-1906061")</f>
        <v>0</v>
      </c>
      <c r="B27" t="s">
        <v>64</v>
      </c>
      <c r="C27" t="s">
        <v>77</v>
      </c>
      <c r="D27" t="s">
        <v>170</v>
      </c>
      <c r="E27" t="s">
        <v>172</v>
      </c>
      <c r="F27" t="s">
        <v>175</v>
      </c>
      <c r="G27" t="s">
        <v>172</v>
      </c>
      <c r="H27" t="s">
        <v>221</v>
      </c>
      <c r="I27" t="s">
        <v>230</v>
      </c>
      <c r="J27" t="s">
        <v>232</v>
      </c>
      <c r="K27" t="s">
        <v>234</v>
      </c>
      <c r="M27" t="s">
        <v>232</v>
      </c>
      <c r="O27" t="s">
        <v>172</v>
      </c>
      <c r="P27" t="s">
        <v>316</v>
      </c>
      <c r="Q27" t="s">
        <v>172</v>
      </c>
      <c r="R27" t="s">
        <v>324</v>
      </c>
      <c r="S27" t="s">
        <v>326</v>
      </c>
      <c r="T27" t="s">
        <v>362</v>
      </c>
      <c r="U27" t="s">
        <v>741</v>
      </c>
      <c r="V27" t="s">
        <v>175</v>
      </c>
      <c r="X27" t="s">
        <v>1112</v>
      </c>
      <c r="Y27" t="s">
        <v>1138</v>
      </c>
      <c r="Z27" t="s">
        <v>1584</v>
      </c>
      <c r="AA27" t="s">
        <v>1754</v>
      </c>
      <c r="AB27" t="s">
        <v>1786</v>
      </c>
      <c r="AC27">
        <v>11226</v>
      </c>
      <c r="AD27" t="s">
        <v>1788</v>
      </c>
      <c r="AE27" t="s">
        <v>1819</v>
      </c>
      <c r="AF27">
        <v>30</v>
      </c>
      <c r="AH27" t="s">
        <v>2219</v>
      </c>
      <c r="AI27" t="s">
        <v>233</v>
      </c>
      <c r="AL27" t="s">
        <v>2230</v>
      </c>
      <c r="AN27">
        <v>0</v>
      </c>
      <c r="AO27">
        <v>1141.8</v>
      </c>
      <c r="AP27">
        <v>0.5</v>
      </c>
      <c r="AR27" t="s">
        <v>2270</v>
      </c>
      <c r="AS27" t="s">
        <v>2716</v>
      </c>
      <c r="AT27">
        <v>4</v>
      </c>
      <c r="AU27" t="s">
        <v>3106</v>
      </c>
      <c r="AV27">
        <v>3</v>
      </c>
      <c r="AW27">
        <v>0</v>
      </c>
      <c r="AX27">
        <v>56.26</v>
      </c>
      <c r="BC27" t="s">
        <v>3132</v>
      </c>
      <c r="BD27">
        <v>12000</v>
      </c>
      <c r="BH27" t="s">
        <v>3154</v>
      </c>
      <c r="BK27" t="s">
        <v>3207</v>
      </c>
      <c r="BL27" t="s">
        <v>1097</v>
      </c>
    </row>
    <row r="28" spans="1:65">
      <c r="A28" s="1">
        <f>HYPERLINK("https://lsnyc.legalserver.org/matter/dynamic-profile/view/1905083","19-1905083")</f>
        <v>0</v>
      </c>
      <c r="B28" t="s">
        <v>64</v>
      </c>
      <c r="C28" t="s">
        <v>78</v>
      </c>
      <c r="D28" t="s">
        <v>170</v>
      </c>
      <c r="E28" t="s">
        <v>171</v>
      </c>
      <c r="G28" t="s">
        <v>172</v>
      </c>
      <c r="H28" t="s">
        <v>221</v>
      </c>
      <c r="I28" t="s">
        <v>230</v>
      </c>
      <c r="J28" t="s">
        <v>233</v>
      </c>
      <c r="K28" t="s">
        <v>234</v>
      </c>
      <c r="M28" t="s">
        <v>232</v>
      </c>
      <c r="N28" t="s">
        <v>252</v>
      </c>
      <c r="O28" t="s">
        <v>172</v>
      </c>
      <c r="P28" t="s">
        <v>316</v>
      </c>
      <c r="Q28" t="s">
        <v>321</v>
      </c>
      <c r="T28" t="s">
        <v>363</v>
      </c>
      <c r="U28" t="s">
        <v>742</v>
      </c>
      <c r="V28" t="s">
        <v>203</v>
      </c>
      <c r="X28" t="s">
        <v>1112</v>
      </c>
      <c r="Y28" t="s">
        <v>1139</v>
      </c>
      <c r="Z28" t="s">
        <v>1585</v>
      </c>
      <c r="AA28" t="s">
        <v>1754</v>
      </c>
      <c r="AB28" t="s">
        <v>1786</v>
      </c>
      <c r="AC28">
        <v>11225</v>
      </c>
      <c r="AD28" t="s">
        <v>1789</v>
      </c>
      <c r="AE28" t="s">
        <v>1820</v>
      </c>
      <c r="AF28">
        <v>0</v>
      </c>
      <c r="AH28" t="s">
        <v>2219</v>
      </c>
      <c r="AI28" t="s">
        <v>233</v>
      </c>
      <c r="AL28" t="s">
        <v>2230</v>
      </c>
      <c r="AN28">
        <v>0</v>
      </c>
      <c r="AO28">
        <v>0</v>
      </c>
      <c r="AP28">
        <v>15.9</v>
      </c>
      <c r="AR28" t="s">
        <v>2271</v>
      </c>
      <c r="AT28">
        <v>0</v>
      </c>
      <c r="AV28">
        <v>2</v>
      </c>
      <c r="AW28">
        <v>0</v>
      </c>
      <c r="AX28">
        <v>68.62</v>
      </c>
      <c r="BC28" t="s">
        <v>3130</v>
      </c>
      <c r="BD28">
        <v>11604</v>
      </c>
      <c r="BH28" t="s">
        <v>3156</v>
      </c>
      <c r="BK28" t="s">
        <v>3208</v>
      </c>
      <c r="BL28" t="s">
        <v>207</v>
      </c>
      <c r="BM28" t="s">
        <v>252</v>
      </c>
    </row>
    <row r="29" spans="1:65">
      <c r="A29" s="1">
        <f>HYPERLINK("https://lsnyc.legalserver.org/matter/dynamic-profile/view/1907079","19-1907079")</f>
        <v>0</v>
      </c>
      <c r="B29" t="s">
        <v>64</v>
      </c>
      <c r="C29" t="s">
        <v>78</v>
      </c>
      <c r="D29" t="s">
        <v>170</v>
      </c>
      <c r="E29" t="s">
        <v>171</v>
      </c>
      <c r="G29" t="s">
        <v>172</v>
      </c>
      <c r="H29" t="s">
        <v>221</v>
      </c>
      <c r="I29" t="s">
        <v>230</v>
      </c>
      <c r="J29" t="s">
        <v>232</v>
      </c>
      <c r="K29" t="s">
        <v>234</v>
      </c>
      <c r="M29" t="s">
        <v>232</v>
      </c>
      <c r="O29" t="s">
        <v>172</v>
      </c>
      <c r="P29" t="s">
        <v>316</v>
      </c>
      <c r="Q29" t="s">
        <v>321</v>
      </c>
      <c r="T29" t="s">
        <v>364</v>
      </c>
      <c r="U29" t="s">
        <v>743</v>
      </c>
      <c r="V29" t="s">
        <v>183</v>
      </c>
      <c r="X29" t="s">
        <v>1112</v>
      </c>
      <c r="Y29" t="s">
        <v>1140</v>
      </c>
      <c r="Z29" t="s">
        <v>1586</v>
      </c>
      <c r="AA29" t="s">
        <v>1754</v>
      </c>
      <c r="AB29" t="s">
        <v>1786</v>
      </c>
      <c r="AC29">
        <v>11225</v>
      </c>
      <c r="AE29" t="s">
        <v>1821</v>
      </c>
      <c r="AF29">
        <v>25</v>
      </c>
      <c r="AH29" t="s">
        <v>2219</v>
      </c>
      <c r="AI29" t="s">
        <v>233</v>
      </c>
      <c r="AL29" t="s">
        <v>2230</v>
      </c>
      <c r="AN29">
        <v>0</v>
      </c>
      <c r="AO29">
        <v>976</v>
      </c>
      <c r="AP29">
        <v>23.1</v>
      </c>
      <c r="AR29" t="s">
        <v>2272</v>
      </c>
      <c r="AS29" t="s">
        <v>2717</v>
      </c>
      <c r="AT29">
        <v>0</v>
      </c>
      <c r="AV29">
        <v>1</v>
      </c>
      <c r="AW29">
        <v>1</v>
      </c>
      <c r="AX29">
        <v>90.76000000000001</v>
      </c>
      <c r="BC29" t="s">
        <v>3130</v>
      </c>
      <c r="BD29">
        <v>15348</v>
      </c>
      <c r="BH29" t="s">
        <v>3157</v>
      </c>
      <c r="BK29" t="s">
        <v>3209</v>
      </c>
      <c r="BL29" t="s">
        <v>207</v>
      </c>
    </row>
    <row r="30" spans="1:65">
      <c r="A30" s="1">
        <f>HYPERLINK("https://lsnyc.legalserver.org/matter/dynamic-profile/view/1906555","19-1906555")</f>
        <v>0</v>
      </c>
      <c r="B30" t="s">
        <v>64</v>
      </c>
      <c r="C30" t="s">
        <v>78</v>
      </c>
      <c r="D30" t="s">
        <v>170</v>
      </c>
      <c r="E30" t="s">
        <v>171</v>
      </c>
      <c r="G30" t="s">
        <v>172</v>
      </c>
      <c r="H30" t="s">
        <v>221</v>
      </c>
      <c r="I30" t="s">
        <v>172</v>
      </c>
      <c r="J30" t="s">
        <v>231</v>
      </c>
      <c r="K30" t="s">
        <v>172</v>
      </c>
      <c r="M30" t="s">
        <v>232</v>
      </c>
      <c r="N30" t="s">
        <v>311</v>
      </c>
      <c r="O30" t="s">
        <v>313</v>
      </c>
      <c r="P30" t="s">
        <v>315</v>
      </c>
      <c r="Q30" t="s">
        <v>321</v>
      </c>
      <c r="T30" t="s">
        <v>365</v>
      </c>
      <c r="U30" t="s">
        <v>744</v>
      </c>
      <c r="V30" t="s">
        <v>1097</v>
      </c>
      <c r="X30" t="s">
        <v>1112</v>
      </c>
      <c r="Y30" t="s">
        <v>1141</v>
      </c>
      <c r="Z30" t="s">
        <v>1579</v>
      </c>
      <c r="AA30" t="s">
        <v>1754</v>
      </c>
      <c r="AB30" t="s">
        <v>1786</v>
      </c>
      <c r="AC30">
        <v>11236</v>
      </c>
      <c r="AD30" t="s">
        <v>1787</v>
      </c>
      <c r="AE30" t="s">
        <v>1822</v>
      </c>
      <c r="AF30">
        <v>27</v>
      </c>
      <c r="AH30" t="s">
        <v>2218</v>
      </c>
      <c r="AI30" t="s">
        <v>233</v>
      </c>
      <c r="AL30" t="s">
        <v>2231</v>
      </c>
      <c r="AN30">
        <v>0</v>
      </c>
      <c r="AO30">
        <v>880</v>
      </c>
      <c r="AP30">
        <v>0</v>
      </c>
      <c r="AR30" t="s">
        <v>2273</v>
      </c>
      <c r="AS30" t="s">
        <v>2718</v>
      </c>
      <c r="AT30">
        <v>0</v>
      </c>
      <c r="AU30" t="s">
        <v>3107</v>
      </c>
      <c r="AV30">
        <v>4</v>
      </c>
      <c r="AW30">
        <v>0</v>
      </c>
      <c r="AX30">
        <v>135.92</v>
      </c>
      <c r="BB30" t="s">
        <v>252</v>
      </c>
      <c r="BC30" t="s">
        <v>3130</v>
      </c>
      <c r="BD30">
        <v>35000</v>
      </c>
      <c r="BH30" t="s">
        <v>3155</v>
      </c>
      <c r="BK30" t="s">
        <v>3198</v>
      </c>
      <c r="BM30" t="s">
        <v>311</v>
      </c>
    </row>
    <row r="31" spans="1:65">
      <c r="A31" s="1">
        <f>HYPERLINK("https://lsnyc.legalserver.org/matter/dynamic-profile/view/1906272","19-1906272")</f>
        <v>0</v>
      </c>
      <c r="B31" t="s">
        <v>64</v>
      </c>
      <c r="C31" t="s">
        <v>78</v>
      </c>
      <c r="D31" t="s">
        <v>170</v>
      </c>
      <c r="E31" t="s">
        <v>171</v>
      </c>
      <c r="G31" t="s">
        <v>172</v>
      </c>
      <c r="H31" t="s">
        <v>221</v>
      </c>
      <c r="I31" t="s">
        <v>230</v>
      </c>
      <c r="J31" t="s">
        <v>233</v>
      </c>
      <c r="K31" t="s">
        <v>234</v>
      </c>
      <c r="M31" t="s">
        <v>232</v>
      </c>
      <c r="O31" t="s">
        <v>172</v>
      </c>
      <c r="P31" t="s">
        <v>316</v>
      </c>
      <c r="Q31" t="s">
        <v>321</v>
      </c>
      <c r="T31" t="s">
        <v>366</v>
      </c>
      <c r="U31" t="s">
        <v>745</v>
      </c>
      <c r="V31" t="s">
        <v>195</v>
      </c>
      <c r="X31" t="s">
        <v>1112</v>
      </c>
      <c r="Y31" t="s">
        <v>1142</v>
      </c>
      <c r="Z31">
        <v>69</v>
      </c>
      <c r="AA31" t="s">
        <v>1754</v>
      </c>
      <c r="AB31" t="s">
        <v>1786</v>
      </c>
      <c r="AC31">
        <v>11226</v>
      </c>
      <c r="AE31" t="s">
        <v>1823</v>
      </c>
      <c r="AF31">
        <v>49</v>
      </c>
      <c r="AH31" t="s">
        <v>2219</v>
      </c>
      <c r="AI31" t="s">
        <v>233</v>
      </c>
      <c r="AL31" t="s">
        <v>2230</v>
      </c>
      <c r="AN31">
        <v>0</v>
      </c>
      <c r="AO31">
        <v>869.96</v>
      </c>
      <c r="AP31">
        <v>7.2</v>
      </c>
      <c r="AR31" t="s">
        <v>2274</v>
      </c>
      <c r="AS31" t="s">
        <v>2719</v>
      </c>
      <c r="AT31">
        <v>0</v>
      </c>
      <c r="AU31" t="s">
        <v>3106</v>
      </c>
      <c r="AV31">
        <v>1</v>
      </c>
      <c r="AW31">
        <v>0</v>
      </c>
      <c r="AX31">
        <v>200.13</v>
      </c>
      <c r="AY31" t="s">
        <v>1098</v>
      </c>
      <c r="AZ31" t="s">
        <v>3121</v>
      </c>
      <c r="BC31" t="s">
        <v>3130</v>
      </c>
      <c r="BD31">
        <v>24996</v>
      </c>
      <c r="BH31" t="s">
        <v>3154</v>
      </c>
      <c r="BK31" t="s">
        <v>3203</v>
      </c>
      <c r="BL31" t="s">
        <v>207</v>
      </c>
    </row>
    <row r="32" spans="1:65">
      <c r="A32" s="1">
        <f>HYPERLINK("https://lsnyc.legalserver.org/matter/dynamic-profile/view/1906184","19-1906184")</f>
        <v>0</v>
      </c>
      <c r="B32" t="s">
        <v>64</v>
      </c>
      <c r="C32" t="s">
        <v>78</v>
      </c>
      <c r="D32" t="s">
        <v>170</v>
      </c>
      <c r="E32" t="s">
        <v>171</v>
      </c>
      <c r="G32" t="s">
        <v>172</v>
      </c>
      <c r="H32" t="s">
        <v>220</v>
      </c>
      <c r="I32" t="s">
        <v>172</v>
      </c>
      <c r="J32" t="s">
        <v>231</v>
      </c>
      <c r="K32" t="s">
        <v>172</v>
      </c>
      <c r="M32" t="s">
        <v>232</v>
      </c>
      <c r="N32" t="s">
        <v>311</v>
      </c>
      <c r="O32" t="s">
        <v>172</v>
      </c>
      <c r="P32" t="s">
        <v>316</v>
      </c>
      <c r="Q32" t="s">
        <v>321</v>
      </c>
      <c r="T32" t="s">
        <v>367</v>
      </c>
      <c r="U32" t="s">
        <v>746</v>
      </c>
      <c r="V32" t="s">
        <v>209</v>
      </c>
      <c r="X32" t="s">
        <v>1112</v>
      </c>
      <c r="Y32" t="s">
        <v>1143</v>
      </c>
      <c r="Z32" t="s">
        <v>1580</v>
      </c>
      <c r="AA32" t="s">
        <v>1754</v>
      </c>
      <c r="AB32" t="s">
        <v>1786</v>
      </c>
      <c r="AC32">
        <v>11221</v>
      </c>
      <c r="AD32" t="s">
        <v>1787</v>
      </c>
      <c r="AE32" t="s">
        <v>1824</v>
      </c>
      <c r="AF32">
        <v>23</v>
      </c>
      <c r="AH32" t="s">
        <v>2219</v>
      </c>
      <c r="AI32" t="s">
        <v>233</v>
      </c>
      <c r="AL32" t="s">
        <v>2230</v>
      </c>
      <c r="AN32">
        <v>0</v>
      </c>
      <c r="AO32">
        <v>110</v>
      </c>
      <c r="AP32">
        <v>18.1</v>
      </c>
      <c r="AR32" t="s">
        <v>2275</v>
      </c>
      <c r="AT32">
        <v>3</v>
      </c>
      <c r="AV32">
        <v>1</v>
      </c>
      <c r="AW32">
        <v>0</v>
      </c>
      <c r="AX32">
        <v>0</v>
      </c>
      <c r="BB32" t="s">
        <v>252</v>
      </c>
      <c r="BC32" t="s">
        <v>3130</v>
      </c>
      <c r="BD32">
        <v>0</v>
      </c>
      <c r="BH32" t="s">
        <v>3155</v>
      </c>
      <c r="BK32" t="s">
        <v>3210</v>
      </c>
      <c r="BL32" t="s">
        <v>3274</v>
      </c>
      <c r="BM32" t="s">
        <v>311</v>
      </c>
    </row>
    <row r="33" spans="1:65">
      <c r="A33" s="1">
        <f>HYPERLINK("https://lsnyc.legalserver.org/matter/dynamic-profile/view/1906296","19-1906296")</f>
        <v>0</v>
      </c>
      <c r="B33" t="s">
        <v>64</v>
      </c>
      <c r="C33" t="s">
        <v>78</v>
      </c>
      <c r="D33" t="s">
        <v>170</v>
      </c>
      <c r="E33" t="s">
        <v>171</v>
      </c>
      <c r="G33" t="s">
        <v>172</v>
      </c>
      <c r="H33" t="s">
        <v>220</v>
      </c>
      <c r="I33" t="s">
        <v>172</v>
      </c>
      <c r="J33" t="s">
        <v>231</v>
      </c>
      <c r="K33" t="s">
        <v>172</v>
      </c>
      <c r="M33" t="s">
        <v>232</v>
      </c>
      <c r="N33" t="s">
        <v>311</v>
      </c>
      <c r="O33" t="s">
        <v>172</v>
      </c>
      <c r="P33" t="s">
        <v>316</v>
      </c>
      <c r="Q33" t="s">
        <v>321</v>
      </c>
      <c r="T33" t="s">
        <v>368</v>
      </c>
      <c r="U33" t="s">
        <v>747</v>
      </c>
      <c r="V33" t="s">
        <v>195</v>
      </c>
      <c r="X33" t="s">
        <v>1112</v>
      </c>
      <c r="Y33" t="s">
        <v>1144</v>
      </c>
      <c r="Z33" t="s">
        <v>1587</v>
      </c>
      <c r="AA33" t="s">
        <v>1754</v>
      </c>
      <c r="AB33" t="s">
        <v>1786</v>
      </c>
      <c r="AC33">
        <v>11226</v>
      </c>
      <c r="AD33" t="s">
        <v>1787</v>
      </c>
      <c r="AE33" t="s">
        <v>1825</v>
      </c>
      <c r="AF33">
        <v>-2</v>
      </c>
      <c r="AH33" t="s">
        <v>2219</v>
      </c>
      <c r="AI33" t="s">
        <v>233</v>
      </c>
      <c r="AL33" t="s">
        <v>2230</v>
      </c>
      <c r="AN33">
        <v>0</v>
      </c>
      <c r="AO33">
        <v>800</v>
      </c>
      <c r="AP33">
        <v>16.2</v>
      </c>
      <c r="AR33" t="s">
        <v>2276</v>
      </c>
      <c r="AS33" t="s">
        <v>2720</v>
      </c>
      <c r="AT33">
        <v>2</v>
      </c>
      <c r="AV33">
        <v>1</v>
      </c>
      <c r="AW33">
        <v>0</v>
      </c>
      <c r="AX33">
        <v>120.32</v>
      </c>
      <c r="BC33" t="s">
        <v>3130</v>
      </c>
      <c r="BD33">
        <v>15028</v>
      </c>
      <c r="BH33" t="s">
        <v>3155</v>
      </c>
      <c r="BK33" t="s">
        <v>3198</v>
      </c>
      <c r="BL33" t="s">
        <v>1109</v>
      </c>
      <c r="BM33" t="s">
        <v>311</v>
      </c>
    </row>
    <row r="34" spans="1:65">
      <c r="A34" s="1">
        <f>HYPERLINK("https://lsnyc.legalserver.org/matter/dynamic-profile/view/1908165","19-1908165")</f>
        <v>0</v>
      </c>
      <c r="B34" t="s">
        <v>64</v>
      </c>
      <c r="C34" t="s">
        <v>79</v>
      </c>
      <c r="D34" t="s">
        <v>170</v>
      </c>
      <c r="E34" t="s">
        <v>171</v>
      </c>
      <c r="G34" t="s">
        <v>172</v>
      </c>
      <c r="H34" t="s">
        <v>221</v>
      </c>
      <c r="I34" t="s">
        <v>172</v>
      </c>
      <c r="J34" t="s">
        <v>231</v>
      </c>
      <c r="K34" t="s">
        <v>172</v>
      </c>
      <c r="M34" t="s">
        <v>232</v>
      </c>
      <c r="N34" t="s">
        <v>311</v>
      </c>
      <c r="O34" t="s">
        <v>172</v>
      </c>
      <c r="P34" t="s">
        <v>316</v>
      </c>
      <c r="Q34" t="s">
        <v>321</v>
      </c>
      <c r="T34" t="s">
        <v>369</v>
      </c>
      <c r="U34" t="s">
        <v>748</v>
      </c>
      <c r="V34" t="s">
        <v>1100</v>
      </c>
      <c r="X34" t="s">
        <v>1112</v>
      </c>
      <c r="Y34" t="s">
        <v>1145</v>
      </c>
      <c r="Z34">
        <v>3</v>
      </c>
      <c r="AA34" t="s">
        <v>1754</v>
      </c>
      <c r="AB34" t="s">
        <v>1786</v>
      </c>
      <c r="AC34">
        <v>11225</v>
      </c>
      <c r="AD34" t="s">
        <v>1789</v>
      </c>
      <c r="AE34" t="s">
        <v>1826</v>
      </c>
      <c r="AF34">
        <v>0</v>
      </c>
      <c r="AH34" t="s">
        <v>2219</v>
      </c>
      <c r="AI34" t="s">
        <v>233</v>
      </c>
      <c r="AJ34" t="s">
        <v>233</v>
      </c>
      <c r="AL34" t="s">
        <v>2230</v>
      </c>
      <c r="AN34">
        <v>0</v>
      </c>
      <c r="AO34">
        <v>0</v>
      </c>
      <c r="AP34">
        <v>0</v>
      </c>
      <c r="AR34" t="s">
        <v>2277</v>
      </c>
      <c r="AS34" t="s">
        <v>2721</v>
      </c>
      <c r="AT34">
        <v>0</v>
      </c>
      <c r="AV34">
        <v>1</v>
      </c>
      <c r="AW34">
        <v>0</v>
      </c>
      <c r="AX34">
        <v>149.88</v>
      </c>
      <c r="BC34" t="s">
        <v>3130</v>
      </c>
      <c r="BD34">
        <v>18720</v>
      </c>
      <c r="BH34" t="s">
        <v>3156</v>
      </c>
      <c r="BK34" t="s">
        <v>3198</v>
      </c>
      <c r="BM34" t="s">
        <v>311</v>
      </c>
    </row>
    <row r="35" spans="1:65">
      <c r="A35" s="1">
        <f>HYPERLINK("https://lsnyc.legalserver.org/matter/dynamic-profile/view/1904143","19-1904143")</f>
        <v>0</v>
      </c>
      <c r="B35" t="s">
        <v>64</v>
      </c>
      <c r="C35" t="s">
        <v>80</v>
      </c>
      <c r="D35" t="s">
        <v>170</v>
      </c>
      <c r="E35" t="s">
        <v>171</v>
      </c>
      <c r="G35" t="s">
        <v>172</v>
      </c>
      <c r="H35" t="s">
        <v>220</v>
      </c>
      <c r="I35" t="s">
        <v>172</v>
      </c>
      <c r="J35" t="s">
        <v>231</v>
      </c>
      <c r="K35" t="s">
        <v>172</v>
      </c>
      <c r="M35" t="s">
        <v>232</v>
      </c>
      <c r="N35" t="s">
        <v>311</v>
      </c>
      <c r="O35" t="s">
        <v>313</v>
      </c>
      <c r="P35" t="s">
        <v>315</v>
      </c>
      <c r="Q35" t="s">
        <v>321</v>
      </c>
      <c r="T35" t="s">
        <v>370</v>
      </c>
      <c r="U35" t="s">
        <v>749</v>
      </c>
      <c r="V35" t="s">
        <v>201</v>
      </c>
      <c r="X35" t="s">
        <v>1112</v>
      </c>
      <c r="Y35" t="s">
        <v>1146</v>
      </c>
      <c r="Z35">
        <v>1</v>
      </c>
      <c r="AA35" t="s">
        <v>1754</v>
      </c>
      <c r="AB35" t="s">
        <v>1786</v>
      </c>
      <c r="AC35">
        <v>11221</v>
      </c>
      <c r="AD35" t="s">
        <v>1789</v>
      </c>
      <c r="AE35" t="s">
        <v>1827</v>
      </c>
      <c r="AF35">
        <v>-1</v>
      </c>
      <c r="AH35" t="s">
        <v>2219</v>
      </c>
      <c r="AI35" t="s">
        <v>233</v>
      </c>
      <c r="AL35" t="s">
        <v>2230</v>
      </c>
      <c r="AN35">
        <v>0</v>
      </c>
      <c r="AO35">
        <v>1557</v>
      </c>
      <c r="AP35">
        <v>4.4</v>
      </c>
      <c r="AR35" t="s">
        <v>2278</v>
      </c>
      <c r="AS35" t="s">
        <v>2722</v>
      </c>
      <c r="AT35">
        <v>0</v>
      </c>
      <c r="AV35">
        <v>3</v>
      </c>
      <c r="AW35">
        <v>0</v>
      </c>
      <c r="AX35">
        <v>90.81</v>
      </c>
      <c r="BC35" t="s">
        <v>3130</v>
      </c>
      <c r="BD35">
        <v>19370</v>
      </c>
      <c r="BH35" t="s">
        <v>3156</v>
      </c>
      <c r="BK35" t="s">
        <v>3211</v>
      </c>
      <c r="BL35" t="s">
        <v>213</v>
      </c>
      <c r="BM35" t="s">
        <v>311</v>
      </c>
    </row>
    <row r="36" spans="1:65">
      <c r="A36" s="1">
        <f>HYPERLINK("https://lsnyc.legalserver.org/matter/dynamic-profile/view/1906428","19-1906428")</f>
        <v>0</v>
      </c>
      <c r="B36" t="s">
        <v>64</v>
      </c>
      <c r="C36" t="s">
        <v>80</v>
      </c>
      <c r="D36" t="s">
        <v>170</v>
      </c>
      <c r="E36" t="s">
        <v>171</v>
      </c>
      <c r="G36" t="s">
        <v>172</v>
      </c>
      <c r="H36" t="s">
        <v>221</v>
      </c>
      <c r="I36" t="s">
        <v>172</v>
      </c>
      <c r="J36" t="s">
        <v>231</v>
      </c>
      <c r="K36" t="s">
        <v>172</v>
      </c>
      <c r="M36" t="s">
        <v>232</v>
      </c>
      <c r="N36" t="s">
        <v>311</v>
      </c>
      <c r="O36" t="s">
        <v>172</v>
      </c>
      <c r="P36" t="s">
        <v>316</v>
      </c>
      <c r="Q36" t="s">
        <v>321</v>
      </c>
      <c r="T36" t="s">
        <v>371</v>
      </c>
      <c r="U36" t="s">
        <v>750</v>
      </c>
      <c r="V36" t="s">
        <v>178</v>
      </c>
      <c r="X36" t="s">
        <v>1112</v>
      </c>
      <c r="Y36" t="s">
        <v>1147</v>
      </c>
      <c r="Z36" t="s">
        <v>1588</v>
      </c>
      <c r="AA36" t="s">
        <v>1754</v>
      </c>
      <c r="AB36" t="s">
        <v>1786</v>
      </c>
      <c r="AC36">
        <v>11226</v>
      </c>
      <c r="AD36" t="s">
        <v>1789</v>
      </c>
      <c r="AE36" t="s">
        <v>1828</v>
      </c>
      <c r="AF36">
        <v>40</v>
      </c>
      <c r="AH36" t="s">
        <v>2219</v>
      </c>
      <c r="AI36" t="s">
        <v>233</v>
      </c>
      <c r="AJ36" t="s">
        <v>233</v>
      </c>
      <c r="AL36" t="s">
        <v>2230</v>
      </c>
      <c r="AN36">
        <v>0</v>
      </c>
      <c r="AO36">
        <v>766.25</v>
      </c>
      <c r="AP36">
        <v>5.3</v>
      </c>
      <c r="AR36" t="s">
        <v>2279</v>
      </c>
      <c r="AS36" t="s">
        <v>2723</v>
      </c>
      <c r="AT36">
        <v>0</v>
      </c>
      <c r="AV36">
        <v>1</v>
      </c>
      <c r="AW36">
        <v>0</v>
      </c>
      <c r="AX36">
        <v>93</v>
      </c>
      <c r="BC36" t="s">
        <v>3130</v>
      </c>
      <c r="BD36">
        <v>11616</v>
      </c>
      <c r="BH36" t="s">
        <v>3156</v>
      </c>
      <c r="BK36" t="s">
        <v>3199</v>
      </c>
      <c r="BL36" t="s">
        <v>177</v>
      </c>
      <c r="BM36" t="s">
        <v>311</v>
      </c>
    </row>
    <row r="37" spans="1:65">
      <c r="A37" s="1">
        <f>HYPERLINK("https://lsnyc.legalserver.org/matter/dynamic-profile/view/1904521","19-1904521")</f>
        <v>0</v>
      </c>
      <c r="B37" t="s">
        <v>64</v>
      </c>
      <c r="C37" t="s">
        <v>80</v>
      </c>
      <c r="D37" t="s">
        <v>170</v>
      </c>
      <c r="E37" t="s">
        <v>171</v>
      </c>
      <c r="G37" t="s">
        <v>172</v>
      </c>
      <c r="H37" t="s">
        <v>221</v>
      </c>
      <c r="I37" t="s">
        <v>172</v>
      </c>
      <c r="J37" t="s">
        <v>231</v>
      </c>
      <c r="K37" t="s">
        <v>172</v>
      </c>
      <c r="L37" t="s">
        <v>238</v>
      </c>
      <c r="M37" t="s">
        <v>232</v>
      </c>
      <c r="N37" t="s">
        <v>311</v>
      </c>
      <c r="O37" t="s">
        <v>172</v>
      </c>
      <c r="P37" t="s">
        <v>316</v>
      </c>
      <c r="Q37" t="s">
        <v>321</v>
      </c>
      <c r="T37" t="s">
        <v>372</v>
      </c>
      <c r="U37" t="s">
        <v>751</v>
      </c>
      <c r="V37" t="s">
        <v>176</v>
      </c>
      <c r="X37" t="s">
        <v>1112</v>
      </c>
      <c r="Y37" t="s">
        <v>1148</v>
      </c>
      <c r="Z37" t="s">
        <v>1565</v>
      </c>
      <c r="AA37" t="s">
        <v>1754</v>
      </c>
      <c r="AB37" t="s">
        <v>1786</v>
      </c>
      <c r="AC37">
        <v>11221</v>
      </c>
      <c r="AD37" t="s">
        <v>1789</v>
      </c>
      <c r="AE37" t="s">
        <v>1829</v>
      </c>
      <c r="AF37">
        <v>4</v>
      </c>
      <c r="AH37" t="s">
        <v>2219</v>
      </c>
      <c r="AI37" t="s">
        <v>233</v>
      </c>
      <c r="AJ37" t="s">
        <v>233</v>
      </c>
      <c r="AL37" t="s">
        <v>2230</v>
      </c>
      <c r="AN37">
        <v>0</v>
      </c>
      <c r="AO37">
        <v>1230</v>
      </c>
      <c r="AP37">
        <v>8.300000000000001</v>
      </c>
      <c r="AR37" t="s">
        <v>2280</v>
      </c>
      <c r="AS37" t="s">
        <v>2724</v>
      </c>
      <c r="AT37">
        <v>0</v>
      </c>
      <c r="AV37">
        <v>1</v>
      </c>
      <c r="AW37">
        <v>2</v>
      </c>
      <c r="AX37">
        <v>18.89</v>
      </c>
      <c r="BC37" t="s">
        <v>3130</v>
      </c>
      <c r="BD37">
        <v>4030</v>
      </c>
      <c r="BH37" t="s">
        <v>3156</v>
      </c>
      <c r="BK37" t="s">
        <v>3194</v>
      </c>
      <c r="BL37" t="s">
        <v>3274</v>
      </c>
      <c r="BM37" t="s">
        <v>311</v>
      </c>
    </row>
    <row r="38" spans="1:65">
      <c r="A38" s="1">
        <f>HYPERLINK("https://lsnyc.legalserver.org/matter/dynamic-profile/view/1908019","19-1908019")</f>
        <v>0</v>
      </c>
      <c r="B38" t="s">
        <v>64</v>
      </c>
      <c r="C38" t="s">
        <v>80</v>
      </c>
      <c r="D38" t="s">
        <v>170</v>
      </c>
      <c r="E38" t="s">
        <v>171</v>
      </c>
      <c r="G38" t="s">
        <v>172</v>
      </c>
      <c r="H38" t="s">
        <v>221</v>
      </c>
      <c r="I38" t="s">
        <v>172</v>
      </c>
      <c r="J38" t="s">
        <v>231</v>
      </c>
      <c r="K38" t="s">
        <v>172</v>
      </c>
      <c r="M38" t="s">
        <v>232</v>
      </c>
      <c r="N38" t="s">
        <v>311</v>
      </c>
      <c r="O38" t="s">
        <v>313</v>
      </c>
      <c r="Q38" t="s">
        <v>321</v>
      </c>
      <c r="T38" t="s">
        <v>373</v>
      </c>
      <c r="U38" t="s">
        <v>752</v>
      </c>
      <c r="V38" t="s">
        <v>1098</v>
      </c>
      <c r="X38" t="s">
        <v>1112</v>
      </c>
      <c r="Y38" t="s">
        <v>1149</v>
      </c>
      <c r="Z38" t="s">
        <v>1589</v>
      </c>
      <c r="AA38" t="s">
        <v>1754</v>
      </c>
      <c r="AB38" t="s">
        <v>1786</v>
      </c>
      <c r="AC38">
        <v>11221</v>
      </c>
      <c r="AD38" t="s">
        <v>1789</v>
      </c>
      <c r="AE38" t="s">
        <v>1830</v>
      </c>
      <c r="AF38">
        <v>0</v>
      </c>
      <c r="AH38" t="s">
        <v>2219</v>
      </c>
      <c r="AI38" t="s">
        <v>233</v>
      </c>
      <c r="AL38" t="s">
        <v>2230</v>
      </c>
      <c r="AN38">
        <v>0</v>
      </c>
      <c r="AO38">
        <v>0</v>
      </c>
      <c r="AP38">
        <v>5.9</v>
      </c>
      <c r="AR38" t="s">
        <v>2281</v>
      </c>
      <c r="AS38" t="s">
        <v>2725</v>
      </c>
      <c r="AT38">
        <v>0</v>
      </c>
      <c r="AV38">
        <v>1</v>
      </c>
      <c r="AW38">
        <v>0</v>
      </c>
      <c r="AX38">
        <v>80.22</v>
      </c>
      <c r="BC38" t="s">
        <v>3130</v>
      </c>
      <c r="BD38">
        <v>10020</v>
      </c>
      <c r="BH38" t="s">
        <v>3153</v>
      </c>
      <c r="BK38" t="s">
        <v>3199</v>
      </c>
      <c r="BL38" t="s">
        <v>206</v>
      </c>
      <c r="BM38" t="s">
        <v>311</v>
      </c>
    </row>
    <row r="39" spans="1:65">
      <c r="A39" s="1">
        <f>HYPERLINK("https://lsnyc.legalserver.org/matter/dynamic-profile/view/1908012","19-1908012")</f>
        <v>0</v>
      </c>
      <c r="B39" t="s">
        <v>64</v>
      </c>
      <c r="C39" t="s">
        <v>80</v>
      </c>
      <c r="D39" t="s">
        <v>170</v>
      </c>
      <c r="E39" t="s">
        <v>171</v>
      </c>
      <c r="G39" t="s">
        <v>172</v>
      </c>
      <c r="H39" t="s">
        <v>221</v>
      </c>
      <c r="I39" t="s">
        <v>172</v>
      </c>
      <c r="J39" t="s">
        <v>231</v>
      </c>
      <c r="K39" t="s">
        <v>172</v>
      </c>
      <c r="M39" t="s">
        <v>232</v>
      </c>
      <c r="N39" t="s">
        <v>311</v>
      </c>
      <c r="O39" t="s">
        <v>313</v>
      </c>
      <c r="Q39" t="s">
        <v>321</v>
      </c>
      <c r="T39" t="s">
        <v>374</v>
      </c>
      <c r="U39" t="s">
        <v>735</v>
      </c>
      <c r="V39" t="s">
        <v>1098</v>
      </c>
      <c r="X39" t="s">
        <v>1112</v>
      </c>
      <c r="Y39" t="s">
        <v>1150</v>
      </c>
      <c r="Z39" t="s">
        <v>1590</v>
      </c>
      <c r="AA39" t="s">
        <v>1754</v>
      </c>
      <c r="AB39" t="s">
        <v>1786</v>
      </c>
      <c r="AC39">
        <v>11221</v>
      </c>
      <c r="AD39" t="s">
        <v>1789</v>
      </c>
      <c r="AE39" t="s">
        <v>1831</v>
      </c>
      <c r="AF39">
        <v>0</v>
      </c>
      <c r="AH39" t="s">
        <v>2219</v>
      </c>
      <c r="AI39" t="s">
        <v>233</v>
      </c>
      <c r="AL39" t="s">
        <v>2230</v>
      </c>
      <c r="AN39">
        <v>0</v>
      </c>
      <c r="AO39">
        <v>0</v>
      </c>
      <c r="AP39">
        <v>0.5</v>
      </c>
      <c r="AR39" t="s">
        <v>2282</v>
      </c>
      <c r="AS39" t="s">
        <v>2726</v>
      </c>
      <c r="AT39">
        <v>0</v>
      </c>
      <c r="AV39">
        <v>2</v>
      </c>
      <c r="AW39">
        <v>3</v>
      </c>
      <c r="AX39">
        <v>116.61</v>
      </c>
      <c r="BC39" t="s">
        <v>3130</v>
      </c>
      <c r="BD39">
        <v>35180</v>
      </c>
      <c r="BH39" t="s">
        <v>3153</v>
      </c>
      <c r="BK39" t="s">
        <v>3195</v>
      </c>
      <c r="BL39" t="s">
        <v>192</v>
      </c>
      <c r="BM39" t="s">
        <v>311</v>
      </c>
    </row>
    <row r="40" spans="1:65">
      <c r="A40" s="1">
        <f>HYPERLINK("https://lsnyc.legalserver.org/matter/dynamic-profile/view/1908017","19-1908017")</f>
        <v>0</v>
      </c>
      <c r="B40" t="s">
        <v>64</v>
      </c>
      <c r="C40" t="s">
        <v>80</v>
      </c>
      <c r="D40" t="s">
        <v>170</v>
      </c>
      <c r="E40" t="s">
        <v>171</v>
      </c>
      <c r="G40" t="s">
        <v>172</v>
      </c>
      <c r="H40" t="s">
        <v>221</v>
      </c>
      <c r="I40" t="s">
        <v>172</v>
      </c>
      <c r="J40" t="s">
        <v>231</v>
      </c>
      <c r="K40" t="s">
        <v>172</v>
      </c>
      <c r="M40" t="s">
        <v>232</v>
      </c>
      <c r="N40" t="s">
        <v>311</v>
      </c>
      <c r="O40" t="s">
        <v>313</v>
      </c>
      <c r="Q40" t="s">
        <v>321</v>
      </c>
      <c r="T40" t="s">
        <v>375</v>
      </c>
      <c r="U40" t="s">
        <v>753</v>
      </c>
      <c r="V40" t="s">
        <v>1098</v>
      </c>
      <c r="X40" t="s">
        <v>1112</v>
      </c>
      <c r="Y40" t="s">
        <v>1151</v>
      </c>
      <c r="Z40" t="s">
        <v>1591</v>
      </c>
      <c r="AA40" t="s">
        <v>1754</v>
      </c>
      <c r="AB40" t="s">
        <v>1786</v>
      </c>
      <c r="AC40">
        <v>11221</v>
      </c>
      <c r="AD40" t="s">
        <v>1789</v>
      </c>
      <c r="AE40" t="s">
        <v>1832</v>
      </c>
      <c r="AF40">
        <v>0</v>
      </c>
      <c r="AH40" t="s">
        <v>2219</v>
      </c>
      <c r="AI40" t="s">
        <v>233</v>
      </c>
      <c r="AL40" t="s">
        <v>2230</v>
      </c>
      <c r="AN40">
        <v>0</v>
      </c>
      <c r="AO40">
        <v>0</v>
      </c>
      <c r="AP40">
        <v>1.5</v>
      </c>
      <c r="AR40" t="s">
        <v>2283</v>
      </c>
      <c r="AS40" t="s">
        <v>2727</v>
      </c>
      <c r="AT40">
        <v>0</v>
      </c>
      <c r="AV40">
        <v>3</v>
      </c>
      <c r="AW40">
        <v>0</v>
      </c>
      <c r="AX40">
        <v>93.93000000000001</v>
      </c>
      <c r="BC40" t="s">
        <v>3130</v>
      </c>
      <c r="BD40">
        <v>20036</v>
      </c>
      <c r="BH40" t="s">
        <v>3153</v>
      </c>
      <c r="BK40" t="s">
        <v>3212</v>
      </c>
      <c r="BL40" t="s">
        <v>192</v>
      </c>
      <c r="BM40" t="s">
        <v>311</v>
      </c>
    </row>
    <row r="41" spans="1:65">
      <c r="A41" s="1">
        <f>HYPERLINK("https://lsnyc.legalserver.org/matter/dynamic-profile/view/1904636","19-1904636")</f>
        <v>0</v>
      </c>
      <c r="B41" t="s">
        <v>64</v>
      </c>
      <c r="C41" t="s">
        <v>80</v>
      </c>
      <c r="D41" t="s">
        <v>170</v>
      </c>
      <c r="E41" t="s">
        <v>172</v>
      </c>
      <c r="F41" t="s">
        <v>176</v>
      </c>
      <c r="G41" t="s">
        <v>172</v>
      </c>
      <c r="H41" t="s">
        <v>222</v>
      </c>
      <c r="I41" t="s">
        <v>172</v>
      </c>
      <c r="J41" t="s">
        <v>231</v>
      </c>
      <c r="K41" t="s">
        <v>172</v>
      </c>
      <c r="L41" t="s">
        <v>239</v>
      </c>
      <c r="M41" t="s">
        <v>232</v>
      </c>
      <c r="N41" t="s">
        <v>311</v>
      </c>
      <c r="O41" t="s">
        <v>172</v>
      </c>
      <c r="P41" t="s">
        <v>314</v>
      </c>
      <c r="Q41" t="s">
        <v>322</v>
      </c>
      <c r="T41" t="s">
        <v>376</v>
      </c>
      <c r="U41" t="s">
        <v>754</v>
      </c>
      <c r="V41" t="s">
        <v>198</v>
      </c>
      <c r="W41" t="s">
        <v>196</v>
      </c>
      <c r="X41" t="s">
        <v>1113</v>
      </c>
      <c r="Y41" t="s">
        <v>1152</v>
      </c>
      <c r="Z41" t="s">
        <v>1592</v>
      </c>
      <c r="AA41" t="s">
        <v>1754</v>
      </c>
      <c r="AB41" t="s">
        <v>1786</v>
      </c>
      <c r="AC41">
        <v>11236</v>
      </c>
      <c r="AD41" t="s">
        <v>1787</v>
      </c>
      <c r="AE41" t="s">
        <v>1833</v>
      </c>
      <c r="AF41">
        <v>4</v>
      </c>
      <c r="AG41" t="s">
        <v>2214</v>
      </c>
      <c r="AH41" t="s">
        <v>2218</v>
      </c>
      <c r="AI41" t="s">
        <v>233</v>
      </c>
      <c r="AJ41" t="s">
        <v>233</v>
      </c>
      <c r="AL41" t="s">
        <v>2230</v>
      </c>
      <c r="AM41" t="s">
        <v>2236</v>
      </c>
      <c r="AN41">
        <v>0</v>
      </c>
      <c r="AO41">
        <v>0</v>
      </c>
      <c r="AP41">
        <v>0.5</v>
      </c>
      <c r="AQ41" t="s">
        <v>2242</v>
      </c>
      <c r="AR41" t="s">
        <v>2284</v>
      </c>
      <c r="AS41" t="s">
        <v>2728</v>
      </c>
      <c r="AT41">
        <v>2</v>
      </c>
      <c r="AU41" t="s">
        <v>3108</v>
      </c>
      <c r="AV41">
        <v>1</v>
      </c>
      <c r="AW41">
        <v>0</v>
      </c>
      <c r="AX41">
        <v>17.49</v>
      </c>
      <c r="BB41" t="s">
        <v>252</v>
      </c>
      <c r="BC41" t="s">
        <v>3130</v>
      </c>
      <c r="BD41">
        <v>2184</v>
      </c>
      <c r="BH41" t="s">
        <v>3153</v>
      </c>
      <c r="BK41" t="s">
        <v>3213</v>
      </c>
      <c r="BL41" t="s">
        <v>176</v>
      </c>
      <c r="BM41" t="s">
        <v>311</v>
      </c>
    </row>
    <row r="42" spans="1:65">
      <c r="A42" s="1">
        <f>HYPERLINK("https://lsnyc.legalserver.org/matter/dynamic-profile/view/1904561","19-1904561")</f>
        <v>0</v>
      </c>
      <c r="B42" t="s">
        <v>64</v>
      </c>
      <c r="C42" t="s">
        <v>80</v>
      </c>
      <c r="D42" t="s">
        <v>170</v>
      </c>
      <c r="E42" t="s">
        <v>172</v>
      </c>
      <c r="F42" t="s">
        <v>176</v>
      </c>
      <c r="G42" t="s">
        <v>172</v>
      </c>
      <c r="H42" t="s">
        <v>221</v>
      </c>
      <c r="I42" t="s">
        <v>172</v>
      </c>
      <c r="J42" t="s">
        <v>231</v>
      </c>
      <c r="K42" t="s">
        <v>172</v>
      </c>
      <c r="M42" t="s">
        <v>232</v>
      </c>
      <c r="N42" t="s">
        <v>311</v>
      </c>
      <c r="O42" t="s">
        <v>172</v>
      </c>
      <c r="P42" t="s">
        <v>314</v>
      </c>
      <c r="Q42" t="s">
        <v>322</v>
      </c>
      <c r="T42" t="s">
        <v>377</v>
      </c>
      <c r="U42" t="s">
        <v>755</v>
      </c>
      <c r="V42" t="s">
        <v>176</v>
      </c>
      <c r="W42" t="s">
        <v>198</v>
      </c>
      <c r="X42" t="s">
        <v>1113</v>
      </c>
      <c r="Y42" t="s">
        <v>1153</v>
      </c>
      <c r="Z42" t="s">
        <v>1593</v>
      </c>
      <c r="AA42" t="s">
        <v>1754</v>
      </c>
      <c r="AB42" t="s">
        <v>1786</v>
      </c>
      <c r="AC42">
        <v>11235</v>
      </c>
      <c r="AD42" t="s">
        <v>1790</v>
      </c>
      <c r="AE42" t="s">
        <v>1834</v>
      </c>
      <c r="AF42">
        <v>15</v>
      </c>
      <c r="AG42" t="s">
        <v>2214</v>
      </c>
      <c r="AH42" t="s">
        <v>2218</v>
      </c>
      <c r="AI42" t="s">
        <v>233</v>
      </c>
      <c r="AJ42" t="s">
        <v>233</v>
      </c>
      <c r="AL42" t="s">
        <v>2230</v>
      </c>
      <c r="AM42" t="s">
        <v>2237</v>
      </c>
      <c r="AN42">
        <v>0</v>
      </c>
      <c r="AO42">
        <v>1504.6</v>
      </c>
      <c r="AP42">
        <v>3.6</v>
      </c>
      <c r="AQ42" t="s">
        <v>2242</v>
      </c>
      <c r="AR42" t="s">
        <v>2285</v>
      </c>
      <c r="AS42" t="s">
        <v>2729</v>
      </c>
      <c r="AT42">
        <v>108</v>
      </c>
      <c r="AU42" t="s">
        <v>3109</v>
      </c>
      <c r="AV42">
        <v>1</v>
      </c>
      <c r="AW42">
        <v>0</v>
      </c>
      <c r="AX42">
        <v>96.08</v>
      </c>
      <c r="BB42" t="s">
        <v>252</v>
      </c>
      <c r="BC42" t="s">
        <v>3130</v>
      </c>
      <c r="BD42">
        <v>12000</v>
      </c>
      <c r="BH42" t="s">
        <v>3153</v>
      </c>
      <c r="BK42" t="s">
        <v>3214</v>
      </c>
      <c r="BL42" t="s">
        <v>1103</v>
      </c>
      <c r="BM42" t="s">
        <v>311</v>
      </c>
    </row>
    <row r="43" spans="1:65">
      <c r="A43" s="1">
        <f>HYPERLINK("https://lsnyc.legalserver.org/matter/dynamic-profile/view/1907398","19-1907398")</f>
        <v>0</v>
      </c>
      <c r="B43" t="s">
        <v>64</v>
      </c>
      <c r="C43" t="s">
        <v>73</v>
      </c>
      <c r="D43" t="s">
        <v>170</v>
      </c>
      <c r="E43" t="s">
        <v>171</v>
      </c>
      <c r="G43" t="s">
        <v>219</v>
      </c>
      <c r="I43" t="s">
        <v>230</v>
      </c>
      <c r="J43" t="s">
        <v>232</v>
      </c>
      <c r="K43" t="s">
        <v>234</v>
      </c>
      <c r="M43" t="s">
        <v>232</v>
      </c>
      <c r="O43" t="s">
        <v>172</v>
      </c>
      <c r="P43" t="s">
        <v>318</v>
      </c>
      <c r="Q43" t="s">
        <v>321</v>
      </c>
      <c r="T43" t="s">
        <v>378</v>
      </c>
      <c r="U43" t="s">
        <v>756</v>
      </c>
      <c r="V43" t="s">
        <v>1099</v>
      </c>
      <c r="X43" t="s">
        <v>1112</v>
      </c>
      <c r="Y43" t="s">
        <v>1154</v>
      </c>
      <c r="Z43" t="s">
        <v>1594</v>
      </c>
      <c r="AA43" t="s">
        <v>1754</v>
      </c>
      <c r="AB43" t="s">
        <v>1786</v>
      </c>
      <c r="AC43">
        <v>11214</v>
      </c>
      <c r="AF43">
        <v>0</v>
      </c>
      <c r="AH43" t="s">
        <v>2218</v>
      </c>
      <c r="AI43" t="s">
        <v>233</v>
      </c>
      <c r="AL43" t="s">
        <v>2230</v>
      </c>
      <c r="AN43">
        <v>0</v>
      </c>
      <c r="AO43">
        <v>0</v>
      </c>
      <c r="AP43">
        <v>0</v>
      </c>
      <c r="AR43" t="s">
        <v>2286</v>
      </c>
      <c r="AS43" t="s">
        <v>2730</v>
      </c>
      <c r="AT43">
        <v>0</v>
      </c>
      <c r="AV43">
        <v>1</v>
      </c>
      <c r="AW43">
        <v>0</v>
      </c>
      <c r="AX43">
        <v>98.56999999999999</v>
      </c>
      <c r="BC43" t="s">
        <v>3130</v>
      </c>
      <c r="BD43">
        <v>12312</v>
      </c>
      <c r="BH43" t="s">
        <v>73</v>
      </c>
      <c r="BK43" t="s">
        <v>3215</v>
      </c>
    </row>
    <row r="44" spans="1:65">
      <c r="A44" s="1">
        <f>HYPERLINK("https://lsnyc.legalserver.org/matter/dynamic-profile/view/1906996","19-1906996")</f>
        <v>0</v>
      </c>
      <c r="B44" t="s">
        <v>64</v>
      </c>
      <c r="C44" t="s">
        <v>73</v>
      </c>
      <c r="D44" t="s">
        <v>170</v>
      </c>
      <c r="E44" t="s">
        <v>171</v>
      </c>
      <c r="G44" t="s">
        <v>172</v>
      </c>
      <c r="H44" t="s">
        <v>220</v>
      </c>
      <c r="I44" t="s">
        <v>230</v>
      </c>
      <c r="J44" t="s">
        <v>232</v>
      </c>
      <c r="K44" t="s">
        <v>172</v>
      </c>
      <c r="L44" t="s">
        <v>240</v>
      </c>
      <c r="M44" t="s">
        <v>232</v>
      </c>
      <c r="O44" t="s">
        <v>313</v>
      </c>
      <c r="P44" t="s">
        <v>315</v>
      </c>
      <c r="Q44" t="s">
        <v>321</v>
      </c>
      <c r="T44" t="s">
        <v>379</v>
      </c>
      <c r="U44" t="s">
        <v>757</v>
      </c>
      <c r="V44" t="s">
        <v>183</v>
      </c>
      <c r="X44" t="s">
        <v>1112</v>
      </c>
      <c r="Y44" t="s">
        <v>1155</v>
      </c>
      <c r="Z44" t="s">
        <v>1595</v>
      </c>
      <c r="AA44" t="s">
        <v>1754</v>
      </c>
      <c r="AB44" t="s">
        <v>1786</v>
      </c>
      <c r="AC44">
        <v>11221</v>
      </c>
      <c r="AE44" t="s">
        <v>1835</v>
      </c>
      <c r="AF44">
        <v>1</v>
      </c>
      <c r="AH44" t="s">
        <v>2219</v>
      </c>
      <c r="AI44" t="s">
        <v>233</v>
      </c>
      <c r="AL44" t="s">
        <v>2230</v>
      </c>
      <c r="AN44">
        <v>0</v>
      </c>
      <c r="AO44">
        <v>1515</v>
      </c>
      <c r="AP44">
        <v>11.6</v>
      </c>
      <c r="AR44" t="s">
        <v>2287</v>
      </c>
      <c r="AS44" t="s">
        <v>2731</v>
      </c>
      <c r="AT44">
        <v>0</v>
      </c>
      <c r="AV44">
        <v>3</v>
      </c>
      <c r="AW44">
        <v>2</v>
      </c>
      <c r="AX44">
        <v>116.98</v>
      </c>
      <c r="BC44" t="s">
        <v>3131</v>
      </c>
      <c r="BD44">
        <v>35292</v>
      </c>
      <c r="BH44" t="s">
        <v>3157</v>
      </c>
      <c r="BK44" t="s">
        <v>3209</v>
      </c>
      <c r="BL44" t="s">
        <v>206</v>
      </c>
    </row>
    <row r="45" spans="1:65">
      <c r="A45" s="1">
        <f>HYPERLINK("https://lsnyc.legalserver.org/matter/dynamic-profile/view/1907405","19-1907405")</f>
        <v>0</v>
      </c>
      <c r="B45" t="s">
        <v>64</v>
      </c>
      <c r="C45" t="s">
        <v>73</v>
      </c>
      <c r="D45" t="s">
        <v>170</v>
      </c>
      <c r="E45" t="s">
        <v>171</v>
      </c>
      <c r="G45" t="s">
        <v>172</v>
      </c>
      <c r="H45" t="s">
        <v>220</v>
      </c>
      <c r="I45" t="s">
        <v>230</v>
      </c>
      <c r="J45" t="s">
        <v>232</v>
      </c>
      <c r="K45" t="s">
        <v>234</v>
      </c>
      <c r="M45" t="s">
        <v>232</v>
      </c>
      <c r="O45" t="s">
        <v>172</v>
      </c>
      <c r="P45" t="s">
        <v>314</v>
      </c>
      <c r="Q45" t="s">
        <v>321</v>
      </c>
      <c r="T45" t="s">
        <v>380</v>
      </c>
      <c r="U45" t="s">
        <v>758</v>
      </c>
      <c r="V45" t="s">
        <v>1099</v>
      </c>
      <c r="X45" t="s">
        <v>1112</v>
      </c>
      <c r="Y45" t="s">
        <v>1156</v>
      </c>
      <c r="Z45" t="s">
        <v>1578</v>
      </c>
      <c r="AA45" t="s">
        <v>1754</v>
      </c>
      <c r="AB45" t="s">
        <v>1786</v>
      </c>
      <c r="AC45">
        <v>11204</v>
      </c>
      <c r="AD45" t="s">
        <v>1791</v>
      </c>
      <c r="AF45">
        <v>5</v>
      </c>
      <c r="AH45" t="s">
        <v>2218</v>
      </c>
      <c r="AI45" t="s">
        <v>233</v>
      </c>
      <c r="AL45" t="s">
        <v>2230</v>
      </c>
      <c r="AN45">
        <v>0</v>
      </c>
      <c r="AO45">
        <v>1900</v>
      </c>
      <c r="AP45">
        <v>0</v>
      </c>
      <c r="AR45" t="s">
        <v>2288</v>
      </c>
      <c r="AS45" t="s">
        <v>2732</v>
      </c>
      <c r="AT45">
        <v>2</v>
      </c>
      <c r="AV45">
        <v>3</v>
      </c>
      <c r="AW45">
        <v>2</v>
      </c>
      <c r="AX45">
        <v>0</v>
      </c>
      <c r="BC45" t="s">
        <v>3131</v>
      </c>
      <c r="BD45">
        <v>0</v>
      </c>
      <c r="BH45" t="s">
        <v>73</v>
      </c>
      <c r="BK45" t="s">
        <v>3210</v>
      </c>
    </row>
    <row r="46" spans="1:65">
      <c r="A46" s="1">
        <f>HYPERLINK("https://lsnyc.legalserver.org/matter/dynamic-profile/view/1904408","19-1904408")</f>
        <v>0</v>
      </c>
      <c r="B46" t="s">
        <v>64</v>
      </c>
      <c r="C46" t="s">
        <v>73</v>
      </c>
      <c r="D46" t="s">
        <v>170</v>
      </c>
      <c r="E46" t="s">
        <v>171</v>
      </c>
      <c r="G46" t="s">
        <v>172</v>
      </c>
      <c r="H46" t="s">
        <v>221</v>
      </c>
      <c r="I46" t="s">
        <v>172</v>
      </c>
      <c r="J46" t="s">
        <v>231</v>
      </c>
      <c r="K46" t="s">
        <v>172</v>
      </c>
      <c r="L46">
        <v>36992633</v>
      </c>
      <c r="M46" t="s">
        <v>232</v>
      </c>
      <c r="N46" t="s">
        <v>311</v>
      </c>
      <c r="O46" t="s">
        <v>313</v>
      </c>
      <c r="P46" t="s">
        <v>315</v>
      </c>
      <c r="Q46" t="s">
        <v>321</v>
      </c>
      <c r="T46" t="s">
        <v>381</v>
      </c>
      <c r="U46" t="s">
        <v>759</v>
      </c>
      <c r="V46" t="s">
        <v>174</v>
      </c>
      <c r="X46" t="s">
        <v>1112</v>
      </c>
      <c r="Y46" t="s">
        <v>1157</v>
      </c>
      <c r="Z46" t="s">
        <v>1585</v>
      </c>
      <c r="AA46" t="s">
        <v>1754</v>
      </c>
      <c r="AB46" t="s">
        <v>1786</v>
      </c>
      <c r="AC46">
        <v>11216</v>
      </c>
      <c r="AD46" t="s">
        <v>1789</v>
      </c>
      <c r="AE46" t="s">
        <v>1836</v>
      </c>
      <c r="AF46">
        <v>6</v>
      </c>
      <c r="AH46" t="s">
        <v>2219</v>
      </c>
      <c r="AI46" t="s">
        <v>233</v>
      </c>
      <c r="AL46" t="s">
        <v>2230</v>
      </c>
      <c r="AN46">
        <v>0</v>
      </c>
      <c r="AO46">
        <v>795</v>
      </c>
      <c r="AP46">
        <v>3.7</v>
      </c>
      <c r="AR46" t="s">
        <v>2289</v>
      </c>
      <c r="AS46" t="s">
        <v>2733</v>
      </c>
      <c r="AT46">
        <v>12</v>
      </c>
      <c r="AV46">
        <v>1</v>
      </c>
      <c r="AW46">
        <v>2</v>
      </c>
      <c r="AX46">
        <v>22.5</v>
      </c>
      <c r="BB46" t="s">
        <v>3123</v>
      </c>
      <c r="BC46" t="s">
        <v>3130</v>
      </c>
      <c r="BD46">
        <v>4800</v>
      </c>
      <c r="BH46" t="s">
        <v>3155</v>
      </c>
      <c r="BK46" t="s">
        <v>3194</v>
      </c>
      <c r="BL46" t="s">
        <v>185</v>
      </c>
      <c r="BM46" t="s">
        <v>311</v>
      </c>
    </row>
    <row r="47" spans="1:65">
      <c r="A47" s="1">
        <f>HYPERLINK("https://lsnyc.legalserver.org/matter/dynamic-profile/view/1907127","19-1907127")</f>
        <v>0</v>
      </c>
      <c r="B47" t="s">
        <v>64</v>
      </c>
      <c r="C47" t="s">
        <v>73</v>
      </c>
      <c r="D47" t="s">
        <v>170</v>
      </c>
      <c r="E47" t="s">
        <v>171</v>
      </c>
      <c r="G47" t="s">
        <v>219</v>
      </c>
      <c r="I47" t="s">
        <v>230</v>
      </c>
      <c r="J47" t="s">
        <v>232</v>
      </c>
      <c r="K47" t="s">
        <v>234</v>
      </c>
      <c r="M47" t="s">
        <v>232</v>
      </c>
      <c r="O47" t="s">
        <v>172</v>
      </c>
      <c r="P47" t="s">
        <v>318</v>
      </c>
      <c r="Q47" t="s">
        <v>321</v>
      </c>
      <c r="T47" t="s">
        <v>382</v>
      </c>
      <c r="U47" t="s">
        <v>760</v>
      </c>
      <c r="V47" t="s">
        <v>184</v>
      </c>
      <c r="X47" t="s">
        <v>1112</v>
      </c>
      <c r="Y47" t="s">
        <v>1158</v>
      </c>
      <c r="Z47" t="s">
        <v>1596</v>
      </c>
      <c r="AA47" t="s">
        <v>1754</v>
      </c>
      <c r="AB47" t="s">
        <v>1786</v>
      </c>
      <c r="AC47">
        <v>11213</v>
      </c>
      <c r="AD47" t="s">
        <v>1787</v>
      </c>
      <c r="AF47">
        <v>50</v>
      </c>
      <c r="AH47" t="s">
        <v>2218</v>
      </c>
      <c r="AI47" t="s">
        <v>233</v>
      </c>
      <c r="AL47" t="s">
        <v>2230</v>
      </c>
      <c r="AN47">
        <v>0</v>
      </c>
      <c r="AO47">
        <v>637.45</v>
      </c>
      <c r="AP47">
        <v>4.4</v>
      </c>
      <c r="AR47" t="s">
        <v>2290</v>
      </c>
      <c r="AS47" t="s">
        <v>2734</v>
      </c>
      <c r="AT47">
        <v>7</v>
      </c>
      <c r="AV47">
        <v>1</v>
      </c>
      <c r="AW47">
        <v>0</v>
      </c>
      <c r="AX47">
        <v>28.82</v>
      </c>
      <c r="BB47" t="s">
        <v>3122</v>
      </c>
      <c r="BC47" t="s">
        <v>3130</v>
      </c>
      <c r="BD47">
        <v>3600</v>
      </c>
      <c r="BH47" t="s">
        <v>3154</v>
      </c>
      <c r="BK47" t="s">
        <v>3193</v>
      </c>
      <c r="BL47" t="s">
        <v>177</v>
      </c>
    </row>
    <row r="48" spans="1:65">
      <c r="A48" s="1">
        <f>HYPERLINK("https://lsnyc.legalserver.org/matter/dynamic-profile/view/1906524","19-1906524")</f>
        <v>0</v>
      </c>
      <c r="B48" t="s">
        <v>64</v>
      </c>
      <c r="C48" t="s">
        <v>76</v>
      </c>
      <c r="D48" t="s">
        <v>170</v>
      </c>
      <c r="E48" t="s">
        <v>171</v>
      </c>
      <c r="G48" t="s">
        <v>172</v>
      </c>
      <c r="H48" t="s">
        <v>221</v>
      </c>
      <c r="I48" t="s">
        <v>230</v>
      </c>
      <c r="J48" t="s">
        <v>232</v>
      </c>
      <c r="K48" t="s">
        <v>172</v>
      </c>
      <c r="L48" t="s">
        <v>241</v>
      </c>
      <c r="M48" t="s">
        <v>232</v>
      </c>
      <c r="O48" t="s">
        <v>172</v>
      </c>
      <c r="P48" t="s">
        <v>314</v>
      </c>
      <c r="Q48" t="s">
        <v>323</v>
      </c>
      <c r="S48" t="s">
        <v>327</v>
      </c>
      <c r="T48" t="s">
        <v>383</v>
      </c>
      <c r="U48" t="s">
        <v>752</v>
      </c>
      <c r="V48" t="s">
        <v>1097</v>
      </c>
      <c r="W48" t="s">
        <v>197</v>
      </c>
      <c r="X48" t="s">
        <v>1113</v>
      </c>
      <c r="Y48" t="s">
        <v>1159</v>
      </c>
      <c r="Z48" t="s">
        <v>1597</v>
      </c>
      <c r="AA48" t="s">
        <v>1754</v>
      </c>
      <c r="AB48" t="s">
        <v>1786</v>
      </c>
      <c r="AC48">
        <v>11206</v>
      </c>
      <c r="AD48" t="s">
        <v>1787</v>
      </c>
      <c r="AE48" t="s">
        <v>1837</v>
      </c>
      <c r="AF48">
        <v>35</v>
      </c>
      <c r="AG48" t="s">
        <v>2214</v>
      </c>
      <c r="AH48" t="s">
        <v>2218</v>
      </c>
      <c r="AI48" t="s">
        <v>233</v>
      </c>
      <c r="AL48" t="s">
        <v>2230</v>
      </c>
      <c r="AN48">
        <v>0</v>
      </c>
      <c r="AO48">
        <v>1456.75</v>
      </c>
      <c r="AP48">
        <v>0.7</v>
      </c>
      <c r="AQ48" t="s">
        <v>2242</v>
      </c>
      <c r="AR48" t="s">
        <v>2291</v>
      </c>
      <c r="AS48" t="s">
        <v>2735</v>
      </c>
      <c r="AT48">
        <v>194</v>
      </c>
      <c r="AU48" t="s">
        <v>3107</v>
      </c>
      <c r="AV48">
        <v>2</v>
      </c>
      <c r="AW48">
        <v>0</v>
      </c>
      <c r="AX48">
        <v>52.16</v>
      </c>
      <c r="BB48" t="s">
        <v>252</v>
      </c>
      <c r="BC48" t="s">
        <v>3130</v>
      </c>
      <c r="BD48">
        <v>8820</v>
      </c>
      <c r="BH48" t="s">
        <v>3157</v>
      </c>
      <c r="BJ48" t="s">
        <v>1793</v>
      </c>
      <c r="BK48" t="s">
        <v>3207</v>
      </c>
      <c r="BL48" t="s">
        <v>212</v>
      </c>
    </row>
    <row r="49" spans="1:65">
      <c r="A49" s="1">
        <f>HYPERLINK("https://lsnyc.legalserver.org/matter/dynamic-profile/view/1904888","19-1904888")</f>
        <v>0</v>
      </c>
      <c r="B49" t="s">
        <v>64</v>
      </c>
      <c r="C49" t="s">
        <v>81</v>
      </c>
      <c r="D49" t="s">
        <v>170</v>
      </c>
      <c r="E49" t="s">
        <v>171</v>
      </c>
      <c r="G49" t="s">
        <v>172</v>
      </c>
      <c r="H49" t="s">
        <v>221</v>
      </c>
      <c r="I49" t="s">
        <v>230</v>
      </c>
      <c r="J49" t="s">
        <v>232</v>
      </c>
      <c r="K49" t="s">
        <v>234</v>
      </c>
      <c r="M49" t="s">
        <v>232</v>
      </c>
      <c r="O49" t="s">
        <v>313</v>
      </c>
      <c r="Q49" t="s">
        <v>321</v>
      </c>
      <c r="T49" t="s">
        <v>384</v>
      </c>
      <c r="U49" t="s">
        <v>761</v>
      </c>
      <c r="V49" t="s">
        <v>179</v>
      </c>
      <c r="X49" t="s">
        <v>1112</v>
      </c>
      <c r="Y49" t="s">
        <v>1160</v>
      </c>
      <c r="Z49" t="s">
        <v>1598</v>
      </c>
      <c r="AA49" t="s">
        <v>1754</v>
      </c>
      <c r="AB49" t="s">
        <v>1786</v>
      </c>
      <c r="AC49">
        <v>11213</v>
      </c>
      <c r="AD49" t="s">
        <v>1787</v>
      </c>
      <c r="AE49" t="s">
        <v>1838</v>
      </c>
      <c r="AF49">
        <v>16</v>
      </c>
      <c r="AH49" t="s">
        <v>2218</v>
      </c>
      <c r="AI49" t="s">
        <v>233</v>
      </c>
      <c r="AJ49" t="s">
        <v>233</v>
      </c>
      <c r="AL49" t="s">
        <v>2230</v>
      </c>
      <c r="AN49">
        <v>0</v>
      </c>
      <c r="AO49">
        <v>135</v>
      </c>
      <c r="AP49">
        <v>8</v>
      </c>
      <c r="AR49" t="s">
        <v>2292</v>
      </c>
      <c r="AS49" t="s">
        <v>2736</v>
      </c>
      <c r="AT49">
        <v>11</v>
      </c>
      <c r="AV49">
        <v>1</v>
      </c>
      <c r="AW49">
        <v>0</v>
      </c>
      <c r="AX49">
        <v>33.31</v>
      </c>
      <c r="BD49">
        <v>4160</v>
      </c>
      <c r="BH49" t="s">
        <v>3158</v>
      </c>
      <c r="BK49" t="s">
        <v>3194</v>
      </c>
      <c r="BL49" t="s">
        <v>207</v>
      </c>
    </row>
    <row r="50" spans="1:65">
      <c r="A50" s="1">
        <f>HYPERLINK("https://lsnyc.legalserver.org/matter/dynamic-profile/view/1906275","19-1906275")</f>
        <v>0</v>
      </c>
      <c r="B50" t="s">
        <v>64</v>
      </c>
      <c r="C50" t="s">
        <v>76</v>
      </c>
      <c r="D50" t="s">
        <v>170</v>
      </c>
      <c r="E50" t="s">
        <v>171</v>
      </c>
      <c r="G50" t="s">
        <v>172</v>
      </c>
      <c r="H50" t="s">
        <v>221</v>
      </c>
      <c r="I50" t="s">
        <v>230</v>
      </c>
      <c r="J50" t="s">
        <v>232</v>
      </c>
      <c r="K50" t="s">
        <v>234</v>
      </c>
      <c r="M50" t="s">
        <v>232</v>
      </c>
      <c r="O50" t="s">
        <v>313</v>
      </c>
      <c r="P50" t="s">
        <v>315</v>
      </c>
      <c r="Q50" t="s">
        <v>321</v>
      </c>
      <c r="T50" t="s">
        <v>385</v>
      </c>
      <c r="U50" t="s">
        <v>762</v>
      </c>
      <c r="V50" t="s">
        <v>195</v>
      </c>
      <c r="X50" t="s">
        <v>1112</v>
      </c>
      <c r="Y50" t="s">
        <v>1161</v>
      </c>
      <c r="Z50">
        <v>525</v>
      </c>
      <c r="AA50" t="s">
        <v>1754</v>
      </c>
      <c r="AB50" t="s">
        <v>1786</v>
      </c>
      <c r="AC50">
        <v>11249</v>
      </c>
      <c r="AD50" t="s">
        <v>1787</v>
      </c>
      <c r="AE50" t="s">
        <v>1839</v>
      </c>
      <c r="AF50">
        <v>0</v>
      </c>
      <c r="AH50" t="s">
        <v>2218</v>
      </c>
      <c r="AI50" t="s">
        <v>233</v>
      </c>
      <c r="AL50" t="s">
        <v>2230</v>
      </c>
      <c r="AN50">
        <v>0</v>
      </c>
      <c r="AO50">
        <v>992</v>
      </c>
      <c r="AP50">
        <v>0.9</v>
      </c>
      <c r="AR50" t="s">
        <v>2293</v>
      </c>
      <c r="AS50" t="s">
        <v>2737</v>
      </c>
      <c r="AT50">
        <v>0</v>
      </c>
      <c r="AV50">
        <v>1</v>
      </c>
      <c r="AW50">
        <v>3</v>
      </c>
      <c r="AX50">
        <v>77.65000000000001</v>
      </c>
      <c r="BC50" t="s">
        <v>3133</v>
      </c>
      <c r="BD50">
        <v>19994</v>
      </c>
      <c r="BH50" t="s">
        <v>3155</v>
      </c>
      <c r="BK50" t="s">
        <v>3216</v>
      </c>
      <c r="BL50" t="s">
        <v>1111</v>
      </c>
    </row>
    <row r="51" spans="1:65">
      <c r="A51" s="1">
        <f>HYPERLINK("https://lsnyc.legalserver.org/matter/dynamic-profile/view/1906426","19-1906426")</f>
        <v>0</v>
      </c>
      <c r="B51" t="s">
        <v>64</v>
      </c>
      <c r="C51" t="s">
        <v>76</v>
      </c>
      <c r="D51" t="s">
        <v>170</v>
      </c>
      <c r="E51" t="s">
        <v>171</v>
      </c>
      <c r="G51" t="s">
        <v>172</v>
      </c>
      <c r="H51" t="s">
        <v>224</v>
      </c>
      <c r="I51" t="s">
        <v>172</v>
      </c>
      <c r="J51" t="s">
        <v>231</v>
      </c>
      <c r="K51" t="s">
        <v>172</v>
      </c>
      <c r="M51" t="s">
        <v>232</v>
      </c>
      <c r="N51" t="s">
        <v>311</v>
      </c>
      <c r="O51" t="s">
        <v>172</v>
      </c>
      <c r="P51" t="s">
        <v>316</v>
      </c>
      <c r="Q51" t="s">
        <v>321</v>
      </c>
      <c r="T51" t="s">
        <v>386</v>
      </c>
      <c r="U51" t="s">
        <v>763</v>
      </c>
      <c r="V51" t="s">
        <v>178</v>
      </c>
      <c r="X51" t="s">
        <v>1112</v>
      </c>
      <c r="Y51" t="s">
        <v>1162</v>
      </c>
      <c r="Z51" t="s">
        <v>1599</v>
      </c>
      <c r="AA51" t="s">
        <v>1754</v>
      </c>
      <c r="AB51" t="s">
        <v>1786</v>
      </c>
      <c r="AC51">
        <v>11236</v>
      </c>
      <c r="AD51" t="s">
        <v>1787</v>
      </c>
      <c r="AE51" t="s">
        <v>1840</v>
      </c>
      <c r="AF51">
        <v>1</v>
      </c>
      <c r="AH51" t="s">
        <v>2218</v>
      </c>
      <c r="AI51" t="s">
        <v>233</v>
      </c>
      <c r="AL51" t="s">
        <v>2230</v>
      </c>
      <c r="AM51" t="s">
        <v>2238</v>
      </c>
      <c r="AN51">
        <v>0</v>
      </c>
      <c r="AO51">
        <v>1283</v>
      </c>
      <c r="AP51">
        <v>52.6</v>
      </c>
      <c r="AR51" t="s">
        <v>2294</v>
      </c>
      <c r="AS51" t="s">
        <v>2738</v>
      </c>
      <c r="AT51">
        <v>2</v>
      </c>
      <c r="AV51">
        <v>1</v>
      </c>
      <c r="AW51">
        <v>1</v>
      </c>
      <c r="AX51">
        <v>48.26</v>
      </c>
      <c r="BB51" t="s">
        <v>3124</v>
      </c>
      <c r="BC51" t="s">
        <v>3130</v>
      </c>
      <c r="BD51">
        <v>8160</v>
      </c>
      <c r="BH51" t="s">
        <v>3153</v>
      </c>
      <c r="BK51" t="s">
        <v>3217</v>
      </c>
      <c r="BL51" t="s">
        <v>207</v>
      </c>
      <c r="BM51" t="s">
        <v>311</v>
      </c>
    </row>
    <row r="52" spans="1:65">
      <c r="A52" s="1">
        <f>HYPERLINK("https://lsnyc.legalserver.org/matter/dynamic-profile/view/1906339","19-1906339")</f>
        <v>0</v>
      </c>
      <c r="B52" t="s">
        <v>64</v>
      </c>
      <c r="C52" t="s">
        <v>82</v>
      </c>
      <c r="D52" t="s">
        <v>170</v>
      </c>
      <c r="E52" t="s">
        <v>171</v>
      </c>
      <c r="G52" t="s">
        <v>219</v>
      </c>
      <c r="I52" t="s">
        <v>230</v>
      </c>
      <c r="J52" t="s">
        <v>233</v>
      </c>
      <c r="K52" t="s">
        <v>234</v>
      </c>
      <c r="M52" t="s">
        <v>232</v>
      </c>
      <c r="O52" t="s">
        <v>313</v>
      </c>
      <c r="P52" t="s">
        <v>315</v>
      </c>
      <c r="Q52" t="s">
        <v>321</v>
      </c>
      <c r="T52" t="s">
        <v>387</v>
      </c>
      <c r="U52" t="s">
        <v>764</v>
      </c>
      <c r="V52" t="s">
        <v>195</v>
      </c>
      <c r="X52" t="s">
        <v>1112</v>
      </c>
      <c r="Y52" t="s">
        <v>1163</v>
      </c>
      <c r="Z52" t="s">
        <v>1600</v>
      </c>
      <c r="AA52" t="s">
        <v>1754</v>
      </c>
      <c r="AB52" t="s">
        <v>1786</v>
      </c>
      <c r="AC52">
        <v>11225</v>
      </c>
      <c r="AD52" t="s">
        <v>1787</v>
      </c>
      <c r="AF52">
        <v>15</v>
      </c>
      <c r="AH52" t="s">
        <v>2219</v>
      </c>
      <c r="AI52" t="s">
        <v>233</v>
      </c>
      <c r="AL52" t="s">
        <v>2230</v>
      </c>
      <c r="AN52">
        <v>0</v>
      </c>
      <c r="AO52">
        <v>1254.73</v>
      </c>
      <c r="AP52">
        <v>0.5</v>
      </c>
      <c r="AR52" t="s">
        <v>2295</v>
      </c>
      <c r="AS52" t="s">
        <v>2739</v>
      </c>
      <c r="AT52">
        <v>60</v>
      </c>
      <c r="AU52" t="s">
        <v>3106</v>
      </c>
      <c r="AV52">
        <v>1</v>
      </c>
      <c r="AW52">
        <v>0</v>
      </c>
      <c r="AX52">
        <v>187.35</v>
      </c>
      <c r="BC52" t="s">
        <v>3130</v>
      </c>
      <c r="BD52">
        <v>23400</v>
      </c>
      <c r="BH52" t="s">
        <v>3154</v>
      </c>
      <c r="BK52" t="s">
        <v>3206</v>
      </c>
      <c r="BL52" t="s">
        <v>197</v>
      </c>
    </row>
    <row r="53" spans="1:65">
      <c r="A53" s="1">
        <f>HYPERLINK("https://lsnyc.legalserver.org/matter/dynamic-profile/view/1906756","19-1906756")</f>
        <v>0</v>
      </c>
      <c r="B53" t="s">
        <v>64</v>
      </c>
      <c r="C53" t="s">
        <v>82</v>
      </c>
      <c r="D53" t="s">
        <v>170</v>
      </c>
      <c r="E53" t="s">
        <v>171</v>
      </c>
      <c r="G53" t="s">
        <v>219</v>
      </c>
      <c r="I53" t="s">
        <v>230</v>
      </c>
      <c r="J53" t="s">
        <v>232</v>
      </c>
      <c r="K53" t="s">
        <v>234</v>
      </c>
      <c r="M53" t="s">
        <v>232</v>
      </c>
      <c r="O53" t="s">
        <v>172</v>
      </c>
      <c r="P53" t="s">
        <v>318</v>
      </c>
      <c r="Q53" t="s">
        <v>321</v>
      </c>
      <c r="T53" t="s">
        <v>381</v>
      </c>
      <c r="U53" t="s">
        <v>765</v>
      </c>
      <c r="V53" t="s">
        <v>208</v>
      </c>
      <c r="X53" t="s">
        <v>1112</v>
      </c>
      <c r="Y53" t="s">
        <v>1164</v>
      </c>
      <c r="Z53" t="s">
        <v>1579</v>
      </c>
      <c r="AA53" t="s">
        <v>1754</v>
      </c>
      <c r="AB53" t="s">
        <v>1786</v>
      </c>
      <c r="AC53">
        <v>11210</v>
      </c>
      <c r="AD53" t="s">
        <v>1789</v>
      </c>
      <c r="AF53">
        <v>17</v>
      </c>
      <c r="AH53" t="s">
        <v>2219</v>
      </c>
      <c r="AI53" t="s">
        <v>233</v>
      </c>
      <c r="AL53" t="s">
        <v>2230</v>
      </c>
      <c r="AN53">
        <v>0</v>
      </c>
      <c r="AO53">
        <v>900</v>
      </c>
      <c r="AP53">
        <v>1</v>
      </c>
      <c r="AR53" t="s">
        <v>2296</v>
      </c>
      <c r="AS53" t="s">
        <v>2740</v>
      </c>
      <c r="AT53">
        <v>0</v>
      </c>
      <c r="AV53">
        <v>1</v>
      </c>
      <c r="AW53">
        <v>1</v>
      </c>
      <c r="AX53">
        <v>142.14</v>
      </c>
      <c r="BC53" t="s">
        <v>3130</v>
      </c>
      <c r="BD53">
        <v>24036</v>
      </c>
      <c r="BH53" t="s">
        <v>3154</v>
      </c>
      <c r="BK53" t="s">
        <v>3218</v>
      </c>
      <c r="BL53" t="s">
        <v>1107</v>
      </c>
    </row>
    <row r="54" spans="1:65">
      <c r="A54" s="1">
        <f>HYPERLINK("https://lsnyc.legalserver.org/matter/dynamic-profile/view/1906146","19-1906146")</f>
        <v>0</v>
      </c>
      <c r="B54" t="s">
        <v>64</v>
      </c>
      <c r="C54" t="s">
        <v>82</v>
      </c>
      <c r="D54" t="s">
        <v>170</v>
      </c>
      <c r="E54" t="s">
        <v>172</v>
      </c>
      <c r="F54" t="s">
        <v>175</v>
      </c>
      <c r="G54" t="s">
        <v>172</v>
      </c>
      <c r="H54" t="s">
        <v>221</v>
      </c>
      <c r="I54" t="s">
        <v>172</v>
      </c>
      <c r="J54" t="s">
        <v>231</v>
      </c>
      <c r="K54" t="s">
        <v>172</v>
      </c>
      <c r="M54" t="s">
        <v>232</v>
      </c>
      <c r="N54" t="s">
        <v>311</v>
      </c>
      <c r="O54" t="s">
        <v>172</v>
      </c>
      <c r="P54" t="s">
        <v>314</v>
      </c>
      <c r="Q54" t="s">
        <v>322</v>
      </c>
      <c r="T54" t="s">
        <v>388</v>
      </c>
      <c r="U54" t="s">
        <v>766</v>
      </c>
      <c r="V54" t="s">
        <v>209</v>
      </c>
      <c r="W54" t="s">
        <v>178</v>
      </c>
      <c r="X54" t="s">
        <v>1113</v>
      </c>
      <c r="Y54" t="s">
        <v>1165</v>
      </c>
      <c r="Z54">
        <v>3</v>
      </c>
      <c r="AA54" t="s">
        <v>1754</v>
      </c>
      <c r="AB54" t="s">
        <v>1786</v>
      </c>
      <c r="AC54">
        <v>11210</v>
      </c>
      <c r="AD54" t="s">
        <v>1787</v>
      </c>
      <c r="AE54" t="s">
        <v>1841</v>
      </c>
      <c r="AF54">
        <v>16</v>
      </c>
      <c r="AG54" t="s">
        <v>2214</v>
      </c>
      <c r="AH54" t="s">
        <v>2218</v>
      </c>
      <c r="AI54" t="s">
        <v>233</v>
      </c>
      <c r="AJ54" t="s">
        <v>233</v>
      </c>
      <c r="AL54" t="s">
        <v>2230</v>
      </c>
      <c r="AM54" t="s">
        <v>2237</v>
      </c>
      <c r="AN54">
        <v>0</v>
      </c>
      <c r="AO54">
        <v>1000</v>
      </c>
      <c r="AP54">
        <v>0.5</v>
      </c>
      <c r="AQ54" t="s">
        <v>2242</v>
      </c>
      <c r="AR54" t="s">
        <v>2297</v>
      </c>
      <c r="AS54" t="s">
        <v>2741</v>
      </c>
      <c r="AT54">
        <v>60</v>
      </c>
      <c r="AU54" t="s">
        <v>3106</v>
      </c>
      <c r="AV54">
        <v>2</v>
      </c>
      <c r="AW54">
        <v>1</v>
      </c>
      <c r="AX54">
        <v>97.52</v>
      </c>
      <c r="BC54" t="s">
        <v>3130</v>
      </c>
      <c r="BD54">
        <v>20800</v>
      </c>
      <c r="BH54" t="s">
        <v>3156</v>
      </c>
      <c r="BK54" t="s">
        <v>3198</v>
      </c>
      <c r="BL54" t="s">
        <v>178</v>
      </c>
      <c r="BM54" t="s">
        <v>311</v>
      </c>
    </row>
    <row r="55" spans="1:65">
      <c r="A55" s="1">
        <f>HYPERLINK("https://lsnyc.legalserver.org/matter/dynamic-profile/view/1907795","19-1907795")</f>
        <v>0</v>
      </c>
      <c r="B55" t="s">
        <v>64</v>
      </c>
      <c r="C55" t="s">
        <v>82</v>
      </c>
      <c r="D55" t="s">
        <v>170</v>
      </c>
      <c r="E55" t="s">
        <v>172</v>
      </c>
      <c r="F55" t="s">
        <v>177</v>
      </c>
      <c r="G55" t="s">
        <v>172</v>
      </c>
      <c r="H55" t="s">
        <v>225</v>
      </c>
      <c r="I55" t="s">
        <v>230</v>
      </c>
      <c r="J55" t="s">
        <v>233</v>
      </c>
      <c r="K55" t="s">
        <v>172</v>
      </c>
      <c r="L55">
        <v>16326393</v>
      </c>
      <c r="M55" t="s">
        <v>232</v>
      </c>
      <c r="O55" t="s">
        <v>172</v>
      </c>
      <c r="P55" t="s">
        <v>319</v>
      </c>
      <c r="Q55" t="s">
        <v>321</v>
      </c>
      <c r="T55" t="s">
        <v>389</v>
      </c>
      <c r="U55" t="s">
        <v>767</v>
      </c>
      <c r="V55" t="s">
        <v>177</v>
      </c>
      <c r="X55" t="s">
        <v>1112</v>
      </c>
      <c r="Y55" t="s">
        <v>1166</v>
      </c>
      <c r="Z55" t="s">
        <v>1601</v>
      </c>
      <c r="AA55" t="s">
        <v>1754</v>
      </c>
      <c r="AB55" t="s">
        <v>1786</v>
      </c>
      <c r="AC55">
        <v>11221</v>
      </c>
      <c r="AD55" t="s">
        <v>1787</v>
      </c>
      <c r="AF55">
        <v>11</v>
      </c>
      <c r="AH55" t="s">
        <v>2219</v>
      </c>
      <c r="AI55" t="s">
        <v>233</v>
      </c>
      <c r="AL55" t="s">
        <v>2231</v>
      </c>
      <c r="AN55">
        <v>0</v>
      </c>
      <c r="AO55">
        <v>0</v>
      </c>
      <c r="AP55">
        <v>1.4</v>
      </c>
      <c r="AR55" t="s">
        <v>2298</v>
      </c>
      <c r="AS55" t="s">
        <v>2742</v>
      </c>
      <c r="AT55">
        <v>0</v>
      </c>
      <c r="AU55" t="s">
        <v>3109</v>
      </c>
      <c r="AV55">
        <v>2</v>
      </c>
      <c r="AW55">
        <v>0</v>
      </c>
      <c r="AX55">
        <v>248.37</v>
      </c>
      <c r="BC55" t="s">
        <v>3130</v>
      </c>
      <c r="BD55">
        <v>42000</v>
      </c>
      <c r="BH55" t="s">
        <v>3154</v>
      </c>
      <c r="BK55" t="s">
        <v>3198</v>
      </c>
      <c r="BL55" t="s">
        <v>1111</v>
      </c>
    </row>
    <row r="56" spans="1:65">
      <c r="A56" s="1">
        <f>HYPERLINK("https://lsnyc.legalserver.org/matter/dynamic-profile/view/1906654","19-1906654")</f>
        <v>0</v>
      </c>
      <c r="B56" t="s">
        <v>64</v>
      </c>
      <c r="C56" t="s">
        <v>82</v>
      </c>
      <c r="D56" t="s">
        <v>170</v>
      </c>
      <c r="E56" t="s">
        <v>172</v>
      </c>
      <c r="F56" t="s">
        <v>178</v>
      </c>
      <c r="G56" t="s">
        <v>172</v>
      </c>
      <c r="H56" t="s">
        <v>220</v>
      </c>
      <c r="I56" t="s">
        <v>172</v>
      </c>
      <c r="J56" t="s">
        <v>231</v>
      </c>
      <c r="K56" t="s">
        <v>172</v>
      </c>
      <c r="M56" t="s">
        <v>232</v>
      </c>
      <c r="N56" t="s">
        <v>311</v>
      </c>
      <c r="O56" t="s">
        <v>172</v>
      </c>
      <c r="P56" t="s">
        <v>314</v>
      </c>
      <c r="Q56" t="s">
        <v>322</v>
      </c>
      <c r="T56" t="s">
        <v>390</v>
      </c>
      <c r="U56" t="s">
        <v>768</v>
      </c>
      <c r="V56" t="s">
        <v>197</v>
      </c>
      <c r="W56" t="s">
        <v>197</v>
      </c>
      <c r="X56" t="s">
        <v>1113</v>
      </c>
      <c r="Y56" t="s">
        <v>1167</v>
      </c>
      <c r="Z56">
        <v>1</v>
      </c>
      <c r="AA56" t="s">
        <v>1754</v>
      </c>
      <c r="AB56" t="s">
        <v>1786</v>
      </c>
      <c r="AC56">
        <v>11212</v>
      </c>
      <c r="AD56" t="s">
        <v>1787</v>
      </c>
      <c r="AE56" t="s">
        <v>1842</v>
      </c>
      <c r="AF56">
        <v>20</v>
      </c>
      <c r="AG56" t="s">
        <v>2214</v>
      </c>
      <c r="AH56" t="s">
        <v>2218</v>
      </c>
      <c r="AI56" t="s">
        <v>233</v>
      </c>
      <c r="AJ56" t="s">
        <v>233</v>
      </c>
      <c r="AL56" t="s">
        <v>2230</v>
      </c>
      <c r="AM56" t="s">
        <v>2236</v>
      </c>
      <c r="AN56">
        <v>0</v>
      </c>
      <c r="AO56">
        <v>1000</v>
      </c>
      <c r="AP56">
        <v>1.1</v>
      </c>
      <c r="AQ56" t="s">
        <v>2242</v>
      </c>
      <c r="AR56" t="s">
        <v>2299</v>
      </c>
      <c r="AS56" t="s">
        <v>2743</v>
      </c>
      <c r="AT56">
        <v>2</v>
      </c>
      <c r="AU56" t="s">
        <v>3108</v>
      </c>
      <c r="AV56">
        <v>3</v>
      </c>
      <c r="AW56">
        <v>1</v>
      </c>
      <c r="AX56">
        <v>81.55</v>
      </c>
      <c r="BB56" t="s">
        <v>252</v>
      </c>
      <c r="BC56" t="s">
        <v>3130</v>
      </c>
      <c r="BD56">
        <v>21000</v>
      </c>
      <c r="BH56" t="s">
        <v>3155</v>
      </c>
      <c r="BK56" t="s">
        <v>3198</v>
      </c>
      <c r="BL56" t="s">
        <v>197</v>
      </c>
      <c r="BM56" t="s">
        <v>311</v>
      </c>
    </row>
    <row r="57" spans="1:65">
      <c r="A57" s="1">
        <f>HYPERLINK("https://lsnyc.legalserver.org/matter/dynamic-profile/view/1904783","19-1904783")</f>
        <v>0</v>
      </c>
      <c r="B57" t="s">
        <v>64</v>
      </c>
      <c r="C57" t="s">
        <v>82</v>
      </c>
      <c r="D57" t="s">
        <v>170</v>
      </c>
      <c r="E57" t="s">
        <v>172</v>
      </c>
      <c r="F57" t="s">
        <v>179</v>
      </c>
      <c r="G57" t="s">
        <v>172</v>
      </c>
      <c r="H57" t="s">
        <v>220</v>
      </c>
      <c r="I57" t="s">
        <v>230</v>
      </c>
      <c r="J57" t="s">
        <v>233</v>
      </c>
      <c r="K57" t="s">
        <v>234</v>
      </c>
      <c r="M57" t="s">
        <v>232</v>
      </c>
      <c r="O57" t="s">
        <v>313</v>
      </c>
      <c r="P57" t="s">
        <v>315</v>
      </c>
      <c r="Q57" t="s">
        <v>321</v>
      </c>
      <c r="T57" t="s">
        <v>391</v>
      </c>
      <c r="U57" t="s">
        <v>769</v>
      </c>
      <c r="V57" t="s">
        <v>179</v>
      </c>
      <c r="X57" t="s">
        <v>1112</v>
      </c>
      <c r="Y57" t="s">
        <v>1168</v>
      </c>
      <c r="AA57" t="s">
        <v>1754</v>
      </c>
      <c r="AB57" t="s">
        <v>1786</v>
      </c>
      <c r="AC57">
        <v>11209</v>
      </c>
      <c r="AD57" t="s">
        <v>1791</v>
      </c>
      <c r="AF57">
        <v>5</v>
      </c>
      <c r="AH57" t="s">
        <v>2218</v>
      </c>
      <c r="AI57" t="s">
        <v>233</v>
      </c>
      <c r="AL57" t="s">
        <v>2230</v>
      </c>
      <c r="AN57">
        <v>0</v>
      </c>
      <c r="AO57">
        <v>0</v>
      </c>
      <c r="AP57">
        <v>0.7</v>
      </c>
      <c r="AR57" t="s">
        <v>2300</v>
      </c>
      <c r="AS57" t="s">
        <v>2744</v>
      </c>
      <c r="AT57">
        <v>3</v>
      </c>
      <c r="AU57" t="s">
        <v>3109</v>
      </c>
      <c r="AV57">
        <v>1</v>
      </c>
      <c r="AW57">
        <v>1</v>
      </c>
      <c r="AX57">
        <v>47.31</v>
      </c>
      <c r="BB57" t="s">
        <v>252</v>
      </c>
      <c r="BC57" t="s">
        <v>3130</v>
      </c>
      <c r="BD57">
        <v>8000</v>
      </c>
      <c r="BH57" t="s">
        <v>3154</v>
      </c>
      <c r="BK57" t="s">
        <v>3198</v>
      </c>
      <c r="BL57" t="s">
        <v>196</v>
      </c>
    </row>
    <row r="58" spans="1:65">
      <c r="A58" s="1">
        <f>HYPERLINK("https://lsnyc.legalserver.org/matter/dynamic-profile/view/1906577","19-1906577")</f>
        <v>0</v>
      </c>
      <c r="B58" t="s">
        <v>64</v>
      </c>
      <c r="C58" t="s">
        <v>76</v>
      </c>
      <c r="D58" t="s">
        <v>170</v>
      </c>
      <c r="E58" t="s">
        <v>171</v>
      </c>
      <c r="G58" t="s">
        <v>172</v>
      </c>
      <c r="H58" t="s">
        <v>220</v>
      </c>
      <c r="I58" t="s">
        <v>172</v>
      </c>
      <c r="J58" t="s">
        <v>231</v>
      </c>
      <c r="K58" t="s">
        <v>172</v>
      </c>
      <c r="L58" t="s">
        <v>242</v>
      </c>
      <c r="M58" t="s">
        <v>232</v>
      </c>
      <c r="N58" t="s">
        <v>311</v>
      </c>
      <c r="O58" t="s">
        <v>172</v>
      </c>
      <c r="P58" t="s">
        <v>314</v>
      </c>
      <c r="Q58" t="s">
        <v>323</v>
      </c>
      <c r="S58" t="s">
        <v>327</v>
      </c>
      <c r="T58" t="s">
        <v>392</v>
      </c>
      <c r="U58" t="s">
        <v>770</v>
      </c>
      <c r="V58" t="s">
        <v>197</v>
      </c>
      <c r="W58" t="s">
        <v>197</v>
      </c>
      <c r="X58" t="s">
        <v>1113</v>
      </c>
      <c r="Y58" t="s">
        <v>1169</v>
      </c>
      <c r="Z58">
        <v>3</v>
      </c>
      <c r="AA58" t="s">
        <v>1754</v>
      </c>
      <c r="AB58" t="s">
        <v>1786</v>
      </c>
      <c r="AC58">
        <v>11203</v>
      </c>
      <c r="AD58" t="s">
        <v>1787</v>
      </c>
      <c r="AE58" t="s">
        <v>1843</v>
      </c>
      <c r="AF58">
        <v>2</v>
      </c>
      <c r="AG58" t="s">
        <v>2214</v>
      </c>
      <c r="AH58" t="s">
        <v>2218</v>
      </c>
      <c r="AI58" t="s">
        <v>233</v>
      </c>
      <c r="AL58" t="s">
        <v>2230</v>
      </c>
      <c r="AN58">
        <v>0</v>
      </c>
      <c r="AO58">
        <v>420</v>
      </c>
      <c r="AP58">
        <v>0.4</v>
      </c>
      <c r="AQ58" t="s">
        <v>2242</v>
      </c>
      <c r="AR58" t="s">
        <v>2301</v>
      </c>
      <c r="AS58" t="s">
        <v>2745</v>
      </c>
      <c r="AT58">
        <v>3</v>
      </c>
      <c r="AU58" t="s">
        <v>3108</v>
      </c>
      <c r="AV58">
        <v>3</v>
      </c>
      <c r="AW58">
        <v>2</v>
      </c>
      <c r="AX58">
        <v>73.25</v>
      </c>
      <c r="BB58" t="s">
        <v>252</v>
      </c>
      <c r="BC58" t="s">
        <v>3130</v>
      </c>
      <c r="BD58">
        <v>22100</v>
      </c>
      <c r="BH58" t="s">
        <v>3155</v>
      </c>
      <c r="BJ58" t="s">
        <v>1793</v>
      </c>
      <c r="BK58" t="s">
        <v>3197</v>
      </c>
      <c r="BL58" t="s">
        <v>197</v>
      </c>
      <c r="BM58" t="s">
        <v>311</v>
      </c>
    </row>
    <row r="59" spans="1:65">
      <c r="A59" s="1">
        <f>HYPERLINK("https://lsnyc.legalserver.org/matter/dynamic-profile/view/1905525","19-1905525")</f>
        <v>0</v>
      </c>
      <c r="B59" t="s">
        <v>64</v>
      </c>
      <c r="C59" t="s">
        <v>83</v>
      </c>
      <c r="D59" t="s">
        <v>170</v>
      </c>
      <c r="E59" t="s">
        <v>171</v>
      </c>
      <c r="G59" t="s">
        <v>172</v>
      </c>
      <c r="H59" t="s">
        <v>221</v>
      </c>
      <c r="I59" t="s">
        <v>230</v>
      </c>
      <c r="J59" t="s">
        <v>232</v>
      </c>
      <c r="K59" t="s">
        <v>234</v>
      </c>
      <c r="M59" t="s">
        <v>232</v>
      </c>
      <c r="O59" t="s">
        <v>313</v>
      </c>
      <c r="P59" t="s">
        <v>315</v>
      </c>
      <c r="Q59" t="s">
        <v>321</v>
      </c>
      <c r="T59" t="s">
        <v>393</v>
      </c>
      <c r="U59" t="s">
        <v>771</v>
      </c>
      <c r="V59" t="s">
        <v>214</v>
      </c>
      <c r="X59" t="s">
        <v>1112</v>
      </c>
      <c r="Y59" t="s">
        <v>1170</v>
      </c>
      <c r="Z59">
        <v>412</v>
      </c>
      <c r="AA59" t="s">
        <v>1754</v>
      </c>
      <c r="AB59" t="s">
        <v>1786</v>
      </c>
      <c r="AC59">
        <v>11216</v>
      </c>
      <c r="AD59" t="s">
        <v>1788</v>
      </c>
      <c r="AE59" t="s">
        <v>1844</v>
      </c>
      <c r="AF59">
        <v>6</v>
      </c>
      <c r="AH59" t="s">
        <v>2219</v>
      </c>
      <c r="AI59" t="s">
        <v>233</v>
      </c>
      <c r="AJ59" t="s">
        <v>233</v>
      </c>
      <c r="AL59" t="s">
        <v>2230</v>
      </c>
      <c r="AN59">
        <v>0</v>
      </c>
      <c r="AO59">
        <v>1400</v>
      </c>
      <c r="AP59">
        <v>3.45</v>
      </c>
      <c r="AR59" t="s">
        <v>2302</v>
      </c>
      <c r="AS59" t="s">
        <v>2746</v>
      </c>
      <c r="AT59">
        <v>71</v>
      </c>
      <c r="AU59" t="s">
        <v>3106</v>
      </c>
      <c r="AV59">
        <v>1</v>
      </c>
      <c r="AW59">
        <v>0</v>
      </c>
      <c r="AX59">
        <v>39.14</v>
      </c>
      <c r="BD59">
        <v>4888</v>
      </c>
      <c r="BH59" t="s">
        <v>3158</v>
      </c>
      <c r="BK59" t="s">
        <v>3194</v>
      </c>
      <c r="BL59" t="s">
        <v>1107</v>
      </c>
    </row>
    <row r="60" spans="1:65">
      <c r="A60" s="1">
        <f>HYPERLINK("https://lsnyc.legalserver.org/matter/dynamic-profile/view/1908162","19-1908162")</f>
        <v>0</v>
      </c>
      <c r="B60" t="s">
        <v>64</v>
      </c>
      <c r="C60" t="s">
        <v>84</v>
      </c>
      <c r="D60" t="s">
        <v>170</v>
      </c>
      <c r="E60" t="s">
        <v>171</v>
      </c>
      <c r="G60" t="s">
        <v>219</v>
      </c>
      <c r="I60" t="s">
        <v>172</v>
      </c>
      <c r="J60" t="s">
        <v>231</v>
      </c>
      <c r="K60" t="s">
        <v>172</v>
      </c>
      <c r="M60" t="s">
        <v>232</v>
      </c>
      <c r="N60" t="s">
        <v>311</v>
      </c>
      <c r="O60" t="s">
        <v>172</v>
      </c>
      <c r="P60" t="s">
        <v>317</v>
      </c>
      <c r="Q60" t="s">
        <v>321</v>
      </c>
      <c r="T60" t="s">
        <v>394</v>
      </c>
      <c r="U60" t="s">
        <v>772</v>
      </c>
      <c r="V60" t="s">
        <v>1100</v>
      </c>
      <c r="X60" t="s">
        <v>1112</v>
      </c>
      <c r="Y60" t="s">
        <v>1171</v>
      </c>
      <c r="Z60" t="s">
        <v>1568</v>
      </c>
      <c r="AA60" t="s">
        <v>1754</v>
      </c>
      <c r="AB60" t="s">
        <v>1786</v>
      </c>
      <c r="AC60">
        <v>11221</v>
      </c>
      <c r="AD60" t="s">
        <v>1788</v>
      </c>
      <c r="AF60">
        <v>46</v>
      </c>
      <c r="AH60" t="s">
        <v>2219</v>
      </c>
      <c r="AI60" t="s">
        <v>233</v>
      </c>
      <c r="AK60" t="s">
        <v>2228</v>
      </c>
      <c r="AL60" t="s">
        <v>2231</v>
      </c>
      <c r="AN60">
        <v>0</v>
      </c>
      <c r="AO60">
        <v>428</v>
      </c>
      <c r="AP60">
        <v>0.5</v>
      </c>
      <c r="AR60" t="s">
        <v>2303</v>
      </c>
      <c r="AS60" t="s">
        <v>2747</v>
      </c>
      <c r="AT60">
        <v>0</v>
      </c>
      <c r="AU60" t="s">
        <v>3107</v>
      </c>
      <c r="AV60">
        <v>2</v>
      </c>
      <c r="AW60">
        <v>1</v>
      </c>
      <c r="AX60">
        <v>87.43000000000001</v>
      </c>
      <c r="BC60" t="s">
        <v>3130</v>
      </c>
      <c r="BD60">
        <v>18648</v>
      </c>
      <c r="BH60" t="s">
        <v>3155</v>
      </c>
      <c r="BK60" t="s">
        <v>3207</v>
      </c>
      <c r="BL60" t="s">
        <v>1109</v>
      </c>
      <c r="BM60" t="s">
        <v>311</v>
      </c>
    </row>
    <row r="61" spans="1:65">
      <c r="A61" s="1">
        <f>HYPERLINK("https://lsnyc.legalserver.org/matter/dynamic-profile/view/1904872","19-1904872")</f>
        <v>0</v>
      </c>
      <c r="B61" t="s">
        <v>64</v>
      </c>
      <c r="C61" t="s">
        <v>82</v>
      </c>
      <c r="D61" t="s">
        <v>170</v>
      </c>
      <c r="E61" t="s">
        <v>171</v>
      </c>
      <c r="G61" t="s">
        <v>172</v>
      </c>
      <c r="H61" t="s">
        <v>220</v>
      </c>
      <c r="I61" t="s">
        <v>230</v>
      </c>
      <c r="J61" t="s">
        <v>232</v>
      </c>
      <c r="K61" t="s">
        <v>172</v>
      </c>
      <c r="L61" t="s">
        <v>243</v>
      </c>
      <c r="M61" t="s">
        <v>232</v>
      </c>
      <c r="O61" t="s">
        <v>172</v>
      </c>
      <c r="P61" t="s">
        <v>314</v>
      </c>
      <c r="Q61" t="s">
        <v>321</v>
      </c>
      <c r="T61" t="s">
        <v>395</v>
      </c>
      <c r="U61" t="s">
        <v>773</v>
      </c>
      <c r="V61" t="s">
        <v>179</v>
      </c>
      <c r="X61" t="s">
        <v>1112</v>
      </c>
      <c r="Y61" t="s">
        <v>1172</v>
      </c>
      <c r="Z61" t="s">
        <v>1602</v>
      </c>
      <c r="AA61" t="s">
        <v>1754</v>
      </c>
      <c r="AB61" t="s">
        <v>1786</v>
      </c>
      <c r="AC61">
        <v>11216</v>
      </c>
      <c r="AD61" t="s">
        <v>1788</v>
      </c>
      <c r="AE61" t="s">
        <v>1845</v>
      </c>
      <c r="AF61">
        <v>6</v>
      </c>
      <c r="AH61" t="s">
        <v>2219</v>
      </c>
      <c r="AI61" t="s">
        <v>233</v>
      </c>
      <c r="AL61" t="s">
        <v>2230</v>
      </c>
      <c r="AN61">
        <v>0</v>
      </c>
      <c r="AO61">
        <v>654</v>
      </c>
      <c r="AP61">
        <v>0.7</v>
      </c>
      <c r="AR61" t="s">
        <v>2304</v>
      </c>
      <c r="AS61" t="s">
        <v>2748</v>
      </c>
      <c r="AT61">
        <v>40</v>
      </c>
      <c r="AU61" t="s">
        <v>3106</v>
      </c>
      <c r="AV61">
        <v>1</v>
      </c>
      <c r="AW61">
        <v>0</v>
      </c>
      <c r="AX61">
        <v>208.17</v>
      </c>
      <c r="AY61" t="s">
        <v>1098</v>
      </c>
      <c r="AZ61" t="s">
        <v>3121</v>
      </c>
      <c r="BC61" t="s">
        <v>3130</v>
      </c>
      <c r="BD61">
        <v>26000</v>
      </c>
      <c r="BH61" t="s">
        <v>3154</v>
      </c>
      <c r="BK61" t="s">
        <v>3197</v>
      </c>
      <c r="BL61" t="s">
        <v>195</v>
      </c>
    </row>
    <row r="62" spans="1:65">
      <c r="A62" s="1">
        <f>HYPERLINK("https://lsnyc.legalserver.org/matter/dynamic-profile/view/1907629","19-1907629")</f>
        <v>0</v>
      </c>
      <c r="B62" t="s">
        <v>64</v>
      </c>
      <c r="C62" t="s">
        <v>75</v>
      </c>
      <c r="D62" t="s">
        <v>170</v>
      </c>
      <c r="E62" t="s">
        <v>171</v>
      </c>
      <c r="G62" t="s">
        <v>219</v>
      </c>
      <c r="I62" t="s">
        <v>230</v>
      </c>
      <c r="J62" t="s">
        <v>232</v>
      </c>
      <c r="K62" t="s">
        <v>234</v>
      </c>
      <c r="M62" t="s">
        <v>232</v>
      </c>
      <c r="O62" t="s">
        <v>313</v>
      </c>
      <c r="P62" t="s">
        <v>315</v>
      </c>
      <c r="Q62" t="s">
        <v>321</v>
      </c>
      <c r="T62" t="s">
        <v>357</v>
      </c>
      <c r="U62" t="s">
        <v>774</v>
      </c>
      <c r="V62" t="s">
        <v>190</v>
      </c>
      <c r="X62" t="s">
        <v>1112</v>
      </c>
      <c r="Y62" t="s">
        <v>1173</v>
      </c>
      <c r="Z62" t="s">
        <v>1603</v>
      </c>
      <c r="AA62" t="s">
        <v>1754</v>
      </c>
      <c r="AB62" t="s">
        <v>1786</v>
      </c>
      <c r="AC62">
        <v>11208</v>
      </c>
      <c r="AF62">
        <v>0</v>
      </c>
      <c r="AH62" t="s">
        <v>2218</v>
      </c>
      <c r="AI62" t="s">
        <v>233</v>
      </c>
      <c r="AL62" t="s">
        <v>2231</v>
      </c>
      <c r="AN62">
        <v>0</v>
      </c>
      <c r="AO62">
        <v>0</v>
      </c>
      <c r="AP62">
        <v>0</v>
      </c>
      <c r="AR62" t="s">
        <v>2305</v>
      </c>
      <c r="AS62" t="s">
        <v>2749</v>
      </c>
      <c r="AT62">
        <v>0</v>
      </c>
      <c r="AV62">
        <v>3</v>
      </c>
      <c r="AW62">
        <v>0</v>
      </c>
      <c r="AX62">
        <v>32.41</v>
      </c>
      <c r="BC62" t="s">
        <v>3130</v>
      </c>
      <c r="BD62">
        <v>6914</v>
      </c>
      <c r="BH62" t="s">
        <v>3157</v>
      </c>
      <c r="BK62" t="s">
        <v>3198</v>
      </c>
    </row>
    <row r="63" spans="1:65">
      <c r="A63" s="1">
        <f>HYPERLINK("https://lsnyc.legalserver.org/matter/dynamic-profile/view/1907828","19-1907828")</f>
        <v>0</v>
      </c>
      <c r="B63" t="s">
        <v>64</v>
      </c>
      <c r="C63" t="s">
        <v>85</v>
      </c>
      <c r="D63" t="s">
        <v>170</v>
      </c>
      <c r="E63" t="s">
        <v>171</v>
      </c>
      <c r="G63" t="s">
        <v>172</v>
      </c>
      <c r="H63" t="s">
        <v>221</v>
      </c>
      <c r="I63" t="s">
        <v>230</v>
      </c>
      <c r="J63" t="s">
        <v>232</v>
      </c>
      <c r="K63" t="s">
        <v>172</v>
      </c>
      <c r="L63" t="s">
        <v>244</v>
      </c>
      <c r="M63" t="s">
        <v>232</v>
      </c>
      <c r="O63" t="s">
        <v>172</v>
      </c>
      <c r="P63" t="s">
        <v>314</v>
      </c>
      <c r="Q63" t="s">
        <v>321</v>
      </c>
      <c r="T63" t="s">
        <v>396</v>
      </c>
      <c r="U63" t="s">
        <v>775</v>
      </c>
      <c r="V63" t="s">
        <v>202</v>
      </c>
      <c r="X63" t="s">
        <v>1112</v>
      </c>
      <c r="Y63" t="s">
        <v>1174</v>
      </c>
      <c r="Z63" t="s">
        <v>1604</v>
      </c>
      <c r="AA63" t="s">
        <v>1754</v>
      </c>
      <c r="AB63" t="s">
        <v>1786</v>
      </c>
      <c r="AC63">
        <v>11249</v>
      </c>
      <c r="AE63" t="s">
        <v>1846</v>
      </c>
      <c r="AF63">
        <v>1</v>
      </c>
      <c r="AH63" t="s">
        <v>2218</v>
      </c>
      <c r="AI63" t="s">
        <v>233</v>
      </c>
      <c r="AL63" t="s">
        <v>2230</v>
      </c>
      <c r="AN63">
        <v>0</v>
      </c>
      <c r="AO63">
        <v>803</v>
      </c>
      <c r="AP63">
        <v>0</v>
      </c>
      <c r="AR63" t="s">
        <v>2306</v>
      </c>
      <c r="AS63" t="s">
        <v>2750</v>
      </c>
      <c r="AT63">
        <v>0</v>
      </c>
      <c r="AV63">
        <v>1</v>
      </c>
      <c r="AW63">
        <v>0</v>
      </c>
      <c r="AX63">
        <v>0</v>
      </c>
      <c r="BC63" t="s">
        <v>3130</v>
      </c>
      <c r="BD63">
        <v>0</v>
      </c>
      <c r="BH63" t="s">
        <v>3157</v>
      </c>
      <c r="BK63" t="s">
        <v>3210</v>
      </c>
    </row>
    <row r="64" spans="1:65">
      <c r="A64" s="1">
        <f>HYPERLINK("https://lsnyc.legalserver.org/matter/dynamic-profile/view/1906642","19-1906642")</f>
        <v>0</v>
      </c>
      <c r="B64" t="s">
        <v>64</v>
      </c>
      <c r="C64" t="s">
        <v>85</v>
      </c>
      <c r="D64" t="s">
        <v>170</v>
      </c>
      <c r="E64" t="s">
        <v>171</v>
      </c>
      <c r="G64" t="s">
        <v>172</v>
      </c>
      <c r="H64" t="s">
        <v>221</v>
      </c>
      <c r="I64" t="s">
        <v>230</v>
      </c>
      <c r="J64" t="s">
        <v>232</v>
      </c>
      <c r="K64" t="s">
        <v>234</v>
      </c>
      <c r="M64" t="s">
        <v>232</v>
      </c>
      <c r="O64" t="s">
        <v>313</v>
      </c>
      <c r="P64" t="s">
        <v>315</v>
      </c>
      <c r="Q64" t="s">
        <v>321</v>
      </c>
      <c r="T64" t="s">
        <v>397</v>
      </c>
      <c r="U64" t="s">
        <v>776</v>
      </c>
      <c r="V64" t="s">
        <v>197</v>
      </c>
      <c r="X64" t="s">
        <v>1112</v>
      </c>
      <c r="Y64" t="s">
        <v>1175</v>
      </c>
      <c r="Z64" t="s">
        <v>1588</v>
      </c>
      <c r="AA64" t="s">
        <v>1754</v>
      </c>
      <c r="AB64" t="s">
        <v>1786</v>
      </c>
      <c r="AC64">
        <v>11207</v>
      </c>
      <c r="AE64" t="s">
        <v>1847</v>
      </c>
      <c r="AF64">
        <v>13</v>
      </c>
      <c r="AH64" t="s">
        <v>2218</v>
      </c>
      <c r="AI64" t="s">
        <v>233</v>
      </c>
      <c r="AL64" t="s">
        <v>2230</v>
      </c>
      <c r="AN64">
        <v>0</v>
      </c>
      <c r="AO64">
        <v>614</v>
      </c>
      <c r="AP64">
        <v>2</v>
      </c>
      <c r="AR64" t="s">
        <v>2307</v>
      </c>
      <c r="AS64" t="s">
        <v>2751</v>
      </c>
      <c r="AT64">
        <v>0</v>
      </c>
      <c r="AV64">
        <v>1</v>
      </c>
      <c r="AW64">
        <v>3</v>
      </c>
      <c r="AX64">
        <v>27.96</v>
      </c>
      <c r="BB64" t="s">
        <v>252</v>
      </c>
      <c r="BC64" t="s">
        <v>3130</v>
      </c>
      <c r="BD64">
        <v>7200</v>
      </c>
      <c r="BH64" t="s">
        <v>3157</v>
      </c>
      <c r="BK64" t="s">
        <v>3215</v>
      </c>
      <c r="BL64" t="s">
        <v>192</v>
      </c>
    </row>
    <row r="65" spans="1:65">
      <c r="A65" s="1">
        <f>HYPERLINK("https://lsnyc.legalserver.org/matter/dynamic-profile/view/1906719","19-1906719")</f>
        <v>0</v>
      </c>
      <c r="B65" t="s">
        <v>64</v>
      </c>
      <c r="C65" t="s">
        <v>85</v>
      </c>
      <c r="D65" t="s">
        <v>170</v>
      </c>
      <c r="E65" t="s">
        <v>171</v>
      </c>
      <c r="G65" t="s">
        <v>172</v>
      </c>
      <c r="H65" t="s">
        <v>221</v>
      </c>
      <c r="I65" t="s">
        <v>172</v>
      </c>
      <c r="J65" t="s">
        <v>231</v>
      </c>
      <c r="K65" t="s">
        <v>172</v>
      </c>
      <c r="M65" t="s">
        <v>232</v>
      </c>
      <c r="N65" t="s">
        <v>311</v>
      </c>
      <c r="O65" t="s">
        <v>172</v>
      </c>
      <c r="P65" t="s">
        <v>314</v>
      </c>
      <c r="Q65" t="s">
        <v>322</v>
      </c>
      <c r="T65" t="s">
        <v>398</v>
      </c>
      <c r="U65" t="s">
        <v>777</v>
      </c>
      <c r="V65" t="s">
        <v>208</v>
      </c>
      <c r="W65" t="s">
        <v>202</v>
      </c>
      <c r="X65" t="s">
        <v>1113</v>
      </c>
      <c r="Y65" t="s">
        <v>1176</v>
      </c>
      <c r="Z65" t="s">
        <v>1605</v>
      </c>
      <c r="AA65" t="s">
        <v>1754</v>
      </c>
      <c r="AB65" t="s">
        <v>1786</v>
      </c>
      <c r="AC65">
        <v>11220</v>
      </c>
      <c r="AD65" t="s">
        <v>1787</v>
      </c>
      <c r="AE65" t="s">
        <v>1848</v>
      </c>
      <c r="AF65">
        <v>6</v>
      </c>
      <c r="AG65" t="s">
        <v>2214</v>
      </c>
      <c r="AH65" t="s">
        <v>2218</v>
      </c>
      <c r="AI65" t="s">
        <v>233</v>
      </c>
      <c r="AL65" t="s">
        <v>2230</v>
      </c>
      <c r="AN65">
        <v>0</v>
      </c>
      <c r="AO65">
        <v>1710</v>
      </c>
      <c r="AP65">
        <v>1.1</v>
      </c>
      <c r="AQ65" t="s">
        <v>2242</v>
      </c>
      <c r="AR65" t="s">
        <v>2308</v>
      </c>
      <c r="AS65" t="s">
        <v>2752</v>
      </c>
      <c r="AT65">
        <v>6</v>
      </c>
      <c r="AU65" t="s">
        <v>3106</v>
      </c>
      <c r="AV65">
        <v>2</v>
      </c>
      <c r="AW65">
        <v>0</v>
      </c>
      <c r="AX65">
        <v>61.01</v>
      </c>
      <c r="BB65" t="s">
        <v>252</v>
      </c>
      <c r="BC65" t="s">
        <v>3130</v>
      </c>
      <c r="BD65">
        <v>10316.4</v>
      </c>
      <c r="BH65" t="s">
        <v>3155</v>
      </c>
      <c r="BK65" t="s">
        <v>3209</v>
      </c>
      <c r="BL65" t="s">
        <v>202</v>
      </c>
      <c r="BM65" t="s">
        <v>311</v>
      </c>
    </row>
    <row r="66" spans="1:65">
      <c r="A66" s="1">
        <f>HYPERLINK("https://lsnyc.legalserver.org/matter/dynamic-profile/view/1907782","19-1907782")</f>
        <v>0</v>
      </c>
      <c r="B66" t="s">
        <v>64</v>
      </c>
      <c r="C66" t="s">
        <v>85</v>
      </c>
      <c r="D66" t="s">
        <v>170</v>
      </c>
      <c r="E66" t="s">
        <v>171</v>
      </c>
      <c r="G66" t="s">
        <v>172</v>
      </c>
      <c r="H66" t="s">
        <v>221</v>
      </c>
      <c r="I66" t="s">
        <v>230</v>
      </c>
      <c r="J66" t="s">
        <v>232</v>
      </c>
      <c r="K66" t="s">
        <v>234</v>
      </c>
      <c r="M66" t="s">
        <v>232</v>
      </c>
      <c r="O66" t="s">
        <v>172</v>
      </c>
      <c r="P66" t="s">
        <v>314</v>
      </c>
      <c r="Q66" t="s">
        <v>321</v>
      </c>
      <c r="T66" t="s">
        <v>399</v>
      </c>
      <c r="U66" t="s">
        <v>778</v>
      </c>
      <c r="V66" t="s">
        <v>177</v>
      </c>
      <c r="X66" t="s">
        <v>1112</v>
      </c>
      <c r="Y66" t="s">
        <v>1177</v>
      </c>
      <c r="Z66" t="s">
        <v>1606</v>
      </c>
      <c r="AA66" t="s">
        <v>1754</v>
      </c>
      <c r="AB66" t="s">
        <v>1786</v>
      </c>
      <c r="AC66">
        <v>11201</v>
      </c>
      <c r="AE66" t="s">
        <v>1849</v>
      </c>
      <c r="AF66">
        <v>0</v>
      </c>
      <c r="AH66" t="s">
        <v>2218</v>
      </c>
      <c r="AI66" t="s">
        <v>233</v>
      </c>
      <c r="AL66" t="s">
        <v>2230</v>
      </c>
      <c r="AN66">
        <v>0</v>
      </c>
      <c r="AO66">
        <v>3600</v>
      </c>
      <c r="AP66">
        <v>1</v>
      </c>
      <c r="AR66" t="s">
        <v>2309</v>
      </c>
      <c r="AS66" t="s">
        <v>2753</v>
      </c>
      <c r="AT66">
        <v>0</v>
      </c>
      <c r="AV66">
        <v>1</v>
      </c>
      <c r="AW66">
        <v>0</v>
      </c>
      <c r="AX66">
        <v>0</v>
      </c>
      <c r="BC66" t="s">
        <v>3130</v>
      </c>
      <c r="BD66">
        <v>0</v>
      </c>
      <c r="BH66" t="s">
        <v>3157</v>
      </c>
      <c r="BK66" t="s">
        <v>3210</v>
      </c>
      <c r="BL66" t="s">
        <v>191</v>
      </c>
    </row>
    <row r="67" spans="1:65">
      <c r="A67" s="1">
        <f>HYPERLINK("https://lsnyc.legalserver.org/matter/dynamic-profile/view/1904127","19-1904127")</f>
        <v>0</v>
      </c>
      <c r="B67" t="s">
        <v>64</v>
      </c>
      <c r="C67" t="s">
        <v>75</v>
      </c>
      <c r="D67" t="s">
        <v>170</v>
      </c>
      <c r="E67" t="s">
        <v>171</v>
      </c>
      <c r="G67" t="s">
        <v>172</v>
      </c>
      <c r="H67" t="s">
        <v>220</v>
      </c>
      <c r="I67" t="s">
        <v>172</v>
      </c>
      <c r="J67" t="s">
        <v>231</v>
      </c>
      <c r="K67" t="s">
        <v>172</v>
      </c>
      <c r="M67" t="s">
        <v>232</v>
      </c>
      <c r="N67" t="s">
        <v>311</v>
      </c>
      <c r="O67" t="s">
        <v>172</v>
      </c>
      <c r="P67" t="s">
        <v>316</v>
      </c>
      <c r="Q67" t="s">
        <v>321</v>
      </c>
      <c r="T67" t="s">
        <v>400</v>
      </c>
      <c r="U67" t="s">
        <v>779</v>
      </c>
      <c r="V67" t="s">
        <v>201</v>
      </c>
      <c r="X67" t="s">
        <v>1112</v>
      </c>
      <c r="Y67" t="s">
        <v>1178</v>
      </c>
      <c r="AA67" t="s">
        <v>1754</v>
      </c>
      <c r="AB67" t="s">
        <v>1786</v>
      </c>
      <c r="AC67">
        <v>11216</v>
      </c>
      <c r="AD67" t="s">
        <v>1789</v>
      </c>
      <c r="AE67" t="s">
        <v>1850</v>
      </c>
      <c r="AF67">
        <v>4</v>
      </c>
      <c r="AH67" t="s">
        <v>2219</v>
      </c>
      <c r="AI67" t="s">
        <v>233</v>
      </c>
      <c r="AJ67" t="s">
        <v>233</v>
      </c>
      <c r="AL67" t="s">
        <v>2230</v>
      </c>
      <c r="AN67">
        <v>0</v>
      </c>
      <c r="AO67">
        <v>1800</v>
      </c>
      <c r="AP67">
        <v>8.300000000000001</v>
      </c>
      <c r="AR67" t="s">
        <v>2310</v>
      </c>
      <c r="AS67" t="s">
        <v>2754</v>
      </c>
      <c r="AT67">
        <v>0</v>
      </c>
      <c r="AV67">
        <v>1</v>
      </c>
      <c r="AW67">
        <v>0</v>
      </c>
      <c r="AX67">
        <v>83.27</v>
      </c>
      <c r="BC67" t="s">
        <v>3130</v>
      </c>
      <c r="BD67">
        <v>10400</v>
      </c>
      <c r="BH67" t="s">
        <v>3156</v>
      </c>
      <c r="BK67" t="s">
        <v>3198</v>
      </c>
      <c r="BL67" t="s">
        <v>1107</v>
      </c>
      <c r="BM67" t="s">
        <v>311</v>
      </c>
    </row>
    <row r="68" spans="1:65">
      <c r="A68" s="1">
        <f>HYPERLINK("https://lsnyc.legalserver.org/matter/dynamic-profile/view/1907106","19-1907106")</f>
        <v>0</v>
      </c>
      <c r="B68" t="s">
        <v>64</v>
      </c>
      <c r="C68" t="s">
        <v>75</v>
      </c>
      <c r="D68" t="s">
        <v>170</v>
      </c>
      <c r="E68" t="s">
        <v>171</v>
      </c>
      <c r="G68" t="s">
        <v>219</v>
      </c>
      <c r="I68" t="s">
        <v>230</v>
      </c>
      <c r="J68" t="s">
        <v>232</v>
      </c>
      <c r="K68" t="s">
        <v>234</v>
      </c>
      <c r="M68" t="s">
        <v>232</v>
      </c>
      <c r="O68" t="s">
        <v>313</v>
      </c>
      <c r="P68" t="s">
        <v>315</v>
      </c>
      <c r="Q68" t="s">
        <v>321</v>
      </c>
      <c r="T68" t="s">
        <v>401</v>
      </c>
      <c r="U68" t="s">
        <v>780</v>
      </c>
      <c r="V68" t="s">
        <v>183</v>
      </c>
      <c r="X68" t="s">
        <v>1112</v>
      </c>
      <c r="Y68" t="s">
        <v>1117</v>
      </c>
      <c r="Z68" t="s">
        <v>1607</v>
      </c>
      <c r="AA68" t="s">
        <v>1754</v>
      </c>
      <c r="AB68" t="s">
        <v>1786</v>
      </c>
      <c r="AC68">
        <v>11230</v>
      </c>
      <c r="AD68" t="s">
        <v>1788</v>
      </c>
      <c r="AE68" t="s">
        <v>1851</v>
      </c>
      <c r="AF68">
        <v>29</v>
      </c>
      <c r="AH68" t="s">
        <v>2218</v>
      </c>
      <c r="AI68" t="s">
        <v>233</v>
      </c>
      <c r="AL68" t="s">
        <v>2230</v>
      </c>
      <c r="AN68">
        <v>0</v>
      </c>
      <c r="AO68">
        <v>852.52</v>
      </c>
      <c r="AP68">
        <v>2.9</v>
      </c>
      <c r="AR68" t="s">
        <v>2311</v>
      </c>
      <c r="AS68" t="s">
        <v>2755</v>
      </c>
      <c r="AT68">
        <v>60</v>
      </c>
      <c r="AU68" t="s">
        <v>3106</v>
      </c>
      <c r="AV68">
        <v>3</v>
      </c>
      <c r="AW68">
        <v>0</v>
      </c>
      <c r="AX68">
        <v>80.23</v>
      </c>
      <c r="BB68" t="s">
        <v>252</v>
      </c>
      <c r="BC68" t="s">
        <v>3130</v>
      </c>
      <c r="BD68">
        <v>17113.94</v>
      </c>
      <c r="BH68" t="s">
        <v>3155</v>
      </c>
      <c r="BK68" t="s">
        <v>3198</v>
      </c>
      <c r="BL68" t="s">
        <v>215</v>
      </c>
    </row>
    <row r="69" spans="1:65">
      <c r="A69" s="1">
        <f>HYPERLINK("https://lsnyc.legalserver.org/matter/dynamic-profile/view/1904574","19-1904574")</f>
        <v>0</v>
      </c>
      <c r="B69" t="s">
        <v>64</v>
      </c>
      <c r="C69" t="s">
        <v>75</v>
      </c>
      <c r="D69" t="s">
        <v>170</v>
      </c>
      <c r="E69" t="s">
        <v>171</v>
      </c>
      <c r="G69" t="s">
        <v>172</v>
      </c>
      <c r="H69" t="s">
        <v>220</v>
      </c>
      <c r="I69" t="s">
        <v>172</v>
      </c>
      <c r="J69" t="s">
        <v>231</v>
      </c>
      <c r="K69" t="s">
        <v>172</v>
      </c>
      <c r="M69" t="s">
        <v>232</v>
      </c>
      <c r="N69" t="s">
        <v>311</v>
      </c>
      <c r="O69" t="s">
        <v>172</v>
      </c>
      <c r="P69" t="s">
        <v>316</v>
      </c>
      <c r="Q69" t="s">
        <v>321</v>
      </c>
      <c r="T69" t="s">
        <v>402</v>
      </c>
      <c r="U69" t="s">
        <v>781</v>
      </c>
      <c r="V69" t="s">
        <v>176</v>
      </c>
      <c r="X69" t="s">
        <v>1112</v>
      </c>
      <c r="Y69" t="s">
        <v>1179</v>
      </c>
      <c r="Z69" t="s">
        <v>1563</v>
      </c>
      <c r="AA69" t="s">
        <v>1754</v>
      </c>
      <c r="AB69" t="s">
        <v>1786</v>
      </c>
      <c r="AC69">
        <v>11216</v>
      </c>
      <c r="AD69" t="s">
        <v>1789</v>
      </c>
      <c r="AE69" t="s">
        <v>1852</v>
      </c>
      <c r="AF69">
        <v>3</v>
      </c>
      <c r="AH69" t="s">
        <v>2219</v>
      </c>
      <c r="AI69" t="s">
        <v>233</v>
      </c>
      <c r="AL69" t="s">
        <v>2230</v>
      </c>
      <c r="AN69">
        <v>0</v>
      </c>
      <c r="AO69">
        <v>950</v>
      </c>
      <c r="AP69">
        <v>6.4</v>
      </c>
      <c r="AR69" t="s">
        <v>2312</v>
      </c>
      <c r="AS69" t="s">
        <v>2756</v>
      </c>
      <c r="AT69">
        <v>1</v>
      </c>
      <c r="AV69">
        <v>1</v>
      </c>
      <c r="AW69">
        <v>0</v>
      </c>
      <c r="AX69">
        <v>0</v>
      </c>
      <c r="BC69" t="s">
        <v>3130</v>
      </c>
      <c r="BD69">
        <v>0</v>
      </c>
      <c r="BH69" t="s">
        <v>3153</v>
      </c>
      <c r="BK69" t="s">
        <v>3210</v>
      </c>
      <c r="BL69" t="s">
        <v>211</v>
      </c>
      <c r="BM69" t="s">
        <v>311</v>
      </c>
    </row>
    <row r="70" spans="1:65">
      <c r="A70" s="1">
        <f>HYPERLINK("https://lsnyc.legalserver.org/matter/dynamic-profile/view/1907561","19-1907561")</f>
        <v>0</v>
      </c>
      <c r="B70" t="s">
        <v>64</v>
      </c>
      <c r="C70" t="s">
        <v>75</v>
      </c>
      <c r="D70" t="s">
        <v>170</v>
      </c>
      <c r="E70" t="s">
        <v>171</v>
      </c>
      <c r="G70" t="s">
        <v>172</v>
      </c>
      <c r="H70" t="s">
        <v>221</v>
      </c>
      <c r="I70" t="s">
        <v>172</v>
      </c>
      <c r="J70" t="s">
        <v>231</v>
      </c>
      <c r="K70" t="s">
        <v>172</v>
      </c>
      <c r="M70" t="s">
        <v>232</v>
      </c>
      <c r="N70" t="s">
        <v>311</v>
      </c>
      <c r="O70" t="s">
        <v>172</v>
      </c>
      <c r="P70" t="s">
        <v>316</v>
      </c>
      <c r="Q70" t="s">
        <v>321</v>
      </c>
      <c r="T70" t="s">
        <v>403</v>
      </c>
      <c r="U70" t="s">
        <v>782</v>
      </c>
      <c r="V70" t="s">
        <v>210</v>
      </c>
      <c r="X70" t="s">
        <v>1112</v>
      </c>
      <c r="Y70" t="s">
        <v>1180</v>
      </c>
      <c r="Z70" t="s">
        <v>1565</v>
      </c>
      <c r="AA70" t="s">
        <v>1754</v>
      </c>
      <c r="AB70" t="s">
        <v>1786</v>
      </c>
      <c r="AC70">
        <v>11226</v>
      </c>
      <c r="AD70" t="s">
        <v>1787</v>
      </c>
      <c r="AE70" t="s">
        <v>1853</v>
      </c>
      <c r="AF70">
        <v>21</v>
      </c>
      <c r="AH70" t="s">
        <v>2219</v>
      </c>
      <c r="AI70" t="s">
        <v>233</v>
      </c>
      <c r="AL70" t="s">
        <v>2230</v>
      </c>
      <c r="AN70">
        <v>0</v>
      </c>
      <c r="AO70">
        <v>1022.86</v>
      </c>
      <c r="AP70">
        <v>0.6</v>
      </c>
      <c r="AR70" t="s">
        <v>2313</v>
      </c>
      <c r="AS70" t="s">
        <v>2757</v>
      </c>
      <c r="AT70">
        <v>83</v>
      </c>
      <c r="AV70">
        <v>1</v>
      </c>
      <c r="AW70">
        <v>2</v>
      </c>
      <c r="AX70">
        <v>112.52</v>
      </c>
      <c r="BB70" t="s">
        <v>252</v>
      </c>
      <c r="BC70" t="s">
        <v>3130</v>
      </c>
      <c r="BD70">
        <v>24000</v>
      </c>
      <c r="BH70" t="s">
        <v>3155</v>
      </c>
      <c r="BK70" t="s">
        <v>3198</v>
      </c>
      <c r="BL70" t="s">
        <v>213</v>
      </c>
      <c r="BM70" t="s">
        <v>311</v>
      </c>
    </row>
    <row r="71" spans="1:65">
      <c r="A71" s="1">
        <f>HYPERLINK("https://lsnyc.legalserver.org/matter/dynamic-profile/view/1907588","19-1907588")</f>
        <v>0</v>
      </c>
      <c r="B71" t="s">
        <v>64</v>
      </c>
      <c r="C71" t="s">
        <v>75</v>
      </c>
      <c r="D71" t="s">
        <v>170</v>
      </c>
      <c r="E71" t="s">
        <v>171</v>
      </c>
      <c r="G71" t="s">
        <v>172</v>
      </c>
      <c r="H71" t="s">
        <v>221</v>
      </c>
      <c r="I71" t="s">
        <v>230</v>
      </c>
      <c r="J71" t="s">
        <v>232</v>
      </c>
      <c r="K71" t="s">
        <v>172</v>
      </c>
      <c r="L71" t="s">
        <v>245</v>
      </c>
      <c r="M71" t="s">
        <v>232</v>
      </c>
      <c r="O71" t="s">
        <v>172</v>
      </c>
      <c r="P71" t="s">
        <v>316</v>
      </c>
      <c r="Q71" t="s">
        <v>321</v>
      </c>
      <c r="T71" t="s">
        <v>404</v>
      </c>
      <c r="U71" t="s">
        <v>783</v>
      </c>
      <c r="V71" t="s">
        <v>210</v>
      </c>
      <c r="X71" t="s">
        <v>1112</v>
      </c>
      <c r="Y71" t="s">
        <v>1181</v>
      </c>
      <c r="Z71" t="s">
        <v>1608</v>
      </c>
      <c r="AA71" t="s">
        <v>1754</v>
      </c>
      <c r="AB71" t="s">
        <v>1786</v>
      </c>
      <c r="AC71">
        <v>11204</v>
      </c>
      <c r="AE71" t="s">
        <v>1854</v>
      </c>
      <c r="AF71">
        <v>0</v>
      </c>
      <c r="AH71" t="s">
        <v>2218</v>
      </c>
      <c r="AI71" t="s">
        <v>233</v>
      </c>
      <c r="AL71" t="s">
        <v>2230</v>
      </c>
      <c r="AN71">
        <v>0</v>
      </c>
      <c r="AO71">
        <v>0</v>
      </c>
      <c r="AP71">
        <v>1.6</v>
      </c>
      <c r="AR71" t="s">
        <v>2314</v>
      </c>
      <c r="AS71" t="s">
        <v>2758</v>
      </c>
      <c r="AT71">
        <v>0</v>
      </c>
      <c r="AV71">
        <v>1</v>
      </c>
      <c r="AW71">
        <v>2</v>
      </c>
      <c r="AX71">
        <v>84.31999999999999</v>
      </c>
      <c r="BC71" t="s">
        <v>3130</v>
      </c>
      <c r="BD71">
        <v>17986.2</v>
      </c>
      <c r="BH71" t="s">
        <v>3157</v>
      </c>
      <c r="BK71" t="s">
        <v>3198</v>
      </c>
      <c r="BL71" t="s">
        <v>213</v>
      </c>
    </row>
    <row r="72" spans="1:65">
      <c r="A72" s="1">
        <f>HYPERLINK("https://lsnyc.legalserver.org/matter/dynamic-profile/view/1905360","19-1905360")</f>
        <v>0</v>
      </c>
      <c r="B72" t="s">
        <v>64</v>
      </c>
      <c r="C72" t="s">
        <v>85</v>
      </c>
      <c r="D72" t="s">
        <v>170</v>
      </c>
      <c r="E72" t="s">
        <v>172</v>
      </c>
      <c r="F72" t="s">
        <v>180</v>
      </c>
      <c r="G72" t="s">
        <v>172</v>
      </c>
      <c r="H72" t="s">
        <v>220</v>
      </c>
      <c r="I72" t="s">
        <v>172</v>
      </c>
      <c r="J72" t="s">
        <v>231</v>
      </c>
      <c r="K72" t="s">
        <v>172</v>
      </c>
      <c r="L72" t="s">
        <v>246</v>
      </c>
      <c r="M72" t="s">
        <v>232</v>
      </c>
      <c r="N72" t="s">
        <v>311</v>
      </c>
      <c r="O72" t="s">
        <v>172</v>
      </c>
      <c r="P72" t="s">
        <v>314</v>
      </c>
      <c r="Q72" t="s">
        <v>322</v>
      </c>
      <c r="T72" t="s">
        <v>405</v>
      </c>
      <c r="U72" t="s">
        <v>784</v>
      </c>
      <c r="V72" t="s">
        <v>180</v>
      </c>
      <c r="W72" t="s">
        <v>180</v>
      </c>
      <c r="X72" t="s">
        <v>1113</v>
      </c>
      <c r="Y72" t="s">
        <v>1182</v>
      </c>
      <c r="Z72" t="s">
        <v>1609</v>
      </c>
      <c r="AA72" t="s">
        <v>1754</v>
      </c>
      <c r="AB72" t="s">
        <v>1786</v>
      </c>
      <c r="AC72">
        <v>11203</v>
      </c>
      <c r="AD72" t="s">
        <v>1787</v>
      </c>
      <c r="AE72" t="s">
        <v>1855</v>
      </c>
      <c r="AF72">
        <v>23</v>
      </c>
      <c r="AG72" t="s">
        <v>2214</v>
      </c>
      <c r="AH72" t="s">
        <v>2218</v>
      </c>
      <c r="AI72" t="s">
        <v>233</v>
      </c>
      <c r="AJ72" t="s">
        <v>233</v>
      </c>
      <c r="AL72" t="s">
        <v>2230</v>
      </c>
      <c r="AM72" t="s">
        <v>2236</v>
      </c>
      <c r="AN72">
        <v>0</v>
      </c>
      <c r="AO72">
        <v>1000</v>
      </c>
      <c r="AP72">
        <v>1.4</v>
      </c>
      <c r="AQ72" t="s">
        <v>2242</v>
      </c>
      <c r="AR72" t="s">
        <v>2315</v>
      </c>
      <c r="AS72" t="s">
        <v>2759</v>
      </c>
      <c r="AT72">
        <v>2</v>
      </c>
      <c r="AU72" t="s">
        <v>3109</v>
      </c>
      <c r="AV72">
        <v>3</v>
      </c>
      <c r="AW72">
        <v>0</v>
      </c>
      <c r="AX72">
        <v>168.78</v>
      </c>
      <c r="BB72" t="s">
        <v>252</v>
      </c>
      <c r="BC72" t="s">
        <v>3130</v>
      </c>
      <c r="BD72">
        <v>36000</v>
      </c>
      <c r="BH72" t="s">
        <v>3155</v>
      </c>
      <c r="BK72" t="s">
        <v>3198</v>
      </c>
      <c r="BL72" t="s">
        <v>180</v>
      </c>
      <c r="BM72" t="s">
        <v>311</v>
      </c>
    </row>
    <row r="73" spans="1:65">
      <c r="A73" s="1">
        <f>HYPERLINK("https://lsnyc.legalserver.org/matter/dynamic-profile/view/1904137","19-1904137")</f>
        <v>0</v>
      </c>
      <c r="B73" t="s">
        <v>64</v>
      </c>
      <c r="C73" t="s">
        <v>82</v>
      </c>
      <c r="D73" t="s">
        <v>170</v>
      </c>
      <c r="E73" t="s">
        <v>173</v>
      </c>
      <c r="F73" t="s">
        <v>181</v>
      </c>
      <c r="G73" t="s">
        <v>172</v>
      </c>
      <c r="H73" t="s">
        <v>221</v>
      </c>
      <c r="I73" t="s">
        <v>172</v>
      </c>
      <c r="J73" t="s">
        <v>231</v>
      </c>
      <c r="K73" t="s">
        <v>172</v>
      </c>
      <c r="M73" t="s">
        <v>232</v>
      </c>
      <c r="N73" t="s">
        <v>311</v>
      </c>
      <c r="O73" t="s">
        <v>172</v>
      </c>
      <c r="P73" t="s">
        <v>316</v>
      </c>
      <c r="Q73" t="s">
        <v>172</v>
      </c>
      <c r="R73" t="s">
        <v>324</v>
      </c>
      <c r="S73" t="s">
        <v>328</v>
      </c>
      <c r="T73" t="s">
        <v>381</v>
      </c>
      <c r="U73" t="s">
        <v>785</v>
      </c>
      <c r="V73" t="s">
        <v>201</v>
      </c>
      <c r="W73" t="s">
        <v>179</v>
      </c>
      <c r="X73" t="s">
        <v>1113</v>
      </c>
      <c r="Y73" t="s">
        <v>1183</v>
      </c>
      <c r="Z73" t="s">
        <v>1610</v>
      </c>
      <c r="AA73" t="s">
        <v>1754</v>
      </c>
      <c r="AB73" t="s">
        <v>1786</v>
      </c>
      <c r="AC73">
        <v>11221</v>
      </c>
      <c r="AD73" t="s">
        <v>1787</v>
      </c>
      <c r="AE73" t="s">
        <v>1856</v>
      </c>
      <c r="AF73">
        <v>5</v>
      </c>
      <c r="AG73" t="s">
        <v>2215</v>
      </c>
      <c r="AH73" t="s">
        <v>2219</v>
      </c>
      <c r="AI73" t="s">
        <v>233</v>
      </c>
      <c r="AJ73" t="s">
        <v>233</v>
      </c>
      <c r="AL73" t="s">
        <v>2231</v>
      </c>
      <c r="AM73" t="s">
        <v>2236</v>
      </c>
      <c r="AN73">
        <v>0</v>
      </c>
      <c r="AO73">
        <v>1594</v>
      </c>
      <c r="AP73">
        <v>2</v>
      </c>
      <c r="AQ73" t="s">
        <v>2243</v>
      </c>
      <c r="AR73" t="s">
        <v>2316</v>
      </c>
      <c r="AS73" t="s">
        <v>2760</v>
      </c>
      <c r="AT73">
        <v>40</v>
      </c>
      <c r="AU73" t="s">
        <v>3107</v>
      </c>
      <c r="AV73">
        <v>1</v>
      </c>
      <c r="AW73">
        <v>0</v>
      </c>
      <c r="AX73">
        <v>82.43000000000001</v>
      </c>
      <c r="BB73" t="s">
        <v>252</v>
      </c>
      <c r="BC73" t="s">
        <v>3130</v>
      </c>
      <c r="BD73">
        <v>10296</v>
      </c>
      <c r="BH73" t="s">
        <v>3154</v>
      </c>
      <c r="BI73" t="s">
        <v>3186</v>
      </c>
      <c r="BJ73" t="s">
        <v>3189</v>
      </c>
      <c r="BK73" t="s">
        <v>3196</v>
      </c>
      <c r="BL73" t="s">
        <v>179</v>
      </c>
      <c r="BM73" t="s">
        <v>311</v>
      </c>
    </row>
    <row r="74" spans="1:65">
      <c r="A74" s="1">
        <f>HYPERLINK("https://lsnyc.legalserver.org/matter/dynamic-profile/view/1904130","19-1904130")</f>
        <v>0</v>
      </c>
      <c r="B74" t="s">
        <v>64</v>
      </c>
      <c r="C74" t="s">
        <v>82</v>
      </c>
      <c r="D74" t="s">
        <v>170</v>
      </c>
      <c r="E74" t="s">
        <v>171</v>
      </c>
      <c r="G74" t="s">
        <v>172</v>
      </c>
      <c r="H74" t="s">
        <v>221</v>
      </c>
      <c r="I74" t="s">
        <v>172</v>
      </c>
      <c r="J74" t="s">
        <v>231</v>
      </c>
      <c r="K74" t="s">
        <v>172</v>
      </c>
      <c r="M74" t="s">
        <v>232</v>
      </c>
      <c r="N74" t="s">
        <v>311</v>
      </c>
      <c r="O74" t="s">
        <v>172</v>
      </c>
      <c r="P74" t="s">
        <v>316</v>
      </c>
      <c r="Q74" t="s">
        <v>321</v>
      </c>
      <c r="T74" t="s">
        <v>406</v>
      </c>
      <c r="U74" t="s">
        <v>786</v>
      </c>
      <c r="V74" t="s">
        <v>201</v>
      </c>
      <c r="X74" t="s">
        <v>1112</v>
      </c>
      <c r="Y74" t="s">
        <v>1123</v>
      </c>
      <c r="Z74" t="s">
        <v>1611</v>
      </c>
      <c r="AA74" t="s">
        <v>1754</v>
      </c>
      <c r="AB74" t="s">
        <v>1786</v>
      </c>
      <c r="AC74">
        <v>11216</v>
      </c>
      <c r="AD74" t="s">
        <v>1789</v>
      </c>
      <c r="AE74" t="s">
        <v>1857</v>
      </c>
      <c r="AF74">
        <v>11</v>
      </c>
      <c r="AH74" t="s">
        <v>2219</v>
      </c>
      <c r="AI74" t="s">
        <v>233</v>
      </c>
      <c r="AJ74" t="s">
        <v>233</v>
      </c>
      <c r="AL74" t="s">
        <v>2230</v>
      </c>
      <c r="AN74">
        <v>0</v>
      </c>
      <c r="AO74">
        <v>202</v>
      </c>
      <c r="AP74">
        <v>1.2</v>
      </c>
      <c r="AR74" t="s">
        <v>2317</v>
      </c>
      <c r="AS74" t="s">
        <v>2761</v>
      </c>
      <c r="AT74">
        <v>0</v>
      </c>
      <c r="AV74">
        <v>1</v>
      </c>
      <c r="AW74">
        <v>0</v>
      </c>
      <c r="AX74">
        <v>81.67</v>
      </c>
      <c r="BC74" t="s">
        <v>3130</v>
      </c>
      <c r="BD74">
        <v>10200</v>
      </c>
      <c r="BH74" t="s">
        <v>3156</v>
      </c>
      <c r="BK74" t="s">
        <v>3193</v>
      </c>
      <c r="BL74" t="s">
        <v>190</v>
      </c>
      <c r="BM74" t="s">
        <v>311</v>
      </c>
    </row>
    <row r="75" spans="1:65">
      <c r="A75" s="1">
        <f>HYPERLINK("https://lsnyc.legalserver.org/matter/dynamic-profile/view/1906195","19-1906195")</f>
        <v>0</v>
      </c>
      <c r="B75" t="s">
        <v>64</v>
      </c>
      <c r="C75" t="s">
        <v>86</v>
      </c>
      <c r="D75" t="s">
        <v>170</v>
      </c>
      <c r="E75" t="s">
        <v>171</v>
      </c>
      <c r="G75" t="s">
        <v>219</v>
      </c>
      <c r="I75" t="s">
        <v>172</v>
      </c>
      <c r="J75" t="s">
        <v>231</v>
      </c>
      <c r="K75" t="s">
        <v>172</v>
      </c>
      <c r="M75" t="s">
        <v>232</v>
      </c>
      <c r="N75" t="s">
        <v>311</v>
      </c>
      <c r="O75" t="s">
        <v>313</v>
      </c>
      <c r="P75" t="s">
        <v>315</v>
      </c>
      <c r="Q75" t="s">
        <v>321</v>
      </c>
      <c r="T75" t="s">
        <v>407</v>
      </c>
      <c r="U75" t="s">
        <v>787</v>
      </c>
      <c r="V75" t="s">
        <v>209</v>
      </c>
      <c r="X75" t="s">
        <v>1112</v>
      </c>
      <c r="Y75" t="s">
        <v>1184</v>
      </c>
      <c r="Z75" t="s">
        <v>1612</v>
      </c>
      <c r="AA75" t="s">
        <v>1754</v>
      </c>
      <c r="AB75" t="s">
        <v>1786</v>
      </c>
      <c r="AC75">
        <v>11221</v>
      </c>
      <c r="AD75" t="s">
        <v>1789</v>
      </c>
      <c r="AE75" t="s">
        <v>1858</v>
      </c>
      <c r="AF75">
        <v>1</v>
      </c>
      <c r="AH75" t="s">
        <v>2219</v>
      </c>
      <c r="AI75" t="s">
        <v>233</v>
      </c>
      <c r="AL75" t="s">
        <v>2230</v>
      </c>
      <c r="AN75">
        <v>0</v>
      </c>
      <c r="AO75">
        <v>1081</v>
      </c>
      <c r="AP75">
        <v>0</v>
      </c>
      <c r="AR75" t="s">
        <v>2318</v>
      </c>
      <c r="AS75" t="s">
        <v>2762</v>
      </c>
      <c r="AT75">
        <v>3</v>
      </c>
      <c r="AV75">
        <v>1</v>
      </c>
      <c r="AW75">
        <v>0</v>
      </c>
      <c r="AX75">
        <v>38.43</v>
      </c>
      <c r="BB75" t="s">
        <v>252</v>
      </c>
      <c r="BC75" t="s">
        <v>3130</v>
      </c>
      <c r="BD75">
        <v>4800</v>
      </c>
      <c r="BH75" t="s">
        <v>3155</v>
      </c>
      <c r="BK75" t="s">
        <v>3214</v>
      </c>
      <c r="BM75" t="s">
        <v>311</v>
      </c>
    </row>
    <row r="76" spans="1:65">
      <c r="A76" s="1">
        <f>HYPERLINK("https://lsnyc.legalserver.org/matter/dynamic-profile/view/1907055","19-1907055")</f>
        <v>0</v>
      </c>
      <c r="B76" t="s">
        <v>64</v>
      </c>
      <c r="C76" t="s">
        <v>87</v>
      </c>
      <c r="D76" t="s">
        <v>170</v>
      </c>
      <c r="E76" t="s">
        <v>171</v>
      </c>
      <c r="G76" t="s">
        <v>172</v>
      </c>
      <c r="H76" t="s">
        <v>221</v>
      </c>
      <c r="I76" t="s">
        <v>172</v>
      </c>
      <c r="J76" t="s">
        <v>231</v>
      </c>
      <c r="K76" t="s">
        <v>172</v>
      </c>
      <c r="M76" t="s">
        <v>232</v>
      </c>
      <c r="N76" t="s">
        <v>311</v>
      </c>
      <c r="O76" t="s">
        <v>313</v>
      </c>
      <c r="P76" t="s">
        <v>315</v>
      </c>
      <c r="Q76" t="s">
        <v>321</v>
      </c>
      <c r="T76" t="s">
        <v>408</v>
      </c>
      <c r="U76" t="s">
        <v>788</v>
      </c>
      <c r="V76" t="s">
        <v>183</v>
      </c>
      <c r="X76" t="s">
        <v>1112</v>
      </c>
      <c r="Y76" t="s">
        <v>1185</v>
      </c>
      <c r="Z76" t="s">
        <v>1576</v>
      </c>
      <c r="AA76" t="s">
        <v>1754</v>
      </c>
      <c r="AB76" t="s">
        <v>1786</v>
      </c>
      <c r="AC76">
        <v>11226</v>
      </c>
      <c r="AD76" t="s">
        <v>1787</v>
      </c>
      <c r="AE76" t="s">
        <v>1859</v>
      </c>
      <c r="AF76">
        <v>40</v>
      </c>
      <c r="AH76" t="s">
        <v>2219</v>
      </c>
      <c r="AI76" t="s">
        <v>233</v>
      </c>
      <c r="AL76" t="s">
        <v>2230</v>
      </c>
      <c r="AN76">
        <v>0</v>
      </c>
      <c r="AO76">
        <v>882.9400000000001</v>
      </c>
      <c r="AP76">
        <v>4.8</v>
      </c>
      <c r="AR76" t="s">
        <v>2319</v>
      </c>
      <c r="AS76" t="s">
        <v>2763</v>
      </c>
      <c r="AT76">
        <v>42</v>
      </c>
      <c r="AV76">
        <v>4</v>
      </c>
      <c r="AW76">
        <v>1</v>
      </c>
      <c r="AX76">
        <v>114.27</v>
      </c>
      <c r="BB76" t="s">
        <v>252</v>
      </c>
      <c r="BC76" t="s">
        <v>3130</v>
      </c>
      <c r="BD76">
        <v>34476</v>
      </c>
      <c r="BH76" t="s">
        <v>3155</v>
      </c>
      <c r="BK76" t="s">
        <v>3198</v>
      </c>
      <c r="BL76" t="s">
        <v>1109</v>
      </c>
      <c r="BM76" t="s">
        <v>311</v>
      </c>
    </row>
    <row r="77" spans="1:65">
      <c r="A77" s="1">
        <f>HYPERLINK("https://lsnyc.legalserver.org/matter/dynamic-profile/view/1906995","19-1906995")</f>
        <v>0</v>
      </c>
      <c r="B77" t="s">
        <v>64</v>
      </c>
      <c r="C77" t="s">
        <v>87</v>
      </c>
      <c r="D77" t="s">
        <v>170</v>
      </c>
      <c r="E77" t="s">
        <v>171</v>
      </c>
      <c r="G77" t="s">
        <v>172</v>
      </c>
      <c r="H77" t="s">
        <v>221</v>
      </c>
      <c r="I77" t="s">
        <v>172</v>
      </c>
      <c r="J77" t="s">
        <v>231</v>
      </c>
      <c r="K77" t="s">
        <v>172</v>
      </c>
      <c r="M77" t="s">
        <v>232</v>
      </c>
      <c r="N77" t="s">
        <v>311</v>
      </c>
      <c r="O77" t="s">
        <v>313</v>
      </c>
      <c r="P77" t="s">
        <v>315</v>
      </c>
      <c r="Q77" t="s">
        <v>321</v>
      </c>
      <c r="T77" t="s">
        <v>409</v>
      </c>
      <c r="U77" t="s">
        <v>789</v>
      </c>
      <c r="V77" t="s">
        <v>183</v>
      </c>
      <c r="X77" t="s">
        <v>1112</v>
      </c>
      <c r="Y77" t="s">
        <v>1186</v>
      </c>
      <c r="Z77" t="s">
        <v>1572</v>
      </c>
      <c r="AA77" t="s">
        <v>1754</v>
      </c>
      <c r="AB77" t="s">
        <v>1786</v>
      </c>
      <c r="AC77">
        <v>11226</v>
      </c>
      <c r="AD77" t="s">
        <v>1787</v>
      </c>
      <c r="AE77" t="s">
        <v>1860</v>
      </c>
      <c r="AF77">
        <v>-6</v>
      </c>
      <c r="AH77" t="s">
        <v>2219</v>
      </c>
      <c r="AI77" t="s">
        <v>233</v>
      </c>
      <c r="AL77" t="s">
        <v>2230</v>
      </c>
      <c r="AN77">
        <v>0</v>
      </c>
      <c r="AO77">
        <v>1577.59</v>
      </c>
      <c r="AP77">
        <v>7.1</v>
      </c>
      <c r="AR77" t="s">
        <v>2320</v>
      </c>
      <c r="AS77" t="s">
        <v>2764</v>
      </c>
      <c r="AT77">
        <v>61</v>
      </c>
      <c r="AU77" t="s">
        <v>3106</v>
      </c>
      <c r="AV77">
        <v>1</v>
      </c>
      <c r="AW77">
        <v>0</v>
      </c>
      <c r="AX77">
        <v>192.15</v>
      </c>
      <c r="BB77" t="s">
        <v>252</v>
      </c>
      <c r="BC77" t="s">
        <v>3130</v>
      </c>
      <c r="BD77">
        <v>24000</v>
      </c>
      <c r="BH77" t="s">
        <v>3155</v>
      </c>
      <c r="BK77" t="s">
        <v>3214</v>
      </c>
      <c r="BL77" t="s">
        <v>207</v>
      </c>
      <c r="BM77" t="s">
        <v>311</v>
      </c>
    </row>
    <row r="78" spans="1:65">
      <c r="A78" s="1">
        <f>HYPERLINK("https://lsnyc.legalserver.org/matter/dynamic-profile/view/1906979","19-1906979")</f>
        <v>0</v>
      </c>
      <c r="B78" t="s">
        <v>64</v>
      </c>
      <c r="C78" t="s">
        <v>87</v>
      </c>
      <c r="D78" t="s">
        <v>170</v>
      </c>
      <c r="E78" t="s">
        <v>171</v>
      </c>
      <c r="G78" t="s">
        <v>172</v>
      </c>
      <c r="H78" t="s">
        <v>221</v>
      </c>
      <c r="I78" t="s">
        <v>172</v>
      </c>
      <c r="J78" t="s">
        <v>231</v>
      </c>
      <c r="K78" t="s">
        <v>172</v>
      </c>
      <c r="L78" t="s">
        <v>247</v>
      </c>
      <c r="M78" t="s">
        <v>232</v>
      </c>
      <c r="N78" t="s">
        <v>311</v>
      </c>
      <c r="O78" t="s">
        <v>313</v>
      </c>
      <c r="Q78" t="s">
        <v>321</v>
      </c>
      <c r="T78" t="s">
        <v>410</v>
      </c>
      <c r="U78" t="s">
        <v>761</v>
      </c>
      <c r="V78" t="s">
        <v>199</v>
      </c>
      <c r="X78" t="s">
        <v>1112</v>
      </c>
      <c r="Y78" t="s">
        <v>1187</v>
      </c>
      <c r="Z78" t="s">
        <v>1613</v>
      </c>
      <c r="AA78" t="s">
        <v>1754</v>
      </c>
      <c r="AB78" t="s">
        <v>1786</v>
      </c>
      <c r="AC78">
        <v>11206</v>
      </c>
      <c r="AD78" t="s">
        <v>1787</v>
      </c>
      <c r="AE78" t="s">
        <v>1861</v>
      </c>
      <c r="AF78">
        <v>0</v>
      </c>
      <c r="AH78" t="s">
        <v>2218</v>
      </c>
      <c r="AI78" t="s">
        <v>233</v>
      </c>
      <c r="AL78" t="s">
        <v>2231</v>
      </c>
      <c r="AN78">
        <v>0</v>
      </c>
      <c r="AO78">
        <v>287</v>
      </c>
      <c r="AP78">
        <v>2.7</v>
      </c>
      <c r="AR78" t="s">
        <v>2321</v>
      </c>
      <c r="AS78" t="s">
        <v>2765</v>
      </c>
      <c r="AT78">
        <v>0</v>
      </c>
      <c r="AV78">
        <v>1</v>
      </c>
      <c r="AW78">
        <v>1</v>
      </c>
      <c r="AX78">
        <v>12.92</v>
      </c>
      <c r="BC78" t="s">
        <v>3130</v>
      </c>
      <c r="BD78">
        <v>2184</v>
      </c>
      <c r="BH78" t="s">
        <v>3153</v>
      </c>
      <c r="BK78" t="s">
        <v>3194</v>
      </c>
      <c r="BL78" t="s">
        <v>1110</v>
      </c>
      <c r="BM78" t="s">
        <v>311</v>
      </c>
    </row>
    <row r="79" spans="1:65">
      <c r="A79" s="1">
        <f>HYPERLINK("https://lsnyc.legalserver.org/matter/dynamic-profile/view/1905951","19-1905951")</f>
        <v>0</v>
      </c>
      <c r="B79" t="s">
        <v>64</v>
      </c>
      <c r="C79" t="s">
        <v>88</v>
      </c>
      <c r="D79" t="s">
        <v>170</v>
      </c>
      <c r="E79" t="s">
        <v>171</v>
      </c>
      <c r="G79" t="s">
        <v>172</v>
      </c>
      <c r="H79" t="s">
        <v>220</v>
      </c>
      <c r="I79" t="s">
        <v>172</v>
      </c>
      <c r="J79" t="s">
        <v>231</v>
      </c>
      <c r="K79" t="s">
        <v>172</v>
      </c>
      <c r="M79" t="s">
        <v>232</v>
      </c>
      <c r="N79" t="s">
        <v>311</v>
      </c>
      <c r="O79" t="s">
        <v>172</v>
      </c>
      <c r="P79" t="s">
        <v>316</v>
      </c>
      <c r="Q79" t="s">
        <v>172</v>
      </c>
      <c r="R79" t="s">
        <v>325</v>
      </c>
      <c r="S79" t="s">
        <v>329</v>
      </c>
      <c r="T79" t="s">
        <v>411</v>
      </c>
      <c r="U79" t="s">
        <v>790</v>
      </c>
      <c r="V79" t="s">
        <v>204</v>
      </c>
      <c r="X79" t="s">
        <v>1112</v>
      </c>
      <c r="Y79" t="s">
        <v>1188</v>
      </c>
      <c r="Z79" t="s">
        <v>1578</v>
      </c>
      <c r="AA79" t="s">
        <v>1754</v>
      </c>
      <c r="AB79" t="s">
        <v>1786</v>
      </c>
      <c r="AC79">
        <v>11226</v>
      </c>
      <c r="AD79" t="s">
        <v>1787</v>
      </c>
      <c r="AE79" t="s">
        <v>1862</v>
      </c>
      <c r="AF79">
        <v>34</v>
      </c>
      <c r="AH79" t="s">
        <v>2219</v>
      </c>
      <c r="AI79" t="s">
        <v>233</v>
      </c>
      <c r="AJ79" t="s">
        <v>233</v>
      </c>
      <c r="AL79" t="s">
        <v>2230</v>
      </c>
      <c r="AM79" t="s">
        <v>2237</v>
      </c>
      <c r="AN79">
        <v>0</v>
      </c>
      <c r="AO79">
        <v>550</v>
      </c>
      <c r="AP79">
        <v>1.5</v>
      </c>
      <c r="AR79" t="s">
        <v>2322</v>
      </c>
      <c r="AS79" t="s">
        <v>2766</v>
      </c>
      <c r="AT79">
        <v>2</v>
      </c>
      <c r="AU79" t="s">
        <v>3108</v>
      </c>
      <c r="AV79">
        <v>4</v>
      </c>
      <c r="AW79">
        <v>0</v>
      </c>
      <c r="AX79">
        <v>202.55</v>
      </c>
      <c r="AY79" t="s">
        <v>1098</v>
      </c>
      <c r="AZ79" t="s">
        <v>3121</v>
      </c>
      <c r="BC79" t="s">
        <v>3130</v>
      </c>
      <c r="BD79">
        <v>52156.08</v>
      </c>
      <c r="BH79" t="s">
        <v>3155</v>
      </c>
      <c r="BJ79" t="s">
        <v>1793</v>
      </c>
      <c r="BK79" t="s">
        <v>3195</v>
      </c>
      <c r="BL79" t="s">
        <v>211</v>
      </c>
      <c r="BM79" t="s">
        <v>311</v>
      </c>
    </row>
    <row r="80" spans="1:65">
      <c r="A80" s="1">
        <f>HYPERLINK("https://lsnyc.legalserver.org/matter/dynamic-profile/view/1903741","19-1903741")</f>
        <v>0</v>
      </c>
      <c r="B80" t="s">
        <v>64</v>
      </c>
      <c r="C80" t="s">
        <v>88</v>
      </c>
      <c r="D80" t="s">
        <v>170</v>
      </c>
      <c r="E80" t="s">
        <v>171</v>
      </c>
      <c r="G80" t="s">
        <v>172</v>
      </c>
      <c r="H80" t="s">
        <v>221</v>
      </c>
      <c r="I80" t="s">
        <v>172</v>
      </c>
      <c r="J80" t="s">
        <v>231</v>
      </c>
      <c r="K80" t="s">
        <v>172</v>
      </c>
      <c r="M80" t="s">
        <v>232</v>
      </c>
      <c r="N80" t="s">
        <v>311</v>
      </c>
      <c r="O80" t="s">
        <v>172</v>
      </c>
      <c r="P80" t="s">
        <v>314</v>
      </c>
      <c r="Q80" t="s">
        <v>172</v>
      </c>
      <c r="R80" t="s">
        <v>324</v>
      </c>
      <c r="S80" t="s">
        <v>330</v>
      </c>
      <c r="T80" t="s">
        <v>412</v>
      </c>
      <c r="U80" t="s">
        <v>791</v>
      </c>
      <c r="V80" t="s">
        <v>200</v>
      </c>
      <c r="W80" t="s">
        <v>193</v>
      </c>
      <c r="X80" t="s">
        <v>1113</v>
      </c>
      <c r="Y80" t="s">
        <v>1189</v>
      </c>
      <c r="Z80" t="s">
        <v>1614</v>
      </c>
      <c r="AA80" t="s">
        <v>1754</v>
      </c>
      <c r="AB80" t="s">
        <v>1786</v>
      </c>
      <c r="AC80">
        <v>11226</v>
      </c>
      <c r="AD80" t="s">
        <v>1787</v>
      </c>
      <c r="AE80" t="s">
        <v>1863</v>
      </c>
      <c r="AF80">
        <v>1</v>
      </c>
      <c r="AG80" t="s">
        <v>2214</v>
      </c>
      <c r="AH80" t="s">
        <v>2219</v>
      </c>
      <c r="AI80" t="s">
        <v>233</v>
      </c>
      <c r="AJ80" t="s">
        <v>233</v>
      </c>
      <c r="AL80" t="s">
        <v>2230</v>
      </c>
      <c r="AM80" t="s">
        <v>2236</v>
      </c>
      <c r="AN80">
        <v>0</v>
      </c>
      <c r="AO80">
        <v>922.83</v>
      </c>
      <c r="AP80">
        <v>4</v>
      </c>
      <c r="AQ80" t="s">
        <v>2242</v>
      </c>
      <c r="AR80" t="s">
        <v>2323</v>
      </c>
      <c r="AT80">
        <v>36</v>
      </c>
      <c r="AU80" t="s">
        <v>3106</v>
      </c>
      <c r="AV80">
        <v>2</v>
      </c>
      <c r="AW80">
        <v>2</v>
      </c>
      <c r="AX80">
        <v>104.85</v>
      </c>
      <c r="BC80" t="s">
        <v>3130</v>
      </c>
      <c r="BD80">
        <v>27000</v>
      </c>
      <c r="BH80" t="s">
        <v>3155</v>
      </c>
      <c r="BK80" t="s">
        <v>3219</v>
      </c>
      <c r="BL80" t="s">
        <v>193</v>
      </c>
      <c r="BM80" t="s">
        <v>311</v>
      </c>
    </row>
    <row r="81" spans="1:65">
      <c r="A81" s="1">
        <f>HYPERLINK("https://lsnyc.legalserver.org/matter/dynamic-profile/view/1906027","19-1906027")</f>
        <v>0</v>
      </c>
      <c r="B81" t="s">
        <v>64</v>
      </c>
      <c r="C81" t="s">
        <v>88</v>
      </c>
      <c r="D81" t="s">
        <v>170</v>
      </c>
      <c r="E81" t="s">
        <v>171</v>
      </c>
      <c r="G81" t="s">
        <v>172</v>
      </c>
      <c r="H81" t="s">
        <v>221</v>
      </c>
      <c r="I81" t="s">
        <v>230</v>
      </c>
      <c r="J81" t="s">
        <v>233</v>
      </c>
      <c r="K81" t="s">
        <v>172</v>
      </c>
      <c r="L81">
        <v>37698537</v>
      </c>
      <c r="M81" t="s">
        <v>232</v>
      </c>
      <c r="N81" t="s">
        <v>252</v>
      </c>
      <c r="O81" t="s">
        <v>172</v>
      </c>
      <c r="P81" t="s">
        <v>316</v>
      </c>
      <c r="Q81" t="s">
        <v>321</v>
      </c>
      <c r="T81" t="s">
        <v>413</v>
      </c>
      <c r="U81" t="s">
        <v>792</v>
      </c>
      <c r="V81" t="s">
        <v>204</v>
      </c>
      <c r="X81" t="s">
        <v>1112</v>
      </c>
      <c r="Y81" t="s">
        <v>1190</v>
      </c>
      <c r="Z81" t="s">
        <v>1615</v>
      </c>
      <c r="AA81" t="s">
        <v>1754</v>
      </c>
      <c r="AB81" t="s">
        <v>1786</v>
      </c>
      <c r="AC81">
        <v>11226</v>
      </c>
      <c r="AD81" t="s">
        <v>1787</v>
      </c>
      <c r="AE81" t="s">
        <v>1864</v>
      </c>
      <c r="AF81">
        <v>20</v>
      </c>
      <c r="AH81" t="s">
        <v>2219</v>
      </c>
      <c r="AI81" t="s">
        <v>233</v>
      </c>
      <c r="AJ81" t="s">
        <v>233</v>
      </c>
      <c r="AL81" t="s">
        <v>2230</v>
      </c>
      <c r="AM81" t="s">
        <v>2239</v>
      </c>
      <c r="AN81">
        <v>0</v>
      </c>
      <c r="AO81">
        <v>1475.14</v>
      </c>
      <c r="AP81">
        <v>7.9</v>
      </c>
      <c r="AR81" t="s">
        <v>2324</v>
      </c>
      <c r="AS81" t="s">
        <v>2767</v>
      </c>
      <c r="AT81">
        <v>104</v>
      </c>
      <c r="AU81" t="s">
        <v>3106</v>
      </c>
      <c r="AV81">
        <v>1</v>
      </c>
      <c r="AW81">
        <v>0</v>
      </c>
      <c r="AX81">
        <v>95.31</v>
      </c>
      <c r="BB81" t="s">
        <v>252</v>
      </c>
      <c r="BC81" t="s">
        <v>3130</v>
      </c>
      <c r="BD81">
        <v>11904</v>
      </c>
      <c r="BH81" t="s">
        <v>3155</v>
      </c>
      <c r="BK81" t="s">
        <v>3199</v>
      </c>
      <c r="BL81" t="s">
        <v>1107</v>
      </c>
      <c r="BM81" t="s">
        <v>252</v>
      </c>
    </row>
    <row r="82" spans="1:65">
      <c r="A82" s="1">
        <f>HYPERLINK("https://lsnyc.legalserver.org/matter/dynamic-profile/view/1907989","19-1907989")</f>
        <v>0</v>
      </c>
      <c r="B82" t="s">
        <v>64</v>
      </c>
      <c r="C82" t="s">
        <v>88</v>
      </c>
      <c r="D82" t="s">
        <v>170</v>
      </c>
      <c r="E82" t="s">
        <v>171</v>
      </c>
      <c r="G82" t="s">
        <v>172</v>
      </c>
      <c r="H82" t="s">
        <v>221</v>
      </c>
      <c r="I82" t="s">
        <v>172</v>
      </c>
      <c r="J82" t="s">
        <v>231</v>
      </c>
      <c r="K82" t="s">
        <v>234</v>
      </c>
      <c r="M82" t="s">
        <v>232</v>
      </c>
      <c r="O82" t="s">
        <v>172</v>
      </c>
      <c r="P82" t="s">
        <v>316</v>
      </c>
      <c r="Q82" t="s">
        <v>321</v>
      </c>
      <c r="T82" t="s">
        <v>414</v>
      </c>
      <c r="U82" t="s">
        <v>793</v>
      </c>
      <c r="V82" t="s">
        <v>192</v>
      </c>
      <c r="X82" t="s">
        <v>1112</v>
      </c>
      <c r="Y82" t="s">
        <v>1191</v>
      </c>
      <c r="Z82" t="s">
        <v>1616</v>
      </c>
      <c r="AA82" t="s">
        <v>1754</v>
      </c>
      <c r="AB82" t="s">
        <v>1786</v>
      </c>
      <c r="AC82">
        <v>11226</v>
      </c>
      <c r="AD82" t="s">
        <v>1792</v>
      </c>
      <c r="AE82" t="s">
        <v>1865</v>
      </c>
      <c r="AF82">
        <v>20</v>
      </c>
      <c r="AH82" t="s">
        <v>2219</v>
      </c>
      <c r="AI82" t="s">
        <v>233</v>
      </c>
      <c r="AJ82" t="s">
        <v>233</v>
      </c>
      <c r="AL82" t="s">
        <v>2230</v>
      </c>
      <c r="AM82" t="s">
        <v>2236</v>
      </c>
      <c r="AN82">
        <v>0</v>
      </c>
      <c r="AO82">
        <v>1377.91</v>
      </c>
      <c r="AP82">
        <v>0.5</v>
      </c>
      <c r="AR82" t="s">
        <v>2325</v>
      </c>
      <c r="AS82" t="s">
        <v>2768</v>
      </c>
      <c r="AT82">
        <v>0</v>
      </c>
      <c r="AU82" t="s">
        <v>3106</v>
      </c>
      <c r="AV82">
        <v>1</v>
      </c>
      <c r="AW82">
        <v>0</v>
      </c>
      <c r="AX82">
        <v>57.17</v>
      </c>
      <c r="BC82" t="s">
        <v>3130</v>
      </c>
      <c r="BD82">
        <v>7140</v>
      </c>
      <c r="BH82" t="s">
        <v>88</v>
      </c>
      <c r="BK82" t="s">
        <v>3207</v>
      </c>
      <c r="BL82" t="s">
        <v>3275</v>
      </c>
    </row>
    <row r="83" spans="1:65">
      <c r="A83" s="1">
        <f>HYPERLINK("https://lsnyc.legalserver.org/matter/dynamic-profile/view/1906346","19-1906346")</f>
        <v>0</v>
      </c>
      <c r="B83" t="s">
        <v>64</v>
      </c>
      <c r="C83" t="s">
        <v>88</v>
      </c>
      <c r="D83" t="s">
        <v>170</v>
      </c>
      <c r="E83" t="s">
        <v>171</v>
      </c>
      <c r="G83" t="s">
        <v>172</v>
      </c>
      <c r="H83" t="s">
        <v>221</v>
      </c>
      <c r="I83" t="s">
        <v>172</v>
      </c>
      <c r="J83" t="s">
        <v>231</v>
      </c>
      <c r="K83" t="s">
        <v>172</v>
      </c>
      <c r="M83" t="s">
        <v>232</v>
      </c>
      <c r="N83" t="s">
        <v>311</v>
      </c>
      <c r="O83" t="s">
        <v>172</v>
      </c>
      <c r="P83" t="s">
        <v>316</v>
      </c>
      <c r="Q83" t="s">
        <v>321</v>
      </c>
      <c r="T83" t="s">
        <v>415</v>
      </c>
      <c r="U83" t="s">
        <v>794</v>
      </c>
      <c r="V83" t="s">
        <v>1097</v>
      </c>
      <c r="X83" t="s">
        <v>1112</v>
      </c>
      <c r="Y83" t="s">
        <v>1192</v>
      </c>
      <c r="Z83">
        <v>316</v>
      </c>
      <c r="AA83" t="s">
        <v>1754</v>
      </c>
      <c r="AB83" t="s">
        <v>1786</v>
      </c>
      <c r="AC83">
        <v>11221</v>
      </c>
      <c r="AD83" t="s">
        <v>1789</v>
      </c>
      <c r="AE83" t="s">
        <v>1866</v>
      </c>
      <c r="AF83">
        <v>1</v>
      </c>
      <c r="AH83" t="s">
        <v>2219</v>
      </c>
      <c r="AI83" t="s">
        <v>233</v>
      </c>
      <c r="AJ83" t="s">
        <v>233</v>
      </c>
      <c r="AL83" t="s">
        <v>2230</v>
      </c>
      <c r="AM83" t="s">
        <v>2236</v>
      </c>
      <c r="AN83">
        <v>0</v>
      </c>
      <c r="AO83">
        <v>2550</v>
      </c>
      <c r="AP83">
        <v>1.8</v>
      </c>
      <c r="AR83" t="s">
        <v>2326</v>
      </c>
      <c r="AS83" t="s">
        <v>2769</v>
      </c>
      <c r="AT83">
        <v>42</v>
      </c>
      <c r="AV83">
        <v>1</v>
      </c>
      <c r="AW83">
        <v>0</v>
      </c>
      <c r="AX83">
        <v>0</v>
      </c>
      <c r="BC83" t="s">
        <v>3130</v>
      </c>
      <c r="BD83">
        <v>0</v>
      </c>
      <c r="BH83" t="s">
        <v>3155</v>
      </c>
      <c r="BK83" t="s">
        <v>3220</v>
      </c>
      <c r="BL83" t="s">
        <v>1108</v>
      </c>
      <c r="BM83" t="s">
        <v>311</v>
      </c>
    </row>
    <row r="84" spans="1:65">
      <c r="A84" s="1">
        <f>HYPERLINK("https://lsnyc.legalserver.org/matter/dynamic-profile/view/1905078","19-1905078")</f>
        <v>0</v>
      </c>
      <c r="B84" t="s">
        <v>64</v>
      </c>
      <c r="C84" t="s">
        <v>88</v>
      </c>
      <c r="D84" t="s">
        <v>170</v>
      </c>
      <c r="E84" t="s">
        <v>171</v>
      </c>
      <c r="G84" t="s">
        <v>172</v>
      </c>
      <c r="H84" t="s">
        <v>221</v>
      </c>
      <c r="I84" t="s">
        <v>172</v>
      </c>
      <c r="J84" t="s">
        <v>231</v>
      </c>
      <c r="K84" t="s">
        <v>172</v>
      </c>
      <c r="M84" t="s">
        <v>232</v>
      </c>
      <c r="N84" t="s">
        <v>311</v>
      </c>
      <c r="O84" t="s">
        <v>172</v>
      </c>
      <c r="P84" t="s">
        <v>316</v>
      </c>
      <c r="Q84" t="s">
        <v>321</v>
      </c>
      <c r="T84" t="s">
        <v>416</v>
      </c>
      <c r="U84" t="s">
        <v>732</v>
      </c>
      <c r="V84" t="s">
        <v>203</v>
      </c>
      <c r="X84" t="s">
        <v>1112</v>
      </c>
      <c r="Y84" t="s">
        <v>1193</v>
      </c>
      <c r="Z84" t="s">
        <v>1617</v>
      </c>
      <c r="AA84" t="s">
        <v>1754</v>
      </c>
      <c r="AB84" t="s">
        <v>1786</v>
      </c>
      <c r="AC84">
        <v>11221</v>
      </c>
      <c r="AE84" t="s">
        <v>1867</v>
      </c>
      <c r="AF84">
        <v>20</v>
      </c>
      <c r="AH84" t="s">
        <v>2219</v>
      </c>
      <c r="AI84" t="s">
        <v>233</v>
      </c>
      <c r="AL84" t="s">
        <v>2231</v>
      </c>
      <c r="AN84">
        <v>0</v>
      </c>
      <c r="AO84">
        <v>663</v>
      </c>
      <c r="AP84">
        <v>0</v>
      </c>
      <c r="AR84" t="s">
        <v>2327</v>
      </c>
      <c r="AS84" t="s">
        <v>2770</v>
      </c>
      <c r="AT84">
        <v>180</v>
      </c>
      <c r="AV84">
        <v>2</v>
      </c>
      <c r="AW84">
        <v>3</v>
      </c>
      <c r="AX84">
        <v>34.37</v>
      </c>
      <c r="BC84" t="s">
        <v>3130</v>
      </c>
      <c r="BD84">
        <v>10368</v>
      </c>
      <c r="BH84" t="s">
        <v>3153</v>
      </c>
      <c r="BK84" t="s">
        <v>3197</v>
      </c>
      <c r="BM84" t="s">
        <v>311</v>
      </c>
    </row>
    <row r="85" spans="1:65">
      <c r="A85" s="1">
        <f>HYPERLINK("https://lsnyc.legalserver.org/matter/dynamic-profile/view/1903698","19-1903698")</f>
        <v>0</v>
      </c>
      <c r="B85" t="s">
        <v>64</v>
      </c>
      <c r="C85" t="s">
        <v>88</v>
      </c>
      <c r="D85" t="s">
        <v>170</v>
      </c>
      <c r="E85" t="s">
        <v>173</v>
      </c>
      <c r="F85" t="s">
        <v>182</v>
      </c>
      <c r="G85" t="s">
        <v>172</v>
      </c>
      <c r="H85" t="s">
        <v>221</v>
      </c>
      <c r="I85" t="s">
        <v>172</v>
      </c>
      <c r="J85" t="s">
        <v>231</v>
      </c>
      <c r="K85" t="s">
        <v>172</v>
      </c>
      <c r="L85" t="s">
        <v>248</v>
      </c>
      <c r="M85" t="s">
        <v>232</v>
      </c>
      <c r="N85" t="s">
        <v>311</v>
      </c>
      <c r="O85" t="s">
        <v>172</v>
      </c>
      <c r="P85" t="s">
        <v>316</v>
      </c>
      <c r="Q85" t="s">
        <v>172</v>
      </c>
      <c r="R85" t="s">
        <v>324</v>
      </c>
      <c r="S85" t="s">
        <v>331</v>
      </c>
      <c r="T85" t="s">
        <v>417</v>
      </c>
      <c r="U85" t="s">
        <v>795</v>
      </c>
      <c r="V85" t="s">
        <v>200</v>
      </c>
      <c r="X85" t="s">
        <v>1112</v>
      </c>
      <c r="Y85" t="s">
        <v>1194</v>
      </c>
      <c r="Z85" t="s">
        <v>1618</v>
      </c>
      <c r="AA85" t="s">
        <v>1754</v>
      </c>
      <c r="AB85" t="s">
        <v>1786</v>
      </c>
      <c r="AC85">
        <v>11216</v>
      </c>
      <c r="AD85" t="s">
        <v>1789</v>
      </c>
      <c r="AE85" t="s">
        <v>1868</v>
      </c>
      <c r="AF85">
        <v>34</v>
      </c>
      <c r="AH85" t="s">
        <v>2219</v>
      </c>
      <c r="AI85" t="s">
        <v>233</v>
      </c>
      <c r="AJ85" t="s">
        <v>233</v>
      </c>
      <c r="AL85" t="s">
        <v>2230</v>
      </c>
      <c r="AM85" t="s">
        <v>2236</v>
      </c>
      <c r="AN85">
        <v>0</v>
      </c>
      <c r="AO85">
        <v>900</v>
      </c>
      <c r="AP85">
        <v>4.8</v>
      </c>
      <c r="AQ85" t="s">
        <v>2244</v>
      </c>
      <c r="AR85" t="s">
        <v>2328</v>
      </c>
      <c r="AS85" t="s">
        <v>2771</v>
      </c>
      <c r="AT85">
        <v>25</v>
      </c>
      <c r="AU85" t="s">
        <v>3106</v>
      </c>
      <c r="AV85">
        <v>1</v>
      </c>
      <c r="AW85">
        <v>0</v>
      </c>
      <c r="AX85">
        <v>67.25</v>
      </c>
      <c r="BB85" t="s">
        <v>3122</v>
      </c>
      <c r="BC85" t="s">
        <v>3130</v>
      </c>
      <c r="BD85">
        <v>8400</v>
      </c>
      <c r="BH85" t="s">
        <v>3156</v>
      </c>
      <c r="BJ85" t="s">
        <v>3190</v>
      </c>
      <c r="BK85" t="s">
        <v>3199</v>
      </c>
      <c r="BL85" t="s">
        <v>212</v>
      </c>
      <c r="BM85" t="s">
        <v>311</v>
      </c>
    </row>
    <row r="86" spans="1:65">
      <c r="A86" s="1">
        <f>HYPERLINK("https://lsnyc.legalserver.org/matter/dynamic-profile/view/1903700","19-1903700")</f>
        <v>0</v>
      </c>
      <c r="B86" t="s">
        <v>64</v>
      </c>
      <c r="C86" t="s">
        <v>88</v>
      </c>
      <c r="D86" t="s">
        <v>170</v>
      </c>
      <c r="E86" t="s">
        <v>173</v>
      </c>
      <c r="F86" t="s">
        <v>182</v>
      </c>
      <c r="G86" t="s">
        <v>172</v>
      </c>
      <c r="H86" t="s">
        <v>221</v>
      </c>
      <c r="I86" t="s">
        <v>172</v>
      </c>
      <c r="J86" t="s">
        <v>231</v>
      </c>
      <c r="K86" t="s">
        <v>172</v>
      </c>
      <c r="L86" t="s">
        <v>249</v>
      </c>
      <c r="M86" t="s">
        <v>232</v>
      </c>
      <c r="N86" t="s">
        <v>311</v>
      </c>
      <c r="O86" t="s">
        <v>172</v>
      </c>
      <c r="P86" t="s">
        <v>316</v>
      </c>
      <c r="Q86" t="s">
        <v>172</v>
      </c>
      <c r="R86" t="s">
        <v>324</v>
      </c>
      <c r="S86" t="s">
        <v>332</v>
      </c>
      <c r="T86" t="s">
        <v>418</v>
      </c>
      <c r="U86" t="s">
        <v>796</v>
      </c>
      <c r="V86" t="s">
        <v>200</v>
      </c>
      <c r="W86" t="s">
        <v>193</v>
      </c>
      <c r="X86" t="s">
        <v>1113</v>
      </c>
      <c r="Y86" t="s">
        <v>1195</v>
      </c>
      <c r="Z86" t="s">
        <v>1602</v>
      </c>
      <c r="AA86" t="s">
        <v>1754</v>
      </c>
      <c r="AB86" t="s">
        <v>1786</v>
      </c>
      <c r="AC86">
        <v>11221</v>
      </c>
      <c r="AD86" t="s">
        <v>1789</v>
      </c>
      <c r="AE86" t="s">
        <v>1869</v>
      </c>
      <c r="AF86">
        <v>7</v>
      </c>
      <c r="AG86" t="s">
        <v>2215</v>
      </c>
      <c r="AH86" t="s">
        <v>2219</v>
      </c>
      <c r="AI86" t="s">
        <v>233</v>
      </c>
      <c r="AJ86" t="s">
        <v>233</v>
      </c>
      <c r="AL86" t="s">
        <v>2230</v>
      </c>
      <c r="AM86" t="s">
        <v>2239</v>
      </c>
      <c r="AN86">
        <v>0</v>
      </c>
      <c r="AO86">
        <v>553.8</v>
      </c>
      <c r="AP86">
        <v>9.300000000000001</v>
      </c>
      <c r="AQ86" t="s">
        <v>2244</v>
      </c>
      <c r="AR86" t="s">
        <v>2329</v>
      </c>
      <c r="AS86" t="s">
        <v>2772</v>
      </c>
      <c r="AT86">
        <v>8</v>
      </c>
      <c r="AU86" t="s">
        <v>3106</v>
      </c>
      <c r="AV86">
        <v>1</v>
      </c>
      <c r="AW86">
        <v>2</v>
      </c>
      <c r="AX86">
        <v>0</v>
      </c>
      <c r="BC86" t="s">
        <v>3130</v>
      </c>
      <c r="BD86">
        <v>0</v>
      </c>
      <c r="BH86" t="s">
        <v>3156</v>
      </c>
      <c r="BI86" t="s">
        <v>3187</v>
      </c>
      <c r="BJ86" t="s">
        <v>3191</v>
      </c>
      <c r="BK86" t="s">
        <v>3220</v>
      </c>
      <c r="BL86" t="s">
        <v>193</v>
      </c>
      <c r="BM86" t="s">
        <v>311</v>
      </c>
    </row>
    <row r="87" spans="1:65">
      <c r="A87" s="1">
        <f>HYPERLINK("https://lsnyc.legalserver.org/matter/dynamic-profile/view/1907014","19-1907014")</f>
        <v>0</v>
      </c>
      <c r="B87" t="s">
        <v>64</v>
      </c>
      <c r="C87" t="s">
        <v>89</v>
      </c>
      <c r="D87" t="s">
        <v>170</v>
      </c>
      <c r="E87" t="s">
        <v>171</v>
      </c>
      <c r="G87" t="s">
        <v>172</v>
      </c>
      <c r="H87" t="s">
        <v>221</v>
      </c>
      <c r="I87" t="s">
        <v>172</v>
      </c>
      <c r="J87" t="s">
        <v>231</v>
      </c>
      <c r="K87" t="s">
        <v>172</v>
      </c>
      <c r="M87" t="s">
        <v>232</v>
      </c>
      <c r="N87" t="s">
        <v>311</v>
      </c>
      <c r="O87" t="s">
        <v>172</v>
      </c>
      <c r="P87" t="s">
        <v>316</v>
      </c>
      <c r="Q87" t="s">
        <v>321</v>
      </c>
      <c r="T87" t="s">
        <v>419</v>
      </c>
      <c r="U87" t="s">
        <v>797</v>
      </c>
      <c r="V87" t="s">
        <v>183</v>
      </c>
      <c r="X87" t="s">
        <v>1112</v>
      </c>
      <c r="Y87" t="s">
        <v>1196</v>
      </c>
      <c r="Z87" t="s">
        <v>1576</v>
      </c>
      <c r="AA87" t="s">
        <v>1754</v>
      </c>
      <c r="AB87" t="s">
        <v>1786</v>
      </c>
      <c r="AC87">
        <v>11216</v>
      </c>
      <c r="AD87" t="s">
        <v>1789</v>
      </c>
      <c r="AE87" t="s">
        <v>1870</v>
      </c>
      <c r="AF87">
        <v>27</v>
      </c>
      <c r="AH87" t="s">
        <v>2219</v>
      </c>
      <c r="AI87" t="s">
        <v>233</v>
      </c>
      <c r="AJ87" t="s">
        <v>233</v>
      </c>
      <c r="AL87" t="s">
        <v>2230</v>
      </c>
      <c r="AN87">
        <v>0</v>
      </c>
      <c r="AO87">
        <v>947.23</v>
      </c>
      <c r="AP87">
        <v>4</v>
      </c>
      <c r="AR87" t="s">
        <v>2330</v>
      </c>
      <c r="AS87" t="s">
        <v>2773</v>
      </c>
      <c r="AT87">
        <v>0</v>
      </c>
      <c r="AU87" t="s">
        <v>3106</v>
      </c>
      <c r="AV87">
        <v>1</v>
      </c>
      <c r="AW87">
        <v>0</v>
      </c>
      <c r="AX87">
        <v>312.25</v>
      </c>
      <c r="BC87" t="s">
        <v>3130</v>
      </c>
      <c r="BD87">
        <v>39000</v>
      </c>
      <c r="BH87" t="s">
        <v>3156</v>
      </c>
      <c r="BK87" t="s">
        <v>3198</v>
      </c>
      <c r="BL87" t="s">
        <v>207</v>
      </c>
      <c r="BM87" t="s">
        <v>311</v>
      </c>
    </row>
    <row r="88" spans="1:65">
      <c r="A88" s="1">
        <f>HYPERLINK("https://lsnyc.legalserver.org/matter/dynamic-profile/view/1904626","19-1904626")</f>
        <v>0</v>
      </c>
      <c r="B88" t="s">
        <v>64</v>
      </c>
      <c r="C88" t="s">
        <v>89</v>
      </c>
      <c r="D88" t="s">
        <v>170</v>
      </c>
      <c r="E88" t="s">
        <v>171</v>
      </c>
      <c r="G88" t="s">
        <v>172</v>
      </c>
      <c r="H88" t="s">
        <v>221</v>
      </c>
      <c r="I88" t="s">
        <v>172</v>
      </c>
      <c r="J88" t="s">
        <v>231</v>
      </c>
      <c r="K88" t="s">
        <v>172</v>
      </c>
      <c r="M88" t="s">
        <v>232</v>
      </c>
      <c r="N88" t="s">
        <v>311</v>
      </c>
      <c r="O88" t="s">
        <v>313</v>
      </c>
      <c r="P88" t="s">
        <v>315</v>
      </c>
      <c r="Q88" t="s">
        <v>321</v>
      </c>
      <c r="T88" t="s">
        <v>420</v>
      </c>
      <c r="U88" t="s">
        <v>797</v>
      </c>
      <c r="V88" t="s">
        <v>198</v>
      </c>
      <c r="X88" t="s">
        <v>1112</v>
      </c>
      <c r="Y88" t="s">
        <v>1197</v>
      </c>
      <c r="Z88" t="s">
        <v>1619</v>
      </c>
      <c r="AA88" t="s">
        <v>1754</v>
      </c>
      <c r="AB88" t="s">
        <v>1786</v>
      </c>
      <c r="AC88">
        <v>11226</v>
      </c>
      <c r="AD88" t="s">
        <v>1787</v>
      </c>
      <c r="AE88" t="s">
        <v>1871</v>
      </c>
      <c r="AF88">
        <v>4</v>
      </c>
      <c r="AH88" t="s">
        <v>2219</v>
      </c>
      <c r="AI88" t="s">
        <v>233</v>
      </c>
      <c r="AL88" t="s">
        <v>2230</v>
      </c>
      <c r="AN88">
        <v>0</v>
      </c>
      <c r="AO88">
        <v>1497.5</v>
      </c>
      <c r="AP88">
        <v>4.8</v>
      </c>
      <c r="AR88" t="s">
        <v>2331</v>
      </c>
      <c r="AS88" t="s">
        <v>2774</v>
      </c>
      <c r="AT88">
        <v>61</v>
      </c>
      <c r="AV88">
        <v>1</v>
      </c>
      <c r="AW88">
        <v>0</v>
      </c>
      <c r="AX88">
        <v>0</v>
      </c>
      <c r="BC88" t="s">
        <v>3130</v>
      </c>
      <c r="BD88">
        <v>0</v>
      </c>
      <c r="BH88" t="s">
        <v>3155</v>
      </c>
      <c r="BK88" t="s">
        <v>3210</v>
      </c>
      <c r="BL88" t="s">
        <v>207</v>
      </c>
      <c r="BM88" t="s">
        <v>311</v>
      </c>
    </row>
    <row r="89" spans="1:65">
      <c r="A89" s="1">
        <f>HYPERLINK("https://lsnyc.legalserver.org/matter/dynamic-profile/view/1904579","19-1904579")</f>
        <v>0</v>
      </c>
      <c r="B89" t="s">
        <v>64</v>
      </c>
      <c r="C89" t="s">
        <v>89</v>
      </c>
      <c r="D89" t="s">
        <v>170</v>
      </c>
      <c r="E89" t="s">
        <v>171</v>
      </c>
      <c r="G89" t="s">
        <v>172</v>
      </c>
      <c r="H89" t="s">
        <v>221</v>
      </c>
      <c r="I89" t="s">
        <v>172</v>
      </c>
      <c r="J89" t="s">
        <v>231</v>
      </c>
      <c r="K89" t="s">
        <v>172</v>
      </c>
      <c r="M89" t="s">
        <v>232</v>
      </c>
      <c r="N89" t="s">
        <v>311</v>
      </c>
      <c r="O89" t="s">
        <v>313</v>
      </c>
      <c r="P89" t="s">
        <v>315</v>
      </c>
      <c r="Q89" t="s">
        <v>321</v>
      </c>
      <c r="T89" t="s">
        <v>421</v>
      </c>
      <c r="U89" t="s">
        <v>798</v>
      </c>
      <c r="V89" t="s">
        <v>176</v>
      </c>
      <c r="X89" t="s">
        <v>1112</v>
      </c>
      <c r="Y89" t="s">
        <v>1123</v>
      </c>
      <c r="Z89" t="s">
        <v>1620</v>
      </c>
      <c r="AA89" t="s">
        <v>1754</v>
      </c>
      <c r="AB89" t="s">
        <v>1786</v>
      </c>
      <c r="AC89">
        <v>11216</v>
      </c>
      <c r="AE89" t="s">
        <v>1872</v>
      </c>
      <c r="AF89">
        <v>6</v>
      </c>
      <c r="AH89" t="s">
        <v>2219</v>
      </c>
      <c r="AI89" t="s">
        <v>233</v>
      </c>
      <c r="AL89" t="s">
        <v>2230</v>
      </c>
      <c r="AN89">
        <v>0</v>
      </c>
      <c r="AO89">
        <v>298</v>
      </c>
      <c r="AP89">
        <v>6.5</v>
      </c>
      <c r="AR89" t="s">
        <v>2332</v>
      </c>
      <c r="AS89" t="s">
        <v>2775</v>
      </c>
      <c r="AT89">
        <v>0</v>
      </c>
      <c r="AV89">
        <v>1</v>
      </c>
      <c r="AW89">
        <v>2</v>
      </c>
      <c r="AX89">
        <v>97.52</v>
      </c>
      <c r="BB89" t="s">
        <v>3123</v>
      </c>
      <c r="BD89">
        <v>20800</v>
      </c>
      <c r="BH89" t="s">
        <v>3155</v>
      </c>
      <c r="BK89" t="s">
        <v>3198</v>
      </c>
      <c r="BL89" t="s">
        <v>175</v>
      </c>
      <c r="BM89" t="s">
        <v>311</v>
      </c>
    </row>
    <row r="90" spans="1:65">
      <c r="A90" s="1">
        <f>HYPERLINK("https://lsnyc.legalserver.org/matter/dynamic-profile/view/1904622","19-1904622")</f>
        <v>0</v>
      </c>
      <c r="B90" t="s">
        <v>64</v>
      </c>
      <c r="C90" t="s">
        <v>89</v>
      </c>
      <c r="D90" t="s">
        <v>170</v>
      </c>
      <c r="E90" t="s">
        <v>171</v>
      </c>
      <c r="G90" t="s">
        <v>172</v>
      </c>
      <c r="H90" t="s">
        <v>221</v>
      </c>
      <c r="I90" t="s">
        <v>172</v>
      </c>
      <c r="J90" t="s">
        <v>231</v>
      </c>
      <c r="K90" t="s">
        <v>172</v>
      </c>
      <c r="M90" t="s">
        <v>232</v>
      </c>
      <c r="N90" t="s">
        <v>311</v>
      </c>
      <c r="O90" t="s">
        <v>172</v>
      </c>
      <c r="P90" t="s">
        <v>316</v>
      </c>
      <c r="Q90" t="s">
        <v>321</v>
      </c>
      <c r="T90" t="s">
        <v>421</v>
      </c>
      <c r="U90" t="s">
        <v>799</v>
      </c>
      <c r="V90" t="s">
        <v>198</v>
      </c>
      <c r="X90" t="s">
        <v>1112</v>
      </c>
      <c r="Y90" t="s">
        <v>1123</v>
      </c>
      <c r="Z90" t="s">
        <v>1620</v>
      </c>
      <c r="AA90" t="s">
        <v>1754</v>
      </c>
      <c r="AB90" t="s">
        <v>1786</v>
      </c>
      <c r="AC90">
        <v>11216</v>
      </c>
      <c r="AD90" t="s">
        <v>1789</v>
      </c>
      <c r="AE90" t="s">
        <v>1872</v>
      </c>
      <c r="AF90">
        <v>5</v>
      </c>
      <c r="AH90" t="s">
        <v>2219</v>
      </c>
      <c r="AI90" t="s">
        <v>233</v>
      </c>
      <c r="AJ90" t="s">
        <v>233</v>
      </c>
      <c r="AL90" t="s">
        <v>2230</v>
      </c>
      <c r="AN90">
        <v>0</v>
      </c>
      <c r="AO90">
        <v>1871</v>
      </c>
      <c r="AP90">
        <v>1</v>
      </c>
      <c r="AR90" t="s">
        <v>2332</v>
      </c>
      <c r="AS90" t="s">
        <v>2776</v>
      </c>
      <c r="AT90">
        <v>0</v>
      </c>
      <c r="AV90">
        <v>1</v>
      </c>
      <c r="AW90">
        <v>2</v>
      </c>
      <c r="AX90">
        <v>97.52</v>
      </c>
      <c r="BB90" t="s">
        <v>3123</v>
      </c>
      <c r="BC90" t="s">
        <v>3131</v>
      </c>
      <c r="BD90">
        <v>20800</v>
      </c>
      <c r="BH90" t="s">
        <v>3156</v>
      </c>
      <c r="BK90" t="s">
        <v>3198</v>
      </c>
      <c r="BL90" t="s">
        <v>176</v>
      </c>
      <c r="BM90" t="s">
        <v>311</v>
      </c>
    </row>
    <row r="91" spans="1:65">
      <c r="A91" s="1">
        <f>HYPERLINK("https://lsnyc.legalserver.org/matter/dynamic-profile/view/1904790","19-1904790")</f>
        <v>0</v>
      </c>
      <c r="B91" t="s">
        <v>64</v>
      </c>
      <c r="C91" t="s">
        <v>89</v>
      </c>
      <c r="D91" t="s">
        <v>170</v>
      </c>
      <c r="E91" t="s">
        <v>171</v>
      </c>
      <c r="G91" t="s">
        <v>172</v>
      </c>
      <c r="H91" t="s">
        <v>221</v>
      </c>
      <c r="I91" t="s">
        <v>172</v>
      </c>
      <c r="J91" t="s">
        <v>231</v>
      </c>
      <c r="K91" t="s">
        <v>172</v>
      </c>
      <c r="M91" t="s">
        <v>232</v>
      </c>
      <c r="N91" t="s">
        <v>311</v>
      </c>
      <c r="O91" t="s">
        <v>172</v>
      </c>
      <c r="P91" t="s">
        <v>316</v>
      </c>
      <c r="Q91" t="s">
        <v>321</v>
      </c>
      <c r="T91" t="s">
        <v>422</v>
      </c>
      <c r="U91" t="s">
        <v>800</v>
      </c>
      <c r="V91" t="s">
        <v>179</v>
      </c>
      <c r="X91" t="s">
        <v>1112</v>
      </c>
      <c r="Y91" t="s">
        <v>1198</v>
      </c>
      <c r="Z91" t="s">
        <v>1621</v>
      </c>
      <c r="AA91" t="s">
        <v>1754</v>
      </c>
      <c r="AB91" t="s">
        <v>1786</v>
      </c>
      <c r="AC91">
        <v>11218</v>
      </c>
      <c r="AD91" t="s">
        <v>1787</v>
      </c>
      <c r="AE91" t="s">
        <v>1873</v>
      </c>
      <c r="AF91">
        <v>13</v>
      </c>
      <c r="AH91" t="s">
        <v>2218</v>
      </c>
      <c r="AI91" t="s">
        <v>233</v>
      </c>
      <c r="AL91" t="s">
        <v>2230</v>
      </c>
      <c r="AN91">
        <v>0</v>
      </c>
      <c r="AO91">
        <v>1500</v>
      </c>
      <c r="AP91">
        <v>27.3</v>
      </c>
      <c r="AR91" t="s">
        <v>2333</v>
      </c>
      <c r="AS91" t="s">
        <v>2777</v>
      </c>
      <c r="AT91">
        <v>57</v>
      </c>
      <c r="AV91">
        <v>1</v>
      </c>
      <c r="AW91">
        <v>0</v>
      </c>
      <c r="AX91">
        <v>0</v>
      </c>
      <c r="BD91">
        <v>0</v>
      </c>
      <c r="BH91" t="s">
        <v>3155</v>
      </c>
      <c r="BK91" t="s">
        <v>3210</v>
      </c>
      <c r="BL91" t="s">
        <v>207</v>
      </c>
      <c r="BM91" t="s">
        <v>311</v>
      </c>
    </row>
    <row r="92" spans="1:65">
      <c r="A92" s="1">
        <f>HYPERLINK("https://lsnyc.legalserver.org/matter/dynamic-profile/view/1906189","19-1906189")</f>
        <v>0</v>
      </c>
      <c r="B92" t="s">
        <v>64</v>
      </c>
      <c r="C92" t="s">
        <v>89</v>
      </c>
      <c r="D92" t="s">
        <v>170</v>
      </c>
      <c r="E92" t="s">
        <v>171</v>
      </c>
      <c r="G92" t="s">
        <v>172</v>
      </c>
      <c r="H92" t="s">
        <v>220</v>
      </c>
      <c r="I92" t="s">
        <v>172</v>
      </c>
      <c r="J92" t="s">
        <v>231</v>
      </c>
      <c r="K92" t="s">
        <v>172</v>
      </c>
      <c r="M92" t="s">
        <v>232</v>
      </c>
      <c r="N92" t="s">
        <v>311</v>
      </c>
      <c r="O92" t="s">
        <v>313</v>
      </c>
      <c r="P92" t="s">
        <v>315</v>
      </c>
      <c r="Q92" t="s">
        <v>321</v>
      </c>
      <c r="T92" t="s">
        <v>423</v>
      </c>
      <c r="U92" t="s">
        <v>801</v>
      </c>
      <c r="V92" t="s">
        <v>195</v>
      </c>
      <c r="X92" t="s">
        <v>1112</v>
      </c>
      <c r="Y92" t="s">
        <v>1199</v>
      </c>
      <c r="Z92" t="s">
        <v>1622</v>
      </c>
      <c r="AA92" t="s">
        <v>1754</v>
      </c>
      <c r="AB92" t="s">
        <v>1786</v>
      </c>
      <c r="AC92">
        <v>11203</v>
      </c>
      <c r="AD92" t="s">
        <v>1787</v>
      </c>
      <c r="AE92" t="s">
        <v>1874</v>
      </c>
      <c r="AF92">
        <v>31</v>
      </c>
      <c r="AH92" t="s">
        <v>2218</v>
      </c>
      <c r="AI92" t="s">
        <v>233</v>
      </c>
      <c r="AL92" t="s">
        <v>2230</v>
      </c>
      <c r="AN92">
        <v>0</v>
      </c>
      <c r="AO92">
        <v>514</v>
      </c>
      <c r="AP92">
        <v>1.3</v>
      </c>
      <c r="AR92" t="s">
        <v>2334</v>
      </c>
      <c r="AS92" t="s">
        <v>2778</v>
      </c>
      <c r="AT92">
        <v>127</v>
      </c>
      <c r="AV92">
        <v>1</v>
      </c>
      <c r="AW92">
        <v>0</v>
      </c>
      <c r="AX92">
        <v>83.47</v>
      </c>
      <c r="BB92" t="s">
        <v>252</v>
      </c>
      <c r="BC92" t="s">
        <v>3130</v>
      </c>
      <c r="BD92">
        <v>10426</v>
      </c>
      <c r="BH92" t="s">
        <v>3155</v>
      </c>
      <c r="BK92" t="s">
        <v>3207</v>
      </c>
      <c r="BL92" t="s">
        <v>192</v>
      </c>
      <c r="BM92" t="s">
        <v>311</v>
      </c>
    </row>
    <row r="93" spans="1:65">
      <c r="A93" s="1">
        <f>HYPERLINK("https://lsnyc.legalserver.org/matter/dynamic-profile/view/1907048","19-1907048")</f>
        <v>0</v>
      </c>
      <c r="B93" t="s">
        <v>64</v>
      </c>
      <c r="C93" t="s">
        <v>89</v>
      </c>
      <c r="D93" t="s">
        <v>170</v>
      </c>
      <c r="E93" t="s">
        <v>171</v>
      </c>
      <c r="G93" t="s">
        <v>172</v>
      </c>
      <c r="H93" t="s">
        <v>220</v>
      </c>
      <c r="I93" t="s">
        <v>172</v>
      </c>
      <c r="J93" t="s">
        <v>231</v>
      </c>
      <c r="K93" t="s">
        <v>172</v>
      </c>
      <c r="M93" t="s">
        <v>232</v>
      </c>
      <c r="N93" t="s">
        <v>311</v>
      </c>
      <c r="O93" t="s">
        <v>172</v>
      </c>
      <c r="P93" t="s">
        <v>316</v>
      </c>
      <c r="Q93" t="s">
        <v>321</v>
      </c>
      <c r="T93" t="s">
        <v>419</v>
      </c>
      <c r="U93" t="s">
        <v>802</v>
      </c>
      <c r="V93" t="s">
        <v>183</v>
      </c>
      <c r="X93" t="s">
        <v>1112</v>
      </c>
      <c r="Y93" t="s">
        <v>1200</v>
      </c>
      <c r="Z93" t="s">
        <v>1623</v>
      </c>
      <c r="AA93" t="s">
        <v>1754</v>
      </c>
      <c r="AB93" t="s">
        <v>1786</v>
      </c>
      <c r="AC93">
        <v>11216</v>
      </c>
      <c r="AD93" t="s">
        <v>1789</v>
      </c>
      <c r="AE93" t="s">
        <v>1875</v>
      </c>
      <c r="AF93">
        <v>10</v>
      </c>
      <c r="AH93" t="s">
        <v>2219</v>
      </c>
      <c r="AI93" t="s">
        <v>233</v>
      </c>
      <c r="AJ93" t="s">
        <v>233</v>
      </c>
      <c r="AL93" t="s">
        <v>2230</v>
      </c>
      <c r="AN93">
        <v>0</v>
      </c>
      <c r="AO93">
        <v>962</v>
      </c>
      <c r="AP93">
        <v>7.6</v>
      </c>
      <c r="AR93" t="s">
        <v>2335</v>
      </c>
      <c r="AS93" t="s">
        <v>2779</v>
      </c>
      <c r="AT93">
        <v>0</v>
      </c>
      <c r="AV93">
        <v>1</v>
      </c>
      <c r="AW93">
        <v>0</v>
      </c>
      <c r="AX93">
        <v>37.05</v>
      </c>
      <c r="BC93" t="s">
        <v>3130</v>
      </c>
      <c r="BD93">
        <v>4628</v>
      </c>
      <c r="BH93" t="s">
        <v>3156</v>
      </c>
      <c r="BK93" t="s">
        <v>3194</v>
      </c>
      <c r="BL93" t="s">
        <v>185</v>
      </c>
      <c r="BM93" t="s">
        <v>311</v>
      </c>
    </row>
    <row r="94" spans="1:65">
      <c r="A94" s="1">
        <f>HYPERLINK("https://lsnyc.legalserver.org/matter/dynamic-profile/view/1907030","19-1907030")</f>
        <v>0</v>
      </c>
      <c r="B94" t="s">
        <v>64</v>
      </c>
      <c r="C94" t="s">
        <v>89</v>
      </c>
      <c r="D94" t="s">
        <v>170</v>
      </c>
      <c r="E94" t="s">
        <v>171</v>
      </c>
      <c r="G94" t="s">
        <v>172</v>
      </c>
      <c r="H94" t="s">
        <v>221</v>
      </c>
      <c r="I94" t="s">
        <v>172</v>
      </c>
      <c r="J94" t="s">
        <v>231</v>
      </c>
      <c r="K94" t="s">
        <v>172</v>
      </c>
      <c r="M94" t="s">
        <v>232</v>
      </c>
      <c r="N94" t="s">
        <v>311</v>
      </c>
      <c r="O94" t="s">
        <v>172</v>
      </c>
      <c r="P94" t="s">
        <v>316</v>
      </c>
      <c r="Q94" t="s">
        <v>321</v>
      </c>
      <c r="T94" t="s">
        <v>424</v>
      </c>
      <c r="U94" t="s">
        <v>803</v>
      </c>
      <c r="V94" t="s">
        <v>183</v>
      </c>
      <c r="X94" t="s">
        <v>1112</v>
      </c>
      <c r="Y94" t="s">
        <v>1201</v>
      </c>
      <c r="Z94">
        <v>7</v>
      </c>
      <c r="AA94" t="s">
        <v>1754</v>
      </c>
      <c r="AB94" t="s">
        <v>1786</v>
      </c>
      <c r="AC94">
        <v>11216</v>
      </c>
      <c r="AD94" t="s">
        <v>1789</v>
      </c>
      <c r="AE94" t="s">
        <v>1876</v>
      </c>
      <c r="AF94">
        <v>30</v>
      </c>
      <c r="AH94" t="s">
        <v>2219</v>
      </c>
      <c r="AI94" t="s">
        <v>233</v>
      </c>
      <c r="AJ94" t="s">
        <v>233</v>
      </c>
      <c r="AL94" t="s">
        <v>2230</v>
      </c>
      <c r="AN94">
        <v>0</v>
      </c>
      <c r="AO94">
        <v>600</v>
      </c>
      <c r="AP94">
        <v>3.8</v>
      </c>
      <c r="AR94" t="s">
        <v>2336</v>
      </c>
      <c r="AS94" t="s">
        <v>2780</v>
      </c>
      <c r="AT94">
        <v>0</v>
      </c>
      <c r="AV94">
        <v>1</v>
      </c>
      <c r="AW94">
        <v>0</v>
      </c>
      <c r="AX94">
        <v>74.36</v>
      </c>
      <c r="BC94" t="s">
        <v>3130</v>
      </c>
      <c r="BD94">
        <v>9288</v>
      </c>
      <c r="BH94" t="s">
        <v>3156</v>
      </c>
      <c r="BK94" t="s">
        <v>3193</v>
      </c>
      <c r="BL94" t="s">
        <v>207</v>
      </c>
      <c r="BM94" t="s">
        <v>311</v>
      </c>
    </row>
    <row r="95" spans="1:65">
      <c r="A95" s="1">
        <f>HYPERLINK("https://lsnyc.legalserver.org/matter/dynamic-profile/view/1907039","19-1907039")</f>
        <v>0</v>
      </c>
      <c r="B95" t="s">
        <v>64</v>
      </c>
      <c r="C95" t="s">
        <v>89</v>
      </c>
      <c r="D95" t="s">
        <v>170</v>
      </c>
      <c r="E95" t="s">
        <v>171</v>
      </c>
      <c r="G95" t="s">
        <v>172</v>
      </c>
      <c r="H95" t="s">
        <v>221</v>
      </c>
      <c r="I95" t="s">
        <v>230</v>
      </c>
      <c r="J95" t="s">
        <v>232</v>
      </c>
      <c r="K95" t="s">
        <v>234</v>
      </c>
      <c r="M95" t="s">
        <v>232</v>
      </c>
      <c r="O95" t="s">
        <v>313</v>
      </c>
      <c r="P95" t="s">
        <v>315</v>
      </c>
      <c r="Q95" t="s">
        <v>321</v>
      </c>
      <c r="T95" t="s">
        <v>425</v>
      </c>
      <c r="U95" t="s">
        <v>804</v>
      </c>
      <c r="V95" t="s">
        <v>183</v>
      </c>
      <c r="X95" t="s">
        <v>1112</v>
      </c>
      <c r="Y95" t="s">
        <v>1202</v>
      </c>
      <c r="Z95" t="s">
        <v>1605</v>
      </c>
      <c r="AA95" t="s">
        <v>1754</v>
      </c>
      <c r="AB95" t="s">
        <v>1786</v>
      </c>
      <c r="AC95">
        <v>11216</v>
      </c>
      <c r="AE95" t="s">
        <v>1877</v>
      </c>
      <c r="AF95">
        <v>12</v>
      </c>
      <c r="AH95" t="s">
        <v>2219</v>
      </c>
      <c r="AI95" t="s">
        <v>233</v>
      </c>
      <c r="AL95" t="s">
        <v>2230</v>
      </c>
      <c r="AN95">
        <v>0</v>
      </c>
      <c r="AO95">
        <v>723.25</v>
      </c>
      <c r="AP95">
        <v>4</v>
      </c>
      <c r="AR95" t="s">
        <v>2337</v>
      </c>
      <c r="AS95" t="s">
        <v>2781</v>
      </c>
      <c r="AT95">
        <v>0</v>
      </c>
      <c r="AU95" t="s">
        <v>3106</v>
      </c>
      <c r="AV95">
        <v>1</v>
      </c>
      <c r="AW95">
        <v>0</v>
      </c>
      <c r="AX95">
        <v>113.47</v>
      </c>
      <c r="BC95" t="s">
        <v>3130</v>
      </c>
      <c r="BD95">
        <v>14172</v>
      </c>
      <c r="BH95" t="s">
        <v>3157</v>
      </c>
      <c r="BK95" t="s">
        <v>3209</v>
      </c>
      <c r="BL95" t="s">
        <v>206</v>
      </c>
    </row>
    <row r="96" spans="1:65">
      <c r="A96" s="1">
        <f>HYPERLINK("https://lsnyc.legalserver.org/matter/dynamic-profile/view/1904618","19-1904618")</f>
        <v>0</v>
      </c>
      <c r="B96" t="s">
        <v>64</v>
      </c>
      <c r="C96" t="s">
        <v>86</v>
      </c>
      <c r="D96" t="s">
        <v>170</v>
      </c>
      <c r="E96" t="s">
        <v>171</v>
      </c>
      <c r="G96" t="s">
        <v>172</v>
      </c>
      <c r="H96" t="s">
        <v>220</v>
      </c>
      <c r="I96" t="s">
        <v>172</v>
      </c>
      <c r="J96" t="s">
        <v>231</v>
      </c>
      <c r="K96" t="s">
        <v>172</v>
      </c>
      <c r="M96" t="s">
        <v>232</v>
      </c>
      <c r="N96" t="s">
        <v>311</v>
      </c>
      <c r="O96" t="s">
        <v>172</v>
      </c>
      <c r="P96" t="s">
        <v>316</v>
      </c>
      <c r="Q96" t="s">
        <v>321</v>
      </c>
      <c r="T96" t="s">
        <v>426</v>
      </c>
      <c r="U96" t="s">
        <v>805</v>
      </c>
      <c r="V96" t="s">
        <v>198</v>
      </c>
      <c r="X96" t="s">
        <v>1112</v>
      </c>
      <c r="Y96" t="s">
        <v>1203</v>
      </c>
      <c r="Z96">
        <v>1</v>
      </c>
      <c r="AA96" t="s">
        <v>1754</v>
      </c>
      <c r="AB96" t="s">
        <v>1786</v>
      </c>
      <c r="AC96">
        <v>11216</v>
      </c>
      <c r="AD96" t="s">
        <v>1789</v>
      </c>
      <c r="AE96" t="s">
        <v>1878</v>
      </c>
      <c r="AF96">
        <v>2</v>
      </c>
      <c r="AH96" t="s">
        <v>2219</v>
      </c>
      <c r="AI96" t="s">
        <v>233</v>
      </c>
      <c r="AL96" t="s">
        <v>2230</v>
      </c>
      <c r="AN96">
        <v>0</v>
      </c>
      <c r="AO96">
        <v>1200</v>
      </c>
      <c r="AP96">
        <v>1.8</v>
      </c>
      <c r="AR96" t="s">
        <v>2338</v>
      </c>
      <c r="AS96" t="s">
        <v>2782</v>
      </c>
      <c r="AT96">
        <v>0</v>
      </c>
      <c r="AV96">
        <v>1</v>
      </c>
      <c r="AW96">
        <v>0</v>
      </c>
      <c r="AX96">
        <v>184.15</v>
      </c>
      <c r="BC96" t="s">
        <v>3130</v>
      </c>
      <c r="BD96">
        <v>23000</v>
      </c>
      <c r="BH96" t="s">
        <v>3156</v>
      </c>
      <c r="BK96" t="s">
        <v>3198</v>
      </c>
      <c r="BL96" t="s">
        <v>185</v>
      </c>
      <c r="BM96" t="s">
        <v>311</v>
      </c>
    </row>
    <row r="97" spans="1:65">
      <c r="A97" s="1">
        <f>HYPERLINK("https://lsnyc.legalserver.org/matter/dynamic-profile/view/1908108","19-1908108")</f>
        <v>0</v>
      </c>
      <c r="B97" t="s">
        <v>64</v>
      </c>
      <c r="C97" t="s">
        <v>76</v>
      </c>
      <c r="D97" t="s">
        <v>170</v>
      </c>
      <c r="E97" t="s">
        <v>171</v>
      </c>
      <c r="G97" t="s">
        <v>172</v>
      </c>
      <c r="H97" t="s">
        <v>221</v>
      </c>
      <c r="I97" t="s">
        <v>172</v>
      </c>
      <c r="J97" t="s">
        <v>231</v>
      </c>
      <c r="K97" t="s">
        <v>172</v>
      </c>
      <c r="M97" t="s">
        <v>232</v>
      </c>
      <c r="N97" t="s">
        <v>311</v>
      </c>
      <c r="O97" t="s">
        <v>313</v>
      </c>
      <c r="P97" t="s">
        <v>315</v>
      </c>
      <c r="Q97" t="s">
        <v>321</v>
      </c>
      <c r="T97" t="s">
        <v>427</v>
      </c>
      <c r="U97" t="s">
        <v>806</v>
      </c>
      <c r="V97" t="s">
        <v>1100</v>
      </c>
      <c r="X97" t="s">
        <v>1112</v>
      </c>
      <c r="Y97" t="s">
        <v>1204</v>
      </c>
      <c r="Z97" t="s">
        <v>1624</v>
      </c>
      <c r="AA97" t="s">
        <v>1754</v>
      </c>
      <c r="AB97" t="s">
        <v>1786</v>
      </c>
      <c r="AC97">
        <v>11221</v>
      </c>
      <c r="AD97" t="s">
        <v>1789</v>
      </c>
      <c r="AE97" t="s">
        <v>1879</v>
      </c>
      <c r="AF97">
        <v>0</v>
      </c>
      <c r="AH97" t="s">
        <v>2219</v>
      </c>
      <c r="AI97" t="s">
        <v>233</v>
      </c>
      <c r="AL97" t="s">
        <v>2230</v>
      </c>
      <c r="AN97">
        <v>0</v>
      </c>
      <c r="AO97">
        <v>0</v>
      </c>
      <c r="AP97">
        <v>0.8</v>
      </c>
      <c r="AR97" t="s">
        <v>2339</v>
      </c>
      <c r="AS97" t="s">
        <v>2783</v>
      </c>
      <c r="AT97">
        <v>0</v>
      </c>
      <c r="AV97">
        <v>1</v>
      </c>
      <c r="AW97">
        <v>0</v>
      </c>
      <c r="AX97">
        <v>0</v>
      </c>
      <c r="BC97" t="s">
        <v>3130</v>
      </c>
      <c r="BD97">
        <v>0</v>
      </c>
      <c r="BH97" t="s">
        <v>3155</v>
      </c>
      <c r="BK97" t="s">
        <v>3220</v>
      </c>
      <c r="BL97" t="s">
        <v>1111</v>
      </c>
      <c r="BM97" t="s">
        <v>311</v>
      </c>
    </row>
    <row r="98" spans="1:65">
      <c r="A98" s="1">
        <f>HYPERLINK("https://lsnyc.legalserver.org/matter/dynamic-profile/view/1906260","19-1906260")</f>
        <v>0</v>
      </c>
      <c r="B98" t="s">
        <v>64</v>
      </c>
      <c r="C98" t="s">
        <v>90</v>
      </c>
      <c r="D98" t="s">
        <v>170</v>
      </c>
      <c r="E98" t="s">
        <v>171</v>
      </c>
      <c r="G98" t="s">
        <v>172</v>
      </c>
      <c r="H98" t="s">
        <v>221</v>
      </c>
      <c r="I98" t="s">
        <v>230</v>
      </c>
      <c r="J98" t="s">
        <v>232</v>
      </c>
      <c r="K98" t="s">
        <v>172</v>
      </c>
      <c r="L98" t="s">
        <v>250</v>
      </c>
      <c r="M98" t="s">
        <v>232</v>
      </c>
      <c r="O98" t="s">
        <v>172</v>
      </c>
      <c r="P98" t="s">
        <v>314</v>
      </c>
      <c r="Q98" t="s">
        <v>321</v>
      </c>
      <c r="T98" t="s">
        <v>428</v>
      </c>
      <c r="U98" t="s">
        <v>807</v>
      </c>
      <c r="V98" t="s">
        <v>195</v>
      </c>
      <c r="X98" t="s">
        <v>1112</v>
      </c>
      <c r="Y98" t="s">
        <v>1205</v>
      </c>
      <c r="Z98" t="s">
        <v>1576</v>
      </c>
      <c r="AA98" t="s">
        <v>1754</v>
      </c>
      <c r="AB98" t="s">
        <v>1786</v>
      </c>
      <c r="AC98">
        <v>11208</v>
      </c>
      <c r="AD98" t="s">
        <v>1787</v>
      </c>
      <c r="AE98" t="s">
        <v>1880</v>
      </c>
      <c r="AF98">
        <v>14</v>
      </c>
      <c r="AH98" t="s">
        <v>2218</v>
      </c>
      <c r="AI98" t="s">
        <v>233</v>
      </c>
      <c r="AL98" t="s">
        <v>2230</v>
      </c>
      <c r="AN98">
        <v>0</v>
      </c>
      <c r="AO98">
        <v>305.6</v>
      </c>
      <c r="AP98">
        <v>0</v>
      </c>
      <c r="AR98" t="s">
        <v>2340</v>
      </c>
      <c r="AS98" t="s">
        <v>2784</v>
      </c>
      <c r="AT98">
        <v>0</v>
      </c>
      <c r="AU98" t="s">
        <v>3107</v>
      </c>
      <c r="AV98">
        <v>1</v>
      </c>
      <c r="AW98">
        <v>0</v>
      </c>
      <c r="AX98">
        <v>134.99</v>
      </c>
      <c r="BB98" t="s">
        <v>252</v>
      </c>
      <c r="BC98" t="s">
        <v>3130</v>
      </c>
      <c r="BD98">
        <v>16860</v>
      </c>
      <c r="BH98" t="s">
        <v>3157</v>
      </c>
      <c r="BK98" t="s">
        <v>3215</v>
      </c>
    </row>
    <row r="99" spans="1:65">
      <c r="A99" s="1">
        <f>HYPERLINK("https://lsnyc.legalserver.org/matter/dynamic-profile/view/1906293","19-1906293")</f>
        <v>0</v>
      </c>
      <c r="B99" t="s">
        <v>64</v>
      </c>
      <c r="C99" t="s">
        <v>74</v>
      </c>
      <c r="D99" t="s">
        <v>170</v>
      </c>
      <c r="E99" t="s">
        <v>171</v>
      </c>
      <c r="G99" t="s">
        <v>172</v>
      </c>
      <c r="H99" t="s">
        <v>220</v>
      </c>
      <c r="I99" t="s">
        <v>172</v>
      </c>
      <c r="J99" t="s">
        <v>231</v>
      </c>
      <c r="K99" t="s">
        <v>172</v>
      </c>
      <c r="L99" t="s">
        <v>251</v>
      </c>
      <c r="M99" t="s">
        <v>232</v>
      </c>
      <c r="N99" t="s">
        <v>311</v>
      </c>
      <c r="O99" t="s">
        <v>172</v>
      </c>
      <c r="P99" t="s">
        <v>316</v>
      </c>
      <c r="Q99" t="s">
        <v>321</v>
      </c>
      <c r="T99" t="s">
        <v>429</v>
      </c>
      <c r="U99" t="s">
        <v>808</v>
      </c>
      <c r="V99" t="s">
        <v>195</v>
      </c>
      <c r="X99" t="s">
        <v>1112</v>
      </c>
      <c r="Y99" t="s">
        <v>1206</v>
      </c>
      <c r="Z99" t="s">
        <v>1621</v>
      </c>
      <c r="AA99" t="s">
        <v>1754</v>
      </c>
      <c r="AB99" t="s">
        <v>1786</v>
      </c>
      <c r="AC99">
        <v>11226</v>
      </c>
      <c r="AD99" t="s">
        <v>1787</v>
      </c>
      <c r="AE99" t="s">
        <v>1881</v>
      </c>
      <c r="AF99">
        <v>9</v>
      </c>
      <c r="AH99" t="s">
        <v>2219</v>
      </c>
      <c r="AI99" t="s">
        <v>233</v>
      </c>
      <c r="AJ99" t="s">
        <v>233</v>
      </c>
      <c r="AL99" t="s">
        <v>2230</v>
      </c>
      <c r="AN99">
        <v>0</v>
      </c>
      <c r="AO99">
        <v>860</v>
      </c>
      <c r="AP99">
        <v>4.75</v>
      </c>
      <c r="AR99" t="s">
        <v>2341</v>
      </c>
      <c r="AS99" t="s">
        <v>2785</v>
      </c>
      <c r="AT99">
        <v>0</v>
      </c>
      <c r="AV99">
        <v>1</v>
      </c>
      <c r="AW99">
        <v>2</v>
      </c>
      <c r="AX99">
        <v>195.97</v>
      </c>
      <c r="BC99" t="s">
        <v>3130</v>
      </c>
      <c r="BD99">
        <v>41800</v>
      </c>
      <c r="BH99" t="s">
        <v>3156</v>
      </c>
      <c r="BK99" t="s">
        <v>3221</v>
      </c>
      <c r="BL99" t="s">
        <v>210</v>
      </c>
      <c r="BM99" t="s">
        <v>311</v>
      </c>
    </row>
    <row r="100" spans="1:65">
      <c r="A100" s="1">
        <f>HYPERLINK("https://lsnyc.legalserver.org/matter/dynamic-profile/view/1906572","19-1906572")</f>
        <v>0</v>
      </c>
      <c r="B100" t="s">
        <v>64</v>
      </c>
      <c r="C100" t="s">
        <v>90</v>
      </c>
      <c r="D100" t="s">
        <v>170</v>
      </c>
      <c r="E100" t="s">
        <v>171</v>
      </c>
      <c r="G100" t="s">
        <v>172</v>
      </c>
      <c r="H100" t="s">
        <v>220</v>
      </c>
      <c r="I100" t="s">
        <v>230</v>
      </c>
      <c r="J100" t="s">
        <v>232</v>
      </c>
      <c r="K100" t="s">
        <v>234</v>
      </c>
      <c r="M100" t="s">
        <v>232</v>
      </c>
      <c r="O100" t="s">
        <v>172</v>
      </c>
      <c r="P100" t="s">
        <v>314</v>
      </c>
      <c r="Q100" t="s">
        <v>321</v>
      </c>
      <c r="T100" t="s">
        <v>374</v>
      </c>
      <c r="U100" t="s">
        <v>809</v>
      </c>
      <c r="V100" t="s">
        <v>197</v>
      </c>
      <c r="X100" t="s">
        <v>1112</v>
      </c>
      <c r="Y100" t="s">
        <v>1207</v>
      </c>
      <c r="Z100" t="s">
        <v>1625</v>
      </c>
      <c r="AA100" t="s">
        <v>1754</v>
      </c>
      <c r="AB100" t="s">
        <v>1786</v>
      </c>
      <c r="AC100">
        <v>11208</v>
      </c>
      <c r="AE100" t="s">
        <v>1882</v>
      </c>
      <c r="AF100">
        <v>13</v>
      </c>
      <c r="AH100" t="s">
        <v>2218</v>
      </c>
      <c r="AI100" t="s">
        <v>233</v>
      </c>
      <c r="AL100" t="s">
        <v>2230</v>
      </c>
      <c r="AN100">
        <v>0</v>
      </c>
      <c r="AO100">
        <v>1500</v>
      </c>
      <c r="AP100">
        <v>0</v>
      </c>
      <c r="AR100" t="s">
        <v>2342</v>
      </c>
      <c r="AS100" t="s">
        <v>2786</v>
      </c>
      <c r="AT100">
        <v>0</v>
      </c>
      <c r="AV100">
        <v>3</v>
      </c>
      <c r="AW100">
        <v>1</v>
      </c>
      <c r="AX100">
        <v>155.34</v>
      </c>
      <c r="BB100" t="s">
        <v>252</v>
      </c>
      <c r="BC100" t="s">
        <v>3130</v>
      </c>
      <c r="BD100">
        <v>40000</v>
      </c>
      <c r="BH100" t="s">
        <v>3157</v>
      </c>
      <c r="BK100" t="s">
        <v>3198</v>
      </c>
    </row>
    <row r="101" spans="1:65">
      <c r="A101" s="1">
        <f>HYPERLINK("https://lsnyc.legalserver.org/matter/dynamic-profile/view/1903809","19-1903809")</f>
        <v>0</v>
      </c>
      <c r="B101" t="s">
        <v>64</v>
      </c>
      <c r="C101" t="s">
        <v>91</v>
      </c>
      <c r="D101" t="s">
        <v>170</v>
      </c>
      <c r="E101" t="s">
        <v>173</v>
      </c>
      <c r="F101" t="s">
        <v>182</v>
      </c>
      <c r="G101" t="s">
        <v>172</v>
      </c>
      <c r="H101" t="s">
        <v>221</v>
      </c>
      <c r="I101" t="s">
        <v>172</v>
      </c>
      <c r="J101" t="s">
        <v>231</v>
      </c>
      <c r="K101" t="s">
        <v>172</v>
      </c>
      <c r="L101" t="s">
        <v>252</v>
      </c>
      <c r="M101" t="s">
        <v>232</v>
      </c>
      <c r="N101" t="s">
        <v>311</v>
      </c>
      <c r="O101" t="s">
        <v>172</v>
      </c>
      <c r="P101" t="s">
        <v>316</v>
      </c>
      <c r="Q101" t="s">
        <v>321</v>
      </c>
      <c r="T101" t="s">
        <v>430</v>
      </c>
      <c r="U101" t="s">
        <v>810</v>
      </c>
      <c r="V101" t="s">
        <v>186</v>
      </c>
      <c r="X101" t="s">
        <v>1112</v>
      </c>
      <c r="Y101" t="s">
        <v>1208</v>
      </c>
      <c r="Z101" t="s">
        <v>1626</v>
      </c>
      <c r="AA101" t="s">
        <v>1754</v>
      </c>
      <c r="AB101" t="s">
        <v>1786</v>
      </c>
      <c r="AC101">
        <v>11226</v>
      </c>
      <c r="AD101" t="s">
        <v>1787</v>
      </c>
      <c r="AE101" t="s">
        <v>1883</v>
      </c>
      <c r="AF101">
        <v>12</v>
      </c>
      <c r="AH101" t="s">
        <v>2219</v>
      </c>
      <c r="AI101" t="s">
        <v>233</v>
      </c>
      <c r="AJ101" t="s">
        <v>233</v>
      </c>
      <c r="AL101" t="s">
        <v>2230</v>
      </c>
      <c r="AM101" t="s">
        <v>2236</v>
      </c>
      <c r="AN101">
        <v>0</v>
      </c>
      <c r="AO101">
        <v>1296</v>
      </c>
      <c r="AP101">
        <v>7</v>
      </c>
      <c r="AR101" t="s">
        <v>2343</v>
      </c>
      <c r="AS101" t="s">
        <v>2787</v>
      </c>
      <c r="AT101">
        <v>35</v>
      </c>
      <c r="AV101">
        <v>1</v>
      </c>
      <c r="AW101">
        <v>0</v>
      </c>
      <c r="AX101">
        <v>0</v>
      </c>
      <c r="BB101" t="s">
        <v>252</v>
      </c>
      <c r="BC101" t="s">
        <v>3130</v>
      </c>
      <c r="BD101">
        <v>0</v>
      </c>
      <c r="BH101" t="s">
        <v>3155</v>
      </c>
      <c r="BK101" t="s">
        <v>3220</v>
      </c>
      <c r="BL101" t="s">
        <v>207</v>
      </c>
      <c r="BM101" t="s">
        <v>311</v>
      </c>
    </row>
    <row r="102" spans="1:65">
      <c r="A102" s="1">
        <f>HYPERLINK("https://lsnyc.legalserver.org/matter/dynamic-profile/view/1903752","19-1903752")</f>
        <v>0</v>
      </c>
      <c r="B102" t="s">
        <v>64</v>
      </c>
      <c r="C102" t="s">
        <v>91</v>
      </c>
      <c r="D102" t="s">
        <v>170</v>
      </c>
      <c r="E102" t="s">
        <v>173</v>
      </c>
      <c r="F102" t="s">
        <v>182</v>
      </c>
      <c r="G102" t="s">
        <v>172</v>
      </c>
      <c r="H102" t="s">
        <v>221</v>
      </c>
      <c r="I102" t="s">
        <v>172</v>
      </c>
      <c r="J102" t="s">
        <v>231</v>
      </c>
      <c r="K102" t="s">
        <v>172</v>
      </c>
      <c r="L102" t="s">
        <v>252</v>
      </c>
      <c r="M102" t="s">
        <v>232</v>
      </c>
      <c r="N102" t="s">
        <v>311</v>
      </c>
      <c r="O102" t="s">
        <v>172</v>
      </c>
      <c r="P102" t="s">
        <v>316</v>
      </c>
      <c r="Q102" t="s">
        <v>321</v>
      </c>
      <c r="T102" t="s">
        <v>431</v>
      </c>
      <c r="U102" t="s">
        <v>811</v>
      </c>
      <c r="V102" t="s">
        <v>200</v>
      </c>
      <c r="X102" t="s">
        <v>1112</v>
      </c>
      <c r="Y102" t="s">
        <v>1209</v>
      </c>
      <c r="Z102" t="s">
        <v>1588</v>
      </c>
      <c r="AA102" t="s">
        <v>1754</v>
      </c>
      <c r="AB102" t="s">
        <v>1786</v>
      </c>
      <c r="AC102">
        <v>11226</v>
      </c>
      <c r="AD102" t="s">
        <v>1787</v>
      </c>
      <c r="AE102" t="s">
        <v>1884</v>
      </c>
      <c r="AF102">
        <v>1</v>
      </c>
      <c r="AH102" t="s">
        <v>2219</v>
      </c>
      <c r="AI102" t="s">
        <v>233</v>
      </c>
      <c r="AJ102" t="s">
        <v>233</v>
      </c>
      <c r="AL102" t="s">
        <v>2230</v>
      </c>
      <c r="AM102" t="s">
        <v>2236</v>
      </c>
      <c r="AN102">
        <v>0</v>
      </c>
      <c r="AO102">
        <v>1550</v>
      </c>
      <c r="AP102">
        <v>6.6</v>
      </c>
      <c r="AR102" t="s">
        <v>2344</v>
      </c>
      <c r="AS102" t="s">
        <v>2788</v>
      </c>
      <c r="AT102">
        <v>23</v>
      </c>
      <c r="AU102" t="s">
        <v>3106</v>
      </c>
      <c r="AV102">
        <v>1</v>
      </c>
      <c r="AW102">
        <v>0</v>
      </c>
      <c r="AX102">
        <v>83.27</v>
      </c>
      <c r="BB102" t="s">
        <v>252</v>
      </c>
      <c r="BC102" t="s">
        <v>3130</v>
      </c>
      <c r="BD102">
        <v>10400</v>
      </c>
      <c r="BH102" t="s">
        <v>3155</v>
      </c>
      <c r="BK102" t="s">
        <v>3198</v>
      </c>
      <c r="BL102" t="s">
        <v>207</v>
      </c>
      <c r="BM102" t="s">
        <v>311</v>
      </c>
    </row>
    <row r="103" spans="1:65">
      <c r="A103" s="1">
        <f>HYPERLINK("https://lsnyc.legalserver.org/matter/dynamic-profile/view/1908178","19-1908178")</f>
        <v>0</v>
      </c>
      <c r="B103" t="s">
        <v>64</v>
      </c>
      <c r="C103" t="s">
        <v>92</v>
      </c>
      <c r="D103" t="s">
        <v>170</v>
      </c>
      <c r="E103" t="s">
        <v>171</v>
      </c>
      <c r="G103" t="s">
        <v>172</v>
      </c>
      <c r="H103" t="s">
        <v>221</v>
      </c>
      <c r="I103" t="s">
        <v>230</v>
      </c>
      <c r="J103" t="s">
        <v>232</v>
      </c>
      <c r="K103" t="s">
        <v>172</v>
      </c>
      <c r="M103" t="s">
        <v>232</v>
      </c>
      <c r="N103" t="s">
        <v>311</v>
      </c>
      <c r="O103" t="s">
        <v>313</v>
      </c>
      <c r="P103" t="s">
        <v>315</v>
      </c>
      <c r="Q103" t="s">
        <v>321</v>
      </c>
      <c r="T103" t="s">
        <v>432</v>
      </c>
      <c r="U103" t="s">
        <v>812</v>
      </c>
      <c r="V103" t="s">
        <v>1100</v>
      </c>
      <c r="X103" t="s">
        <v>1112</v>
      </c>
      <c r="Y103" t="s">
        <v>1210</v>
      </c>
      <c r="Z103" t="s">
        <v>1627</v>
      </c>
      <c r="AA103" t="s">
        <v>1754</v>
      </c>
      <c r="AB103" t="s">
        <v>1786</v>
      </c>
      <c r="AC103">
        <v>11226</v>
      </c>
      <c r="AE103" t="s">
        <v>1885</v>
      </c>
      <c r="AF103">
        <v>0</v>
      </c>
      <c r="AH103" t="s">
        <v>2219</v>
      </c>
      <c r="AI103" t="s">
        <v>233</v>
      </c>
      <c r="AL103" t="s">
        <v>2230</v>
      </c>
      <c r="AN103">
        <v>0</v>
      </c>
      <c r="AO103">
        <v>0</v>
      </c>
      <c r="AP103">
        <v>0</v>
      </c>
      <c r="AR103" t="s">
        <v>2345</v>
      </c>
      <c r="AS103" t="s">
        <v>2789</v>
      </c>
      <c r="AT103">
        <v>0</v>
      </c>
      <c r="AV103">
        <v>1</v>
      </c>
      <c r="AW103">
        <v>0</v>
      </c>
      <c r="AX103">
        <v>84.16</v>
      </c>
      <c r="BC103" t="s">
        <v>3130</v>
      </c>
      <c r="BD103">
        <v>10512</v>
      </c>
      <c r="BH103" t="s">
        <v>3157</v>
      </c>
      <c r="BK103" t="s">
        <v>3222</v>
      </c>
      <c r="BM103" t="s">
        <v>311</v>
      </c>
    </row>
    <row r="104" spans="1:65">
      <c r="A104" s="1">
        <f>HYPERLINK("https://lsnyc.legalserver.org/matter/dynamic-profile/view/1903906","19-1903906")</f>
        <v>0</v>
      </c>
      <c r="B104" t="s">
        <v>64</v>
      </c>
      <c r="C104" t="s">
        <v>92</v>
      </c>
      <c r="D104" t="s">
        <v>170</v>
      </c>
      <c r="E104" t="s">
        <v>171</v>
      </c>
      <c r="G104" t="s">
        <v>172</v>
      </c>
      <c r="H104" t="s">
        <v>221</v>
      </c>
      <c r="I104" t="s">
        <v>172</v>
      </c>
      <c r="J104" t="s">
        <v>231</v>
      </c>
      <c r="K104" t="s">
        <v>172</v>
      </c>
      <c r="L104">
        <v>33826270</v>
      </c>
      <c r="M104" t="s">
        <v>232</v>
      </c>
      <c r="N104" t="s">
        <v>311</v>
      </c>
      <c r="O104" t="s">
        <v>313</v>
      </c>
      <c r="P104" t="s">
        <v>315</v>
      </c>
      <c r="Q104" t="s">
        <v>321</v>
      </c>
      <c r="T104" t="s">
        <v>433</v>
      </c>
      <c r="U104" t="s">
        <v>813</v>
      </c>
      <c r="V104" t="s">
        <v>186</v>
      </c>
      <c r="X104" t="s">
        <v>1112</v>
      </c>
      <c r="Y104" t="s">
        <v>1128</v>
      </c>
      <c r="Z104" t="s">
        <v>1564</v>
      </c>
      <c r="AA104" t="s">
        <v>1754</v>
      </c>
      <c r="AB104" t="s">
        <v>1786</v>
      </c>
      <c r="AC104">
        <v>11226</v>
      </c>
      <c r="AD104" t="s">
        <v>1787</v>
      </c>
      <c r="AE104" t="s">
        <v>1886</v>
      </c>
      <c r="AF104">
        <v>25</v>
      </c>
      <c r="AH104" t="s">
        <v>2219</v>
      </c>
      <c r="AI104" t="s">
        <v>233</v>
      </c>
      <c r="AL104" t="s">
        <v>2230</v>
      </c>
      <c r="AN104">
        <v>0</v>
      </c>
      <c r="AO104">
        <v>450</v>
      </c>
      <c r="AP104">
        <v>11.7</v>
      </c>
      <c r="AR104" t="s">
        <v>2346</v>
      </c>
      <c r="AS104" t="s">
        <v>2790</v>
      </c>
      <c r="AT104">
        <v>84</v>
      </c>
      <c r="AV104">
        <v>1</v>
      </c>
      <c r="AW104">
        <v>3</v>
      </c>
      <c r="AX104">
        <v>95.81</v>
      </c>
      <c r="BB104" t="s">
        <v>3123</v>
      </c>
      <c r="BC104" t="s">
        <v>3130</v>
      </c>
      <c r="BD104">
        <v>24672</v>
      </c>
      <c r="BH104" t="s">
        <v>3155</v>
      </c>
      <c r="BK104" t="s">
        <v>3223</v>
      </c>
      <c r="BL104" t="s">
        <v>206</v>
      </c>
      <c r="BM104" t="s">
        <v>311</v>
      </c>
    </row>
    <row r="105" spans="1:65">
      <c r="A105" s="1">
        <f>HYPERLINK("https://lsnyc.legalserver.org/matter/dynamic-profile/view/1905952","19-1905952")</f>
        <v>0</v>
      </c>
      <c r="B105" t="s">
        <v>64</v>
      </c>
      <c r="C105" t="s">
        <v>92</v>
      </c>
      <c r="D105" t="s">
        <v>170</v>
      </c>
      <c r="E105" t="s">
        <v>171</v>
      </c>
      <c r="G105" t="s">
        <v>172</v>
      </c>
      <c r="H105" t="s">
        <v>221</v>
      </c>
      <c r="I105" t="s">
        <v>172</v>
      </c>
      <c r="J105" t="s">
        <v>231</v>
      </c>
      <c r="K105" t="s">
        <v>172</v>
      </c>
      <c r="M105" t="s">
        <v>232</v>
      </c>
      <c r="N105" t="s">
        <v>311</v>
      </c>
      <c r="O105" t="s">
        <v>313</v>
      </c>
      <c r="P105" t="s">
        <v>315</v>
      </c>
      <c r="Q105" t="s">
        <v>321</v>
      </c>
      <c r="T105" t="s">
        <v>434</v>
      </c>
      <c r="U105" t="s">
        <v>527</v>
      </c>
      <c r="V105" t="s">
        <v>204</v>
      </c>
      <c r="X105" t="s">
        <v>1112</v>
      </c>
      <c r="Y105" t="s">
        <v>1211</v>
      </c>
      <c r="Z105" t="s">
        <v>1628</v>
      </c>
      <c r="AA105" t="s">
        <v>1754</v>
      </c>
      <c r="AB105" t="s">
        <v>1786</v>
      </c>
      <c r="AC105">
        <v>11213</v>
      </c>
      <c r="AE105" t="s">
        <v>1887</v>
      </c>
      <c r="AF105">
        <v>2</v>
      </c>
      <c r="AH105" t="s">
        <v>2218</v>
      </c>
      <c r="AI105" t="s">
        <v>233</v>
      </c>
      <c r="AL105" t="s">
        <v>2230</v>
      </c>
      <c r="AN105">
        <v>0</v>
      </c>
      <c r="AO105">
        <v>450</v>
      </c>
      <c r="AP105">
        <v>10.1</v>
      </c>
      <c r="AR105" t="s">
        <v>2347</v>
      </c>
      <c r="AS105" t="s">
        <v>2791</v>
      </c>
      <c r="AT105">
        <v>18</v>
      </c>
      <c r="AV105">
        <v>1</v>
      </c>
      <c r="AW105">
        <v>1</v>
      </c>
      <c r="AX105">
        <v>80.26000000000001</v>
      </c>
      <c r="BB105" t="s">
        <v>3123</v>
      </c>
      <c r="BC105" t="s">
        <v>3130</v>
      </c>
      <c r="BD105">
        <v>13572</v>
      </c>
      <c r="BH105" t="s">
        <v>3153</v>
      </c>
      <c r="BK105" t="s">
        <v>3224</v>
      </c>
      <c r="BL105" t="s">
        <v>1107</v>
      </c>
      <c r="BM105" t="s">
        <v>311</v>
      </c>
    </row>
    <row r="106" spans="1:65">
      <c r="A106" s="1">
        <f>HYPERLINK("https://lsnyc.legalserver.org/matter/dynamic-profile/view/1905960","19-1905960")</f>
        <v>0</v>
      </c>
      <c r="B106" t="s">
        <v>64</v>
      </c>
      <c r="C106" t="s">
        <v>92</v>
      </c>
      <c r="D106" t="s">
        <v>170</v>
      </c>
      <c r="E106" t="s">
        <v>171</v>
      </c>
      <c r="G106" t="s">
        <v>172</v>
      </c>
      <c r="H106" t="s">
        <v>220</v>
      </c>
      <c r="I106" t="s">
        <v>172</v>
      </c>
      <c r="J106" t="s">
        <v>231</v>
      </c>
      <c r="K106" t="s">
        <v>172</v>
      </c>
      <c r="M106" t="s">
        <v>232</v>
      </c>
      <c r="N106" t="s">
        <v>311</v>
      </c>
      <c r="O106" t="s">
        <v>313</v>
      </c>
      <c r="P106" t="s">
        <v>315</v>
      </c>
      <c r="Q106" t="s">
        <v>321</v>
      </c>
      <c r="T106" t="s">
        <v>435</v>
      </c>
      <c r="U106" t="s">
        <v>814</v>
      </c>
      <c r="V106" t="s">
        <v>204</v>
      </c>
      <c r="X106" t="s">
        <v>1112</v>
      </c>
      <c r="Y106" t="s">
        <v>1212</v>
      </c>
      <c r="Z106" t="s">
        <v>1629</v>
      </c>
      <c r="AA106" t="s">
        <v>1754</v>
      </c>
      <c r="AB106" t="s">
        <v>1786</v>
      </c>
      <c r="AC106">
        <v>11210</v>
      </c>
      <c r="AD106" t="s">
        <v>1787</v>
      </c>
      <c r="AE106" t="s">
        <v>1888</v>
      </c>
      <c r="AF106">
        <v>5</v>
      </c>
      <c r="AH106" t="s">
        <v>2218</v>
      </c>
      <c r="AI106" t="s">
        <v>233</v>
      </c>
      <c r="AL106" t="s">
        <v>2230</v>
      </c>
      <c r="AN106">
        <v>0</v>
      </c>
      <c r="AO106">
        <v>1350</v>
      </c>
      <c r="AP106">
        <v>7.5</v>
      </c>
      <c r="AR106" t="s">
        <v>2348</v>
      </c>
      <c r="AS106" t="s">
        <v>2792</v>
      </c>
      <c r="AT106">
        <v>0</v>
      </c>
      <c r="AV106">
        <v>1</v>
      </c>
      <c r="AW106">
        <v>0</v>
      </c>
      <c r="AX106">
        <v>111.93</v>
      </c>
      <c r="BC106" t="s">
        <v>3130</v>
      </c>
      <c r="BD106">
        <v>13980</v>
      </c>
      <c r="BH106" t="s">
        <v>3153</v>
      </c>
      <c r="BK106" t="s">
        <v>3207</v>
      </c>
      <c r="BL106" t="s">
        <v>1100</v>
      </c>
      <c r="BM106" t="s">
        <v>311</v>
      </c>
    </row>
    <row r="107" spans="1:65">
      <c r="A107" s="1">
        <f>HYPERLINK("https://lsnyc.legalserver.org/matter/dynamic-profile/view/1908048","19-1908048")</f>
        <v>0</v>
      </c>
      <c r="B107" t="s">
        <v>64</v>
      </c>
      <c r="C107" t="s">
        <v>92</v>
      </c>
      <c r="D107" t="s">
        <v>170</v>
      </c>
      <c r="E107" t="s">
        <v>171</v>
      </c>
      <c r="G107" t="s">
        <v>172</v>
      </c>
      <c r="H107" t="s">
        <v>220</v>
      </c>
      <c r="I107" t="s">
        <v>230</v>
      </c>
      <c r="J107" t="s">
        <v>232</v>
      </c>
      <c r="K107" t="s">
        <v>172</v>
      </c>
      <c r="L107" t="s">
        <v>253</v>
      </c>
      <c r="M107" t="s">
        <v>232</v>
      </c>
      <c r="O107" t="s">
        <v>313</v>
      </c>
      <c r="P107" t="s">
        <v>315</v>
      </c>
      <c r="Q107" t="s">
        <v>321</v>
      </c>
      <c r="T107" t="s">
        <v>436</v>
      </c>
      <c r="U107" t="s">
        <v>815</v>
      </c>
      <c r="V107" t="s">
        <v>1098</v>
      </c>
      <c r="X107" t="s">
        <v>1112</v>
      </c>
      <c r="Y107" t="s">
        <v>1213</v>
      </c>
      <c r="Z107" t="s">
        <v>1621</v>
      </c>
      <c r="AA107" t="s">
        <v>1754</v>
      </c>
      <c r="AB107" t="s">
        <v>1786</v>
      </c>
      <c r="AC107">
        <v>11236</v>
      </c>
      <c r="AD107" t="s">
        <v>1787</v>
      </c>
      <c r="AE107" t="s">
        <v>1889</v>
      </c>
      <c r="AF107">
        <v>0</v>
      </c>
      <c r="AH107" t="s">
        <v>2218</v>
      </c>
      <c r="AI107" t="s">
        <v>233</v>
      </c>
      <c r="AL107" t="s">
        <v>2230</v>
      </c>
      <c r="AN107">
        <v>0</v>
      </c>
      <c r="AO107">
        <v>1557</v>
      </c>
      <c r="AP107">
        <v>10</v>
      </c>
      <c r="AR107" t="s">
        <v>2349</v>
      </c>
      <c r="AS107" t="s">
        <v>2793</v>
      </c>
      <c r="AT107">
        <v>0</v>
      </c>
      <c r="AV107">
        <v>1</v>
      </c>
      <c r="AW107">
        <v>2</v>
      </c>
      <c r="AX107">
        <v>21.83</v>
      </c>
      <c r="BB107" t="s">
        <v>3125</v>
      </c>
      <c r="BC107" t="s">
        <v>3130</v>
      </c>
      <c r="BD107">
        <v>4656</v>
      </c>
      <c r="BH107" t="s">
        <v>3157</v>
      </c>
      <c r="BK107" t="s">
        <v>1793</v>
      </c>
      <c r="BL107" t="s">
        <v>215</v>
      </c>
    </row>
    <row r="108" spans="1:65">
      <c r="A108" s="1">
        <f>HYPERLINK("https://lsnyc.legalserver.org/matter/dynamic-profile/view/1903864","19-1903864")</f>
        <v>0</v>
      </c>
      <c r="B108" t="s">
        <v>64</v>
      </c>
      <c r="C108" t="s">
        <v>92</v>
      </c>
      <c r="D108" t="s">
        <v>170</v>
      </c>
      <c r="E108" t="s">
        <v>171</v>
      </c>
      <c r="G108" t="s">
        <v>172</v>
      </c>
      <c r="H108" t="s">
        <v>220</v>
      </c>
      <c r="I108" t="s">
        <v>172</v>
      </c>
      <c r="J108" t="s">
        <v>231</v>
      </c>
      <c r="K108" t="s">
        <v>172</v>
      </c>
      <c r="M108" t="s">
        <v>232</v>
      </c>
      <c r="N108" t="s">
        <v>311</v>
      </c>
      <c r="O108" t="s">
        <v>172</v>
      </c>
      <c r="P108" t="s">
        <v>316</v>
      </c>
      <c r="Q108" t="s">
        <v>321</v>
      </c>
      <c r="T108" t="s">
        <v>362</v>
      </c>
      <c r="U108" t="s">
        <v>816</v>
      </c>
      <c r="V108" t="s">
        <v>186</v>
      </c>
      <c r="X108" t="s">
        <v>1112</v>
      </c>
      <c r="Y108" t="s">
        <v>1214</v>
      </c>
      <c r="Z108" t="s">
        <v>1630</v>
      </c>
      <c r="AA108" t="s">
        <v>1754</v>
      </c>
      <c r="AB108" t="s">
        <v>1786</v>
      </c>
      <c r="AC108">
        <v>11226</v>
      </c>
      <c r="AD108" t="s">
        <v>1787</v>
      </c>
      <c r="AE108" t="s">
        <v>1890</v>
      </c>
      <c r="AF108">
        <v>11</v>
      </c>
      <c r="AH108" t="s">
        <v>2219</v>
      </c>
      <c r="AI108" t="s">
        <v>233</v>
      </c>
      <c r="AL108" t="s">
        <v>2230</v>
      </c>
      <c r="AN108">
        <v>0</v>
      </c>
      <c r="AO108">
        <v>994</v>
      </c>
      <c r="AP108">
        <v>26.8</v>
      </c>
      <c r="AR108" t="s">
        <v>2350</v>
      </c>
      <c r="AS108" t="s">
        <v>2794</v>
      </c>
      <c r="AT108">
        <v>5</v>
      </c>
      <c r="AV108">
        <v>1</v>
      </c>
      <c r="AW108">
        <v>0</v>
      </c>
      <c r="AX108">
        <v>261.04</v>
      </c>
      <c r="AY108" t="s">
        <v>1098</v>
      </c>
      <c r="AZ108" t="s">
        <v>3121</v>
      </c>
      <c r="BB108" t="s">
        <v>252</v>
      </c>
      <c r="BC108" t="s">
        <v>3130</v>
      </c>
      <c r="BD108">
        <v>32604</v>
      </c>
      <c r="BH108" t="s">
        <v>3155</v>
      </c>
      <c r="BK108" t="s">
        <v>3198</v>
      </c>
      <c r="BL108" t="s">
        <v>1107</v>
      </c>
      <c r="BM108" t="s">
        <v>311</v>
      </c>
    </row>
    <row r="109" spans="1:65">
      <c r="A109" s="1">
        <f>HYPERLINK("https://lsnyc.legalserver.org/matter/dynamic-profile/view/1906087","19-1906087")</f>
        <v>0</v>
      </c>
      <c r="B109" t="s">
        <v>64</v>
      </c>
      <c r="C109" t="s">
        <v>92</v>
      </c>
      <c r="D109" t="s">
        <v>170</v>
      </c>
      <c r="E109" t="s">
        <v>171</v>
      </c>
      <c r="G109" t="s">
        <v>172</v>
      </c>
      <c r="H109" t="s">
        <v>220</v>
      </c>
      <c r="I109" t="s">
        <v>172</v>
      </c>
      <c r="J109" t="s">
        <v>231</v>
      </c>
      <c r="K109" t="s">
        <v>172</v>
      </c>
      <c r="L109" t="s">
        <v>254</v>
      </c>
      <c r="M109" t="s">
        <v>232</v>
      </c>
      <c r="N109" t="s">
        <v>311</v>
      </c>
      <c r="O109" t="s">
        <v>313</v>
      </c>
      <c r="P109" t="s">
        <v>315</v>
      </c>
      <c r="Q109" t="s">
        <v>321</v>
      </c>
      <c r="T109" t="s">
        <v>437</v>
      </c>
      <c r="U109" t="s">
        <v>817</v>
      </c>
      <c r="V109" t="s">
        <v>175</v>
      </c>
      <c r="X109" t="s">
        <v>1112</v>
      </c>
      <c r="Y109" t="s">
        <v>1215</v>
      </c>
      <c r="Z109">
        <v>3</v>
      </c>
      <c r="AA109" t="s">
        <v>1754</v>
      </c>
      <c r="AB109" t="s">
        <v>1786</v>
      </c>
      <c r="AC109">
        <v>11204</v>
      </c>
      <c r="AE109" t="s">
        <v>1891</v>
      </c>
      <c r="AF109">
        <v>0</v>
      </c>
      <c r="AH109" t="s">
        <v>2218</v>
      </c>
      <c r="AI109" t="s">
        <v>233</v>
      </c>
      <c r="AJ109" t="s">
        <v>233</v>
      </c>
      <c r="AL109" t="s">
        <v>2230</v>
      </c>
      <c r="AN109">
        <v>0</v>
      </c>
      <c r="AO109">
        <v>0</v>
      </c>
      <c r="AP109">
        <v>0</v>
      </c>
      <c r="AR109" t="s">
        <v>2351</v>
      </c>
      <c r="AS109" t="s">
        <v>2795</v>
      </c>
      <c r="AT109">
        <v>0</v>
      </c>
      <c r="AV109">
        <v>2</v>
      </c>
      <c r="AW109">
        <v>2</v>
      </c>
      <c r="AX109">
        <v>17.67</v>
      </c>
      <c r="BC109" t="s">
        <v>3130</v>
      </c>
      <c r="BD109">
        <v>4550</v>
      </c>
      <c r="BH109" t="s">
        <v>3156</v>
      </c>
      <c r="BK109" t="s">
        <v>3225</v>
      </c>
      <c r="BM109" t="s">
        <v>311</v>
      </c>
    </row>
    <row r="110" spans="1:65">
      <c r="A110" s="1">
        <f>HYPERLINK("https://lsnyc.legalserver.org/matter/dynamic-profile/view/1907840","19-1907840")</f>
        <v>0</v>
      </c>
      <c r="B110" t="s">
        <v>64</v>
      </c>
      <c r="C110" t="s">
        <v>93</v>
      </c>
      <c r="D110" t="s">
        <v>170</v>
      </c>
      <c r="E110" t="s">
        <v>171</v>
      </c>
      <c r="G110" t="s">
        <v>172</v>
      </c>
      <c r="H110" t="s">
        <v>221</v>
      </c>
      <c r="I110" t="s">
        <v>230</v>
      </c>
      <c r="J110" t="s">
        <v>232</v>
      </c>
      <c r="K110" t="s">
        <v>234</v>
      </c>
      <c r="M110" t="s">
        <v>232</v>
      </c>
      <c r="O110" t="s">
        <v>313</v>
      </c>
      <c r="P110" t="s">
        <v>315</v>
      </c>
      <c r="Q110" t="s">
        <v>321</v>
      </c>
      <c r="T110" t="s">
        <v>438</v>
      </c>
      <c r="U110" t="s">
        <v>818</v>
      </c>
      <c r="V110" t="s">
        <v>202</v>
      </c>
      <c r="X110" t="s">
        <v>1112</v>
      </c>
      <c r="Y110" t="s">
        <v>1216</v>
      </c>
      <c r="Z110" t="s">
        <v>1568</v>
      </c>
      <c r="AA110" t="s">
        <v>1754</v>
      </c>
      <c r="AB110" t="s">
        <v>1786</v>
      </c>
      <c r="AC110">
        <v>11212</v>
      </c>
      <c r="AD110" t="s">
        <v>1788</v>
      </c>
      <c r="AE110" t="s">
        <v>1892</v>
      </c>
      <c r="AF110">
        <v>0</v>
      </c>
      <c r="AH110" t="s">
        <v>2218</v>
      </c>
      <c r="AI110" t="s">
        <v>233</v>
      </c>
      <c r="AL110" t="s">
        <v>2231</v>
      </c>
      <c r="AN110">
        <v>0</v>
      </c>
      <c r="AO110">
        <v>0</v>
      </c>
      <c r="AP110">
        <v>0</v>
      </c>
      <c r="AR110" t="s">
        <v>2352</v>
      </c>
      <c r="AS110" t="s">
        <v>2796</v>
      </c>
      <c r="AT110">
        <v>0</v>
      </c>
      <c r="AU110" t="s">
        <v>3107</v>
      </c>
      <c r="AV110">
        <v>2</v>
      </c>
      <c r="AW110">
        <v>3</v>
      </c>
      <c r="AX110">
        <v>0</v>
      </c>
      <c r="BC110" t="s">
        <v>3130</v>
      </c>
      <c r="BD110">
        <v>0</v>
      </c>
      <c r="BH110" t="s">
        <v>3154</v>
      </c>
      <c r="BK110" t="s">
        <v>3210</v>
      </c>
    </row>
    <row r="111" spans="1:65">
      <c r="A111" s="1">
        <f>HYPERLINK("https://lsnyc.legalserver.org/matter/dynamic-profile/view/1905035","19-1905035")</f>
        <v>0</v>
      </c>
      <c r="B111" t="s">
        <v>64</v>
      </c>
      <c r="C111" t="s">
        <v>93</v>
      </c>
      <c r="D111" t="s">
        <v>170</v>
      </c>
      <c r="E111" t="s">
        <v>171</v>
      </c>
      <c r="G111" t="s">
        <v>172</v>
      </c>
      <c r="H111" t="s">
        <v>222</v>
      </c>
      <c r="I111" t="s">
        <v>230</v>
      </c>
      <c r="J111" t="s">
        <v>232</v>
      </c>
      <c r="K111" t="s">
        <v>234</v>
      </c>
      <c r="M111" t="s">
        <v>232</v>
      </c>
      <c r="O111" t="s">
        <v>313</v>
      </c>
      <c r="Q111" t="s">
        <v>321</v>
      </c>
      <c r="T111" t="s">
        <v>439</v>
      </c>
      <c r="U111" t="s">
        <v>819</v>
      </c>
      <c r="V111" t="s">
        <v>203</v>
      </c>
      <c r="X111" t="s">
        <v>1112</v>
      </c>
      <c r="Y111" t="s">
        <v>1217</v>
      </c>
      <c r="Z111" t="s">
        <v>1631</v>
      </c>
      <c r="AA111" t="s">
        <v>1754</v>
      </c>
      <c r="AB111" t="s">
        <v>1786</v>
      </c>
      <c r="AC111">
        <v>11226</v>
      </c>
      <c r="AF111">
        <v>0</v>
      </c>
      <c r="AH111" t="s">
        <v>2219</v>
      </c>
      <c r="AI111" t="s">
        <v>233</v>
      </c>
      <c r="AL111" t="s">
        <v>2230</v>
      </c>
      <c r="AN111">
        <v>0</v>
      </c>
      <c r="AO111">
        <v>0</v>
      </c>
      <c r="AP111">
        <v>0.3</v>
      </c>
      <c r="AR111" t="s">
        <v>2353</v>
      </c>
      <c r="AS111" t="s">
        <v>2797</v>
      </c>
      <c r="AT111">
        <v>0</v>
      </c>
      <c r="AV111">
        <v>2</v>
      </c>
      <c r="AW111">
        <v>0</v>
      </c>
      <c r="AX111">
        <v>1.42</v>
      </c>
      <c r="BC111" t="s">
        <v>3130</v>
      </c>
      <c r="BD111">
        <v>240</v>
      </c>
      <c r="BH111" t="s">
        <v>3157</v>
      </c>
      <c r="BK111" t="s">
        <v>3198</v>
      </c>
      <c r="BL111" t="s">
        <v>192</v>
      </c>
    </row>
    <row r="112" spans="1:65">
      <c r="A112" s="1">
        <f>HYPERLINK("https://lsnyc.legalserver.org/matter/dynamic-profile/view/1905030","19-1905030")</f>
        <v>0</v>
      </c>
      <c r="B112" t="s">
        <v>64</v>
      </c>
      <c r="C112" t="s">
        <v>93</v>
      </c>
      <c r="D112" t="s">
        <v>170</v>
      </c>
      <c r="E112" t="s">
        <v>171</v>
      </c>
      <c r="G112" t="s">
        <v>219</v>
      </c>
      <c r="I112" t="s">
        <v>230</v>
      </c>
      <c r="J112" t="s">
        <v>232</v>
      </c>
      <c r="K112" t="s">
        <v>234</v>
      </c>
      <c r="M112" t="s">
        <v>232</v>
      </c>
      <c r="O112" t="s">
        <v>172</v>
      </c>
      <c r="P112" t="s">
        <v>316</v>
      </c>
      <c r="Q112" t="s">
        <v>321</v>
      </c>
      <c r="T112" t="s">
        <v>440</v>
      </c>
      <c r="U112" t="s">
        <v>820</v>
      </c>
      <c r="V112" t="s">
        <v>203</v>
      </c>
      <c r="X112" t="s">
        <v>1112</v>
      </c>
      <c r="Y112" t="s">
        <v>1218</v>
      </c>
      <c r="Z112">
        <v>11</v>
      </c>
      <c r="AA112" t="s">
        <v>1754</v>
      </c>
      <c r="AB112" t="s">
        <v>1786</v>
      </c>
      <c r="AC112">
        <v>11225</v>
      </c>
      <c r="AF112">
        <v>0</v>
      </c>
      <c r="AH112" t="s">
        <v>2219</v>
      </c>
      <c r="AI112" t="s">
        <v>233</v>
      </c>
      <c r="AK112" t="s">
        <v>2219</v>
      </c>
      <c r="AL112" t="s">
        <v>2230</v>
      </c>
      <c r="AN112">
        <v>0</v>
      </c>
      <c r="AO112">
        <v>0</v>
      </c>
      <c r="AP112">
        <v>11.7</v>
      </c>
      <c r="AR112" t="s">
        <v>2354</v>
      </c>
      <c r="AS112" t="s">
        <v>2798</v>
      </c>
      <c r="AT112">
        <v>0</v>
      </c>
      <c r="AV112">
        <v>3</v>
      </c>
      <c r="AW112">
        <v>0</v>
      </c>
      <c r="AX112">
        <v>0</v>
      </c>
      <c r="BC112" t="s">
        <v>3130</v>
      </c>
      <c r="BD112">
        <v>0</v>
      </c>
      <c r="BH112" t="s">
        <v>3157</v>
      </c>
      <c r="BK112" t="s">
        <v>3220</v>
      </c>
      <c r="BL112" t="s">
        <v>1108</v>
      </c>
    </row>
    <row r="113" spans="1:65">
      <c r="A113" s="1">
        <f>HYPERLINK("https://lsnyc.legalserver.org/matter/dynamic-profile/view/1907770","19-1907770")</f>
        <v>0</v>
      </c>
      <c r="B113" t="s">
        <v>64</v>
      </c>
      <c r="C113" t="s">
        <v>94</v>
      </c>
      <c r="D113" t="s">
        <v>170</v>
      </c>
      <c r="E113" t="s">
        <v>171</v>
      </c>
      <c r="G113" t="s">
        <v>172</v>
      </c>
      <c r="H113" t="s">
        <v>221</v>
      </c>
      <c r="I113" t="s">
        <v>172</v>
      </c>
      <c r="J113" t="s">
        <v>231</v>
      </c>
      <c r="K113" t="s">
        <v>172</v>
      </c>
      <c r="M113" t="s">
        <v>232</v>
      </c>
      <c r="N113" t="s">
        <v>311</v>
      </c>
      <c r="O113" t="s">
        <v>172</v>
      </c>
      <c r="P113" t="s">
        <v>316</v>
      </c>
      <c r="Q113" t="s">
        <v>321</v>
      </c>
      <c r="T113" t="s">
        <v>441</v>
      </c>
      <c r="U113" t="s">
        <v>821</v>
      </c>
      <c r="V113" t="s">
        <v>177</v>
      </c>
      <c r="X113" t="s">
        <v>1112</v>
      </c>
      <c r="Y113" t="s">
        <v>1219</v>
      </c>
      <c r="Z113" t="s">
        <v>1618</v>
      </c>
      <c r="AA113" t="s">
        <v>1754</v>
      </c>
      <c r="AB113" t="s">
        <v>1786</v>
      </c>
      <c r="AC113">
        <v>11216</v>
      </c>
      <c r="AD113" t="s">
        <v>1789</v>
      </c>
      <c r="AE113" t="s">
        <v>1893</v>
      </c>
      <c r="AF113">
        <v>0</v>
      </c>
      <c r="AH113" t="s">
        <v>2219</v>
      </c>
      <c r="AI113" t="s">
        <v>233</v>
      </c>
      <c r="AJ113" t="s">
        <v>233</v>
      </c>
      <c r="AL113" t="s">
        <v>2230</v>
      </c>
      <c r="AN113">
        <v>0</v>
      </c>
      <c r="AO113">
        <v>0</v>
      </c>
      <c r="AP113">
        <v>1.4</v>
      </c>
      <c r="AR113" t="s">
        <v>2355</v>
      </c>
      <c r="AS113" t="s">
        <v>2799</v>
      </c>
      <c r="AT113">
        <v>0</v>
      </c>
      <c r="AV113">
        <v>2</v>
      </c>
      <c r="AW113">
        <v>1</v>
      </c>
      <c r="AX113">
        <v>179.9</v>
      </c>
      <c r="BC113" t="s">
        <v>3130</v>
      </c>
      <c r="BD113">
        <v>38372</v>
      </c>
      <c r="BH113" t="s">
        <v>3156</v>
      </c>
      <c r="BK113" t="s">
        <v>3212</v>
      </c>
      <c r="BL113" t="s">
        <v>1110</v>
      </c>
      <c r="BM113" t="s">
        <v>311</v>
      </c>
    </row>
    <row r="114" spans="1:65">
      <c r="A114" s="1">
        <f>HYPERLINK("https://lsnyc.legalserver.org/matter/dynamic-profile/view/1905173","19-1905173")</f>
        <v>0</v>
      </c>
      <c r="B114" t="s">
        <v>64</v>
      </c>
      <c r="C114" t="s">
        <v>94</v>
      </c>
      <c r="D114" t="s">
        <v>170</v>
      </c>
      <c r="E114" t="s">
        <v>171</v>
      </c>
      <c r="G114" t="s">
        <v>172</v>
      </c>
      <c r="H114" t="s">
        <v>221</v>
      </c>
      <c r="I114" t="s">
        <v>172</v>
      </c>
      <c r="J114" t="s">
        <v>231</v>
      </c>
      <c r="K114" t="s">
        <v>172</v>
      </c>
      <c r="L114" t="s">
        <v>255</v>
      </c>
      <c r="M114" t="s">
        <v>232</v>
      </c>
      <c r="N114" t="s">
        <v>311</v>
      </c>
      <c r="O114" t="s">
        <v>172</v>
      </c>
      <c r="P114" t="s">
        <v>316</v>
      </c>
      <c r="Q114" t="s">
        <v>322</v>
      </c>
      <c r="T114" t="s">
        <v>442</v>
      </c>
      <c r="U114" t="s">
        <v>822</v>
      </c>
      <c r="V114" t="s">
        <v>196</v>
      </c>
      <c r="W114" t="s">
        <v>178</v>
      </c>
      <c r="X114" t="s">
        <v>1113</v>
      </c>
      <c r="Y114" t="s">
        <v>1220</v>
      </c>
      <c r="Z114" t="s">
        <v>1632</v>
      </c>
      <c r="AA114" t="s">
        <v>1754</v>
      </c>
      <c r="AB114" t="s">
        <v>1786</v>
      </c>
      <c r="AC114">
        <v>11216</v>
      </c>
      <c r="AD114" t="s">
        <v>1789</v>
      </c>
      <c r="AE114" t="s">
        <v>1894</v>
      </c>
      <c r="AF114">
        <v>40</v>
      </c>
      <c r="AG114" t="s">
        <v>2216</v>
      </c>
      <c r="AH114" t="s">
        <v>2219</v>
      </c>
      <c r="AI114" t="s">
        <v>233</v>
      </c>
      <c r="AJ114" t="s">
        <v>233</v>
      </c>
      <c r="AL114" t="s">
        <v>2230</v>
      </c>
      <c r="AN114">
        <v>0</v>
      </c>
      <c r="AO114">
        <v>705</v>
      </c>
      <c r="AP114">
        <v>3</v>
      </c>
      <c r="AQ114" t="s">
        <v>2244</v>
      </c>
      <c r="AR114" t="s">
        <v>2356</v>
      </c>
      <c r="AS114" t="s">
        <v>2800</v>
      </c>
      <c r="AT114">
        <v>0</v>
      </c>
      <c r="AV114">
        <v>1</v>
      </c>
      <c r="AW114">
        <v>0</v>
      </c>
      <c r="AX114">
        <v>19.22</v>
      </c>
      <c r="BC114" t="s">
        <v>3130</v>
      </c>
      <c r="BD114">
        <v>2400</v>
      </c>
      <c r="BH114" t="s">
        <v>3156</v>
      </c>
      <c r="BK114" t="s">
        <v>3194</v>
      </c>
      <c r="BL114" t="s">
        <v>178</v>
      </c>
      <c r="BM114" t="s">
        <v>311</v>
      </c>
    </row>
    <row r="115" spans="1:65">
      <c r="A115" s="1">
        <f>HYPERLINK("https://lsnyc.legalserver.org/matter/dynamic-profile/view/1906693","19-1906693")</f>
        <v>0</v>
      </c>
      <c r="B115" t="s">
        <v>64</v>
      </c>
      <c r="C115" t="s">
        <v>90</v>
      </c>
      <c r="D115" t="s">
        <v>170</v>
      </c>
      <c r="E115" t="s">
        <v>171</v>
      </c>
      <c r="G115" t="s">
        <v>172</v>
      </c>
      <c r="H115" t="s">
        <v>222</v>
      </c>
      <c r="I115" t="s">
        <v>230</v>
      </c>
      <c r="J115" t="s">
        <v>232</v>
      </c>
      <c r="K115" t="s">
        <v>234</v>
      </c>
      <c r="M115" t="s">
        <v>232</v>
      </c>
      <c r="O115" t="s">
        <v>313</v>
      </c>
      <c r="P115" t="s">
        <v>315</v>
      </c>
      <c r="Q115" t="s">
        <v>321</v>
      </c>
      <c r="T115" t="s">
        <v>380</v>
      </c>
      <c r="U115" t="s">
        <v>752</v>
      </c>
      <c r="V115" t="s">
        <v>197</v>
      </c>
      <c r="X115" t="s">
        <v>1112</v>
      </c>
      <c r="Y115" t="s">
        <v>1221</v>
      </c>
      <c r="Z115" t="s">
        <v>1633</v>
      </c>
      <c r="AA115" t="s">
        <v>1754</v>
      </c>
      <c r="AB115" t="s">
        <v>1786</v>
      </c>
      <c r="AC115">
        <v>11208</v>
      </c>
      <c r="AE115" t="s">
        <v>1895</v>
      </c>
      <c r="AF115">
        <v>4</v>
      </c>
      <c r="AH115" t="s">
        <v>2218</v>
      </c>
      <c r="AI115" t="s">
        <v>233</v>
      </c>
      <c r="AL115" t="s">
        <v>2230</v>
      </c>
      <c r="AN115">
        <v>0</v>
      </c>
      <c r="AO115">
        <v>1850</v>
      </c>
      <c r="AP115">
        <v>0</v>
      </c>
      <c r="AR115" t="s">
        <v>2357</v>
      </c>
      <c r="AS115" t="s">
        <v>2801</v>
      </c>
      <c r="AT115">
        <v>0</v>
      </c>
      <c r="AU115" t="s">
        <v>3110</v>
      </c>
      <c r="AV115">
        <v>2</v>
      </c>
      <c r="AW115">
        <v>3</v>
      </c>
      <c r="AX115">
        <v>19.89</v>
      </c>
      <c r="BB115" t="s">
        <v>1793</v>
      </c>
      <c r="BC115" t="s">
        <v>3130</v>
      </c>
      <c r="BD115">
        <v>6000</v>
      </c>
      <c r="BH115" t="s">
        <v>3157</v>
      </c>
      <c r="BK115" t="s">
        <v>3224</v>
      </c>
    </row>
    <row r="116" spans="1:65">
      <c r="A116" s="1">
        <f>HYPERLINK("https://lsnyc.legalserver.org/matter/dynamic-profile/view/1906522","19-1906522")</f>
        <v>0</v>
      </c>
      <c r="B116" t="s">
        <v>64</v>
      </c>
      <c r="C116" t="s">
        <v>94</v>
      </c>
      <c r="D116" t="s">
        <v>170</v>
      </c>
      <c r="E116" t="s">
        <v>171</v>
      </c>
      <c r="G116" t="s">
        <v>172</v>
      </c>
      <c r="H116" t="s">
        <v>220</v>
      </c>
      <c r="I116" t="s">
        <v>172</v>
      </c>
      <c r="J116" t="s">
        <v>231</v>
      </c>
      <c r="K116" t="s">
        <v>172</v>
      </c>
      <c r="M116" t="s">
        <v>232</v>
      </c>
      <c r="N116" t="s">
        <v>311</v>
      </c>
      <c r="O116" t="s">
        <v>172</v>
      </c>
      <c r="P116" t="s">
        <v>316</v>
      </c>
      <c r="Q116" t="s">
        <v>321</v>
      </c>
      <c r="T116" t="s">
        <v>443</v>
      </c>
      <c r="U116" t="s">
        <v>823</v>
      </c>
      <c r="V116" t="s">
        <v>1097</v>
      </c>
      <c r="X116" t="s">
        <v>1112</v>
      </c>
      <c r="Y116" t="s">
        <v>1222</v>
      </c>
      <c r="Z116" t="s">
        <v>1563</v>
      </c>
      <c r="AA116" t="s">
        <v>1754</v>
      </c>
      <c r="AB116" t="s">
        <v>1786</v>
      </c>
      <c r="AC116">
        <v>11221</v>
      </c>
      <c r="AD116" t="s">
        <v>1789</v>
      </c>
      <c r="AE116" t="s">
        <v>1896</v>
      </c>
      <c r="AF116">
        <v>6</v>
      </c>
      <c r="AH116" t="s">
        <v>2219</v>
      </c>
      <c r="AI116" t="s">
        <v>233</v>
      </c>
      <c r="AL116" t="s">
        <v>2230</v>
      </c>
      <c r="AN116">
        <v>0</v>
      </c>
      <c r="AO116">
        <v>375</v>
      </c>
      <c r="AP116">
        <v>11.1</v>
      </c>
      <c r="AR116" t="s">
        <v>2358</v>
      </c>
      <c r="AS116" t="s">
        <v>2802</v>
      </c>
      <c r="AT116">
        <v>13</v>
      </c>
      <c r="AV116">
        <v>1</v>
      </c>
      <c r="AW116">
        <v>0</v>
      </c>
      <c r="AX116">
        <v>86.47</v>
      </c>
      <c r="BC116" t="s">
        <v>3130</v>
      </c>
      <c r="BD116">
        <v>10800</v>
      </c>
      <c r="BH116" t="s">
        <v>3155</v>
      </c>
      <c r="BK116" t="s">
        <v>3199</v>
      </c>
      <c r="BL116" t="s">
        <v>1109</v>
      </c>
      <c r="BM116" t="s">
        <v>311</v>
      </c>
    </row>
    <row r="117" spans="1:65">
      <c r="A117" s="1">
        <f>HYPERLINK("https://lsnyc.legalserver.org/matter/dynamic-profile/view/1905284","19-1905284")</f>
        <v>0</v>
      </c>
      <c r="B117" t="s">
        <v>64</v>
      </c>
      <c r="C117" t="s">
        <v>94</v>
      </c>
      <c r="D117" t="s">
        <v>170</v>
      </c>
      <c r="E117" t="s">
        <v>171</v>
      </c>
      <c r="G117" t="s">
        <v>172</v>
      </c>
      <c r="H117" t="s">
        <v>221</v>
      </c>
      <c r="I117" t="s">
        <v>172</v>
      </c>
      <c r="J117" t="s">
        <v>231</v>
      </c>
      <c r="K117" t="s">
        <v>172</v>
      </c>
      <c r="L117" t="s">
        <v>256</v>
      </c>
      <c r="M117" t="s">
        <v>232</v>
      </c>
      <c r="N117" t="s">
        <v>311</v>
      </c>
      <c r="O117" t="s">
        <v>172</v>
      </c>
      <c r="P117" t="s">
        <v>316</v>
      </c>
      <c r="Q117" t="s">
        <v>321</v>
      </c>
      <c r="T117" t="s">
        <v>444</v>
      </c>
      <c r="U117" t="s">
        <v>824</v>
      </c>
      <c r="V117" t="s">
        <v>196</v>
      </c>
      <c r="X117" t="s">
        <v>1112</v>
      </c>
      <c r="Y117" t="s">
        <v>1223</v>
      </c>
      <c r="Z117" t="s">
        <v>1602</v>
      </c>
      <c r="AA117" t="s">
        <v>1754</v>
      </c>
      <c r="AB117" t="s">
        <v>1786</v>
      </c>
      <c r="AC117">
        <v>11226</v>
      </c>
      <c r="AD117" t="s">
        <v>1793</v>
      </c>
      <c r="AE117" t="s">
        <v>1897</v>
      </c>
      <c r="AF117">
        <v>8</v>
      </c>
      <c r="AH117" t="s">
        <v>2219</v>
      </c>
      <c r="AI117" t="s">
        <v>233</v>
      </c>
      <c r="AL117" t="s">
        <v>2230</v>
      </c>
      <c r="AN117">
        <v>0</v>
      </c>
      <c r="AO117">
        <v>1617.84</v>
      </c>
      <c r="AP117">
        <v>4.9</v>
      </c>
      <c r="AR117" t="s">
        <v>2359</v>
      </c>
      <c r="AS117" t="s">
        <v>2803</v>
      </c>
      <c r="AT117">
        <v>36</v>
      </c>
      <c r="AV117">
        <v>2</v>
      </c>
      <c r="AW117">
        <v>1</v>
      </c>
      <c r="AX117">
        <v>199.83</v>
      </c>
      <c r="BC117" t="s">
        <v>3130</v>
      </c>
      <c r="BD117">
        <v>42623.1</v>
      </c>
      <c r="BH117" t="s">
        <v>3153</v>
      </c>
      <c r="BK117" t="s">
        <v>3226</v>
      </c>
      <c r="BL117" t="s">
        <v>3119</v>
      </c>
      <c r="BM117" t="s">
        <v>311</v>
      </c>
    </row>
    <row r="118" spans="1:65">
      <c r="A118" s="1">
        <f>HYPERLINK("https://lsnyc.legalserver.org/matter/dynamic-profile/view/1905262","19-1905262")</f>
        <v>0</v>
      </c>
      <c r="B118" t="s">
        <v>64</v>
      </c>
      <c r="C118" t="s">
        <v>94</v>
      </c>
      <c r="D118" t="s">
        <v>170</v>
      </c>
      <c r="E118" t="s">
        <v>171</v>
      </c>
      <c r="G118" t="s">
        <v>172</v>
      </c>
      <c r="H118" t="s">
        <v>221</v>
      </c>
      <c r="I118" t="s">
        <v>172</v>
      </c>
      <c r="J118" t="s">
        <v>231</v>
      </c>
      <c r="K118" t="s">
        <v>172</v>
      </c>
      <c r="M118" t="s">
        <v>232</v>
      </c>
      <c r="N118" t="s">
        <v>311</v>
      </c>
      <c r="O118" t="s">
        <v>172</v>
      </c>
      <c r="P118" t="s">
        <v>316</v>
      </c>
      <c r="Q118" t="s">
        <v>322</v>
      </c>
      <c r="T118" t="s">
        <v>445</v>
      </c>
      <c r="U118" t="s">
        <v>825</v>
      </c>
      <c r="V118" t="s">
        <v>196</v>
      </c>
      <c r="W118" t="s">
        <v>1107</v>
      </c>
      <c r="X118" t="s">
        <v>1113</v>
      </c>
      <c r="Y118" t="s">
        <v>1224</v>
      </c>
      <c r="Z118" t="s">
        <v>1606</v>
      </c>
      <c r="AA118" t="s">
        <v>1754</v>
      </c>
      <c r="AB118" t="s">
        <v>1786</v>
      </c>
      <c r="AC118">
        <v>11221</v>
      </c>
      <c r="AD118" t="s">
        <v>1789</v>
      </c>
      <c r="AE118" t="s">
        <v>1898</v>
      </c>
      <c r="AF118">
        <v>9</v>
      </c>
      <c r="AG118" t="s">
        <v>2216</v>
      </c>
      <c r="AH118" t="s">
        <v>2219</v>
      </c>
      <c r="AI118" t="s">
        <v>233</v>
      </c>
      <c r="AJ118" t="s">
        <v>233</v>
      </c>
      <c r="AL118" t="s">
        <v>2230</v>
      </c>
      <c r="AN118">
        <v>0</v>
      </c>
      <c r="AO118">
        <v>1240</v>
      </c>
      <c r="AP118">
        <v>6.6</v>
      </c>
      <c r="AQ118" t="s">
        <v>2244</v>
      </c>
      <c r="AR118" t="s">
        <v>2360</v>
      </c>
      <c r="AS118" t="s">
        <v>2804</v>
      </c>
      <c r="AT118">
        <v>0</v>
      </c>
      <c r="AV118">
        <v>1</v>
      </c>
      <c r="AW118">
        <v>1</v>
      </c>
      <c r="AX118">
        <v>70.95999999999999</v>
      </c>
      <c r="BB118" t="s">
        <v>3126</v>
      </c>
      <c r="BC118" t="s">
        <v>3130</v>
      </c>
      <c r="BD118">
        <v>12000</v>
      </c>
      <c r="BH118" t="s">
        <v>3156</v>
      </c>
      <c r="BK118" t="s">
        <v>3197</v>
      </c>
      <c r="BL118" t="s">
        <v>1107</v>
      </c>
      <c r="BM118" t="s">
        <v>311</v>
      </c>
    </row>
    <row r="119" spans="1:65">
      <c r="A119" s="1">
        <f>HYPERLINK("https://lsnyc.legalserver.org/matter/dynamic-profile/view/1907731","19-1907731")</f>
        <v>0</v>
      </c>
      <c r="B119" t="s">
        <v>64</v>
      </c>
      <c r="C119" t="s">
        <v>94</v>
      </c>
      <c r="D119" t="s">
        <v>170</v>
      </c>
      <c r="E119" t="s">
        <v>171</v>
      </c>
      <c r="G119" t="s">
        <v>172</v>
      </c>
      <c r="H119" t="s">
        <v>221</v>
      </c>
      <c r="I119" t="s">
        <v>172</v>
      </c>
      <c r="J119" t="s">
        <v>231</v>
      </c>
      <c r="K119" t="s">
        <v>172</v>
      </c>
      <c r="M119" t="s">
        <v>232</v>
      </c>
      <c r="N119" t="s">
        <v>311</v>
      </c>
      <c r="O119" t="s">
        <v>172</v>
      </c>
      <c r="P119" t="s">
        <v>316</v>
      </c>
      <c r="Q119" t="s">
        <v>321</v>
      </c>
      <c r="T119" t="s">
        <v>446</v>
      </c>
      <c r="U119" t="s">
        <v>826</v>
      </c>
      <c r="V119" t="s">
        <v>177</v>
      </c>
      <c r="X119" t="s">
        <v>1112</v>
      </c>
      <c r="Y119" t="s">
        <v>1225</v>
      </c>
      <c r="Z119" t="s">
        <v>1575</v>
      </c>
      <c r="AA119" t="s">
        <v>1754</v>
      </c>
      <c r="AB119" t="s">
        <v>1786</v>
      </c>
      <c r="AC119">
        <v>11221</v>
      </c>
      <c r="AD119" t="s">
        <v>1789</v>
      </c>
      <c r="AE119" t="s">
        <v>1899</v>
      </c>
      <c r="AF119">
        <v>0</v>
      </c>
      <c r="AH119" t="s">
        <v>2219</v>
      </c>
      <c r="AI119" t="s">
        <v>233</v>
      </c>
      <c r="AJ119" t="s">
        <v>233</v>
      </c>
      <c r="AL119" t="s">
        <v>2230</v>
      </c>
      <c r="AN119">
        <v>0</v>
      </c>
      <c r="AO119">
        <v>0</v>
      </c>
      <c r="AP119">
        <v>3.4</v>
      </c>
      <c r="AR119" t="s">
        <v>2361</v>
      </c>
      <c r="AS119" t="s">
        <v>2805</v>
      </c>
      <c r="AT119">
        <v>0</v>
      </c>
      <c r="AV119">
        <v>1</v>
      </c>
      <c r="AW119">
        <v>5</v>
      </c>
      <c r="AX119">
        <v>49.28</v>
      </c>
      <c r="BC119" t="s">
        <v>3130</v>
      </c>
      <c r="BD119">
        <v>17046</v>
      </c>
      <c r="BH119" t="s">
        <v>3156</v>
      </c>
      <c r="BK119" t="s">
        <v>3227</v>
      </c>
      <c r="BL119" t="s">
        <v>3119</v>
      </c>
      <c r="BM119" t="s">
        <v>311</v>
      </c>
    </row>
    <row r="120" spans="1:65">
      <c r="A120" s="1">
        <f>HYPERLINK("https://lsnyc.legalserver.org/matter/dynamic-profile/view/1908125","19-1908125")</f>
        <v>0</v>
      </c>
      <c r="B120" t="s">
        <v>64</v>
      </c>
      <c r="C120" t="s">
        <v>95</v>
      </c>
      <c r="D120" t="s">
        <v>170</v>
      </c>
      <c r="E120" t="s">
        <v>171</v>
      </c>
      <c r="G120" t="s">
        <v>172</v>
      </c>
      <c r="H120" t="s">
        <v>221</v>
      </c>
      <c r="I120" t="s">
        <v>172</v>
      </c>
      <c r="J120" t="s">
        <v>231</v>
      </c>
      <c r="K120" t="s">
        <v>172</v>
      </c>
      <c r="M120" t="s">
        <v>232</v>
      </c>
      <c r="N120" t="s">
        <v>311</v>
      </c>
      <c r="O120" t="s">
        <v>172</v>
      </c>
      <c r="P120" t="s">
        <v>316</v>
      </c>
      <c r="Q120" t="s">
        <v>321</v>
      </c>
      <c r="T120" t="s">
        <v>371</v>
      </c>
      <c r="U120" t="s">
        <v>827</v>
      </c>
      <c r="V120" t="s">
        <v>1100</v>
      </c>
      <c r="X120" t="s">
        <v>1112</v>
      </c>
      <c r="Y120" t="s">
        <v>1226</v>
      </c>
      <c r="Z120" t="s">
        <v>1598</v>
      </c>
      <c r="AA120" t="s">
        <v>1754</v>
      </c>
      <c r="AB120" t="s">
        <v>1786</v>
      </c>
      <c r="AC120">
        <v>11225</v>
      </c>
      <c r="AD120" t="s">
        <v>1789</v>
      </c>
      <c r="AE120" t="s">
        <v>1900</v>
      </c>
      <c r="AF120">
        <v>0</v>
      </c>
      <c r="AH120" t="s">
        <v>2219</v>
      </c>
      <c r="AI120" t="s">
        <v>233</v>
      </c>
      <c r="AJ120" t="s">
        <v>233</v>
      </c>
      <c r="AL120" t="s">
        <v>2230</v>
      </c>
      <c r="AN120">
        <v>0</v>
      </c>
      <c r="AO120">
        <v>0</v>
      </c>
      <c r="AP120">
        <v>1.5</v>
      </c>
      <c r="AR120" t="s">
        <v>2362</v>
      </c>
      <c r="AT120">
        <v>0</v>
      </c>
      <c r="AV120">
        <v>1</v>
      </c>
      <c r="AW120">
        <v>0</v>
      </c>
      <c r="AX120">
        <v>0</v>
      </c>
      <c r="BC120" t="s">
        <v>3130</v>
      </c>
      <c r="BD120">
        <v>0</v>
      </c>
      <c r="BH120" t="s">
        <v>3156</v>
      </c>
      <c r="BK120" t="s">
        <v>3220</v>
      </c>
      <c r="BL120" t="s">
        <v>3274</v>
      </c>
      <c r="BM120" t="s">
        <v>311</v>
      </c>
    </row>
    <row r="121" spans="1:65">
      <c r="A121" s="1">
        <f>HYPERLINK("https://lsnyc.legalserver.org/matter/dynamic-profile/view/1906334","19-1906334")</f>
        <v>0</v>
      </c>
      <c r="B121" t="s">
        <v>64</v>
      </c>
      <c r="C121" t="s">
        <v>95</v>
      </c>
      <c r="D121" t="s">
        <v>170</v>
      </c>
      <c r="E121" t="s">
        <v>171</v>
      </c>
      <c r="G121" t="s">
        <v>172</v>
      </c>
      <c r="H121" t="s">
        <v>221</v>
      </c>
      <c r="I121" t="s">
        <v>172</v>
      </c>
      <c r="J121" t="s">
        <v>231</v>
      </c>
      <c r="K121" t="s">
        <v>172</v>
      </c>
      <c r="M121" t="s">
        <v>232</v>
      </c>
      <c r="N121" t="s">
        <v>311</v>
      </c>
      <c r="O121" t="s">
        <v>172</v>
      </c>
      <c r="P121" t="s">
        <v>316</v>
      </c>
      <c r="Q121" t="s">
        <v>321</v>
      </c>
      <c r="T121" t="s">
        <v>447</v>
      </c>
      <c r="U121" t="s">
        <v>828</v>
      </c>
      <c r="V121" t="s">
        <v>195</v>
      </c>
      <c r="X121" t="s">
        <v>1112</v>
      </c>
      <c r="Y121" t="s">
        <v>1227</v>
      </c>
      <c r="Z121" t="s">
        <v>1581</v>
      </c>
      <c r="AA121" t="s">
        <v>1754</v>
      </c>
      <c r="AB121" t="s">
        <v>1786</v>
      </c>
      <c r="AC121">
        <v>11225</v>
      </c>
      <c r="AD121" t="s">
        <v>1789</v>
      </c>
      <c r="AE121" t="s">
        <v>1901</v>
      </c>
      <c r="AF121">
        <v>35</v>
      </c>
      <c r="AH121" t="s">
        <v>2219</v>
      </c>
      <c r="AI121" t="s">
        <v>233</v>
      </c>
      <c r="AJ121" t="s">
        <v>233</v>
      </c>
      <c r="AL121" t="s">
        <v>2230</v>
      </c>
      <c r="AN121">
        <v>0</v>
      </c>
      <c r="AO121">
        <v>852</v>
      </c>
      <c r="AP121">
        <v>7</v>
      </c>
      <c r="AR121" t="s">
        <v>2363</v>
      </c>
      <c r="AS121" t="s">
        <v>2806</v>
      </c>
      <c r="AT121">
        <v>20</v>
      </c>
      <c r="AV121">
        <v>1</v>
      </c>
      <c r="AW121">
        <v>0</v>
      </c>
      <c r="AX121">
        <v>208.17</v>
      </c>
      <c r="AY121" t="s">
        <v>1098</v>
      </c>
      <c r="AZ121" t="s">
        <v>3121</v>
      </c>
      <c r="BB121" t="s">
        <v>252</v>
      </c>
      <c r="BC121" t="s">
        <v>3130</v>
      </c>
      <c r="BD121">
        <v>26000</v>
      </c>
      <c r="BH121" t="s">
        <v>3155</v>
      </c>
      <c r="BK121" t="s">
        <v>3198</v>
      </c>
      <c r="BL121" t="s">
        <v>194</v>
      </c>
      <c r="BM121" t="s">
        <v>311</v>
      </c>
    </row>
    <row r="122" spans="1:65">
      <c r="A122" s="1">
        <f>HYPERLINK("https://lsnyc.legalserver.org/matter/dynamic-profile/view/1907699","19-1907699")</f>
        <v>0</v>
      </c>
      <c r="B122" t="s">
        <v>64</v>
      </c>
      <c r="C122" t="s">
        <v>94</v>
      </c>
      <c r="D122" t="s">
        <v>170</v>
      </c>
      <c r="E122" t="s">
        <v>171</v>
      </c>
      <c r="G122" t="s">
        <v>172</v>
      </c>
      <c r="H122" t="s">
        <v>221</v>
      </c>
      <c r="I122" t="s">
        <v>230</v>
      </c>
      <c r="J122" t="s">
        <v>232</v>
      </c>
      <c r="K122" t="s">
        <v>172</v>
      </c>
      <c r="M122" t="s">
        <v>232</v>
      </c>
      <c r="N122" t="s">
        <v>311</v>
      </c>
      <c r="O122" t="s">
        <v>172</v>
      </c>
      <c r="P122" t="s">
        <v>314</v>
      </c>
      <c r="Q122" t="s">
        <v>322</v>
      </c>
      <c r="T122" t="s">
        <v>448</v>
      </c>
      <c r="U122" t="s">
        <v>829</v>
      </c>
      <c r="V122" t="s">
        <v>190</v>
      </c>
      <c r="W122" t="s">
        <v>185</v>
      </c>
      <c r="X122" t="s">
        <v>1113</v>
      </c>
      <c r="Y122" t="s">
        <v>1228</v>
      </c>
      <c r="Z122" t="s">
        <v>1585</v>
      </c>
      <c r="AA122" t="s">
        <v>1754</v>
      </c>
      <c r="AB122" t="s">
        <v>1786</v>
      </c>
      <c r="AC122">
        <v>11226</v>
      </c>
      <c r="AD122" t="s">
        <v>1787</v>
      </c>
      <c r="AE122" t="s">
        <v>1902</v>
      </c>
      <c r="AF122">
        <v>0</v>
      </c>
      <c r="AG122" t="s">
        <v>2214</v>
      </c>
      <c r="AH122" t="s">
        <v>2219</v>
      </c>
      <c r="AI122" t="s">
        <v>233</v>
      </c>
      <c r="AL122" t="s">
        <v>2230</v>
      </c>
      <c r="AN122">
        <v>0</v>
      </c>
      <c r="AO122">
        <v>1720</v>
      </c>
      <c r="AP122">
        <v>1.5</v>
      </c>
      <c r="AQ122" t="s">
        <v>2242</v>
      </c>
      <c r="AR122" t="s">
        <v>2364</v>
      </c>
      <c r="AS122" t="s">
        <v>2807</v>
      </c>
      <c r="AT122">
        <v>0</v>
      </c>
      <c r="AU122" t="s">
        <v>3109</v>
      </c>
      <c r="AV122">
        <v>1</v>
      </c>
      <c r="AW122">
        <v>0</v>
      </c>
      <c r="AX122">
        <v>0</v>
      </c>
      <c r="BB122" t="s">
        <v>252</v>
      </c>
      <c r="BC122" t="s">
        <v>3130</v>
      </c>
      <c r="BD122">
        <v>0</v>
      </c>
      <c r="BH122" t="s">
        <v>3157</v>
      </c>
      <c r="BK122" t="s">
        <v>3210</v>
      </c>
      <c r="BL122" t="s">
        <v>185</v>
      </c>
      <c r="BM122" t="s">
        <v>311</v>
      </c>
    </row>
    <row r="123" spans="1:65">
      <c r="A123" s="1">
        <f>HYPERLINK("https://lsnyc.legalserver.org/matter/dynamic-profile/view/1904697","19-1904697")</f>
        <v>0</v>
      </c>
      <c r="B123" t="s">
        <v>64</v>
      </c>
      <c r="C123" t="s">
        <v>75</v>
      </c>
      <c r="D123" t="s">
        <v>170</v>
      </c>
      <c r="E123" t="s">
        <v>171</v>
      </c>
      <c r="G123" t="s">
        <v>172</v>
      </c>
      <c r="H123" t="s">
        <v>220</v>
      </c>
      <c r="I123" t="s">
        <v>172</v>
      </c>
      <c r="J123" t="s">
        <v>231</v>
      </c>
      <c r="K123" t="s">
        <v>172</v>
      </c>
      <c r="M123" t="s">
        <v>232</v>
      </c>
      <c r="N123" t="s">
        <v>311</v>
      </c>
      <c r="O123" t="s">
        <v>172</v>
      </c>
      <c r="P123" t="s">
        <v>316</v>
      </c>
      <c r="Q123" t="s">
        <v>321</v>
      </c>
      <c r="T123" t="s">
        <v>449</v>
      </c>
      <c r="U123" t="s">
        <v>830</v>
      </c>
      <c r="V123" t="s">
        <v>176</v>
      </c>
      <c r="X123" t="s">
        <v>1112</v>
      </c>
      <c r="Y123" t="s">
        <v>1222</v>
      </c>
      <c r="Z123" t="s">
        <v>1634</v>
      </c>
      <c r="AA123" t="s">
        <v>1754</v>
      </c>
      <c r="AB123" t="s">
        <v>1786</v>
      </c>
      <c r="AC123">
        <v>11221</v>
      </c>
      <c r="AD123" t="s">
        <v>1787</v>
      </c>
      <c r="AE123" t="s">
        <v>1903</v>
      </c>
      <c r="AF123">
        <v>11</v>
      </c>
      <c r="AH123" t="s">
        <v>2219</v>
      </c>
      <c r="AI123" t="s">
        <v>233</v>
      </c>
      <c r="AL123" t="s">
        <v>2230</v>
      </c>
      <c r="AN123">
        <v>0</v>
      </c>
      <c r="AO123">
        <v>650</v>
      </c>
      <c r="AP123">
        <v>11.5</v>
      </c>
      <c r="AR123" t="s">
        <v>2365</v>
      </c>
      <c r="AS123" t="s">
        <v>2808</v>
      </c>
      <c r="AT123">
        <v>0</v>
      </c>
      <c r="AV123">
        <v>1</v>
      </c>
      <c r="AW123">
        <v>0</v>
      </c>
      <c r="AX123">
        <v>0</v>
      </c>
      <c r="BC123" t="s">
        <v>3130</v>
      </c>
      <c r="BD123">
        <v>0</v>
      </c>
      <c r="BH123" t="s">
        <v>3157</v>
      </c>
      <c r="BK123" t="s">
        <v>3210</v>
      </c>
      <c r="BL123" t="s">
        <v>1109</v>
      </c>
      <c r="BM123" t="s">
        <v>311</v>
      </c>
    </row>
    <row r="124" spans="1:65">
      <c r="A124" s="1">
        <f>HYPERLINK("https://lsnyc.legalserver.org/matter/dynamic-profile/view/1904259","19-1904259")</f>
        <v>0</v>
      </c>
      <c r="B124" t="s">
        <v>64</v>
      </c>
      <c r="C124" t="s">
        <v>96</v>
      </c>
      <c r="D124" t="s">
        <v>170</v>
      </c>
      <c r="E124" t="s">
        <v>171</v>
      </c>
      <c r="G124" t="s">
        <v>172</v>
      </c>
      <c r="H124" t="s">
        <v>221</v>
      </c>
      <c r="I124" t="s">
        <v>172</v>
      </c>
      <c r="J124" t="s">
        <v>231</v>
      </c>
      <c r="K124" t="s">
        <v>172</v>
      </c>
      <c r="M124" t="s">
        <v>232</v>
      </c>
      <c r="N124" t="s">
        <v>311</v>
      </c>
      <c r="O124" t="s">
        <v>172</v>
      </c>
      <c r="P124" t="s">
        <v>314</v>
      </c>
      <c r="Q124" t="s">
        <v>321</v>
      </c>
      <c r="T124" t="s">
        <v>450</v>
      </c>
      <c r="U124" t="s">
        <v>831</v>
      </c>
      <c r="V124" t="s">
        <v>1101</v>
      </c>
      <c r="X124" t="s">
        <v>1112</v>
      </c>
      <c r="Y124" t="s">
        <v>1229</v>
      </c>
      <c r="Z124" t="s">
        <v>1565</v>
      </c>
      <c r="AA124" t="s">
        <v>1754</v>
      </c>
      <c r="AB124" t="s">
        <v>1786</v>
      </c>
      <c r="AC124">
        <v>11221</v>
      </c>
      <c r="AD124" t="s">
        <v>1788</v>
      </c>
      <c r="AF124">
        <v>16</v>
      </c>
      <c r="AH124" t="s">
        <v>2219</v>
      </c>
      <c r="AI124" t="s">
        <v>233</v>
      </c>
      <c r="AL124" t="s">
        <v>2230</v>
      </c>
      <c r="AN124">
        <v>0</v>
      </c>
      <c r="AO124">
        <v>1124</v>
      </c>
      <c r="AP124">
        <v>0.9</v>
      </c>
      <c r="AR124" t="s">
        <v>2366</v>
      </c>
      <c r="AS124" t="s">
        <v>2809</v>
      </c>
      <c r="AT124">
        <v>0</v>
      </c>
      <c r="AV124">
        <v>2</v>
      </c>
      <c r="AW124">
        <v>1</v>
      </c>
      <c r="AX124">
        <v>112.14</v>
      </c>
      <c r="BB124" t="s">
        <v>3123</v>
      </c>
      <c r="BC124" t="s">
        <v>3130</v>
      </c>
      <c r="BD124">
        <v>23920</v>
      </c>
      <c r="BH124" t="s">
        <v>3155</v>
      </c>
      <c r="BK124" t="s">
        <v>3211</v>
      </c>
      <c r="BL124" t="s">
        <v>207</v>
      </c>
      <c r="BM124" t="s">
        <v>311</v>
      </c>
    </row>
    <row r="125" spans="1:65">
      <c r="A125" s="1">
        <f>HYPERLINK("https://lsnyc.legalserver.org/matter/dynamic-profile/view/1906294","19-1906294")</f>
        <v>0</v>
      </c>
      <c r="B125" t="s">
        <v>64</v>
      </c>
      <c r="C125" t="s">
        <v>90</v>
      </c>
      <c r="D125" t="s">
        <v>170</v>
      </c>
      <c r="E125" t="s">
        <v>171</v>
      </c>
      <c r="G125" t="s">
        <v>172</v>
      </c>
      <c r="H125" t="s">
        <v>220</v>
      </c>
      <c r="I125" t="s">
        <v>230</v>
      </c>
      <c r="J125" t="s">
        <v>232</v>
      </c>
      <c r="K125" t="s">
        <v>172</v>
      </c>
      <c r="L125" t="s">
        <v>257</v>
      </c>
      <c r="M125" t="s">
        <v>232</v>
      </c>
      <c r="N125" t="s">
        <v>311</v>
      </c>
      <c r="O125" t="s">
        <v>313</v>
      </c>
      <c r="Q125" t="s">
        <v>321</v>
      </c>
      <c r="T125" t="s">
        <v>380</v>
      </c>
      <c r="U125" t="s">
        <v>832</v>
      </c>
      <c r="V125" t="s">
        <v>195</v>
      </c>
      <c r="X125" t="s">
        <v>1112</v>
      </c>
      <c r="Y125" t="s">
        <v>1230</v>
      </c>
      <c r="Z125" t="s">
        <v>1563</v>
      </c>
      <c r="AA125" t="s">
        <v>1754</v>
      </c>
      <c r="AB125" t="s">
        <v>1786</v>
      </c>
      <c r="AC125">
        <v>11219</v>
      </c>
      <c r="AE125" t="s">
        <v>1904</v>
      </c>
      <c r="AF125">
        <v>2</v>
      </c>
      <c r="AH125" t="s">
        <v>2218</v>
      </c>
      <c r="AI125" t="s">
        <v>233</v>
      </c>
      <c r="AL125" t="s">
        <v>2230</v>
      </c>
      <c r="AN125">
        <v>0</v>
      </c>
      <c r="AO125">
        <v>1200</v>
      </c>
      <c r="AP125">
        <v>0</v>
      </c>
      <c r="AR125" t="s">
        <v>2367</v>
      </c>
      <c r="AS125" t="s">
        <v>2810</v>
      </c>
      <c r="AT125">
        <v>0</v>
      </c>
      <c r="AV125">
        <v>1</v>
      </c>
      <c r="AW125">
        <v>0</v>
      </c>
      <c r="AX125">
        <v>0</v>
      </c>
      <c r="BB125" t="s">
        <v>252</v>
      </c>
      <c r="BC125" t="s">
        <v>3130</v>
      </c>
      <c r="BD125">
        <v>0</v>
      </c>
      <c r="BH125" t="s">
        <v>3157</v>
      </c>
      <c r="BK125" t="s">
        <v>3220</v>
      </c>
      <c r="BM125" t="s">
        <v>311</v>
      </c>
    </row>
    <row r="126" spans="1:65">
      <c r="A126" s="1">
        <f>HYPERLINK("https://lsnyc.legalserver.org/matter/dynamic-profile/view/1906484","19-1906484")</f>
        <v>0</v>
      </c>
      <c r="B126" t="s">
        <v>64</v>
      </c>
      <c r="C126" t="s">
        <v>90</v>
      </c>
      <c r="D126" t="s">
        <v>170</v>
      </c>
      <c r="E126" t="s">
        <v>171</v>
      </c>
      <c r="G126" t="s">
        <v>172</v>
      </c>
      <c r="H126" t="s">
        <v>220</v>
      </c>
      <c r="I126" t="s">
        <v>230</v>
      </c>
      <c r="J126" t="s">
        <v>232</v>
      </c>
      <c r="K126" t="s">
        <v>234</v>
      </c>
      <c r="M126" t="s">
        <v>232</v>
      </c>
      <c r="O126" t="s">
        <v>313</v>
      </c>
      <c r="P126" t="s">
        <v>315</v>
      </c>
      <c r="Q126" t="s">
        <v>321</v>
      </c>
      <c r="T126" t="s">
        <v>398</v>
      </c>
      <c r="U126" t="s">
        <v>833</v>
      </c>
      <c r="V126" t="s">
        <v>1097</v>
      </c>
      <c r="X126" t="s">
        <v>1112</v>
      </c>
      <c r="Y126" t="s">
        <v>1231</v>
      </c>
      <c r="Z126" t="s">
        <v>1571</v>
      </c>
      <c r="AA126" t="s">
        <v>1754</v>
      </c>
      <c r="AB126" t="s">
        <v>1786</v>
      </c>
      <c r="AC126">
        <v>11208</v>
      </c>
      <c r="AD126" t="s">
        <v>1787</v>
      </c>
      <c r="AE126" t="s">
        <v>1905</v>
      </c>
      <c r="AF126">
        <v>11</v>
      </c>
      <c r="AH126" t="s">
        <v>2218</v>
      </c>
      <c r="AI126" t="s">
        <v>233</v>
      </c>
      <c r="AL126" t="s">
        <v>2230</v>
      </c>
      <c r="AN126">
        <v>0</v>
      </c>
      <c r="AO126">
        <v>1800</v>
      </c>
      <c r="AP126">
        <v>0</v>
      </c>
      <c r="AR126" t="s">
        <v>2368</v>
      </c>
      <c r="AS126" t="s">
        <v>2811</v>
      </c>
      <c r="AT126">
        <v>0</v>
      </c>
      <c r="AU126" t="s">
        <v>3106</v>
      </c>
      <c r="AV126">
        <v>1</v>
      </c>
      <c r="AW126">
        <v>1</v>
      </c>
      <c r="AX126">
        <v>18.45</v>
      </c>
      <c r="BB126" t="s">
        <v>3123</v>
      </c>
      <c r="BC126" t="s">
        <v>3130</v>
      </c>
      <c r="BD126">
        <v>3120</v>
      </c>
      <c r="BH126" t="s">
        <v>3157</v>
      </c>
      <c r="BK126" t="s">
        <v>3228</v>
      </c>
    </row>
    <row r="127" spans="1:65">
      <c r="A127" s="1">
        <f>HYPERLINK("https://lsnyc.legalserver.org/matter/dynamic-profile/view/1906004","19-1906004")</f>
        <v>0</v>
      </c>
      <c r="B127" t="s">
        <v>64</v>
      </c>
      <c r="C127" t="s">
        <v>96</v>
      </c>
      <c r="D127" t="s">
        <v>170</v>
      </c>
      <c r="E127" t="s">
        <v>171</v>
      </c>
      <c r="G127" t="s">
        <v>172</v>
      </c>
      <c r="H127" t="s">
        <v>221</v>
      </c>
      <c r="I127" t="s">
        <v>230</v>
      </c>
      <c r="J127" t="s">
        <v>232</v>
      </c>
      <c r="K127" t="s">
        <v>234</v>
      </c>
      <c r="M127" t="s">
        <v>232</v>
      </c>
      <c r="O127" t="s">
        <v>172</v>
      </c>
      <c r="P127" t="s">
        <v>316</v>
      </c>
      <c r="Q127" t="s">
        <v>321</v>
      </c>
      <c r="T127" t="s">
        <v>451</v>
      </c>
      <c r="U127" t="s">
        <v>834</v>
      </c>
      <c r="V127" t="s">
        <v>204</v>
      </c>
      <c r="X127" t="s">
        <v>1112</v>
      </c>
      <c r="AA127" t="s">
        <v>1754</v>
      </c>
      <c r="AB127" t="s">
        <v>1786</v>
      </c>
      <c r="AC127">
        <v>11216</v>
      </c>
      <c r="AD127" t="s">
        <v>1794</v>
      </c>
      <c r="AE127" t="s">
        <v>1906</v>
      </c>
      <c r="AF127">
        <v>0</v>
      </c>
      <c r="AH127" t="s">
        <v>2219</v>
      </c>
      <c r="AI127" t="s">
        <v>233</v>
      </c>
      <c r="AL127" t="s">
        <v>2230</v>
      </c>
      <c r="AN127">
        <v>0</v>
      </c>
      <c r="AO127">
        <v>0</v>
      </c>
      <c r="AP127">
        <v>6.1</v>
      </c>
      <c r="AT127">
        <v>0</v>
      </c>
      <c r="AV127">
        <v>1</v>
      </c>
      <c r="AW127">
        <v>0</v>
      </c>
      <c r="AX127">
        <v>115.29</v>
      </c>
      <c r="BC127" t="s">
        <v>3130</v>
      </c>
      <c r="BD127">
        <v>14400</v>
      </c>
      <c r="BH127" t="s">
        <v>3157</v>
      </c>
      <c r="BK127" t="s">
        <v>3215</v>
      </c>
      <c r="BL127" t="s">
        <v>206</v>
      </c>
    </row>
    <row r="128" spans="1:65">
      <c r="A128" s="1">
        <f>HYPERLINK("https://lsnyc.legalserver.org/matter/dynamic-profile/view/1903713","19-1903713")</f>
        <v>0</v>
      </c>
      <c r="B128" t="s">
        <v>64</v>
      </c>
      <c r="C128" t="s">
        <v>96</v>
      </c>
      <c r="D128" t="s">
        <v>170</v>
      </c>
      <c r="E128" t="s">
        <v>171</v>
      </c>
      <c r="G128" t="s">
        <v>172</v>
      </c>
      <c r="H128" t="s">
        <v>221</v>
      </c>
      <c r="I128" t="s">
        <v>172</v>
      </c>
      <c r="J128" t="s">
        <v>231</v>
      </c>
      <c r="K128" t="s">
        <v>172</v>
      </c>
      <c r="M128" t="s">
        <v>232</v>
      </c>
      <c r="N128" t="s">
        <v>311</v>
      </c>
      <c r="O128" t="s">
        <v>172</v>
      </c>
      <c r="P128" t="s">
        <v>316</v>
      </c>
      <c r="Q128" t="s">
        <v>321</v>
      </c>
      <c r="T128" t="s">
        <v>452</v>
      </c>
      <c r="U128" t="s">
        <v>835</v>
      </c>
      <c r="V128" t="s">
        <v>200</v>
      </c>
      <c r="X128" t="s">
        <v>1112</v>
      </c>
      <c r="Y128" t="s">
        <v>1232</v>
      </c>
      <c r="Z128" t="s">
        <v>1635</v>
      </c>
      <c r="AA128" t="s">
        <v>1754</v>
      </c>
      <c r="AB128" t="s">
        <v>1786</v>
      </c>
      <c r="AC128">
        <v>11226</v>
      </c>
      <c r="AD128" t="s">
        <v>1787</v>
      </c>
      <c r="AE128" t="s">
        <v>1907</v>
      </c>
      <c r="AF128">
        <v>5</v>
      </c>
      <c r="AH128" t="s">
        <v>2219</v>
      </c>
      <c r="AI128" t="s">
        <v>233</v>
      </c>
      <c r="AL128" t="s">
        <v>2230</v>
      </c>
      <c r="AN128">
        <v>0</v>
      </c>
      <c r="AO128">
        <v>0</v>
      </c>
      <c r="AP128">
        <v>7.5</v>
      </c>
      <c r="AR128" t="s">
        <v>2369</v>
      </c>
      <c r="AS128" t="s">
        <v>2812</v>
      </c>
      <c r="AT128">
        <v>42</v>
      </c>
      <c r="AV128">
        <v>2</v>
      </c>
      <c r="AW128">
        <v>0</v>
      </c>
      <c r="AX128">
        <v>153.76</v>
      </c>
      <c r="BC128" t="s">
        <v>3130</v>
      </c>
      <c r="BD128">
        <v>26000</v>
      </c>
      <c r="BH128" t="s">
        <v>3155</v>
      </c>
      <c r="BK128" t="s">
        <v>3198</v>
      </c>
      <c r="BL128" t="s">
        <v>207</v>
      </c>
      <c r="BM128" t="s">
        <v>311</v>
      </c>
    </row>
    <row r="129" spans="1:65">
      <c r="A129" s="1">
        <f>HYPERLINK("https://lsnyc.legalserver.org/matter/dynamic-profile/view/1905944","19-1905944")</f>
        <v>0</v>
      </c>
      <c r="B129" t="s">
        <v>64</v>
      </c>
      <c r="C129" t="s">
        <v>96</v>
      </c>
      <c r="D129" t="s">
        <v>170</v>
      </c>
      <c r="E129" t="s">
        <v>171</v>
      </c>
      <c r="G129" t="s">
        <v>172</v>
      </c>
      <c r="H129" t="s">
        <v>221</v>
      </c>
      <c r="I129" t="s">
        <v>172</v>
      </c>
      <c r="J129" t="s">
        <v>231</v>
      </c>
      <c r="K129" t="s">
        <v>172</v>
      </c>
      <c r="M129" t="s">
        <v>232</v>
      </c>
      <c r="N129" t="s">
        <v>311</v>
      </c>
      <c r="O129" t="s">
        <v>172</v>
      </c>
      <c r="P129" t="s">
        <v>314</v>
      </c>
      <c r="Q129" t="s">
        <v>322</v>
      </c>
      <c r="T129" t="s">
        <v>453</v>
      </c>
      <c r="U129" t="s">
        <v>813</v>
      </c>
      <c r="V129" t="s">
        <v>204</v>
      </c>
      <c r="W129" t="s">
        <v>215</v>
      </c>
      <c r="X129" t="s">
        <v>1113</v>
      </c>
      <c r="Y129" t="s">
        <v>1233</v>
      </c>
      <c r="Z129" t="s">
        <v>1636</v>
      </c>
      <c r="AA129" t="s">
        <v>1754</v>
      </c>
      <c r="AB129" t="s">
        <v>1786</v>
      </c>
      <c r="AC129">
        <v>11229</v>
      </c>
      <c r="AD129" t="s">
        <v>1787</v>
      </c>
      <c r="AE129" t="s">
        <v>1908</v>
      </c>
      <c r="AF129">
        <v>1</v>
      </c>
      <c r="AG129" t="s">
        <v>2214</v>
      </c>
      <c r="AH129" t="s">
        <v>2218</v>
      </c>
      <c r="AI129" t="s">
        <v>233</v>
      </c>
      <c r="AL129" t="s">
        <v>2230</v>
      </c>
      <c r="AN129">
        <v>0</v>
      </c>
      <c r="AO129">
        <v>1700</v>
      </c>
      <c r="AP129">
        <v>0.1</v>
      </c>
      <c r="AQ129" t="s">
        <v>2242</v>
      </c>
      <c r="AR129" t="s">
        <v>2370</v>
      </c>
      <c r="AS129" t="s">
        <v>2813</v>
      </c>
      <c r="AT129">
        <v>0</v>
      </c>
      <c r="AV129">
        <v>1</v>
      </c>
      <c r="AW129">
        <v>1</v>
      </c>
      <c r="AX129">
        <v>184.51</v>
      </c>
      <c r="BC129" t="s">
        <v>3130</v>
      </c>
      <c r="BD129">
        <v>31200</v>
      </c>
      <c r="BH129" t="s">
        <v>3153</v>
      </c>
      <c r="BK129" t="s">
        <v>3198</v>
      </c>
      <c r="BL129" t="s">
        <v>215</v>
      </c>
      <c r="BM129" t="s">
        <v>311</v>
      </c>
    </row>
    <row r="130" spans="1:65">
      <c r="A130" s="1">
        <f>HYPERLINK("https://lsnyc.legalserver.org/matter/dynamic-profile/view/1907296","19-1907296")</f>
        <v>0</v>
      </c>
      <c r="B130" t="s">
        <v>64</v>
      </c>
      <c r="C130" t="s">
        <v>96</v>
      </c>
      <c r="D130" t="s">
        <v>170</v>
      </c>
      <c r="E130" t="s">
        <v>171</v>
      </c>
      <c r="G130" t="s">
        <v>172</v>
      </c>
      <c r="H130" t="s">
        <v>220</v>
      </c>
      <c r="I130" t="s">
        <v>172</v>
      </c>
      <c r="J130" t="s">
        <v>231</v>
      </c>
      <c r="K130" t="s">
        <v>172</v>
      </c>
      <c r="M130" t="s">
        <v>232</v>
      </c>
      <c r="N130" t="s">
        <v>311</v>
      </c>
      <c r="O130" t="s">
        <v>172</v>
      </c>
      <c r="P130" t="s">
        <v>316</v>
      </c>
      <c r="Q130" t="s">
        <v>321</v>
      </c>
      <c r="T130" t="s">
        <v>454</v>
      </c>
      <c r="U130" t="s">
        <v>836</v>
      </c>
      <c r="V130" t="s">
        <v>193</v>
      </c>
      <c r="X130" t="s">
        <v>1112</v>
      </c>
      <c r="Y130" t="s">
        <v>1234</v>
      </c>
      <c r="Z130" t="s">
        <v>1637</v>
      </c>
      <c r="AA130" t="s">
        <v>1754</v>
      </c>
      <c r="AB130" t="s">
        <v>1786</v>
      </c>
      <c r="AC130">
        <v>11226</v>
      </c>
      <c r="AD130" t="s">
        <v>1788</v>
      </c>
      <c r="AE130" t="s">
        <v>1909</v>
      </c>
      <c r="AF130">
        <v>-2</v>
      </c>
      <c r="AH130" t="s">
        <v>2219</v>
      </c>
      <c r="AI130" t="s">
        <v>233</v>
      </c>
      <c r="AL130" t="s">
        <v>2230</v>
      </c>
      <c r="AN130">
        <v>0</v>
      </c>
      <c r="AO130">
        <v>2360</v>
      </c>
      <c r="AP130">
        <v>1</v>
      </c>
      <c r="AR130" t="s">
        <v>2371</v>
      </c>
      <c r="AS130" t="s">
        <v>2814</v>
      </c>
      <c r="AT130">
        <v>64</v>
      </c>
      <c r="AV130">
        <v>2</v>
      </c>
      <c r="AW130">
        <v>0</v>
      </c>
      <c r="AX130">
        <v>141.93</v>
      </c>
      <c r="BC130" t="s">
        <v>3130</v>
      </c>
      <c r="BD130">
        <v>24000</v>
      </c>
      <c r="BH130" t="s">
        <v>3155</v>
      </c>
      <c r="BK130" t="s">
        <v>3229</v>
      </c>
      <c r="BL130" t="s">
        <v>184</v>
      </c>
      <c r="BM130" t="s">
        <v>311</v>
      </c>
    </row>
    <row r="131" spans="1:65">
      <c r="A131" s="1">
        <f>HYPERLINK("https://lsnyc.legalserver.org/matter/dynamic-profile/view/1905990","19-1905990")</f>
        <v>0</v>
      </c>
      <c r="B131" t="s">
        <v>64</v>
      </c>
      <c r="C131" t="s">
        <v>96</v>
      </c>
      <c r="D131" t="s">
        <v>170</v>
      </c>
      <c r="E131" t="s">
        <v>171</v>
      </c>
      <c r="G131" t="s">
        <v>172</v>
      </c>
      <c r="H131" t="s">
        <v>220</v>
      </c>
      <c r="I131" t="s">
        <v>172</v>
      </c>
      <c r="J131" t="s">
        <v>231</v>
      </c>
      <c r="K131" t="s">
        <v>172</v>
      </c>
      <c r="L131" t="s">
        <v>258</v>
      </c>
      <c r="M131" t="s">
        <v>232</v>
      </c>
      <c r="N131" t="s">
        <v>311</v>
      </c>
      <c r="O131" t="s">
        <v>172</v>
      </c>
      <c r="P131" t="s">
        <v>316</v>
      </c>
      <c r="Q131" t="s">
        <v>321</v>
      </c>
      <c r="T131" t="s">
        <v>455</v>
      </c>
      <c r="U131" t="s">
        <v>837</v>
      </c>
      <c r="V131" t="s">
        <v>204</v>
      </c>
      <c r="X131" t="s">
        <v>1112</v>
      </c>
      <c r="Y131" t="s">
        <v>1235</v>
      </c>
      <c r="AA131" t="s">
        <v>1754</v>
      </c>
      <c r="AB131" t="s">
        <v>1786</v>
      </c>
      <c r="AC131">
        <v>11236</v>
      </c>
      <c r="AD131" t="s">
        <v>1787</v>
      </c>
      <c r="AE131" t="s">
        <v>1910</v>
      </c>
      <c r="AF131">
        <v>7</v>
      </c>
      <c r="AH131" t="s">
        <v>2218</v>
      </c>
      <c r="AI131" t="s">
        <v>233</v>
      </c>
      <c r="AJ131" t="s">
        <v>233</v>
      </c>
      <c r="AL131" t="s">
        <v>2230</v>
      </c>
      <c r="AM131" t="s">
        <v>2236</v>
      </c>
      <c r="AN131">
        <v>0</v>
      </c>
      <c r="AO131">
        <v>1303</v>
      </c>
      <c r="AP131">
        <v>9.800000000000001</v>
      </c>
      <c r="AR131" t="s">
        <v>2372</v>
      </c>
      <c r="AS131" t="s">
        <v>2815</v>
      </c>
      <c r="AT131">
        <v>3</v>
      </c>
      <c r="AU131" t="s">
        <v>3109</v>
      </c>
      <c r="AV131">
        <v>1</v>
      </c>
      <c r="AW131">
        <v>2</v>
      </c>
      <c r="AX131">
        <v>20.14</v>
      </c>
      <c r="BB131" t="s">
        <v>252</v>
      </c>
      <c r="BC131" t="s">
        <v>3130</v>
      </c>
      <c r="BD131">
        <v>4296</v>
      </c>
      <c r="BH131" t="s">
        <v>3155</v>
      </c>
      <c r="BK131" t="s">
        <v>3196</v>
      </c>
      <c r="BL131" t="s">
        <v>207</v>
      </c>
      <c r="BM131" t="s">
        <v>311</v>
      </c>
    </row>
    <row r="132" spans="1:65">
      <c r="A132" s="1">
        <f>HYPERLINK("https://lsnyc.legalserver.org/matter/dynamic-profile/view/1903705","19-1903705")</f>
        <v>0</v>
      </c>
      <c r="B132" t="s">
        <v>64</v>
      </c>
      <c r="C132" t="s">
        <v>96</v>
      </c>
      <c r="D132" t="s">
        <v>170</v>
      </c>
      <c r="E132" t="s">
        <v>171</v>
      </c>
      <c r="G132" t="s">
        <v>172</v>
      </c>
      <c r="H132" t="s">
        <v>221</v>
      </c>
      <c r="I132" t="s">
        <v>172</v>
      </c>
      <c r="J132" t="s">
        <v>231</v>
      </c>
      <c r="K132" t="s">
        <v>172</v>
      </c>
      <c r="L132" t="s">
        <v>259</v>
      </c>
      <c r="M132" t="s">
        <v>232</v>
      </c>
      <c r="N132" t="s">
        <v>311</v>
      </c>
      <c r="O132" t="s">
        <v>172</v>
      </c>
      <c r="P132" t="s">
        <v>316</v>
      </c>
      <c r="Q132" t="s">
        <v>321</v>
      </c>
      <c r="T132" t="s">
        <v>456</v>
      </c>
      <c r="U132" t="s">
        <v>832</v>
      </c>
      <c r="V132" t="s">
        <v>200</v>
      </c>
      <c r="X132" t="s">
        <v>1112</v>
      </c>
      <c r="Y132" t="s">
        <v>1236</v>
      </c>
      <c r="Z132" t="s">
        <v>1638</v>
      </c>
      <c r="AA132" t="s">
        <v>1754</v>
      </c>
      <c r="AB132" t="s">
        <v>1786</v>
      </c>
      <c r="AC132">
        <v>11221</v>
      </c>
      <c r="AD132" t="s">
        <v>1789</v>
      </c>
      <c r="AE132" t="s">
        <v>1911</v>
      </c>
      <c r="AF132">
        <v>8</v>
      </c>
      <c r="AH132" t="s">
        <v>2219</v>
      </c>
      <c r="AI132" t="s">
        <v>233</v>
      </c>
      <c r="AJ132" t="s">
        <v>233</v>
      </c>
      <c r="AL132" t="s">
        <v>2230</v>
      </c>
      <c r="AN132">
        <v>0</v>
      </c>
      <c r="AO132">
        <v>1700</v>
      </c>
      <c r="AP132">
        <v>3.9</v>
      </c>
      <c r="AR132" t="s">
        <v>2373</v>
      </c>
      <c r="AS132" t="s">
        <v>2816</v>
      </c>
      <c r="AT132">
        <v>0</v>
      </c>
      <c r="AV132">
        <v>3</v>
      </c>
      <c r="AW132">
        <v>0</v>
      </c>
      <c r="AX132">
        <v>69.93000000000001</v>
      </c>
      <c r="BC132" t="s">
        <v>3130</v>
      </c>
      <c r="BD132">
        <v>14916</v>
      </c>
      <c r="BH132" t="s">
        <v>3156</v>
      </c>
      <c r="BK132" t="s">
        <v>3199</v>
      </c>
      <c r="BL132" t="s">
        <v>1110</v>
      </c>
      <c r="BM132" t="s">
        <v>311</v>
      </c>
    </row>
    <row r="133" spans="1:65">
      <c r="A133" s="1">
        <f>HYPERLINK("https://lsnyc.legalserver.org/matter/dynamic-profile/view/1906325","19-1906325")</f>
        <v>0</v>
      </c>
      <c r="B133" t="s">
        <v>64</v>
      </c>
      <c r="C133" t="s">
        <v>90</v>
      </c>
      <c r="D133" t="s">
        <v>170</v>
      </c>
      <c r="E133" t="s">
        <v>171</v>
      </c>
      <c r="G133" t="s">
        <v>172</v>
      </c>
      <c r="H133" t="s">
        <v>220</v>
      </c>
      <c r="I133" t="s">
        <v>230</v>
      </c>
      <c r="J133" t="s">
        <v>232</v>
      </c>
      <c r="K133" t="s">
        <v>234</v>
      </c>
      <c r="M133" t="s">
        <v>232</v>
      </c>
      <c r="O133" t="s">
        <v>313</v>
      </c>
      <c r="P133" t="s">
        <v>315</v>
      </c>
      <c r="Q133" t="s">
        <v>321</v>
      </c>
      <c r="T133" t="s">
        <v>391</v>
      </c>
      <c r="U133" t="s">
        <v>838</v>
      </c>
      <c r="V133" t="s">
        <v>195</v>
      </c>
      <c r="X133" t="s">
        <v>1112</v>
      </c>
      <c r="Y133" t="s">
        <v>1237</v>
      </c>
      <c r="Z133" t="s">
        <v>1639</v>
      </c>
      <c r="AA133" t="s">
        <v>1754</v>
      </c>
      <c r="AB133" t="s">
        <v>1786</v>
      </c>
      <c r="AC133">
        <v>11234</v>
      </c>
      <c r="AD133" t="s">
        <v>1787</v>
      </c>
      <c r="AE133" t="s">
        <v>1912</v>
      </c>
      <c r="AF133">
        <v>0</v>
      </c>
      <c r="AH133" t="s">
        <v>2218</v>
      </c>
      <c r="AI133" t="s">
        <v>233</v>
      </c>
      <c r="AL133" t="s">
        <v>2230</v>
      </c>
      <c r="AN133">
        <v>0</v>
      </c>
      <c r="AO133">
        <v>0</v>
      </c>
      <c r="AP133">
        <v>0</v>
      </c>
      <c r="AR133" t="s">
        <v>2374</v>
      </c>
      <c r="AS133" t="s">
        <v>2817</v>
      </c>
      <c r="AT133">
        <v>0</v>
      </c>
      <c r="AV133">
        <v>2</v>
      </c>
      <c r="AW133">
        <v>3</v>
      </c>
      <c r="AX133">
        <v>0</v>
      </c>
      <c r="BC133" t="s">
        <v>3130</v>
      </c>
      <c r="BD133">
        <v>0</v>
      </c>
      <c r="BH133" t="s">
        <v>3157</v>
      </c>
      <c r="BK133" t="s">
        <v>3220</v>
      </c>
    </row>
    <row r="134" spans="1:65">
      <c r="A134" s="1">
        <f>HYPERLINK("https://lsnyc.legalserver.org/matter/dynamic-profile/view/1905936","19-1905936")</f>
        <v>0</v>
      </c>
      <c r="B134" t="s">
        <v>64</v>
      </c>
      <c r="C134" t="s">
        <v>96</v>
      </c>
      <c r="D134" t="s">
        <v>170</v>
      </c>
      <c r="E134" t="s">
        <v>171</v>
      </c>
      <c r="G134" t="s">
        <v>172</v>
      </c>
      <c r="H134" t="s">
        <v>220</v>
      </c>
      <c r="I134" t="s">
        <v>172</v>
      </c>
      <c r="J134" t="s">
        <v>231</v>
      </c>
      <c r="K134" t="s">
        <v>172</v>
      </c>
      <c r="M134" t="s">
        <v>232</v>
      </c>
      <c r="N134" t="s">
        <v>311</v>
      </c>
      <c r="O134" t="s">
        <v>172</v>
      </c>
      <c r="P134" t="s">
        <v>316</v>
      </c>
      <c r="Q134" t="s">
        <v>321</v>
      </c>
      <c r="T134" t="s">
        <v>457</v>
      </c>
      <c r="U134" t="s">
        <v>839</v>
      </c>
      <c r="V134" t="s">
        <v>204</v>
      </c>
      <c r="X134" t="s">
        <v>1112</v>
      </c>
      <c r="Y134" t="s">
        <v>1238</v>
      </c>
      <c r="Z134" t="s">
        <v>1578</v>
      </c>
      <c r="AA134" t="s">
        <v>1754</v>
      </c>
      <c r="AB134" t="s">
        <v>1786</v>
      </c>
      <c r="AC134">
        <v>11225</v>
      </c>
      <c r="AD134" t="s">
        <v>1787</v>
      </c>
      <c r="AE134" t="s">
        <v>1913</v>
      </c>
      <c r="AF134">
        <v>-1</v>
      </c>
      <c r="AH134" t="s">
        <v>2219</v>
      </c>
      <c r="AI134" t="s">
        <v>233</v>
      </c>
      <c r="AL134" t="s">
        <v>2230</v>
      </c>
      <c r="AN134">
        <v>0</v>
      </c>
      <c r="AO134">
        <v>315</v>
      </c>
      <c r="AP134">
        <v>6.2</v>
      </c>
      <c r="AR134" t="s">
        <v>2375</v>
      </c>
      <c r="AS134" t="s">
        <v>2818</v>
      </c>
      <c r="AT134">
        <v>0</v>
      </c>
      <c r="AV134">
        <v>1</v>
      </c>
      <c r="AW134">
        <v>0</v>
      </c>
      <c r="AX134">
        <v>23.63</v>
      </c>
      <c r="BC134" t="s">
        <v>3130</v>
      </c>
      <c r="BD134">
        <v>2952</v>
      </c>
      <c r="BH134" t="s">
        <v>3153</v>
      </c>
      <c r="BK134" t="s">
        <v>3194</v>
      </c>
      <c r="BL134" t="s">
        <v>1108</v>
      </c>
      <c r="BM134" t="s">
        <v>311</v>
      </c>
    </row>
    <row r="135" spans="1:65">
      <c r="A135" s="1">
        <f>HYPERLINK("https://lsnyc.legalserver.org/matter/dynamic-profile/view/1908255","19-1908255")</f>
        <v>0</v>
      </c>
      <c r="B135" t="s">
        <v>64</v>
      </c>
      <c r="C135" t="s">
        <v>90</v>
      </c>
      <c r="D135" t="s">
        <v>170</v>
      </c>
      <c r="E135" t="s">
        <v>171</v>
      </c>
      <c r="G135" t="s">
        <v>172</v>
      </c>
      <c r="H135" t="s">
        <v>220</v>
      </c>
      <c r="I135" t="s">
        <v>230</v>
      </c>
      <c r="J135" t="s">
        <v>232</v>
      </c>
      <c r="K135" t="s">
        <v>234</v>
      </c>
      <c r="M135" t="s">
        <v>232</v>
      </c>
      <c r="O135" t="s">
        <v>172</v>
      </c>
      <c r="P135" t="s">
        <v>314</v>
      </c>
      <c r="Q135" t="s">
        <v>321</v>
      </c>
      <c r="T135" t="s">
        <v>458</v>
      </c>
      <c r="U135" t="s">
        <v>840</v>
      </c>
      <c r="V135" t="s">
        <v>185</v>
      </c>
      <c r="X135" t="s">
        <v>1112</v>
      </c>
      <c r="Y135" t="s">
        <v>1239</v>
      </c>
      <c r="Z135" t="s">
        <v>1621</v>
      </c>
      <c r="AA135" t="s">
        <v>1754</v>
      </c>
      <c r="AB135" t="s">
        <v>1786</v>
      </c>
      <c r="AC135">
        <v>11213</v>
      </c>
      <c r="AD135" t="s">
        <v>1787</v>
      </c>
      <c r="AE135" t="s">
        <v>1914</v>
      </c>
      <c r="AF135">
        <v>0</v>
      </c>
      <c r="AH135" t="s">
        <v>2218</v>
      </c>
      <c r="AI135" t="s">
        <v>233</v>
      </c>
      <c r="AL135" t="s">
        <v>2230</v>
      </c>
      <c r="AN135">
        <v>0</v>
      </c>
      <c r="AO135">
        <v>0</v>
      </c>
      <c r="AP135">
        <v>0</v>
      </c>
      <c r="AR135" t="s">
        <v>2376</v>
      </c>
      <c r="AS135" t="s">
        <v>2819</v>
      </c>
      <c r="AT135">
        <v>0</v>
      </c>
      <c r="AV135">
        <v>2</v>
      </c>
      <c r="AW135">
        <v>0</v>
      </c>
      <c r="AX135">
        <v>106.45</v>
      </c>
      <c r="BC135" t="s">
        <v>3130</v>
      </c>
      <c r="BD135">
        <v>18000</v>
      </c>
      <c r="BH135" t="s">
        <v>3157</v>
      </c>
      <c r="BK135" t="s">
        <v>3230</v>
      </c>
    </row>
    <row r="136" spans="1:65">
      <c r="A136" s="1">
        <f>HYPERLINK("https://lsnyc.legalserver.org/matter/dynamic-profile/view/1908028","19-1908028")</f>
        <v>0</v>
      </c>
      <c r="B136" t="s">
        <v>64</v>
      </c>
      <c r="C136" t="s">
        <v>96</v>
      </c>
      <c r="D136" t="s">
        <v>170</v>
      </c>
      <c r="E136" t="s">
        <v>171</v>
      </c>
      <c r="G136" t="s">
        <v>172</v>
      </c>
      <c r="H136" t="s">
        <v>221</v>
      </c>
      <c r="I136" t="s">
        <v>172</v>
      </c>
      <c r="J136" t="s">
        <v>231</v>
      </c>
      <c r="K136" t="s">
        <v>172</v>
      </c>
      <c r="M136" t="s">
        <v>232</v>
      </c>
      <c r="N136" t="s">
        <v>311</v>
      </c>
      <c r="O136" t="s">
        <v>172</v>
      </c>
      <c r="P136" t="s">
        <v>316</v>
      </c>
      <c r="Q136" t="s">
        <v>321</v>
      </c>
      <c r="T136" t="s">
        <v>368</v>
      </c>
      <c r="U136" t="s">
        <v>841</v>
      </c>
      <c r="V136" t="s">
        <v>1098</v>
      </c>
      <c r="X136" t="s">
        <v>1112</v>
      </c>
      <c r="Y136" t="s">
        <v>1240</v>
      </c>
      <c r="Z136" t="s">
        <v>1640</v>
      </c>
      <c r="AA136" t="s">
        <v>1754</v>
      </c>
      <c r="AB136" t="s">
        <v>1786</v>
      </c>
      <c r="AC136">
        <v>11236</v>
      </c>
      <c r="AD136" t="s">
        <v>1787</v>
      </c>
      <c r="AE136" t="s">
        <v>1915</v>
      </c>
      <c r="AF136">
        <v>0</v>
      </c>
      <c r="AH136" t="s">
        <v>2218</v>
      </c>
      <c r="AI136" t="s">
        <v>233</v>
      </c>
      <c r="AJ136" t="s">
        <v>233</v>
      </c>
      <c r="AL136" t="s">
        <v>2230</v>
      </c>
      <c r="AN136">
        <v>0</v>
      </c>
      <c r="AO136">
        <v>0</v>
      </c>
      <c r="AP136">
        <v>0.2</v>
      </c>
      <c r="AR136" t="s">
        <v>2377</v>
      </c>
      <c r="AS136" t="s">
        <v>2820</v>
      </c>
      <c r="AT136">
        <v>0</v>
      </c>
      <c r="AV136">
        <v>1</v>
      </c>
      <c r="AW136">
        <v>0</v>
      </c>
      <c r="AX136">
        <v>152.12</v>
      </c>
      <c r="BC136" t="s">
        <v>3130</v>
      </c>
      <c r="BD136">
        <v>19000</v>
      </c>
      <c r="BH136" t="s">
        <v>3155</v>
      </c>
      <c r="BK136" t="s">
        <v>3198</v>
      </c>
      <c r="BL136" t="s">
        <v>206</v>
      </c>
      <c r="BM136" t="s">
        <v>311</v>
      </c>
    </row>
    <row r="137" spans="1:65">
      <c r="A137" s="1">
        <f>HYPERLINK("https://lsnyc.legalserver.org/matter/dynamic-profile/view/1907117","19-1907117")</f>
        <v>0</v>
      </c>
      <c r="B137" t="s">
        <v>65</v>
      </c>
      <c r="C137" t="s">
        <v>97</v>
      </c>
      <c r="D137" t="s">
        <v>170</v>
      </c>
      <c r="E137" t="s">
        <v>172</v>
      </c>
      <c r="F137" t="s">
        <v>183</v>
      </c>
      <c r="G137" t="s">
        <v>172</v>
      </c>
      <c r="H137" t="s">
        <v>220</v>
      </c>
      <c r="I137" t="s">
        <v>172</v>
      </c>
      <c r="J137" t="s">
        <v>231</v>
      </c>
      <c r="K137" t="s">
        <v>172</v>
      </c>
      <c r="M137" t="s">
        <v>232</v>
      </c>
      <c r="N137" t="s">
        <v>311</v>
      </c>
      <c r="O137" t="s">
        <v>172</v>
      </c>
      <c r="P137" t="s">
        <v>314</v>
      </c>
      <c r="Q137" t="s">
        <v>322</v>
      </c>
      <c r="T137" t="s">
        <v>419</v>
      </c>
      <c r="U137" t="s">
        <v>752</v>
      </c>
      <c r="V137" t="s">
        <v>183</v>
      </c>
      <c r="W137" t="s">
        <v>1108</v>
      </c>
      <c r="X137" t="s">
        <v>1113</v>
      </c>
      <c r="Y137" t="s">
        <v>1241</v>
      </c>
      <c r="Z137" t="s">
        <v>1641</v>
      </c>
      <c r="AA137" t="s">
        <v>1755</v>
      </c>
      <c r="AB137" t="s">
        <v>1786</v>
      </c>
      <c r="AC137">
        <v>10456</v>
      </c>
      <c r="AD137" t="s">
        <v>1787</v>
      </c>
      <c r="AE137" t="s">
        <v>1916</v>
      </c>
      <c r="AF137">
        <v>26</v>
      </c>
      <c r="AG137" t="s">
        <v>2214</v>
      </c>
      <c r="AH137" t="s">
        <v>2220</v>
      </c>
      <c r="AI137" t="s">
        <v>233</v>
      </c>
      <c r="AJ137" t="s">
        <v>233</v>
      </c>
      <c r="AL137" t="s">
        <v>2230</v>
      </c>
      <c r="AM137" t="s">
        <v>2236</v>
      </c>
      <c r="AN137">
        <v>0</v>
      </c>
      <c r="AO137">
        <v>430</v>
      </c>
      <c r="AP137">
        <v>0.5</v>
      </c>
      <c r="AQ137" t="s">
        <v>2242</v>
      </c>
      <c r="AR137" t="s">
        <v>2378</v>
      </c>
      <c r="AT137">
        <v>0</v>
      </c>
      <c r="AU137" t="s">
        <v>3111</v>
      </c>
      <c r="AV137">
        <v>1</v>
      </c>
      <c r="AW137">
        <v>3</v>
      </c>
      <c r="AX137">
        <v>100.97</v>
      </c>
      <c r="BC137" t="s">
        <v>3130</v>
      </c>
      <c r="BD137">
        <v>26000</v>
      </c>
      <c r="BH137" t="s">
        <v>125</v>
      </c>
      <c r="BK137" t="s">
        <v>3216</v>
      </c>
      <c r="BL137" t="s">
        <v>3275</v>
      </c>
      <c r="BM137" t="s">
        <v>311</v>
      </c>
    </row>
    <row r="138" spans="1:65">
      <c r="A138" s="1">
        <f>HYPERLINK("https://lsnyc.legalserver.org/matter/dynamic-profile/view/1907931","19-1907931")</f>
        <v>0</v>
      </c>
      <c r="B138" t="s">
        <v>65</v>
      </c>
      <c r="C138" t="s">
        <v>97</v>
      </c>
      <c r="D138" t="s">
        <v>170</v>
      </c>
      <c r="E138" t="s">
        <v>171</v>
      </c>
      <c r="G138" t="s">
        <v>172</v>
      </c>
      <c r="H138" t="s">
        <v>221</v>
      </c>
      <c r="I138" t="s">
        <v>172</v>
      </c>
      <c r="J138" t="s">
        <v>231</v>
      </c>
      <c r="K138" t="s">
        <v>172</v>
      </c>
      <c r="L138" t="s">
        <v>260</v>
      </c>
      <c r="M138" t="s">
        <v>232</v>
      </c>
      <c r="N138" t="s">
        <v>311</v>
      </c>
      <c r="O138" t="s">
        <v>172</v>
      </c>
      <c r="P138" t="s">
        <v>314</v>
      </c>
      <c r="Q138" t="s">
        <v>321</v>
      </c>
      <c r="T138" t="s">
        <v>426</v>
      </c>
      <c r="U138" t="s">
        <v>842</v>
      </c>
      <c r="V138" t="s">
        <v>192</v>
      </c>
      <c r="X138" t="s">
        <v>1112</v>
      </c>
      <c r="Y138" t="s">
        <v>1242</v>
      </c>
      <c r="Z138" t="s">
        <v>1585</v>
      </c>
      <c r="AA138" t="s">
        <v>1755</v>
      </c>
      <c r="AB138" t="s">
        <v>1786</v>
      </c>
      <c r="AC138">
        <v>10453</v>
      </c>
      <c r="AD138" t="s">
        <v>1790</v>
      </c>
      <c r="AE138" t="s">
        <v>1917</v>
      </c>
      <c r="AF138">
        <v>4</v>
      </c>
      <c r="AH138" t="s">
        <v>2220</v>
      </c>
      <c r="AI138" t="s">
        <v>233</v>
      </c>
      <c r="AJ138" t="s">
        <v>233</v>
      </c>
      <c r="AL138" t="s">
        <v>2230</v>
      </c>
      <c r="AN138">
        <v>0</v>
      </c>
      <c r="AO138">
        <v>1215</v>
      </c>
      <c r="AP138">
        <v>0.2</v>
      </c>
      <c r="AR138" t="s">
        <v>2379</v>
      </c>
      <c r="AT138">
        <v>75</v>
      </c>
      <c r="AU138" t="s">
        <v>3106</v>
      </c>
      <c r="AV138">
        <v>1</v>
      </c>
      <c r="AW138">
        <v>0</v>
      </c>
      <c r="AX138">
        <v>99.92</v>
      </c>
      <c r="BC138" t="s">
        <v>3130</v>
      </c>
      <c r="BD138">
        <v>12480</v>
      </c>
      <c r="BH138" t="s">
        <v>125</v>
      </c>
      <c r="BK138" t="s">
        <v>3206</v>
      </c>
      <c r="BL138" t="s">
        <v>1110</v>
      </c>
      <c r="BM138" t="s">
        <v>311</v>
      </c>
    </row>
    <row r="139" spans="1:65">
      <c r="A139" s="1">
        <f>HYPERLINK("https://lsnyc.legalserver.org/matter/dynamic-profile/view/1908042","19-1908042")</f>
        <v>0</v>
      </c>
      <c r="B139" t="s">
        <v>65</v>
      </c>
      <c r="C139" t="s">
        <v>97</v>
      </c>
      <c r="D139" t="s">
        <v>170</v>
      </c>
      <c r="E139" t="s">
        <v>171</v>
      </c>
      <c r="G139" t="s">
        <v>172</v>
      </c>
      <c r="H139" t="s">
        <v>220</v>
      </c>
      <c r="I139" t="s">
        <v>172</v>
      </c>
      <c r="J139" t="s">
        <v>231</v>
      </c>
      <c r="K139" t="s">
        <v>172</v>
      </c>
      <c r="M139" t="s">
        <v>232</v>
      </c>
      <c r="N139" t="s">
        <v>311</v>
      </c>
      <c r="O139" t="s">
        <v>172</v>
      </c>
      <c r="P139" t="s">
        <v>314</v>
      </c>
      <c r="Q139" t="s">
        <v>321</v>
      </c>
      <c r="T139" t="s">
        <v>459</v>
      </c>
      <c r="U139" t="s">
        <v>843</v>
      </c>
      <c r="V139" t="s">
        <v>1098</v>
      </c>
      <c r="X139" t="s">
        <v>1112</v>
      </c>
      <c r="Y139" t="s">
        <v>1243</v>
      </c>
      <c r="Z139" t="s">
        <v>1642</v>
      </c>
      <c r="AA139" t="s">
        <v>1755</v>
      </c>
      <c r="AB139" t="s">
        <v>1786</v>
      </c>
      <c r="AC139">
        <v>10452</v>
      </c>
      <c r="AD139" t="s">
        <v>1790</v>
      </c>
      <c r="AE139" t="s">
        <v>1918</v>
      </c>
      <c r="AF139">
        <v>2</v>
      </c>
      <c r="AH139" t="s">
        <v>2220</v>
      </c>
      <c r="AI139" t="s">
        <v>233</v>
      </c>
      <c r="AJ139" t="s">
        <v>233</v>
      </c>
      <c r="AL139" t="s">
        <v>2230</v>
      </c>
      <c r="AM139" t="s">
        <v>2240</v>
      </c>
      <c r="AN139">
        <v>0</v>
      </c>
      <c r="AO139">
        <v>300</v>
      </c>
      <c r="AP139">
        <v>1.2</v>
      </c>
      <c r="AR139" t="s">
        <v>211</v>
      </c>
      <c r="AT139">
        <v>0</v>
      </c>
      <c r="AU139" t="s">
        <v>3112</v>
      </c>
      <c r="AV139">
        <v>1</v>
      </c>
      <c r="AW139">
        <v>0</v>
      </c>
      <c r="AX139">
        <v>72.06</v>
      </c>
      <c r="BB139" t="s">
        <v>252</v>
      </c>
      <c r="BC139" t="s">
        <v>3130</v>
      </c>
      <c r="BD139">
        <v>9000</v>
      </c>
      <c r="BH139" t="s">
        <v>125</v>
      </c>
      <c r="BK139" t="s">
        <v>3196</v>
      </c>
      <c r="BL139" t="s">
        <v>3274</v>
      </c>
      <c r="BM139" t="s">
        <v>311</v>
      </c>
    </row>
    <row r="140" spans="1:65">
      <c r="A140" s="1">
        <f>HYPERLINK("https://lsnyc.legalserver.org/matter/dynamic-profile/view/1906389","19-1906389")</f>
        <v>0</v>
      </c>
      <c r="B140" t="s">
        <v>65</v>
      </c>
      <c r="C140" t="s">
        <v>97</v>
      </c>
      <c r="D140" t="s">
        <v>170</v>
      </c>
      <c r="E140" t="s">
        <v>172</v>
      </c>
      <c r="F140" t="s">
        <v>184</v>
      </c>
      <c r="G140" t="s">
        <v>172</v>
      </c>
      <c r="H140" t="s">
        <v>220</v>
      </c>
      <c r="I140" t="s">
        <v>172</v>
      </c>
      <c r="J140" t="s">
        <v>231</v>
      </c>
      <c r="K140" t="s">
        <v>172</v>
      </c>
      <c r="M140" t="s">
        <v>232</v>
      </c>
      <c r="N140" t="s">
        <v>311</v>
      </c>
      <c r="O140" t="s">
        <v>172</v>
      </c>
      <c r="P140" t="s">
        <v>314</v>
      </c>
      <c r="Q140" t="s">
        <v>322</v>
      </c>
      <c r="T140" t="s">
        <v>460</v>
      </c>
      <c r="U140" t="s">
        <v>785</v>
      </c>
      <c r="V140" t="s">
        <v>178</v>
      </c>
      <c r="W140" t="s">
        <v>184</v>
      </c>
      <c r="X140" t="s">
        <v>1113</v>
      </c>
      <c r="Y140" t="s">
        <v>1244</v>
      </c>
      <c r="Z140" t="s">
        <v>1643</v>
      </c>
      <c r="AA140" t="s">
        <v>1755</v>
      </c>
      <c r="AB140" t="s">
        <v>1786</v>
      </c>
      <c r="AC140">
        <v>10451</v>
      </c>
      <c r="AE140" t="s">
        <v>1919</v>
      </c>
      <c r="AF140">
        <v>31</v>
      </c>
      <c r="AG140" t="s">
        <v>2214</v>
      </c>
      <c r="AH140" t="s">
        <v>2220</v>
      </c>
      <c r="AI140" t="s">
        <v>233</v>
      </c>
      <c r="AJ140" t="s">
        <v>233</v>
      </c>
      <c r="AL140" t="s">
        <v>2231</v>
      </c>
      <c r="AM140" t="s">
        <v>2239</v>
      </c>
      <c r="AN140">
        <v>0</v>
      </c>
      <c r="AO140">
        <v>448</v>
      </c>
      <c r="AP140">
        <v>0.5</v>
      </c>
      <c r="AQ140" t="s">
        <v>2242</v>
      </c>
      <c r="AR140" t="s">
        <v>2380</v>
      </c>
      <c r="AT140">
        <v>0</v>
      </c>
      <c r="AU140" t="s">
        <v>3111</v>
      </c>
      <c r="AV140">
        <v>1</v>
      </c>
      <c r="AW140">
        <v>0</v>
      </c>
      <c r="AX140">
        <v>76.29000000000001</v>
      </c>
      <c r="BD140">
        <v>9528</v>
      </c>
      <c r="BH140" t="s">
        <v>125</v>
      </c>
      <c r="BK140" t="s">
        <v>3196</v>
      </c>
      <c r="BL140" t="s">
        <v>184</v>
      </c>
      <c r="BM140" t="s">
        <v>311</v>
      </c>
    </row>
    <row r="141" spans="1:65">
      <c r="A141" s="1">
        <f>HYPERLINK("https://lsnyc.legalserver.org/matter/dynamic-profile/view/1906557","19-1906557")</f>
        <v>0</v>
      </c>
      <c r="B141" t="s">
        <v>65</v>
      </c>
      <c r="C141" t="s">
        <v>97</v>
      </c>
      <c r="D141" t="s">
        <v>170</v>
      </c>
      <c r="E141" t="s">
        <v>171</v>
      </c>
      <c r="G141" t="s">
        <v>172</v>
      </c>
      <c r="H141" t="s">
        <v>226</v>
      </c>
      <c r="I141" t="s">
        <v>172</v>
      </c>
      <c r="J141" t="s">
        <v>231</v>
      </c>
      <c r="K141" t="s">
        <v>234</v>
      </c>
      <c r="M141" t="s">
        <v>232</v>
      </c>
      <c r="N141" t="s">
        <v>252</v>
      </c>
      <c r="O141" t="s">
        <v>172</v>
      </c>
      <c r="P141" t="s">
        <v>314</v>
      </c>
      <c r="Q141" t="s">
        <v>322</v>
      </c>
      <c r="T141" t="s">
        <v>430</v>
      </c>
      <c r="U141" t="s">
        <v>844</v>
      </c>
      <c r="V141" t="s">
        <v>1097</v>
      </c>
      <c r="W141" t="s">
        <v>212</v>
      </c>
      <c r="X141" t="s">
        <v>1113</v>
      </c>
      <c r="Y141" t="s">
        <v>1245</v>
      </c>
      <c r="Z141" t="s">
        <v>1644</v>
      </c>
      <c r="AA141" t="s">
        <v>1755</v>
      </c>
      <c r="AB141" t="s">
        <v>1786</v>
      </c>
      <c r="AC141">
        <v>10452</v>
      </c>
      <c r="AD141" t="s">
        <v>1795</v>
      </c>
      <c r="AE141" t="s">
        <v>293</v>
      </c>
      <c r="AF141">
        <v>51</v>
      </c>
      <c r="AG141" t="s">
        <v>2214</v>
      </c>
      <c r="AH141" t="s">
        <v>2220</v>
      </c>
      <c r="AI141" t="s">
        <v>233</v>
      </c>
      <c r="AL141" t="s">
        <v>2230</v>
      </c>
      <c r="AN141">
        <v>0</v>
      </c>
      <c r="AO141">
        <v>400</v>
      </c>
      <c r="AP141">
        <v>0.5</v>
      </c>
      <c r="AQ141" t="s">
        <v>2242</v>
      </c>
      <c r="AR141" t="s">
        <v>2381</v>
      </c>
      <c r="AT141">
        <v>36</v>
      </c>
      <c r="AU141" t="s">
        <v>3112</v>
      </c>
      <c r="AV141">
        <v>1</v>
      </c>
      <c r="AW141">
        <v>0</v>
      </c>
      <c r="AX141">
        <v>0</v>
      </c>
      <c r="BC141" t="s">
        <v>3130</v>
      </c>
      <c r="BD141">
        <v>0</v>
      </c>
      <c r="BH141" t="s">
        <v>125</v>
      </c>
      <c r="BK141" t="s">
        <v>3231</v>
      </c>
      <c r="BL141" t="s">
        <v>212</v>
      </c>
      <c r="BM141" t="s">
        <v>252</v>
      </c>
    </row>
    <row r="142" spans="1:65">
      <c r="A142" s="1">
        <f>HYPERLINK("https://lsnyc.legalserver.org/matter/dynamic-profile/view/1906298","19-1906298")</f>
        <v>0</v>
      </c>
      <c r="B142" t="s">
        <v>65</v>
      </c>
      <c r="C142" t="s">
        <v>97</v>
      </c>
      <c r="D142" t="s">
        <v>170</v>
      </c>
      <c r="E142" t="s">
        <v>172</v>
      </c>
      <c r="F142" t="s">
        <v>185</v>
      </c>
      <c r="G142" t="s">
        <v>172</v>
      </c>
      <c r="H142" t="s">
        <v>220</v>
      </c>
      <c r="I142" t="s">
        <v>172</v>
      </c>
      <c r="J142" t="s">
        <v>231</v>
      </c>
      <c r="K142" t="s">
        <v>172</v>
      </c>
      <c r="M142" t="s">
        <v>232</v>
      </c>
      <c r="N142" t="s">
        <v>311</v>
      </c>
      <c r="O142" t="s">
        <v>172</v>
      </c>
      <c r="P142" t="s">
        <v>314</v>
      </c>
      <c r="Q142" t="s">
        <v>322</v>
      </c>
      <c r="T142" t="s">
        <v>461</v>
      </c>
      <c r="U142" t="s">
        <v>845</v>
      </c>
      <c r="V142" t="s">
        <v>195</v>
      </c>
      <c r="W142" t="s">
        <v>185</v>
      </c>
      <c r="X142" t="s">
        <v>1113</v>
      </c>
      <c r="Y142" t="s">
        <v>1246</v>
      </c>
      <c r="Z142">
        <v>2</v>
      </c>
      <c r="AA142" t="s">
        <v>1755</v>
      </c>
      <c r="AB142" t="s">
        <v>1786</v>
      </c>
      <c r="AC142">
        <v>10463</v>
      </c>
      <c r="AE142" t="s">
        <v>1920</v>
      </c>
      <c r="AF142">
        <v>7</v>
      </c>
      <c r="AG142" t="s">
        <v>2214</v>
      </c>
      <c r="AH142" t="s">
        <v>2220</v>
      </c>
      <c r="AI142" t="s">
        <v>233</v>
      </c>
      <c r="AJ142" t="s">
        <v>233</v>
      </c>
      <c r="AL142" t="s">
        <v>2230</v>
      </c>
      <c r="AM142" t="s">
        <v>2236</v>
      </c>
      <c r="AN142">
        <v>0</v>
      </c>
      <c r="AO142">
        <v>1783</v>
      </c>
      <c r="AP142">
        <v>0.8</v>
      </c>
      <c r="AQ142" t="s">
        <v>2242</v>
      </c>
      <c r="AR142" t="s">
        <v>2382</v>
      </c>
      <c r="AS142" t="s">
        <v>2821</v>
      </c>
      <c r="AT142">
        <v>0</v>
      </c>
      <c r="AV142">
        <v>5</v>
      </c>
      <c r="AW142">
        <v>0</v>
      </c>
      <c r="AX142">
        <v>68.84</v>
      </c>
      <c r="BB142" t="s">
        <v>3123</v>
      </c>
      <c r="BC142" t="s">
        <v>3130</v>
      </c>
      <c r="BD142">
        <v>20768.36</v>
      </c>
      <c r="BH142" t="s">
        <v>125</v>
      </c>
      <c r="BK142" t="s">
        <v>3198</v>
      </c>
      <c r="BL142" t="s">
        <v>185</v>
      </c>
      <c r="BM142" t="s">
        <v>311</v>
      </c>
    </row>
    <row r="143" spans="1:65">
      <c r="A143" s="1">
        <f>HYPERLINK("https://lsnyc.legalserver.org/matter/dynamic-profile/view/1903908","19-1903908")</f>
        <v>0</v>
      </c>
      <c r="B143" t="s">
        <v>65</v>
      </c>
      <c r="C143" t="s">
        <v>97</v>
      </c>
      <c r="D143" t="s">
        <v>170</v>
      </c>
      <c r="E143" t="s">
        <v>172</v>
      </c>
      <c r="F143" t="s">
        <v>186</v>
      </c>
      <c r="G143" t="s">
        <v>172</v>
      </c>
      <c r="H143" t="s">
        <v>220</v>
      </c>
      <c r="I143" t="s">
        <v>172</v>
      </c>
      <c r="J143" t="s">
        <v>231</v>
      </c>
      <c r="K143" t="s">
        <v>172</v>
      </c>
      <c r="M143" t="s">
        <v>232</v>
      </c>
      <c r="N143" t="s">
        <v>311</v>
      </c>
      <c r="O143" t="s">
        <v>172</v>
      </c>
      <c r="P143" t="s">
        <v>314</v>
      </c>
      <c r="Q143" t="s">
        <v>322</v>
      </c>
      <c r="T143" t="s">
        <v>462</v>
      </c>
      <c r="U143" t="s">
        <v>846</v>
      </c>
      <c r="V143" t="s">
        <v>186</v>
      </c>
      <c r="W143" t="s">
        <v>214</v>
      </c>
      <c r="X143" t="s">
        <v>1113</v>
      </c>
      <c r="Y143" t="s">
        <v>1247</v>
      </c>
      <c r="AA143" t="s">
        <v>1755</v>
      </c>
      <c r="AB143" t="s">
        <v>1786</v>
      </c>
      <c r="AC143">
        <v>10456</v>
      </c>
      <c r="AD143" t="s">
        <v>1793</v>
      </c>
      <c r="AE143" t="s">
        <v>1921</v>
      </c>
      <c r="AF143">
        <v>0</v>
      </c>
      <c r="AG143" t="s">
        <v>2214</v>
      </c>
      <c r="AH143" t="s">
        <v>2220</v>
      </c>
      <c r="AI143" t="s">
        <v>233</v>
      </c>
      <c r="AJ143" t="s">
        <v>233</v>
      </c>
      <c r="AL143" t="s">
        <v>2230</v>
      </c>
      <c r="AM143" t="s">
        <v>2236</v>
      </c>
      <c r="AN143">
        <v>0</v>
      </c>
      <c r="AO143">
        <v>909.17</v>
      </c>
      <c r="AP143">
        <v>1.45</v>
      </c>
      <c r="AQ143" t="s">
        <v>2242</v>
      </c>
      <c r="AR143" t="s">
        <v>2383</v>
      </c>
      <c r="AS143" t="s">
        <v>2822</v>
      </c>
      <c r="AT143">
        <v>46</v>
      </c>
      <c r="AV143">
        <v>1</v>
      </c>
      <c r="AW143">
        <v>0</v>
      </c>
      <c r="AX143">
        <v>187.35</v>
      </c>
      <c r="BB143" t="s">
        <v>252</v>
      </c>
      <c r="BC143" t="s">
        <v>3130</v>
      </c>
      <c r="BD143">
        <v>23400</v>
      </c>
      <c r="BH143" t="s">
        <v>3159</v>
      </c>
      <c r="BK143" t="s">
        <v>3198</v>
      </c>
      <c r="BL143" t="s">
        <v>214</v>
      </c>
      <c r="BM143" t="s">
        <v>311</v>
      </c>
    </row>
    <row r="144" spans="1:65">
      <c r="A144" s="1">
        <f>HYPERLINK("https://lsnyc.legalserver.org/matter/dynamic-profile/view/1905253","19-1905253")</f>
        <v>0</v>
      </c>
      <c r="B144" t="s">
        <v>65</v>
      </c>
      <c r="C144" t="s">
        <v>97</v>
      </c>
      <c r="D144" t="s">
        <v>170</v>
      </c>
      <c r="E144" t="s">
        <v>171</v>
      </c>
      <c r="G144" t="s">
        <v>172</v>
      </c>
      <c r="H144" t="s">
        <v>221</v>
      </c>
      <c r="I144" t="s">
        <v>172</v>
      </c>
      <c r="J144" t="s">
        <v>231</v>
      </c>
      <c r="K144" t="s">
        <v>234</v>
      </c>
      <c r="M144" t="s">
        <v>232</v>
      </c>
      <c r="N144" t="s">
        <v>252</v>
      </c>
      <c r="O144" t="s">
        <v>172</v>
      </c>
      <c r="P144" t="s">
        <v>314</v>
      </c>
      <c r="Q144" t="s">
        <v>322</v>
      </c>
      <c r="T144" t="s">
        <v>463</v>
      </c>
      <c r="U144" t="s">
        <v>847</v>
      </c>
      <c r="V144" t="s">
        <v>196</v>
      </c>
      <c r="W144" t="s">
        <v>175</v>
      </c>
      <c r="X144" t="s">
        <v>1113</v>
      </c>
      <c r="Y144" t="s">
        <v>1248</v>
      </c>
      <c r="Z144" t="s">
        <v>1645</v>
      </c>
      <c r="AA144" t="s">
        <v>1755</v>
      </c>
      <c r="AB144" t="s">
        <v>1786</v>
      </c>
      <c r="AC144">
        <v>10455</v>
      </c>
      <c r="AE144" t="s">
        <v>1922</v>
      </c>
      <c r="AF144">
        <v>3</v>
      </c>
      <c r="AG144" t="s">
        <v>2214</v>
      </c>
      <c r="AH144" t="s">
        <v>2220</v>
      </c>
      <c r="AI144" t="s">
        <v>233</v>
      </c>
      <c r="AJ144" t="s">
        <v>233</v>
      </c>
      <c r="AL144" t="s">
        <v>2230</v>
      </c>
      <c r="AM144" t="s">
        <v>2237</v>
      </c>
      <c r="AN144">
        <v>0</v>
      </c>
      <c r="AO144">
        <v>1518</v>
      </c>
      <c r="AP144">
        <v>0.3</v>
      </c>
      <c r="AQ144" t="s">
        <v>2242</v>
      </c>
      <c r="AR144" t="s">
        <v>2384</v>
      </c>
      <c r="AT144">
        <v>49</v>
      </c>
      <c r="AV144">
        <v>3</v>
      </c>
      <c r="AW144">
        <v>0</v>
      </c>
      <c r="AX144">
        <v>16.88</v>
      </c>
      <c r="BC144" t="s">
        <v>3131</v>
      </c>
      <c r="BD144">
        <v>3600</v>
      </c>
      <c r="BG144" t="s">
        <v>3140</v>
      </c>
      <c r="BH144" t="s">
        <v>125</v>
      </c>
      <c r="BK144" t="s">
        <v>3232</v>
      </c>
      <c r="BL144" t="s">
        <v>175</v>
      </c>
      <c r="BM144" t="s">
        <v>252</v>
      </c>
    </row>
    <row r="145" spans="1:65">
      <c r="A145" s="1">
        <f>HYPERLINK("https://lsnyc.legalserver.org/matter/dynamic-profile/view/1904413","19-1904413")</f>
        <v>0</v>
      </c>
      <c r="B145" t="s">
        <v>65</v>
      </c>
      <c r="C145" t="s">
        <v>97</v>
      </c>
      <c r="D145" t="s">
        <v>170</v>
      </c>
      <c r="E145" t="s">
        <v>171</v>
      </c>
      <c r="G145" t="s">
        <v>172</v>
      </c>
      <c r="H145" t="s">
        <v>221</v>
      </c>
      <c r="I145" t="s">
        <v>172</v>
      </c>
      <c r="J145" t="s">
        <v>231</v>
      </c>
      <c r="K145" t="s">
        <v>172</v>
      </c>
      <c r="M145" t="s">
        <v>232</v>
      </c>
      <c r="N145" t="s">
        <v>311</v>
      </c>
      <c r="O145" t="s">
        <v>172</v>
      </c>
      <c r="P145" t="s">
        <v>314</v>
      </c>
      <c r="Q145" t="s">
        <v>322</v>
      </c>
      <c r="T145" t="s">
        <v>464</v>
      </c>
      <c r="U145" t="s">
        <v>848</v>
      </c>
      <c r="V145" t="s">
        <v>174</v>
      </c>
      <c r="W145" t="s">
        <v>214</v>
      </c>
      <c r="X145" t="s">
        <v>1113</v>
      </c>
      <c r="Y145" t="s">
        <v>1249</v>
      </c>
      <c r="Z145">
        <v>2</v>
      </c>
      <c r="AA145" t="s">
        <v>1755</v>
      </c>
      <c r="AB145" t="s">
        <v>1786</v>
      </c>
      <c r="AC145">
        <v>10461</v>
      </c>
      <c r="AD145" t="s">
        <v>1790</v>
      </c>
      <c r="AE145" t="s">
        <v>1923</v>
      </c>
      <c r="AF145">
        <v>1</v>
      </c>
      <c r="AG145" t="s">
        <v>2214</v>
      </c>
      <c r="AH145" t="s">
        <v>2220</v>
      </c>
      <c r="AI145" t="s">
        <v>233</v>
      </c>
      <c r="AL145" t="s">
        <v>2230</v>
      </c>
      <c r="AM145" t="s">
        <v>2237</v>
      </c>
      <c r="AN145">
        <v>0</v>
      </c>
      <c r="AO145">
        <v>1900</v>
      </c>
      <c r="AP145">
        <v>0.4</v>
      </c>
      <c r="AQ145" t="s">
        <v>2242</v>
      </c>
      <c r="AR145" t="s">
        <v>2385</v>
      </c>
      <c r="AS145" t="s">
        <v>2823</v>
      </c>
      <c r="AT145">
        <v>3</v>
      </c>
      <c r="AU145" t="s">
        <v>3108</v>
      </c>
      <c r="AV145">
        <v>2</v>
      </c>
      <c r="AW145">
        <v>1</v>
      </c>
      <c r="AX145">
        <v>48.76</v>
      </c>
      <c r="BC145" t="s">
        <v>3130</v>
      </c>
      <c r="BD145">
        <v>10400</v>
      </c>
      <c r="BH145" t="s">
        <v>3160</v>
      </c>
      <c r="BK145" t="s">
        <v>3198</v>
      </c>
      <c r="BL145" t="s">
        <v>214</v>
      </c>
      <c r="BM145" t="s">
        <v>311</v>
      </c>
    </row>
    <row r="146" spans="1:65">
      <c r="A146" s="1">
        <f>HYPERLINK("https://lsnyc.legalserver.org/matter/dynamic-profile/view/1908054","19-1908054")</f>
        <v>0</v>
      </c>
      <c r="B146" t="s">
        <v>65</v>
      </c>
      <c r="C146" t="s">
        <v>97</v>
      </c>
      <c r="D146" t="s">
        <v>170</v>
      </c>
      <c r="E146" t="s">
        <v>171</v>
      </c>
      <c r="G146" t="s">
        <v>172</v>
      </c>
      <c r="H146" t="s">
        <v>220</v>
      </c>
      <c r="I146" t="s">
        <v>230</v>
      </c>
      <c r="J146" t="s">
        <v>233</v>
      </c>
      <c r="K146" t="s">
        <v>172</v>
      </c>
      <c r="L146" t="s">
        <v>261</v>
      </c>
      <c r="M146" t="s">
        <v>232</v>
      </c>
      <c r="O146" t="s">
        <v>172</v>
      </c>
      <c r="P146" t="s">
        <v>316</v>
      </c>
      <c r="Q146" t="s">
        <v>321</v>
      </c>
      <c r="T146" t="s">
        <v>465</v>
      </c>
      <c r="U146" t="s">
        <v>849</v>
      </c>
      <c r="V146" t="s">
        <v>1098</v>
      </c>
      <c r="X146" t="s">
        <v>1112</v>
      </c>
      <c r="Y146" t="s">
        <v>1250</v>
      </c>
      <c r="Z146" t="s">
        <v>1646</v>
      </c>
      <c r="AA146" t="s">
        <v>1755</v>
      </c>
      <c r="AB146" t="s">
        <v>1786</v>
      </c>
      <c r="AC146">
        <v>10454</v>
      </c>
      <c r="AD146" t="s">
        <v>1788</v>
      </c>
      <c r="AE146" t="s">
        <v>1924</v>
      </c>
      <c r="AF146">
        <v>4</v>
      </c>
      <c r="AH146" t="s">
        <v>2220</v>
      </c>
      <c r="AI146" t="s">
        <v>233</v>
      </c>
      <c r="AL146" t="s">
        <v>2230</v>
      </c>
      <c r="AM146" t="s">
        <v>2238</v>
      </c>
      <c r="AN146">
        <v>0</v>
      </c>
      <c r="AO146">
        <v>2097</v>
      </c>
      <c r="AP146">
        <v>6</v>
      </c>
      <c r="AR146" t="s">
        <v>2386</v>
      </c>
      <c r="AS146" t="s">
        <v>2824</v>
      </c>
      <c r="AT146">
        <v>0</v>
      </c>
      <c r="AU146" t="s">
        <v>3106</v>
      </c>
      <c r="AV146">
        <v>2</v>
      </c>
      <c r="AW146">
        <v>2</v>
      </c>
      <c r="AX146">
        <v>70.61</v>
      </c>
      <c r="BB146" t="s">
        <v>3123</v>
      </c>
      <c r="BC146" t="s">
        <v>3130</v>
      </c>
      <c r="BD146">
        <v>18181</v>
      </c>
      <c r="BH146" t="s">
        <v>3159</v>
      </c>
      <c r="BK146" t="s">
        <v>3233</v>
      </c>
      <c r="BL146" t="s">
        <v>3119</v>
      </c>
    </row>
    <row r="147" spans="1:65">
      <c r="A147" s="1">
        <f>HYPERLINK("https://lsnyc.legalserver.org/matter/dynamic-profile/view/1905513","19-1905513")</f>
        <v>0</v>
      </c>
      <c r="B147" t="s">
        <v>65</v>
      </c>
      <c r="C147" t="s">
        <v>97</v>
      </c>
      <c r="D147" t="s">
        <v>170</v>
      </c>
      <c r="E147" t="s">
        <v>171</v>
      </c>
      <c r="G147" t="s">
        <v>219</v>
      </c>
      <c r="I147" t="s">
        <v>172</v>
      </c>
      <c r="J147" t="s">
        <v>231</v>
      </c>
      <c r="K147" t="s">
        <v>172</v>
      </c>
      <c r="M147" t="s">
        <v>232</v>
      </c>
      <c r="N147" t="s">
        <v>311</v>
      </c>
      <c r="O147" t="s">
        <v>172</v>
      </c>
      <c r="P147" t="s">
        <v>314</v>
      </c>
      <c r="Q147" t="s">
        <v>322</v>
      </c>
      <c r="T147" t="s">
        <v>466</v>
      </c>
      <c r="U147" t="s">
        <v>850</v>
      </c>
      <c r="V147" t="s">
        <v>217</v>
      </c>
      <c r="W147" t="s">
        <v>175</v>
      </c>
      <c r="X147" t="s">
        <v>1113</v>
      </c>
      <c r="Y147" t="s">
        <v>1251</v>
      </c>
      <c r="Z147" t="s">
        <v>1647</v>
      </c>
      <c r="AA147" t="s">
        <v>1755</v>
      </c>
      <c r="AB147" t="s">
        <v>1786</v>
      </c>
      <c r="AC147">
        <v>10457</v>
      </c>
      <c r="AD147" t="s">
        <v>1790</v>
      </c>
      <c r="AF147">
        <v>10</v>
      </c>
      <c r="AG147" t="s">
        <v>2214</v>
      </c>
      <c r="AH147" t="s">
        <v>2221</v>
      </c>
      <c r="AI147" t="s">
        <v>233</v>
      </c>
      <c r="AL147" t="s">
        <v>2230</v>
      </c>
      <c r="AN147">
        <v>0</v>
      </c>
      <c r="AO147">
        <v>712.42</v>
      </c>
      <c r="AP147">
        <v>0.3</v>
      </c>
      <c r="AQ147" t="s">
        <v>2242</v>
      </c>
      <c r="AR147" t="s">
        <v>2387</v>
      </c>
      <c r="AS147" t="s">
        <v>2825</v>
      </c>
      <c r="AT147">
        <v>40</v>
      </c>
      <c r="AV147">
        <v>1</v>
      </c>
      <c r="AW147">
        <v>0</v>
      </c>
      <c r="AX147">
        <v>304.24</v>
      </c>
      <c r="BD147">
        <v>38000</v>
      </c>
      <c r="BH147" t="s">
        <v>125</v>
      </c>
      <c r="BK147" t="s">
        <v>3198</v>
      </c>
      <c r="BL147" t="s">
        <v>175</v>
      </c>
      <c r="BM147" t="s">
        <v>311</v>
      </c>
    </row>
    <row r="148" spans="1:65">
      <c r="A148" s="1">
        <f>HYPERLINK("https://lsnyc.legalserver.org/matter/dynamic-profile/view/1907111","19-1907111")</f>
        <v>0</v>
      </c>
      <c r="B148" t="s">
        <v>65</v>
      </c>
      <c r="C148" t="s">
        <v>97</v>
      </c>
      <c r="D148" t="s">
        <v>170</v>
      </c>
      <c r="E148" t="s">
        <v>172</v>
      </c>
      <c r="F148" t="s">
        <v>183</v>
      </c>
      <c r="G148" t="s">
        <v>172</v>
      </c>
      <c r="H148" t="s">
        <v>220</v>
      </c>
      <c r="I148" t="s">
        <v>172</v>
      </c>
      <c r="J148" t="s">
        <v>231</v>
      </c>
      <c r="K148" t="s">
        <v>172</v>
      </c>
      <c r="M148" t="s">
        <v>232</v>
      </c>
      <c r="N148" t="s">
        <v>311</v>
      </c>
      <c r="O148" t="s">
        <v>172</v>
      </c>
      <c r="P148" t="s">
        <v>314</v>
      </c>
      <c r="Q148" t="s">
        <v>322</v>
      </c>
      <c r="T148" t="s">
        <v>467</v>
      </c>
      <c r="U148" t="s">
        <v>851</v>
      </c>
      <c r="V148" t="s">
        <v>183</v>
      </c>
      <c r="W148" t="s">
        <v>1108</v>
      </c>
      <c r="X148" t="s">
        <v>1113</v>
      </c>
      <c r="Y148" t="s">
        <v>1252</v>
      </c>
      <c r="AA148" t="s">
        <v>1755</v>
      </c>
      <c r="AB148" t="s">
        <v>1786</v>
      </c>
      <c r="AC148">
        <v>10456</v>
      </c>
      <c r="AD148" t="s">
        <v>1790</v>
      </c>
      <c r="AE148" t="s">
        <v>1925</v>
      </c>
      <c r="AF148">
        <v>27</v>
      </c>
      <c r="AG148" t="s">
        <v>2214</v>
      </c>
      <c r="AH148" t="s">
        <v>2220</v>
      </c>
      <c r="AI148" t="s">
        <v>233</v>
      </c>
      <c r="AJ148" t="s">
        <v>233</v>
      </c>
      <c r="AL148" t="s">
        <v>2230</v>
      </c>
      <c r="AM148" t="s">
        <v>2236</v>
      </c>
      <c r="AN148">
        <v>0</v>
      </c>
      <c r="AO148">
        <v>783</v>
      </c>
      <c r="AP148">
        <v>0.5</v>
      </c>
      <c r="AQ148" t="s">
        <v>2242</v>
      </c>
      <c r="AR148" t="s">
        <v>2388</v>
      </c>
      <c r="AS148" t="s">
        <v>2826</v>
      </c>
      <c r="AT148">
        <v>30</v>
      </c>
      <c r="AV148">
        <v>2</v>
      </c>
      <c r="AW148">
        <v>0</v>
      </c>
      <c r="AX148">
        <v>65.29000000000001</v>
      </c>
      <c r="BC148" t="s">
        <v>3130</v>
      </c>
      <c r="BD148">
        <v>11040</v>
      </c>
      <c r="BH148" t="s">
        <v>125</v>
      </c>
      <c r="BK148" t="s">
        <v>3224</v>
      </c>
      <c r="BL148" t="s">
        <v>3275</v>
      </c>
      <c r="BM148" t="s">
        <v>311</v>
      </c>
    </row>
    <row r="149" spans="1:65">
      <c r="A149" s="1">
        <f>HYPERLINK("https://lsnyc.legalserver.org/matter/dynamic-profile/view/1904917","19-1904917")</f>
        <v>0</v>
      </c>
      <c r="B149" t="s">
        <v>65</v>
      </c>
      <c r="C149" t="s">
        <v>97</v>
      </c>
      <c r="D149" t="s">
        <v>170</v>
      </c>
      <c r="E149" t="s">
        <v>172</v>
      </c>
      <c r="F149" t="s">
        <v>187</v>
      </c>
      <c r="G149" t="s">
        <v>172</v>
      </c>
      <c r="H149" t="s">
        <v>220</v>
      </c>
      <c r="I149" t="s">
        <v>172</v>
      </c>
      <c r="J149" t="s">
        <v>231</v>
      </c>
      <c r="K149" t="s">
        <v>172</v>
      </c>
      <c r="M149" t="s">
        <v>232</v>
      </c>
      <c r="N149" t="s">
        <v>311</v>
      </c>
      <c r="O149" t="s">
        <v>172</v>
      </c>
      <c r="P149" t="s">
        <v>314</v>
      </c>
      <c r="Q149" t="s">
        <v>322</v>
      </c>
      <c r="T149" t="s">
        <v>468</v>
      </c>
      <c r="U149" t="s">
        <v>852</v>
      </c>
      <c r="V149" t="s">
        <v>187</v>
      </c>
      <c r="W149" t="s">
        <v>180</v>
      </c>
      <c r="X149" t="s">
        <v>1113</v>
      </c>
      <c r="Y149" t="s">
        <v>1253</v>
      </c>
      <c r="Z149" t="s">
        <v>1571</v>
      </c>
      <c r="AA149" t="s">
        <v>1755</v>
      </c>
      <c r="AB149" t="s">
        <v>1786</v>
      </c>
      <c r="AC149">
        <v>10463</v>
      </c>
      <c r="AD149" t="s">
        <v>1790</v>
      </c>
      <c r="AE149" t="s">
        <v>1926</v>
      </c>
      <c r="AF149">
        <v>25</v>
      </c>
      <c r="AG149" t="s">
        <v>2214</v>
      </c>
      <c r="AH149" t="s">
        <v>2220</v>
      </c>
      <c r="AI149" t="s">
        <v>233</v>
      </c>
      <c r="AJ149" t="s">
        <v>233</v>
      </c>
      <c r="AL149" t="s">
        <v>2230</v>
      </c>
      <c r="AM149" t="s">
        <v>2236</v>
      </c>
      <c r="AN149">
        <v>0</v>
      </c>
      <c r="AO149">
        <v>1160</v>
      </c>
      <c r="AP149">
        <v>3.5</v>
      </c>
      <c r="AQ149" t="s">
        <v>2242</v>
      </c>
      <c r="AR149" t="s">
        <v>2389</v>
      </c>
      <c r="AT149">
        <v>110</v>
      </c>
      <c r="AU149" t="s">
        <v>3105</v>
      </c>
      <c r="AV149">
        <v>1</v>
      </c>
      <c r="AW149">
        <v>0</v>
      </c>
      <c r="AX149">
        <v>86.47</v>
      </c>
      <c r="BD149">
        <v>10800</v>
      </c>
      <c r="BH149" t="s">
        <v>125</v>
      </c>
      <c r="BK149" t="s">
        <v>3215</v>
      </c>
      <c r="BL149" t="s">
        <v>196</v>
      </c>
      <c r="BM149" t="s">
        <v>311</v>
      </c>
    </row>
    <row r="150" spans="1:65">
      <c r="A150" s="1">
        <f>HYPERLINK("https://lsnyc.legalserver.org/matter/dynamic-profile/view/1905500","19-1905500")</f>
        <v>0</v>
      </c>
      <c r="B150" t="s">
        <v>65</v>
      </c>
      <c r="C150" t="s">
        <v>97</v>
      </c>
      <c r="D150" t="s">
        <v>170</v>
      </c>
      <c r="E150" t="s">
        <v>172</v>
      </c>
      <c r="F150" t="s">
        <v>178</v>
      </c>
      <c r="G150" t="s">
        <v>172</v>
      </c>
      <c r="H150" t="s">
        <v>221</v>
      </c>
      <c r="I150" t="s">
        <v>172</v>
      </c>
      <c r="J150" t="s">
        <v>231</v>
      </c>
      <c r="K150" t="s">
        <v>172</v>
      </c>
      <c r="M150" t="s">
        <v>232</v>
      </c>
      <c r="N150" t="s">
        <v>311</v>
      </c>
      <c r="O150" t="s">
        <v>172</v>
      </c>
      <c r="P150" t="s">
        <v>314</v>
      </c>
      <c r="Q150" t="s">
        <v>322</v>
      </c>
      <c r="T150" t="s">
        <v>348</v>
      </c>
      <c r="U150" t="s">
        <v>853</v>
      </c>
      <c r="V150" t="s">
        <v>217</v>
      </c>
      <c r="W150" t="s">
        <v>192</v>
      </c>
      <c r="X150" t="s">
        <v>1113</v>
      </c>
      <c r="Y150" t="s">
        <v>1254</v>
      </c>
      <c r="Z150" t="s">
        <v>1644</v>
      </c>
      <c r="AA150" t="s">
        <v>1755</v>
      </c>
      <c r="AB150" t="s">
        <v>1786</v>
      </c>
      <c r="AC150">
        <v>10466</v>
      </c>
      <c r="AD150" t="s">
        <v>1790</v>
      </c>
      <c r="AE150" t="s">
        <v>1927</v>
      </c>
      <c r="AF150">
        <v>17</v>
      </c>
      <c r="AG150" t="s">
        <v>2214</v>
      </c>
      <c r="AH150" t="s">
        <v>2220</v>
      </c>
      <c r="AI150" t="s">
        <v>233</v>
      </c>
      <c r="AJ150" t="s">
        <v>233</v>
      </c>
      <c r="AL150" t="s">
        <v>2230</v>
      </c>
      <c r="AM150" t="s">
        <v>2236</v>
      </c>
      <c r="AN150">
        <v>0</v>
      </c>
      <c r="AO150">
        <v>1398.51</v>
      </c>
      <c r="AP150">
        <v>0.5</v>
      </c>
      <c r="AQ150" t="s">
        <v>2242</v>
      </c>
      <c r="AR150" t="s">
        <v>2390</v>
      </c>
      <c r="AS150" t="s">
        <v>2827</v>
      </c>
      <c r="AT150">
        <v>50</v>
      </c>
      <c r="AU150" t="s">
        <v>3106</v>
      </c>
      <c r="AV150">
        <v>3</v>
      </c>
      <c r="AW150">
        <v>1</v>
      </c>
      <c r="AX150">
        <v>134.21</v>
      </c>
      <c r="BC150" t="s">
        <v>3130</v>
      </c>
      <c r="BD150">
        <v>34560</v>
      </c>
      <c r="BH150" t="s">
        <v>125</v>
      </c>
      <c r="BK150" t="s">
        <v>3234</v>
      </c>
      <c r="BL150" t="s">
        <v>199</v>
      </c>
      <c r="BM150" t="s">
        <v>311</v>
      </c>
    </row>
    <row r="151" spans="1:65">
      <c r="A151" s="1">
        <f>HYPERLINK("https://lsnyc.legalserver.org/matter/dynamic-profile/view/1908380","19-1908380")</f>
        <v>0</v>
      </c>
      <c r="B151" t="s">
        <v>65</v>
      </c>
      <c r="C151" t="s">
        <v>97</v>
      </c>
      <c r="D151" t="s">
        <v>170</v>
      </c>
      <c r="E151" t="s">
        <v>172</v>
      </c>
      <c r="F151" t="s">
        <v>188</v>
      </c>
      <c r="G151" t="s">
        <v>172</v>
      </c>
      <c r="H151" t="s">
        <v>220</v>
      </c>
      <c r="I151" t="s">
        <v>172</v>
      </c>
      <c r="J151" t="s">
        <v>231</v>
      </c>
      <c r="K151" t="s">
        <v>172</v>
      </c>
      <c r="M151" t="s">
        <v>232</v>
      </c>
      <c r="N151" t="s">
        <v>311</v>
      </c>
      <c r="O151" t="s">
        <v>172</v>
      </c>
      <c r="P151" t="s">
        <v>314</v>
      </c>
      <c r="Q151" t="s">
        <v>322</v>
      </c>
      <c r="T151" t="s">
        <v>469</v>
      </c>
      <c r="U151" t="s">
        <v>854</v>
      </c>
      <c r="V151" t="s">
        <v>194</v>
      </c>
      <c r="W151" t="s">
        <v>1109</v>
      </c>
      <c r="X151" t="s">
        <v>1113</v>
      </c>
      <c r="Y151" t="s">
        <v>1255</v>
      </c>
      <c r="AA151" t="s">
        <v>1755</v>
      </c>
      <c r="AB151" t="s">
        <v>1786</v>
      </c>
      <c r="AC151">
        <v>10461</v>
      </c>
      <c r="AD151" t="s">
        <v>1790</v>
      </c>
      <c r="AE151" t="s">
        <v>1928</v>
      </c>
      <c r="AF151">
        <v>42</v>
      </c>
      <c r="AG151" t="s">
        <v>2214</v>
      </c>
      <c r="AH151" t="s">
        <v>2220</v>
      </c>
      <c r="AI151" t="s">
        <v>233</v>
      </c>
      <c r="AJ151" t="s">
        <v>233</v>
      </c>
      <c r="AL151" t="s">
        <v>2230</v>
      </c>
      <c r="AM151" t="s">
        <v>2237</v>
      </c>
      <c r="AN151">
        <v>0</v>
      </c>
      <c r="AO151">
        <v>0</v>
      </c>
      <c r="AP151">
        <v>2.4</v>
      </c>
      <c r="AQ151" t="s">
        <v>2242</v>
      </c>
      <c r="AR151" t="s">
        <v>2391</v>
      </c>
      <c r="AS151" t="s">
        <v>2828</v>
      </c>
      <c r="AT151">
        <v>2</v>
      </c>
      <c r="AU151" t="s">
        <v>3108</v>
      </c>
      <c r="AV151">
        <v>1</v>
      </c>
      <c r="AW151">
        <v>0</v>
      </c>
      <c r="AX151">
        <v>105.68</v>
      </c>
      <c r="BB151" t="s">
        <v>252</v>
      </c>
      <c r="BC151" t="s">
        <v>3134</v>
      </c>
      <c r="BD151">
        <v>13200</v>
      </c>
      <c r="BH151" t="s">
        <v>3159</v>
      </c>
      <c r="BK151" t="s">
        <v>3207</v>
      </c>
      <c r="BL151" t="s">
        <v>1109</v>
      </c>
      <c r="BM151" t="s">
        <v>311</v>
      </c>
    </row>
    <row r="152" spans="1:65">
      <c r="A152" s="1">
        <f>HYPERLINK("https://lsnyc.legalserver.org/matter/dynamic-profile/view/1908052","19-1908052")</f>
        <v>0</v>
      </c>
      <c r="B152" t="s">
        <v>65</v>
      </c>
      <c r="C152" t="s">
        <v>97</v>
      </c>
      <c r="D152" t="s">
        <v>170</v>
      </c>
      <c r="E152" t="s">
        <v>171</v>
      </c>
      <c r="G152" t="s">
        <v>172</v>
      </c>
      <c r="H152" t="s">
        <v>221</v>
      </c>
      <c r="I152" t="s">
        <v>172</v>
      </c>
      <c r="J152" t="s">
        <v>231</v>
      </c>
      <c r="K152" t="s">
        <v>172</v>
      </c>
      <c r="L152" t="s">
        <v>262</v>
      </c>
      <c r="M152" t="s">
        <v>232</v>
      </c>
      <c r="N152" t="s">
        <v>311</v>
      </c>
      <c r="O152" t="s">
        <v>172</v>
      </c>
      <c r="P152" t="s">
        <v>314</v>
      </c>
      <c r="Q152" t="s">
        <v>321</v>
      </c>
      <c r="T152" t="s">
        <v>470</v>
      </c>
      <c r="U152" t="s">
        <v>855</v>
      </c>
      <c r="V152" t="s">
        <v>1098</v>
      </c>
      <c r="X152" t="s">
        <v>1112</v>
      </c>
      <c r="Y152" t="s">
        <v>1256</v>
      </c>
      <c r="Z152">
        <v>30</v>
      </c>
      <c r="AA152" t="s">
        <v>1755</v>
      </c>
      <c r="AB152" t="s">
        <v>1786</v>
      </c>
      <c r="AC152">
        <v>10458</v>
      </c>
      <c r="AD152" t="s">
        <v>1787</v>
      </c>
      <c r="AE152" t="s">
        <v>1929</v>
      </c>
      <c r="AF152">
        <v>1</v>
      </c>
      <c r="AH152" t="s">
        <v>2220</v>
      </c>
      <c r="AI152" t="s">
        <v>233</v>
      </c>
      <c r="AJ152" t="s">
        <v>233</v>
      </c>
      <c r="AL152" t="s">
        <v>2230</v>
      </c>
      <c r="AN152">
        <v>0</v>
      </c>
      <c r="AO152">
        <v>1827</v>
      </c>
      <c r="AP152">
        <v>0.3</v>
      </c>
      <c r="AR152" t="s">
        <v>2392</v>
      </c>
      <c r="AS152" t="s">
        <v>2829</v>
      </c>
      <c r="AT152">
        <v>30</v>
      </c>
      <c r="AU152" t="s">
        <v>3106</v>
      </c>
      <c r="AV152">
        <v>1</v>
      </c>
      <c r="AW152">
        <v>0</v>
      </c>
      <c r="AX152">
        <v>89.67</v>
      </c>
      <c r="BD152">
        <v>11200</v>
      </c>
      <c r="BH152" t="s">
        <v>125</v>
      </c>
      <c r="BK152" t="s">
        <v>3198</v>
      </c>
      <c r="BL152" t="s">
        <v>1111</v>
      </c>
      <c r="BM152" t="s">
        <v>311</v>
      </c>
    </row>
    <row r="153" spans="1:65">
      <c r="A153" s="1">
        <f>HYPERLINK("https://lsnyc.legalserver.org/matter/dynamic-profile/view/1907737","19-1907737")</f>
        <v>0</v>
      </c>
      <c r="B153" t="s">
        <v>65</v>
      </c>
      <c r="C153" t="s">
        <v>98</v>
      </c>
      <c r="D153" t="s">
        <v>170</v>
      </c>
      <c r="E153" t="s">
        <v>171</v>
      </c>
      <c r="G153" t="s">
        <v>172</v>
      </c>
      <c r="H153" t="s">
        <v>220</v>
      </c>
      <c r="I153" t="s">
        <v>172</v>
      </c>
      <c r="J153" t="s">
        <v>231</v>
      </c>
      <c r="K153" t="s">
        <v>172</v>
      </c>
      <c r="M153" t="s">
        <v>232</v>
      </c>
      <c r="N153" t="s">
        <v>311</v>
      </c>
      <c r="O153" t="s">
        <v>313</v>
      </c>
      <c r="P153" t="s">
        <v>315</v>
      </c>
      <c r="Q153" t="s">
        <v>321</v>
      </c>
      <c r="T153" t="s">
        <v>471</v>
      </c>
      <c r="U153" t="s">
        <v>856</v>
      </c>
      <c r="V153" t="s">
        <v>177</v>
      </c>
      <c r="X153" t="s">
        <v>1112</v>
      </c>
      <c r="Y153" t="s">
        <v>1257</v>
      </c>
      <c r="Z153" t="s">
        <v>1648</v>
      </c>
      <c r="AA153" t="s">
        <v>1755</v>
      </c>
      <c r="AB153" t="s">
        <v>1786</v>
      </c>
      <c r="AC153">
        <v>10469</v>
      </c>
      <c r="AD153" t="s">
        <v>1791</v>
      </c>
      <c r="AE153" t="s">
        <v>1930</v>
      </c>
      <c r="AF153">
        <v>11</v>
      </c>
      <c r="AH153" t="s">
        <v>2220</v>
      </c>
      <c r="AI153" t="s">
        <v>233</v>
      </c>
      <c r="AJ153" t="s">
        <v>233</v>
      </c>
      <c r="AL153" t="s">
        <v>2230</v>
      </c>
      <c r="AM153" t="s">
        <v>2237</v>
      </c>
      <c r="AN153">
        <v>0</v>
      </c>
      <c r="AO153">
        <v>1100</v>
      </c>
      <c r="AP153">
        <v>1.8</v>
      </c>
      <c r="AR153" t="s">
        <v>2393</v>
      </c>
      <c r="AS153" t="s">
        <v>2830</v>
      </c>
      <c r="AT153">
        <v>2</v>
      </c>
      <c r="AU153" t="s">
        <v>3113</v>
      </c>
      <c r="AV153">
        <v>2</v>
      </c>
      <c r="AW153">
        <v>0</v>
      </c>
      <c r="AX153">
        <v>180.6</v>
      </c>
      <c r="BB153" t="s">
        <v>252</v>
      </c>
      <c r="BC153" t="s">
        <v>3130</v>
      </c>
      <c r="BD153">
        <v>30540</v>
      </c>
      <c r="BH153" t="s">
        <v>125</v>
      </c>
      <c r="BK153" t="s">
        <v>3203</v>
      </c>
      <c r="BL153" t="s">
        <v>194</v>
      </c>
      <c r="BM153" t="s">
        <v>311</v>
      </c>
    </row>
    <row r="154" spans="1:65">
      <c r="A154" s="1">
        <f>HYPERLINK("https://lsnyc.legalserver.org/matter/dynamic-profile/view/1903892","19-1903892")</f>
        <v>0</v>
      </c>
      <c r="B154" t="s">
        <v>65</v>
      </c>
      <c r="C154" t="s">
        <v>98</v>
      </c>
      <c r="D154" t="s">
        <v>170</v>
      </c>
      <c r="E154" t="s">
        <v>171</v>
      </c>
      <c r="G154" t="s">
        <v>172</v>
      </c>
      <c r="H154" t="s">
        <v>221</v>
      </c>
      <c r="I154" t="s">
        <v>230</v>
      </c>
      <c r="J154" t="s">
        <v>232</v>
      </c>
      <c r="K154" t="s">
        <v>234</v>
      </c>
      <c r="M154" t="s">
        <v>232</v>
      </c>
      <c r="O154" t="s">
        <v>172</v>
      </c>
      <c r="P154" t="s">
        <v>316</v>
      </c>
      <c r="Q154" t="s">
        <v>172</v>
      </c>
      <c r="R154" t="s">
        <v>324</v>
      </c>
      <c r="S154" t="s">
        <v>333</v>
      </c>
      <c r="T154" t="s">
        <v>472</v>
      </c>
      <c r="U154" t="s">
        <v>857</v>
      </c>
      <c r="V154" t="s">
        <v>186</v>
      </c>
      <c r="W154" t="s">
        <v>1109</v>
      </c>
      <c r="X154" t="s">
        <v>1113</v>
      </c>
      <c r="Y154" t="s">
        <v>1258</v>
      </c>
      <c r="Z154" t="s">
        <v>1649</v>
      </c>
      <c r="AA154" t="s">
        <v>1755</v>
      </c>
      <c r="AB154" t="s">
        <v>1786</v>
      </c>
      <c r="AC154">
        <v>10453</v>
      </c>
      <c r="AD154" t="s">
        <v>1788</v>
      </c>
      <c r="AE154" t="s">
        <v>1931</v>
      </c>
      <c r="AF154">
        <v>9</v>
      </c>
      <c r="AG154" t="s">
        <v>2215</v>
      </c>
      <c r="AH154" t="s">
        <v>2220</v>
      </c>
      <c r="AI154" t="s">
        <v>233</v>
      </c>
      <c r="AL154" t="s">
        <v>2230</v>
      </c>
      <c r="AM154" t="s">
        <v>2239</v>
      </c>
      <c r="AN154">
        <v>0</v>
      </c>
      <c r="AO154">
        <v>338.1</v>
      </c>
      <c r="AP154">
        <v>12.65</v>
      </c>
      <c r="AQ154" t="s">
        <v>2244</v>
      </c>
      <c r="AR154" t="s">
        <v>2394</v>
      </c>
      <c r="AS154" t="s">
        <v>2831</v>
      </c>
      <c r="AT154">
        <v>30</v>
      </c>
      <c r="AU154" t="s">
        <v>3114</v>
      </c>
      <c r="AV154">
        <v>1</v>
      </c>
      <c r="AW154">
        <v>0</v>
      </c>
      <c r="AX154">
        <v>108.28</v>
      </c>
      <c r="BB154" t="s">
        <v>1793</v>
      </c>
      <c r="BC154" t="s">
        <v>3130</v>
      </c>
      <c r="BD154">
        <v>13524</v>
      </c>
      <c r="BH154" t="s">
        <v>3161</v>
      </c>
      <c r="BI154" t="s">
        <v>3188</v>
      </c>
      <c r="BJ154" t="s">
        <v>3189</v>
      </c>
      <c r="BK154" t="s">
        <v>3235</v>
      </c>
      <c r="BL154" t="s">
        <v>206</v>
      </c>
    </row>
    <row r="155" spans="1:65">
      <c r="A155" s="1">
        <f>HYPERLINK("https://lsnyc.legalserver.org/matter/dynamic-profile/view/1907316","19-1907316")</f>
        <v>0</v>
      </c>
      <c r="B155" t="s">
        <v>65</v>
      </c>
      <c r="C155" t="s">
        <v>98</v>
      </c>
      <c r="D155" t="s">
        <v>170</v>
      </c>
      <c r="E155" t="s">
        <v>171</v>
      </c>
      <c r="G155" t="s">
        <v>172</v>
      </c>
      <c r="H155" t="s">
        <v>220</v>
      </c>
      <c r="I155" t="s">
        <v>172</v>
      </c>
      <c r="J155" t="s">
        <v>231</v>
      </c>
      <c r="K155" t="s">
        <v>172</v>
      </c>
      <c r="M155" t="s">
        <v>232</v>
      </c>
      <c r="N155" t="s">
        <v>311</v>
      </c>
      <c r="O155" t="s">
        <v>313</v>
      </c>
      <c r="P155" t="s">
        <v>315</v>
      </c>
      <c r="Q155" t="s">
        <v>321</v>
      </c>
      <c r="T155" t="s">
        <v>473</v>
      </c>
      <c r="U155" t="s">
        <v>858</v>
      </c>
      <c r="V155" t="s">
        <v>193</v>
      </c>
      <c r="X155" t="s">
        <v>1112</v>
      </c>
      <c r="Y155" t="s">
        <v>1259</v>
      </c>
      <c r="Z155" t="s">
        <v>1650</v>
      </c>
      <c r="AA155" t="s">
        <v>1755</v>
      </c>
      <c r="AB155" t="s">
        <v>1786</v>
      </c>
      <c r="AC155">
        <v>10456</v>
      </c>
      <c r="AD155" t="s">
        <v>1790</v>
      </c>
      <c r="AE155" t="s">
        <v>1932</v>
      </c>
      <c r="AF155">
        <v>20</v>
      </c>
      <c r="AH155" t="s">
        <v>2220</v>
      </c>
      <c r="AI155" t="s">
        <v>233</v>
      </c>
      <c r="AJ155" t="s">
        <v>233</v>
      </c>
      <c r="AL155" t="s">
        <v>2231</v>
      </c>
      <c r="AM155" t="s">
        <v>2238</v>
      </c>
      <c r="AN155">
        <v>0</v>
      </c>
      <c r="AO155">
        <v>408</v>
      </c>
      <c r="AP155">
        <v>2.3</v>
      </c>
      <c r="AR155" t="s">
        <v>2305</v>
      </c>
      <c r="AS155" t="s">
        <v>2832</v>
      </c>
      <c r="AT155">
        <v>607</v>
      </c>
      <c r="AU155" t="s">
        <v>3107</v>
      </c>
      <c r="AV155">
        <v>1</v>
      </c>
      <c r="AW155">
        <v>0</v>
      </c>
      <c r="AX155">
        <v>119.04</v>
      </c>
      <c r="BB155" t="s">
        <v>1793</v>
      </c>
      <c r="BC155" t="s">
        <v>3130</v>
      </c>
      <c r="BD155">
        <v>14868</v>
      </c>
      <c r="BH155" t="s">
        <v>3162</v>
      </c>
      <c r="BK155" t="s">
        <v>3215</v>
      </c>
      <c r="BL155" t="s">
        <v>1109</v>
      </c>
      <c r="BM155" t="s">
        <v>311</v>
      </c>
    </row>
    <row r="156" spans="1:65">
      <c r="A156" s="1">
        <f>HYPERLINK("https://lsnyc.legalserver.org/matter/dynamic-profile/view/1908520","19-1908520")</f>
        <v>0</v>
      </c>
      <c r="B156" t="s">
        <v>65</v>
      </c>
      <c r="C156" t="s">
        <v>99</v>
      </c>
      <c r="D156" t="s">
        <v>170</v>
      </c>
      <c r="E156" t="s">
        <v>171</v>
      </c>
      <c r="G156" t="s">
        <v>172</v>
      </c>
      <c r="H156" t="s">
        <v>221</v>
      </c>
      <c r="I156" t="s">
        <v>172</v>
      </c>
      <c r="J156" t="s">
        <v>231</v>
      </c>
      <c r="K156" t="s">
        <v>172</v>
      </c>
      <c r="M156" t="s">
        <v>232</v>
      </c>
      <c r="N156" t="s">
        <v>311</v>
      </c>
      <c r="O156" t="s">
        <v>172</v>
      </c>
      <c r="P156" t="s">
        <v>316</v>
      </c>
      <c r="Q156" t="s">
        <v>321</v>
      </c>
      <c r="T156" t="s">
        <v>345</v>
      </c>
      <c r="U156" t="s">
        <v>752</v>
      </c>
      <c r="V156" t="s">
        <v>202</v>
      </c>
      <c r="X156" t="s">
        <v>1112</v>
      </c>
      <c r="Y156" t="s">
        <v>1260</v>
      </c>
      <c r="Z156">
        <v>1</v>
      </c>
      <c r="AA156" t="s">
        <v>1755</v>
      </c>
      <c r="AB156" t="s">
        <v>1786</v>
      </c>
      <c r="AC156">
        <v>10462</v>
      </c>
      <c r="AD156" t="s">
        <v>1787</v>
      </c>
      <c r="AE156" t="s">
        <v>1933</v>
      </c>
      <c r="AF156">
        <v>1</v>
      </c>
      <c r="AH156" t="s">
        <v>2221</v>
      </c>
      <c r="AI156" t="s">
        <v>233</v>
      </c>
      <c r="AJ156" t="s">
        <v>233</v>
      </c>
      <c r="AL156" t="s">
        <v>2230</v>
      </c>
      <c r="AN156">
        <v>0</v>
      </c>
      <c r="AO156">
        <v>1700</v>
      </c>
      <c r="AP156">
        <v>0</v>
      </c>
      <c r="AR156" t="s">
        <v>2395</v>
      </c>
      <c r="AS156" t="s">
        <v>2833</v>
      </c>
      <c r="AT156">
        <v>3</v>
      </c>
      <c r="AV156">
        <v>2</v>
      </c>
      <c r="AW156">
        <v>1</v>
      </c>
      <c r="AX156">
        <v>140.65</v>
      </c>
      <c r="BB156" t="s">
        <v>252</v>
      </c>
      <c r="BC156" t="s">
        <v>3130</v>
      </c>
      <c r="BD156">
        <v>30000</v>
      </c>
      <c r="BH156" t="s">
        <v>121</v>
      </c>
      <c r="BK156" t="s">
        <v>3198</v>
      </c>
      <c r="BM156" t="s">
        <v>311</v>
      </c>
    </row>
    <row r="157" spans="1:65">
      <c r="A157" s="1">
        <f>HYPERLINK("https://lsnyc.legalserver.org/matter/dynamic-profile/view/1907649","19-1907649")</f>
        <v>0</v>
      </c>
      <c r="B157" t="s">
        <v>65</v>
      </c>
      <c r="C157" t="s">
        <v>100</v>
      </c>
      <c r="D157" t="s">
        <v>170</v>
      </c>
      <c r="E157" t="s">
        <v>171</v>
      </c>
      <c r="G157" t="s">
        <v>172</v>
      </c>
      <c r="H157" t="s">
        <v>221</v>
      </c>
      <c r="I157" t="s">
        <v>172</v>
      </c>
      <c r="J157" t="s">
        <v>231</v>
      </c>
      <c r="K157" t="s">
        <v>172</v>
      </c>
      <c r="M157" t="s">
        <v>232</v>
      </c>
      <c r="N157" t="s">
        <v>311</v>
      </c>
      <c r="O157" t="s">
        <v>172</v>
      </c>
      <c r="P157" t="s">
        <v>316</v>
      </c>
      <c r="Q157" t="s">
        <v>172</v>
      </c>
      <c r="R157" t="s">
        <v>324</v>
      </c>
      <c r="S157" t="s">
        <v>334</v>
      </c>
      <c r="T157" t="s">
        <v>459</v>
      </c>
      <c r="U157" t="s">
        <v>747</v>
      </c>
      <c r="V157" t="s">
        <v>190</v>
      </c>
      <c r="X157" t="s">
        <v>1112</v>
      </c>
      <c r="Y157" t="s">
        <v>1261</v>
      </c>
      <c r="Z157" t="s">
        <v>1566</v>
      </c>
      <c r="AA157" t="s">
        <v>1755</v>
      </c>
      <c r="AB157" t="s">
        <v>1786</v>
      </c>
      <c r="AC157">
        <v>10452</v>
      </c>
      <c r="AD157" t="s">
        <v>1793</v>
      </c>
      <c r="AE157" t="s">
        <v>1934</v>
      </c>
      <c r="AF157">
        <v>2</v>
      </c>
      <c r="AH157" t="s">
        <v>2220</v>
      </c>
      <c r="AI157" t="s">
        <v>233</v>
      </c>
      <c r="AJ157" t="s">
        <v>233</v>
      </c>
      <c r="AL157" t="s">
        <v>2230</v>
      </c>
      <c r="AM157" t="s">
        <v>2241</v>
      </c>
      <c r="AN157">
        <v>0</v>
      </c>
      <c r="AO157">
        <v>1150</v>
      </c>
      <c r="AP157">
        <v>10</v>
      </c>
      <c r="AR157" t="s">
        <v>2396</v>
      </c>
      <c r="AS157" t="s">
        <v>2834</v>
      </c>
      <c r="AT157">
        <v>72</v>
      </c>
      <c r="AU157" t="s">
        <v>3106</v>
      </c>
      <c r="AV157">
        <v>1</v>
      </c>
      <c r="AW157">
        <v>0</v>
      </c>
      <c r="AX157">
        <v>228.98</v>
      </c>
      <c r="AY157" t="s">
        <v>3119</v>
      </c>
      <c r="AZ157" t="s">
        <v>3121</v>
      </c>
      <c r="BB157" t="s">
        <v>252</v>
      </c>
      <c r="BC157" t="s">
        <v>3130</v>
      </c>
      <c r="BD157">
        <v>28600</v>
      </c>
      <c r="BH157" t="s">
        <v>3162</v>
      </c>
      <c r="BJ157" t="s">
        <v>3189</v>
      </c>
      <c r="BK157" t="s">
        <v>3198</v>
      </c>
      <c r="BL157" t="s">
        <v>185</v>
      </c>
      <c r="BM157" t="s">
        <v>311</v>
      </c>
    </row>
    <row r="158" spans="1:65">
      <c r="A158" s="1">
        <f>HYPERLINK("https://lsnyc.legalserver.org/matter/dynamic-profile/view/1907639","19-1907639")</f>
        <v>0</v>
      </c>
      <c r="B158" t="s">
        <v>65</v>
      </c>
      <c r="C158" t="s">
        <v>100</v>
      </c>
      <c r="D158" t="s">
        <v>170</v>
      </c>
      <c r="E158" t="s">
        <v>171</v>
      </c>
      <c r="G158" t="s">
        <v>172</v>
      </c>
      <c r="H158" t="s">
        <v>221</v>
      </c>
      <c r="I158" t="s">
        <v>172</v>
      </c>
      <c r="J158" t="s">
        <v>231</v>
      </c>
      <c r="K158" t="s">
        <v>172</v>
      </c>
      <c r="M158" t="s">
        <v>232</v>
      </c>
      <c r="N158" t="s">
        <v>311</v>
      </c>
      <c r="O158" t="s">
        <v>172</v>
      </c>
      <c r="P158" t="s">
        <v>318</v>
      </c>
      <c r="Q158" t="s">
        <v>321</v>
      </c>
      <c r="T158" t="s">
        <v>474</v>
      </c>
      <c r="U158" t="s">
        <v>859</v>
      </c>
      <c r="V158" t="s">
        <v>190</v>
      </c>
      <c r="X158" t="s">
        <v>1112</v>
      </c>
      <c r="Y158" t="s">
        <v>1262</v>
      </c>
      <c r="Z158" t="s">
        <v>1651</v>
      </c>
      <c r="AA158" t="s">
        <v>1755</v>
      </c>
      <c r="AB158" t="s">
        <v>1786</v>
      </c>
      <c r="AC158">
        <v>10452</v>
      </c>
      <c r="AD158" t="s">
        <v>1796</v>
      </c>
      <c r="AE158" t="s">
        <v>1935</v>
      </c>
      <c r="AF158">
        <v>48</v>
      </c>
      <c r="AH158" t="s">
        <v>2220</v>
      </c>
      <c r="AI158" t="s">
        <v>233</v>
      </c>
      <c r="AJ158" t="s">
        <v>233</v>
      </c>
      <c r="AL158" t="s">
        <v>2230</v>
      </c>
      <c r="AN158">
        <v>0</v>
      </c>
      <c r="AO158">
        <v>719.34</v>
      </c>
      <c r="AP158">
        <v>7.95</v>
      </c>
      <c r="AR158" t="s">
        <v>2397</v>
      </c>
      <c r="AS158" t="s">
        <v>2835</v>
      </c>
      <c r="AT158">
        <v>49</v>
      </c>
      <c r="AU158" t="s">
        <v>3106</v>
      </c>
      <c r="AV158">
        <v>1</v>
      </c>
      <c r="AW158">
        <v>1</v>
      </c>
      <c r="AX158">
        <v>97.09999999999999</v>
      </c>
      <c r="BB158" t="s">
        <v>3122</v>
      </c>
      <c r="BC158" t="s">
        <v>3130</v>
      </c>
      <c r="BD158">
        <v>16420</v>
      </c>
      <c r="BH158" t="s">
        <v>125</v>
      </c>
      <c r="BK158" t="s">
        <v>3236</v>
      </c>
      <c r="BL158" t="s">
        <v>207</v>
      </c>
      <c r="BM158" t="s">
        <v>311</v>
      </c>
    </row>
    <row r="159" spans="1:65">
      <c r="A159" s="1">
        <f>HYPERLINK("https://lsnyc.legalserver.org/matter/dynamic-profile/view/1907549","19-1907549")</f>
        <v>0</v>
      </c>
      <c r="B159" t="s">
        <v>65</v>
      </c>
      <c r="C159" t="s">
        <v>100</v>
      </c>
      <c r="D159" t="s">
        <v>170</v>
      </c>
      <c r="E159" t="s">
        <v>171</v>
      </c>
      <c r="G159" t="s">
        <v>172</v>
      </c>
      <c r="H159" t="s">
        <v>220</v>
      </c>
      <c r="I159" t="s">
        <v>172</v>
      </c>
      <c r="J159" t="s">
        <v>231</v>
      </c>
      <c r="K159" t="s">
        <v>172</v>
      </c>
      <c r="M159" t="s">
        <v>232</v>
      </c>
      <c r="N159" t="s">
        <v>311</v>
      </c>
      <c r="O159" t="s">
        <v>172</v>
      </c>
      <c r="P159" t="s">
        <v>316</v>
      </c>
      <c r="Q159" t="s">
        <v>321</v>
      </c>
      <c r="T159" t="s">
        <v>475</v>
      </c>
      <c r="U159" t="s">
        <v>860</v>
      </c>
      <c r="V159" t="s">
        <v>210</v>
      </c>
      <c r="X159" t="s">
        <v>1112</v>
      </c>
      <c r="Y159" t="s">
        <v>1263</v>
      </c>
      <c r="Z159">
        <v>1</v>
      </c>
      <c r="AA159" t="s">
        <v>1755</v>
      </c>
      <c r="AB159" t="s">
        <v>1786</v>
      </c>
      <c r="AC159">
        <v>10461</v>
      </c>
      <c r="AD159" t="s">
        <v>1788</v>
      </c>
      <c r="AE159" t="s">
        <v>1936</v>
      </c>
      <c r="AF159">
        <v>8</v>
      </c>
      <c r="AH159" t="s">
        <v>2220</v>
      </c>
      <c r="AI159" t="s">
        <v>233</v>
      </c>
      <c r="AJ159" t="s">
        <v>233</v>
      </c>
      <c r="AL159" t="s">
        <v>2230</v>
      </c>
      <c r="AN159">
        <v>0</v>
      </c>
      <c r="AO159">
        <v>1275</v>
      </c>
      <c r="AP159">
        <v>2.5</v>
      </c>
      <c r="AR159" t="s">
        <v>2398</v>
      </c>
      <c r="AS159" t="s">
        <v>2836</v>
      </c>
      <c r="AT159">
        <v>2</v>
      </c>
      <c r="AU159" t="s">
        <v>3108</v>
      </c>
      <c r="AV159">
        <v>1</v>
      </c>
      <c r="AW159">
        <v>0</v>
      </c>
      <c r="AX159">
        <v>81.18000000000001</v>
      </c>
      <c r="BB159" t="s">
        <v>252</v>
      </c>
      <c r="BC159" t="s">
        <v>3130</v>
      </c>
      <c r="BD159">
        <v>10140</v>
      </c>
      <c r="BH159" t="s">
        <v>3163</v>
      </c>
      <c r="BK159" t="s">
        <v>3215</v>
      </c>
      <c r="BL159" t="s">
        <v>1110</v>
      </c>
      <c r="BM159" t="s">
        <v>311</v>
      </c>
    </row>
    <row r="160" spans="1:65">
      <c r="A160" s="1">
        <f>HYPERLINK("https://lsnyc.legalserver.org/matter/dynamic-profile/view/1906479","19-1906479")</f>
        <v>0</v>
      </c>
      <c r="B160" t="s">
        <v>65</v>
      </c>
      <c r="C160" t="s">
        <v>101</v>
      </c>
      <c r="D160" t="s">
        <v>170</v>
      </c>
      <c r="E160" t="s">
        <v>171</v>
      </c>
      <c r="G160" t="s">
        <v>172</v>
      </c>
      <c r="H160" t="s">
        <v>221</v>
      </c>
      <c r="I160" t="s">
        <v>172</v>
      </c>
      <c r="J160" t="s">
        <v>231</v>
      </c>
      <c r="K160" t="s">
        <v>172</v>
      </c>
      <c r="M160" t="s">
        <v>232</v>
      </c>
      <c r="N160" t="s">
        <v>311</v>
      </c>
      <c r="O160" t="s">
        <v>172</v>
      </c>
      <c r="P160" t="s">
        <v>316</v>
      </c>
      <c r="Q160" t="s">
        <v>172</v>
      </c>
      <c r="R160" t="s">
        <v>324</v>
      </c>
      <c r="S160" t="s">
        <v>335</v>
      </c>
      <c r="T160" t="s">
        <v>476</v>
      </c>
      <c r="U160" t="s">
        <v>861</v>
      </c>
      <c r="V160" t="s">
        <v>1097</v>
      </c>
      <c r="W160" t="s">
        <v>210</v>
      </c>
      <c r="X160" t="s">
        <v>1113</v>
      </c>
      <c r="Y160" t="s">
        <v>1264</v>
      </c>
      <c r="Z160">
        <v>31</v>
      </c>
      <c r="AA160" t="s">
        <v>1755</v>
      </c>
      <c r="AB160" t="s">
        <v>1786</v>
      </c>
      <c r="AC160">
        <v>10457</v>
      </c>
      <c r="AD160" t="s">
        <v>1788</v>
      </c>
      <c r="AE160" t="s">
        <v>1937</v>
      </c>
      <c r="AF160">
        <v>6</v>
      </c>
      <c r="AG160" t="s">
        <v>2215</v>
      </c>
      <c r="AH160" t="s">
        <v>2221</v>
      </c>
      <c r="AI160" t="s">
        <v>233</v>
      </c>
      <c r="AJ160" t="s">
        <v>233</v>
      </c>
      <c r="AL160" t="s">
        <v>2230</v>
      </c>
      <c r="AM160" t="s">
        <v>2236</v>
      </c>
      <c r="AN160">
        <v>0</v>
      </c>
      <c r="AO160">
        <v>274</v>
      </c>
      <c r="AP160">
        <v>0.1</v>
      </c>
      <c r="AQ160" t="s">
        <v>2244</v>
      </c>
      <c r="AR160" t="s">
        <v>2399</v>
      </c>
      <c r="AS160" t="s">
        <v>2837</v>
      </c>
      <c r="AT160">
        <v>33</v>
      </c>
      <c r="AU160" t="s">
        <v>3115</v>
      </c>
      <c r="AV160">
        <v>1</v>
      </c>
      <c r="AW160">
        <v>1</v>
      </c>
      <c r="AX160">
        <v>82.95999999999999</v>
      </c>
      <c r="BD160">
        <v>14028</v>
      </c>
      <c r="BH160" t="s">
        <v>3160</v>
      </c>
      <c r="BJ160" t="s">
        <v>3192</v>
      </c>
      <c r="BK160" t="s">
        <v>3237</v>
      </c>
      <c r="BL160" t="s">
        <v>210</v>
      </c>
      <c r="BM160" t="s">
        <v>311</v>
      </c>
    </row>
    <row r="161" spans="1:65">
      <c r="A161" s="1">
        <f>HYPERLINK("https://lsnyc.legalserver.org/matter/dynamic-profile/view/1906476","19-1906476")</f>
        <v>0</v>
      </c>
      <c r="B161" t="s">
        <v>65</v>
      </c>
      <c r="C161" t="s">
        <v>101</v>
      </c>
      <c r="D161" t="s">
        <v>170</v>
      </c>
      <c r="E161" t="s">
        <v>171</v>
      </c>
      <c r="G161" t="s">
        <v>172</v>
      </c>
      <c r="H161" t="s">
        <v>220</v>
      </c>
      <c r="I161" t="s">
        <v>230</v>
      </c>
      <c r="J161" t="s">
        <v>232</v>
      </c>
      <c r="K161" t="s">
        <v>234</v>
      </c>
      <c r="M161" t="s">
        <v>232</v>
      </c>
      <c r="O161" t="s">
        <v>172</v>
      </c>
      <c r="P161" t="s">
        <v>316</v>
      </c>
      <c r="Q161" t="s">
        <v>321</v>
      </c>
      <c r="T161" t="s">
        <v>477</v>
      </c>
      <c r="U161" t="s">
        <v>862</v>
      </c>
      <c r="V161" t="s">
        <v>1097</v>
      </c>
      <c r="X161" t="s">
        <v>1112</v>
      </c>
      <c r="Y161" t="s">
        <v>1265</v>
      </c>
      <c r="Z161" t="s">
        <v>1652</v>
      </c>
      <c r="AA161" t="s">
        <v>1755</v>
      </c>
      <c r="AB161" t="s">
        <v>1786</v>
      </c>
      <c r="AC161">
        <v>10460</v>
      </c>
      <c r="AD161" t="s">
        <v>1788</v>
      </c>
      <c r="AE161" t="s">
        <v>1938</v>
      </c>
      <c r="AF161">
        <v>32</v>
      </c>
      <c r="AH161" t="s">
        <v>2220</v>
      </c>
      <c r="AI161" t="s">
        <v>233</v>
      </c>
      <c r="AJ161" t="s">
        <v>233</v>
      </c>
      <c r="AL161" t="s">
        <v>2230</v>
      </c>
      <c r="AM161" t="s">
        <v>2236</v>
      </c>
      <c r="AN161">
        <v>0</v>
      </c>
      <c r="AO161">
        <v>162</v>
      </c>
      <c r="AP161">
        <v>3</v>
      </c>
      <c r="AR161" t="s">
        <v>2400</v>
      </c>
      <c r="AS161" t="s">
        <v>2838</v>
      </c>
      <c r="AT161">
        <v>0</v>
      </c>
      <c r="AU161" t="s">
        <v>3115</v>
      </c>
      <c r="AV161">
        <v>1</v>
      </c>
      <c r="AW161">
        <v>0</v>
      </c>
      <c r="AX161">
        <v>54.19</v>
      </c>
      <c r="BC161" t="s">
        <v>3130</v>
      </c>
      <c r="BD161">
        <v>6768</v>
      </c>
      <c r="BH161" t="s">
        <v>3160</v>
      </c>
      <c r="BK161" t="s">
        <v>3196</v>
      </c>
      <c r="BL161" t="s">
        <v>1110</v>
      </c>
    </row>
    <row r="162" spans="1:65">
      <c r="A162" s="1">
        <f>HYPERLINK("https://lsnyc.legalserver.org/matter/dynamic-profile/view/1907539","19-1907539")</f>
        <v>0</v>
      </c>
      <c r="B162" t="s">
        <v>65</v>
      </c>
      <c r="C162" t="s">
        <v>97</v>
      </c>
      <c r="D162" t="s">
        <v>170</v>
      </c>
      <c r="E162" t="s">
        <v>173</v>
      </c>
      <c r="F162" t="s">
        <v>189</v>
      </c>
      <c r="G162" t="s">
        <v>172</v>
      </c>
      <c r="H162" t="s">
        <v>220</v>
      </c>
      <c r="I162" t="s">
        <v>172</v>
      </c>
      <c r="J162" t="s">
        <v>231</v>
      </c>
      <c r="K162" t="s">
        <v>234</v>
      </c>
      <c r="M162" t="s">
        <v>232</v>
      </c>
      <c r="O162" t="s">
        <v>172</v>
      </c>
      <c r="P162" t="s">
        <v>314</v>
      </c>
      <c r="Q162" t="s">
        <v>321</v>
      </c>
      <c r="T162" t="s">
        <v>478</v>
      </c>
      <c r="U162" t="s">
        <v>863</v>
      </c>
      <c r="V162" t="s">
        <v>210</v>
      </c>
      <c r="X162" t="s">
        <v>1112</v>
      </c>
      <c r="Y162" t="s">
        <v>1266</v>
      </c>
      <c r="AA162" t="s">
        <v>1755</v>
      </c>
      <c r="AB162" t="s">
        <v>1786</v>
      </c>
      <c r="AC162">
        <v>10466</v>
      </c>
      <c r="AD162" t="s">
        <v>1796</v>
      </c>
      <c r="AE162" t="s">
        <v>1939</v>
      </c>
      <c r="AF162">
        <v>1</v>
      </c>
      <c r="AH162" t="s">
        <v>2220</v>
      </c>
      <c r="AI162" t="s">
        <v>233</v>
      </c>
      <c r="AJ162" t="s">
        <v>233</v>
      </c>
      <c r="AL162" t="s">
        <v>2230</v>
      </c>
      <c r="AN162">
        <v>0</v>
      </c>
      <c r="AO162">
        <v>800</v>
      </c>
      <c r="AP162">
        <v>0.3</v>
      </c>
      <c r="AR162" t="s">
        <v>2401</v>
      </c>
      <c r="AS162" t="s">
        <v>2839</v>
      </c>
      <c r="AT162">
        <v>0</v>
      </c>
      <c r="AV162">
        <v>2</v>
      </c>
      <c r="AW162">
        <v>2</v>
      </c>
      <c r="AX162">
        <v>9.23</v>
      </c>
      <c r="BC162" t="s">
        <v>3131</v>
      </c>
      <c r="BD162">
        <v>2376</v>
      </c>
      <c r="BH162" t="s">
        <v>3164</v>
      </c>
      <c r="BK162" t="s">
        <v>3213</v>
      </c>
      <c r="BL162" t="s">
        <v>1110</v>
      </c>
    </row>
    <row r="163" spans="1:65">
      <c r="A163" s="1">
        <f>HYPERLINK("https://lsnyc.legalserver.org/matter/dynamic-profile/view/1906560","19-1906560")</f>
        <v>0</v>
      </c>
      <c r="B163" t="s">
        <v>65</v>
      </c>
      <c r="C163" t="s">
        <v>101</v>
      </c>
      <c r="D163" t="s">
        <v>170</v>
      </c>
      <c r="E163" t="s">
        <v>171</v>
      </c>
      <c r="G163" t="s">
        <v>172</v>
      </c>
      <c r="H163" t="s">
        <v>221</v>
      </c>
      <c r="I163" t="s">
        <v>172</v>
      </c>
      <c r="J163" t="s">
        <v>231</v>
      </c>
      <c r="K163" t="s">
        <v>172</v>
      </c>
      <c r="M163" t="s">
        <v>232</v>
      </c>
      <c r="N163" t="s">
        <v>311</v>
      </c>
      <c r="O163" t="s">
        <v>313</v>
      </c>
      <c r="P163" t="s">
        <v>315</v>
      </c>
      <c r="Q163" t="s">
        <v>321</v>
      </c>
      <c r="T163" t="s">
        <v>399</v>
      </c>
      <c r="U163" t="s">
        <v>864</v>
      </c>
      <c r="V163" t="s">
        <v>1097</v>
      </c>
      <c r="X163" t="s">
        <v>1112</v>
      </c>
      <c r="Y163" t="s">
        <v>1267</v>
      </c>
      <c r="Z163" t="s">
        <v>1565</v>
      </c>
      <c r="AA163" t="s">
        <v>1755</v>
      </c>
      <c r="AB163" t="s">
        <v>1786</v>
      </c>
      <c r="AC163">
        <v>10466</v>
      </c>
      <c r="AD163" t="s">
        <v>1790</v>
      </c>
      <c r="AE163" t="s">
        <v>1940</v>
      </c>
      <c r="AF163">
        <v>43</v>
      </c>
      <c r="AH163" t="s">
        <v>2220</v>
      </c>
      <c r="AI163" t="s">
        <v>233</v>
      </c>
      <c r="AJ163" t="s">
        <v>233</v>
      </c>
      <c r="AL163" t="s">
        <v>2230</v>
      </c>
      <c r="AM163" t="s">
        <v>2237</v>
      </c>
      <c r="AN163">
        <v>0</v>
      </c>
      <c r="AO163">
        <v>820.21</v>
      </c>
      <c r="AP163">
        <v>0.65</v>
      </c>
      <c r="AR163" t="s">
        <v>2402</v>
      </c>
      <c r="AS163" t="s">
        <v>2840</v>
      </c>
      <c r="AT163">
        <v>52</v>
      </c>
      <c r="AU163" t="s">
        <v>3106</v>
      </c>
      <c r="AV163">
        <v>1</v>
      </c>
      <c r="AW163">
        <v>0</v>
      </c>
      <c r="AX163">
        <v>126.82</v>
      </c>
      <c r="BB163" t="s">
        <v>3122</v>
      </c>
      <c r="BC163" t="s">
        <v>3130</v>
      </c>
      <c r="BD163">
        <v>15840</v>
      </c>
      <c r="BH163" t="s">
        <v>3165</v>
      </c>
      <c r="BK163" t="s">
        <v>3219</v>
      </c>
      <c r="BL163" t="s">
        <v>3274</v>
      </c>
      <c r="BM163" t="s">
        <v>311</v>
      </c>
    </row>
    <row r="164" spans="1:65">
      <c r="A164" s="1">
        <f>HYPERLINK("https://lsnyc.legalserver.org/matter/dynamic-profile/view/1905899","19-1905899")</f>
        <v>0</v>
      </c>
      <c r="B164" t="s">
        <v>65</v>
      </c>
      <c r="C164" t="s">
        <v>97</v>
      </c>
      <c r="D164" t="s">
        <v>170</v>
      </c>
      <c r="E164" t="s">
        <v>172</v>
      </c>
      <c r="F164" t="s">
        <v>190</v>
      </c>
      <c r="G164" t="s">
        <v>172</v>
      </c>
      <c r="H164" t="s">
        <v>221</v>
      </c>
      <c r="I164" t="s">
        <v>172</v>
      </c>
      <c r="J164" t="s">
        <v>231</v>
      </c>
      <c r="K164" t="s">
        <v>172</v>
      </c>
      <c r="M164" t="s">
        <v>232</v>
      </c>
      <c r="N164" t="s">
        <v>311</v>
      </c>
      <c r="O164" t="s">
        <v>172</v>
      </c>
      <c r="P164" t="s">
        <v>314</v>
      </c>
      <c r="Q164" t="s">
        <v>322</v>
      </c>
      <c r="T164" t="s">
        <v>479</v>
      </c>
      <c r="U164" t="s">
        <v>865</v>
      </c>
      <c r="V164" t="s">
        <v>211</v>
      </c>
      <c r="W164" t="s">
        <v>190</v>
      </c>
      <c r="X164" t="s">
        <v>1113</v>
      </c>
      <c r="Y164" t="s">
        <v>1268</v>
      </c>
      <c r="Z164" t="s">
        <v>1653</v>
      </c>
      <c r="AA164" t="s">
        <v>1755</v>
      </c>
      <c r="AB164" t="s">
        <v>1786</v>
      </c>
      <c r="AC164">
        <v>10451</v>
      </c>
      <c r="AD164" t="s">
        <v>1791</v>
      </c>
      <c r="AE164" t="s">
        <v>1941</v>
      </c>
      <c r="AF164">
        <v>24</v>
      </c>
      <c r="AG164" t="s">
        <v>2214</v>
      </c>
      <c r="AH164" t="s">
        <v>2220</v>
      </c>
      <c r="AI164" t="s">
        <v>233</v>
      </c>
      <c r="AJ164" t="s">
        <v>233</v>
      </c>
      <c r="AL164" t="s">
        <v>2231</v>
      </c>
      <c r="AM164" t="s">
        <v>2237</v>
      </c>
      <c r="AN164">
        <v>0</v>
      </c>
      <c r="AO164">
        <v>234</v>
      </c>
      <c r="AP164">
        <v>0.5</v>
      </c>
      <c r="AQ164" t="s">
        <v>2242</v>
      </c>
      <c r="AR164" t="s">
        <v>2403</v>
      </c>
      <c r="AS164" t="s">
        <v>2841</v>
      </c>
      <c r="AT164">
        <v>477</v>
      </c>
      <c r="AU164" t="s">
        <v>3107</v>
      </c>
      <c r="AV164">
        <v>1</v>
      </c>
      <c r="AW164">
        <v>0</v>
      </c>
      <c r="AX164">
        <v>72.42</v>
      </c>
      <c r="BB164" t="s">
        <v>252</v>
      </c>
      <c r="BC164" t="s">
        <v>3130</v>
      </c>
      <c r="BD164">
        <v>9045</v>
      </c>
      <c r="BH164" t="s">
        <v>3163</v>
      </c>
      <c r="BK164" t="s">
        <v>3214</v>
      </c>
      <c r="BL164" t="s">
        <v>190</v>
      </c>
      <c r="BM164" t="s">
        <v>311</v>
      </c>
    </row>
    <row r="165" spans="1:65">
      <c r="A165" s="1">
        <f>HYPERLINK("https://lsnyc.legalserver.org/matter/dynamic-profile/view/1908424","19-1908424")</f>
        <v>0</v>
      </c>
      <c r="B165" t="s">
        <v>65</v>
      </c>
      <c r="C165" t="s">
        <v>97</v>
      </c>
      <c r="D165" t="s">
        <v>170</v>
      </c>
      <c r="E165" t="s">
        <v>171</v>
      </c>
      <c r="G165" t="s">
        <v>172</v>
      </c>
      <c r="H165" t="s">
        <v>220</v>
      </c>
      <c r="I165" t="s">
        <v>172</v>
      </c>
      <c r="J165" t="s">
        <v>231</v>
      </c>
      <c r="K165" t="s">
        <v>172</v>
      </c>
      <c r="M165" t="s">
        <v>232</v>
      </c>
      <c r="N165" t="s">
        <v>311</v>
      </c>
      <c r="O165" t="s">
        <v>172</v>
      </c>
      <c r="P165" t="s">
        <v>314</v>
      </c>
      <c r="Q165" t="s">
        <v>321</v>
      </c>
      <c r="T165" t="s">
        <v>480</v>
      </c>
      <c r="U165" t="s">
        <v>866</v>
      </c>
      <c r="V165" t="s">
        <v>194</v>
      </c>
      <c r="X165" t="s">
        <v>1112</v>
      </c>
      <c r="Y165" t="s">
        <v>1269</v>
      </c>
      <c r="Z165" t="s">
        <v>1564</v>
      </c>
      <c r="AA165" t="s">
        <v>1755</v>
      </c>
      <c r="AB165" t="s">
        <v>1786</v>
      </c>
      <c r="AC165">
        <v>10454</v>
      </c>
      <c r="AD165" t="s">
        <v>1790</v>
      </c>
      <c r="AE165" t="s">
        <v>1942</v>
      </c>
      <c r="AF165">
        <v>11</v>
      </c>
      <c r="AH165" t="s">
        <v>2220</v>
      </c>
      <c r="AI165" t="s">
        <v>233</v>
      </c>
      <c r="AJ165" t="s">
        <v>233</v>
      </c>
      <c r="AL165" t="s">
        <v>2230</v>
      </c>
      <c r="AN165">
        <v>0</v>
      </c>
      <c r="AO165">
        <v>0</v>
      </c>
      <c r="AP165">
        <v>1.1</v>
      </c>
      <c r="AR165" t="s">
        <v>2404</v>
      </c>
      <c r="AT165">
        <v>0</v>
      </c>
      <c r="AU165" t="s">
        <v>3107</v>
      </c>
      <c r="AV165">
        <v>1</v>
      </c>
      <c r="AW165">
        <v>4</v>
      </c>
      <c r="AX165">
        <v>0</v>
      </c>
      <c r="BB165" t="s">
        <v>3123</v>
      </c>
      <c r="BC165" t="s">
        <v>3130</v>
      </c>
      <c r="BD165">
        <v>0</v>
      </c>
      <c r="BH165" t="s">
        <v>3159</v>
      </c>
      <c r="BK165" t="s">
        <v>3210</v>
      </c>
      <c r="BL165" t="s">
        <v>3274</v>
      </c>
      <c r="BM165" t="s">
        <v>311</v>
      </c>
    </row>
    <row r="166" spans="1:65">
      <c r="A166" s="1">
        <f>HYPERLINK("https://lsnyc.legalserver.org/matter/dynamic-profile/view/1905909","19-1905909")</f>
        <v>0</v>
      </c>
      <c r="B166" t="s">
        <v>65</v>
      </c>
      <c r="C166" t="s">
        <v>97</v>
      </c>
      <c r="D166" t="s">
        <v>170</v>
      </c>
      <c r="E166" t="s">
        <v>172</v>
      </c>
      <c r="F166" t="s">
        <v>191</v>
      </c>
      <c r="G166" t="s">
        <v>172</v>
      </c>
      <c r="H166" t="s">
        <v>221</v>
      </c>
      <c r="I166" t="s">
        <v>172</v>
      </c>
      <c r="J166" t="s">
        <v>231</v>
      </c>
      <c r="K166" t="s">
        <v>172</v>
      </c>
      <c r="M166" t="s">
        <v>232</v>
      </c>
      <c r="N166" t="s">
        <v>311</v>
      </c>
      <c r="O166" t="s">
        <v>172</v>
      </c>
      <c r="P166" t="s">
        <v>314</v>
      </c>
      <c r="Q166" t="s">
        <v>322</v>
      </c>
      <c r="T166" t="s">
        <v>481</v>
      </c>
      <c r="U166" t="s">
        <v>725</v>
      </c>
      <c r="V166" t="s">
        <v>211</v>
      </c>
      <c r="W166" t="s">
        <v>194</v>
      </c>
      <c r="X166" t="s">
        <v>1113</v>
      </c>
      <c r="Y166" t="s">
        <v>1270</v>
      </c>
      <c r="Z166" t="s">
        <v>1654</v>
      </c>
      <c r="AA166" t="s">
        <v>1755</v>
      </c>
      <c r="AB166" t="s">
        <v>1786</v>
      </c>
      <c r="AC166">
        <v>10453</v>
      </c>
      <c r="AD166" t="s">
        <v>1790</v>
      </c>
      <c r="AE166" t="s">
        <v>1943</v>
      </c>
      <c r="AF166">
        <v>10</v>
      </c>
      <c r="AG166" t="s">
        <v>2214</v>
      </c>
      <c r="AH166" t="s">
        <v>2220</v>
      </c>
      <c r="AI166" t="s">
        <v>233</v>
      </c>
      <c r="AJ166" t="s">
        <v>233</v>
      </c>
      <c r="AL166" t="s">
        <v>2230</v>
      </c>
      <c r="AM166" t="s">
        <v>2237</v>
      </c>
      <c r="AN166">
        <v>0</v>
      </c>
      <c r="AO166">
        <v>628</v>
      </c>
      <c r="AP166">
        <v>1.8</v>
      </c>
      <c r="AQ166" t="s">
        <v>2242</v>
      </c>
      <c r="AR166" t="s">
        <v>2405</v>
      </c>
      <c r="AS166" t="s">
        <v>2842</v>
      </c>
      <c r="AT166">
        <v>1660</v>
      </c>
      <c r="AU166" t="s">
        <v>3115</v>
      </c>
      <c r="AV166">
        <v>1</v>
      </c>
      <c r="AW166">
        <v>0</v>
      </c>
      <c r="AX166">
        <v>84.36</v>
      </c>
      <c r="BB166" t="s">
        <v>1793</v>
      </c>
      <c r="BC166" t="s">
        <v>3130</v>
      </c>
      <c r="BD166">
        <v>10536</v>
      </c>
      <c r="BH166" t="s">
        <v>3166</v>
      </c>
      <c r="BK166" t="s">
        <v>3215</v>
      </c>
      <c r="BL166" t="s">
        <v>194</v>
      </c>
      <c r="BM166" t="s">
        <v>311</v>
      </c>
    </row>
    <row r="167" spans="1:65">
      <c r="A167" s="1">
        <f>HYPERLINK("https://lsnyc.legalserver.org/matter/dynamic-profile/view/1908007","19-1908007")</f>
        <v>0</v>
      </c>
      <c r="B167" t="s">
        <v>65</v>
      </c>
      <c r="C167" t="s">
        <v>97</v>
      </c>
      <c r="D167" t="s">
        <v>170</v>
      </c>
      <c r="E167" t="s">
        <v>171</v>
      </c>
      <c r="G167" t="s">
        <v>172</v>
      </c>
      <c r="H167" t="s">
        <v>220</v>
      </c>
      <c r="I167" t="s">
        <v>172</v>
      </c>
      <c r="J167" t="s">
        <v>231</v>
      </c>
      <c r="K167" t="s">
        <v>172</v>
      </c>
      <c r="M167" t="s">
        <v>232</v>
      </c>
      <c r="N167" t="s">
        <v>311</v>
      </c>
      <c r="O167" t="s">
        <v>172</v>
      </c>
      <c r="P167" t="s">
        <v>314</v>
      </c>
      <c r="Q167" t="s">
        <v>321</v>
      </c>
      <c r="T167" t="s">
        <v>482</v>
      </c>
      <c r="U167" t="s">
        <v>867</v>
      </c>
      <c r="V167" t="s">
        <v>192</v>
      </c>
      <c r="X167" t="s">
        <v>1112</v>
      </c>
      <c r="Y167" t="s">
        <v>1271</v>
      </c>
      <c r="Z167">
        <v>1</v>
      </c>
      <c r="AA167" t="s">
        <v>1755</v>
      </c>
      <c r="AB167" t="s">
        <v>1786</v>
      </c>
      <c r="AC167">
        <v>10460</v>
      </c>
      <c r="AD167" t="s">
        <v>1790</v>
      </c>
      <c r="AE167" t="s">
        <v>1944</v>
      </c>
      <c r="AF167">
        <v>1</v>
      </c>
      <c r="AH167" t="s">
        <v>2220</v>
      </c>
      <c r="AI167" t="s">
        <v>233</v>
      </c>
      <c r="AJ167" t="s">
        <v>233</v>
      </c>
      <c r="AL167" t="s">
        <v>2230</v>
      </c>
      <c r="AN167">
        <v>0</v>
      </c>
      <c r="AO167">
        <v>1300</v>
      </c>
      <c r="AP167">
        <v>0.2</v>
      </c>
      <c r="AR167" t="s">
        <v>2406</v>
      </c>
      <c r="AS167" t="s">
        <v>2843</v>
      </c>
      <c r="AT167">
        <v>3</v>
      </c>
      <c r="AU167" t="s">
        <v>3113</v>
      </c>
      <c r="AV167">
        <v>1</v>
      </c>
      <c r="AW167">
        <v>1</v>
      </c>
      <c r="AX167">
        <v>184.51</v>
      </c>
      <c r="BC167" t="s">
        <v>3131</v>
      </c>
      <c r="BD167">
        <v>31200</v>
      </c>
      <c r="BH167" t="s">
        <v>125</v>
      </c>
      <c r="BK167" t="s">
        <v>3198</v>
      </c>
      <c r="BL167" t="s">
        <v>215</v>
      </c>
      <c r="BM167" t="s">
        <v>311</v>
      </c>
    </row>
    <row r="168" spans="1:65">
      <c r="A168" s="1">
        <f>HYPERLINK("https://lsnyc.legalserver.org/matter/dynamic-profile/view/1907521","19-1907521")</f>
        <v>0</v>
      </c>
      <c r="B168" t="s">
        <v>65</v>
      </c>
      <c r="C168" t="s">
        <v>97</v>
      </c>
      <c r="D168" t="s">
        <v>170</v>
      </c>
      <c r="E168" t="s">
        <v>172</v>
      </c>
      <c r="F168" t="s">
        <v>192</v>
      </c>
      <c r="G168" t="s">
        <v>172</v>
      </c>
      <c r="H168" t="s">
        <v>220</v>
      </c>
      <c r="I168" t="s">
        <v>172</v>
      </c>
      <c r="J168" t="s">
        <v>231</v>
      </c>
      <c r="K168" t="s">
        <v>172</v>
      </c>
      <c r="M168" t="s">
        <v>232</v>
      </c>
      <c r="N168" t="s">
        <v>311</v>
      </c>
      <c r="O168" t="s">
        <v>172</v>
      </c>
      <c r="P168" t="s">
        <v>314</v>
      </c>
      <c r="Q168" t="s">
        <v>322</v>
      </c>
      <c r="T168" t="s">
        <v>483</v>
      </c>
      <c r="U168" t="s">
        <v>868</v>
      </c>
      <c r="V168" t="s">
        <v>191</v>
      </c>
      <c r="W168" t="s">
        <v>192</v>
      </c>
      <c r="X168" t="s">
        <v>1113</v>
      </c>
      <c r="Y168" t="s">
        <v>1272</v>
      </c>
      <c r="AA168" t="s">
        <v>1755</v>
      </c>
      <c r="AB168" t="s">
        <v>1786</v>
      </c>
      <c r="AC168">
        <v>10460</v>
      </c>
      <c r="AD168" t="s">
        <v>1790</v>
      </c>
      <c r="AE168" t="s">
        <v>1945</v>
      </c>
      <c r="AF168">
        <v>2</v>
      </c>
      <c r="AG168" t="s">
        <v>2214</v>
      </c>
      <c r="AH168" t="s">
        <v>2220</v>
      </c>
      <c r="AI168" t="s">
        <v>233</v>
      </c>
      <c r="AJ168" t="s">
        <v>233</v>
      </c>
      <c r="AL168" t="s">
        <v>2230</v>
      </c>
      <c r="AN168">
        <v>0</v>
      </c>
      <c r="AO168">
        <v>1083</v>
      </c>
      <c r="AP168">
        <v>0.5</v>
      </c>
      <c r="AQ168" t="s">
        <v>2242</v>
      </c>
      <c r="AR168" t="s">
        <v>2407</v>
      </c>
      <c r="AS168" t="s">
        <v>2844</v>
      </c>
      <c r="AT168">
        <v>240</v>
      </c>
      <c r="AU168" t="s">
        <v>3116</v>
      </c>
      <c r="AV168">
        <v>4</v>
      </c>
      <c r="AW168">
        <v>0</v>
      </c>
      <c r="AX168">
        <v>63</v>
      </c>
      <c r="BB168" t="s">
        <v>3123</v>
      </c>
      <c r="BC168" t="s">
        <v>3130</v>
      </c>
      <c r="BD168">
        <v>16222</v>
      </c>
      <c r="BH168" t="s">
        <v>125</v>
      </c>
      <c r="BK168" t="s">
        <v>3238</v>
      </c>
      <c r="BL168" t="s">
        <v>192</v>
      </c>
      <c r="BM168" t="s">
        <v>311</v>
      </c>
    </row>
    <row r="169" spans="1:65">
      <c r="A169" s="1">
        <f>HYPERLINK("https://lsnyc.legalserver.org/matter/dynamic-profile/view/1907069","19-1907069")</f>
        <v>0</v>
      </c>
      <c r="B169" t="s">
        <v>65</v>
      </c>
      <c r="C169" t="s">
        <v>97</v>
      </c>
      <c r="D169" t="s">
        <v>170</v>
      </c>
      <c r="E169" t="s">
        <v>172</v>
      </c>
      <c r="F169" t="s">
        <v>183</v>
      </c>
      <c r="G169" t="s">
        <v>172</v>
      </c>
      <c r="H169" t="s">
        <v>220</v>
      </c>
      <c r="I169" t="s">
        <v>172</v>
      </c>
      <c r="J169" t="s">
        <v>231</v>
      </c>
      <c r="K169" t="s">
        <v>172</v>
      </c>
      <c r="M169" t="s">
        <v>232</v>
      </c>
      <c r="N169" t="s">
        <v>311</v>
      </c>
      <c r="O169" t="s">
        <v>172</v>
      </c>
      <c r="P169" t="s">
        <v>314</v>
      </c>
      <c r="Q169" t="s">
        <v>322</v>
      </c>
      <c r="T169" t="s">
        <v>484</v>
      </c>
      <c r="U169" t="s">
        <v>869</v>
      </c>
      <c r="V169" t="s">
        <v>183</v>
      </c>
      <c r="W169" t="s">
        <v>177</v>
      </c>
      <c r="X169" t="s">
        <v>1113</v>
      </c>
      <c r="Y169" t="s">
        <v>1273</v>
      </c>
      <c r="Z169">
        <v>4</v>
      </c>
      <c r="AA169" t="s">
        <v>1755</v>
      </c>
      <c r="AB169" t="s">
        <v>1786</v>
      </c>
      <c r="AC169">
        <v>10460</v>
      </c>
      <c r="AD169" t="s">
        <v>1790</v>
      </c>
      <c r="AE169" t="s">
        <v>1946</v>
      </c>
      <c r="AF169">
        <v>10</v>
      </c>
      <c r="AG169" t="s">
        <v>2214</v>
      </c>
      <c r="AH169" t="s">
        <v>2220</v>
      </c>
      <c r="AI169" t="s">
        <v>233</v>
      </c>
      <c r="AJ169" t="s">
        <v>233</v>
      </c>
      <c r="AL169" t="s">
        <v>2230</v>
      </c>
      <c r="AN169">
        <v>0</v>
      </c>
      <c r="AO169">
        <v>1543.84</v>
      </c>
      <c r="AP169">
        <v>1</v>
      </c>
      <c r="AQ169" t="s">
        <v>2242</v>
      </c>
      <c r="AR169" t="s">
        <v>2408</v>
      </c>
      <c r="AS169" t="s">
        <v>2845</v>
      </c>
      <c r="AT169">
        <v>4</v>
      </c>
      <c r="AU169" t="s">
        <v>3108</v>
      </c>
      <c r="AV169">
        <v>1</v>
      </c>
      <c r="AW169">
        <v>1</v>
      </c>
      <c r="AX169">
        <v>77.42</v>
      </c>
      <c r="BB169" t="s">
        <v>3123</v>
      </c>
      <c r="BC169" t="s">
        <v>3130</v>
      </c>
      <c r="BD169">
        <v>13092</v>
      </c>
      <c r="BH169" t="s">
        <v>125</v>
      </c>
      <c r="BK169" t="s">
        <v>3239</v>
      </c>
      <c r="BL169" t="s">
        <v>177</v>
      </c>
      <c r="BM169" t="s">
        <v>311</v>
      </c>
    </row>
    <row r="170" spans="1:65">
      <c r="A170" s="1">
        <f>HYPERLINK("https://lsnyc.legalserver.org/matter/dynamic-profile/view/1906548","19-1906548")</f>
        <v>0</v>
      </c>
      <c r="B170" t="s">
        <v>65</v>
      </c>
      <c r="C170" t="s">
        <v>97</v>
      </c>
      <c r="D170" t="s">
        <v>170</v>
      </c>
      <c r="E170" t="s">
        <v>172</v>
      </c>
      <c r="F170" t="s">
        <v>193</v>
      </c>
      <c r="G170" t="s">
        <v>172</v>
      </c>
      <c r="H170" t="s">
        <v>221</v>
      </c>
      <c r="I170" t="s">
        <v>172</v>
      </c>
      <c r="J170" t="s">
        <v>231</v>
      </c>
      <c r="K170" t="s">
        <v>172</v>
      </c>
      <c r="M170" t="s">
        <v>232</v>
      </c>
      <c r="N170" t="s">
        <v>311</v>
      </c>
      <c r="O170" t="s">
        <v>172</v>
      </c>
      <c r="P170" t="s">
        <v>314</v>
      </c>
      <c r="Q170" t="s">
        <v>322</v>
      </c>
      <c r="T170" t="s">
        <v>485</v>
      </c>
      <c r="U170" t="s">
        <v>870</v>
      </c>
      <c r="V170" t="s">
        <v>1097</v>
      </c>
      <c r="W170" t="s">
        <v>193</v>
      </c>
      <c r="X170" t="s">
        <v>1113</v>
      </c>
      <c r="Y170" t="s">
        <v>1274</v>
      </c>
      <c r="Z170" t="s">
        <v>1655</v>
      </c>
      <c r="AA170" t="s">
        <v>1755</v>
      </c>
      <c r="AB170" t="s">
        <v>1786</v>
      </c>
      <c r="AC170">
        <v>10453</v>
      </c>
      <c r="AE170" t="s">
        <v>1947</v>
      </c>
      <c r="AF170">
        <v>14</v>
      </c>
      <c r="AG170" t="s">
        <v>2214</v>
      </c>
      <c r="AH170" t="s">
        <v>2220</v>
      </c>
      <c r="AI170" t="s">
        <v>233</v>
      </c>
      <c r="AJ170" t="s">
        <v>233</v>
      </c>
      <c r="AL170" t="s">
        <v>2230</v>
      </c>
      <c r="AM170" t="s">
        <v>2237</v>
      </c>
      <c r="AN170">
        <v>0</v>
      </c>
      <c r="AO170">
        <v>1518</v>
      </c>
      <c r="AP170">
        <v>1.3</v>
      </c>
      <c r="AQ170" t="s">
        <v>2242</v>
      </c>
      <c r="AR170" t="s">
        <v>2409</v>
      </c>
      <c r="AT170">
        <v>39</v>
      </c>
      <c r="AV170">
        <v>1</v>
      </c>
      <c r="AW170">
        <v>3</v>
      </c>
      <c r="AX170">
        <v>18.17</v>
      </c>
      <c r="BC170" t="s">
        <v>3130</v>
      </c>
      <c r="BD170">
        <v>4680</v>
      </c>
      <c r="BH170" t="s">
        <v>125</v>
      </c>
      <c r="BK170" t="s">
        <v>3224</v>
      </c>
      <c r="BL170" t="s">
        <v>193</v>
      </c>
      <c r="BM170" t="s">
        <v>311</v>
      </c>
    </row>
    <row r="171" spans="1:65">
      <c r="A171" s="1">
        <f>HYPERLINK("https://lsnyc.legalserver.org/matter/dynamic-profile/view/1906978","19-1906978")</f>
        <v>0</v>
      </c>
      <c r="B171" t="s">
        <v>65</v>
      </c>
      <c r="C171" t="s">
        <v>97</v>
      </c>
      <c r="D171" t="s">
        <v>170</v>
      </c>
      <c r="E171" t="s">
        <v>172</v>
      </c>
      <c r="F171" t="s">
        <v>190</v>
      </c>
      <c r="G171" t="s">
        <v>172</v>
      </c>
      <c r="H171" t="s">
        <v>221</v>
      </c>
      <c r="I171" t="s">
        <v>172</v>
      </c>
      <c r="J171" t="s">
        <v>231</v>
      </c>
      <c r="K171" t="s">
        <v>172</v>
      </c>
      <c r="M171" t="s">
        <v>232</v>
      </c>
      <c r="N171" t="s">
        <v>311</v>
      </c>
      <c r="O171" t="s">
        <v>172</v>
      </c>
      <c r="P171" t="s">
        <v>314</v>
      </c>
      <c r="Q171" t="s">
        <v>322</v>
      </c>
      <c r="T171" t="s">
        <v>486</v>
      </c>
      <c r="U171" t="s">
        <v>871</v>
      </c>
      <c r="V171" t="s">
        <v>199</v>
      </c>
      <c r="W171" t="s">
        <v>190</v>
      </c>
      <c r="X171" t="s">
        <v>1113</v>
      </c>
      <c r="Y171" t="s">
        <v>1275</v>
      </c>
      <c r="Z171" t="s">
        <v>1656</v>
      </c>
      <c r="AA171" t="s">
        <v>1755</v>
      </c>
      <c r="AB171" t="s">
        <v>1786</v>
      </c>
      <c r="AC171">
        <v>10453</v>
      </c>
      <c r="AD171" t="s">
        <v>1787</v>
      </c>
      <c r="AE171" t="s">
        <v>1948</v>
      </c>
      <c r="AF171">
        <v>12</v>
      </c>
      <c r="AG171" t="s">
        <v>2214</v>
      </c>
      <c r="AH171" t="s">
        <v>2220</v>
      </c>
      <c r="AI171" t="s">
        <v>233</v>
      </c>
      <c r="AJ171" t="s">
        <v>233</v>
      </c>
      <c r="AL171" t="s">
        <v>2230</v>
      </c>
      <c r="AN171">
        <v>0</v>
      </c>
      <c r="AO171">
        <v>1050</v>
      </c>
      <c r="AP171">
        <v>0.5</v>
      </c>
      <c r="AQ171" t="s">
        <v>2242</v>
      </c>
      <c r="AR171" t="s">
        <v>2410</v>
      </c>
      <c r="AS171" t="s">
        <v>2846</v>
      </c>
      <c r="AT171">
        <v>0</v>
      </c>
      <c r="AV171">
        <v>1</v>
      </c>
      <c r="AW171">
        <v>1</v>
      </c>
      <c r="AX171">
        <v>107.63</v>
      </c>
      <c r="BC171" t="s">
        <v>3131</v>
      </c>
      <c r="BD171">
        <v>18200</v>
      </c>
      <c r="BH171" t="s">
        <v>125</v>
      </c>
      <c r="BK171" t="s">
        <v>3198</v>
      </c>
      <c r="BL171" t="s">
        <v>190</v>
      </c>
      <c r="BM171" t="s">
        <v>311</v>
      </c>
    </row>
    <row r="172" spans="1:65">
      <c r="A172" s="1">
        <f>HYPERLINK("https://lsnyc.legalserver.org/matter/dynamic-profile/view/1906096","19-1906096")</f>
        <v>0</v>
      </c>
      <c r="B172" t="s">
        <v>65</v>
      </c>
      <c r="C172" t="s">
        <v>97</v>
      </c>
      <c r="D172" t="s">
        <v>170</v>
      </c>
      <c r="E172" t="s">
        <v>172</v>
      </c>
      <c r="F172" t="s">
        <v>184</v>
      </c>
      <c r="G172" t="s">
        <v>172</v>
      </c>
      <c r="H172" t="s">
        <v>220</v>
      </c>
      <c r="I172" t="s">
        <v>172</v>
      </c>
      <c r="J172" t="s">
        <v>231</v>
      </c>
      <c r="K172" t="s">
        <v>172</v>
      </c>
      <c r="M172" t="s">
        <v>232</v>
      </c>
      <c r="N172" t="s">
        <v>311</v>
      </c>
      <c r="O172" t="s">
        <v>172</v>
      </c>
      <c r="P172" t="s">
        <v>314</v>
      </c>
      <c r="Q172" t="s">
        <v>322</v>
      </c>
      <c r="T172" t="s">
        <v>487</v>
      </c>
      <c r="U172" t="s">
        <v>872</v>
      </c>
      <c r="V172" t="s">
        <v>175</v>
      </c>
      <c r="W172" t="s">
        <v>209</v>
      </c>
      <c r="X172" t="s">
        <v>1113</v>
      </c>
      <c r="Y172" t="s">
        <v>1276</v>
      </c>
      <c r="Z172" t="s">
        <v>1657</v>
      </c>
      <c r="AA172" t="s">
        <v>1755</v>
      </c>
      <c r="AB172" t="s">
        <v>1786</v>
      </c>
      <c r="AC172">
        <v>10460</v>
      </c>
      <c r="AD172" t="s">
        <v>1795</v>
      </c>
      <c r="AE172" t="s">
        <v>1949</v>
      </c>
      <c r="AF172">
        <v>0</v>
      </c>
      <c r="AG172" t="s">
        <v>2214</v>
      </c>
      <c r="AH172" t="s">
        <v>2220</v>
      </c>
      <c r="AI172" t="s">
        <v>233</v>
      </c>
      <c r="AJ172" t="s">
        <v>233</v>
      </c>
      <c r="AL172" t="s">
        <v>2230</v>
      </c>
      <c r="AN172">
        <v>0</v>
      </c>
      <c r="AO172">
        <v>0</v>
      </c>
      <c r="AP172">
        <v>0.7</v>
      </c>
      <c r="AQ172" t="s">
        <v>2242</v>
      </c>
      <c r="AR172" t="s">
        <v>2411</v>
      </c>
      <c r="AS172" t="s">
        <v>2847</v>
      </c>
      <c r="AT172">
        <v>237</v>
      </c>
      <c r="AV172">
        <v>1</v>
      </c>
      <c r="AW172">
        <v>0</v>
      </c>
      <c r="AX172">
        <v>232.19</v>
      </c>
      <c r="BC172" t="s">
        <v>3130</v>
      </c>
      <c r="BD172">
        <v>29000</v>
      </c>
      <c r="BG172" t="s">
        <v>3141</v>
      </c>
      <c r="BH172" t="s">
        <v>125</v>
      </c>
      <c r="BK172" t="s">
        <v>3198</v>
      </c>
      <c r="BL172" t="s">
        <v>209</v>
      </c>
      <c r="BM172" t="s">
        <v>311</v>
      </c>
    </row>
    <row r="173" spans="1:65">
      <c r="A173" s="1">
        <f>HYPERLINK("https://lsnyc.legalserver.org/matter/dynamic-profile/view/1908060","19-1908060")</f>
        <v>0</v>
      </c>
      <c r="B173" t="s">
        <v>65</v>
      </c>
      <c r="C173" t="s">
        <v>97</v>
      </c>
      <c r="D173" t="s">
        <v>170</v>
      </c>
      <c r="E173" t="s">
        <v>171</v>
      </c>
      <c r="G173" t="s">
        <v>172</v>
      </c>
      <c r="H173" t="s">
        <v>221</v>
      </c>
      <c r="I173" t="s">
        <v>172</v>
      </c>
      <c r="J173" t="s">
        <v>231</v>
      </c>
      <c r="K173" t="s">
        <v>172</v>
      </c>
      <c r="M173" t="s">
        <v>232</v>
      </c>
      <c r="N173" t="s">
        <v>311</v>
      </c>
      <c r="O173" t="s">
        <v>172</v>
      </c>
      <c r="P173" t="s">
        <v>316</v>
      </c>
      <c r="Q173" t="s">
        <v>321</v>
      </c>
      <c r="T173" t="s">
        <v>488</v>
      </c>
      <c r="U173" t="s">
        <v>873</v>
      </c>
      <c r="V173" t="s">
        <v>1098</v>
      </c>
      <c r="X173" t="s">
        <v>1112</v>
      </c>
      <c r="Y173" t="s">
        <v>1277</v>
      </c>
      <c r="Z173" t="s">
        <v>1658</v>
      </c>
      <c r="AA173" t="s">
        <v>1755</v>
      </c>
      <c r="AB173" t="s">
        <v>1786</v>
      </c>
      <c r="AC173">
        <v>10466</v>
      </c>
      <c r="AD173" t="s">
        <v>1796</v>
      </c>
      <c r="AE173" t="s">
        <v>1950</v>
      </c>
      <c r="AF173">
        <v>0</v>
      </c>
      <c r="AH173" t="s">
        <v>2220</v>
      </c>
      <c r="AI173" t="s">
        <v>233</v>
      </c>
      <c r="AJ173" t="s">
        <v>233</v>
      </c>
      <c r="AL173" t="s">
        <v>2230</v>
      </c>
      <c r="AN173">
        <v>0</v>
      </c>
      <c r="AO173">
        <v>0</v>
      </c>
      <c r="AP173">
        <v>1.3</v>
      </c>
      <c r="AR173" t="s">
        <v>2412</v>
      </c>
      <c r="AS173" t="s">
        <v>2848</v>
      </c>
      <c r="AT173">
        <v>0</v>
      </c>
      <c r="AV173">
        <v>1</v>
      </c>
      <c r="AW173">
        <v>0</v>
      </c>
      <c r="AX173">
        <v>166.53</v>
      </c>
      <c r="BC173" t="s">
        <v>3130</v>
      </c>
      <c r="BD173">
        <v>20800</v>
      </c>
      <c r="BH173" t="s">
        <v>125</v>
      </c>
      <c r="BK173" t="s">
        <v>3198</v>
      </c>
      <c r="BL173" t="s">
        <v>1109</v>
      </c>
      <c r="BM173" t="s">
        <v>311</v>
      </c>
    </row>
    <row r="174" spans="1:65">
      <c r="A174" s="1">
        <f>HYPERLINK("https://lsnyc.legalserver.org/matter/dynamic-profile/view/1907403","19-1907403")</f>
        <v>0</v>
      </c>
      <c r="B174" t="s">
        <v>65</v>
      </c>
      <c r="C174" t="s">
        <v>97</v>
      </c>
      <c r="D174" t="s">
        <v>170</v>
      </c>
      <c r="E174" t="s">
        <v>171</v>
      </c>
      <c r="G174" t="s">
        <v>172</v>
      </c>
      <c r="H174" t="s">
        <v>226</v>
      </c>
      <c r="I174" t="s">
        <v>230</v>
      </c>
      <c r="J174" t="s">
        <v>233</v>
      </c>
      <c r="K174" t="s">
        <v>234</v>
      </c>
      <c r="M174" t="s">
        <v>232</v>
      </c>
      <c r="O174" t="s">
        <v>172</v>
      </c>
      <c r="P174" t="s">
        <v>314</v>
      </c>
      <c r="Q174" t="s">
        <v>322</v>
      </c>
      <c r="T174" t="s">
        <v>489</v>
      </c>
      <c r="U174" t="s">
        <v>874</v>
      </c>
      <c r="V174" t="s">
        <v>1099</v>
      </c>
      <c r="W174" t="s">
        <v>190</v>
      </c>
      <c r="X174" t="s">
        <v>1113</v>
      </c>
      <c r="Y174" t="s">
        <v>1278</v>
      </c>
      <c r="Z174" t="s">
        <v>1659</v>
      </c>
      <c r="AA174" t="s">
        <v>1755</v>
      </c>
      <c r="AB174" t="s">
        <v>1786</v>
      </c>
      <c r="AC174">
        <v>10456</v>
      </c>
      <c r="AD174" t="s">
        <v>1797</v>
      </c>
      <c r="AF174">
        <v>0</v>
      </c>
      <c r="AG174" t="s">
        <v>2214</v>
      </c>
      <c r="AH174" t="s">
        <v>2220</v>
      </c>
      <c r="AI174" t="s">
        <v>233</v>
      </c>
      <c r="AL174" t="s">
        <v>2230</v>
      </c>
      <c r="AN174">
        <v>0</v>
      </c>
      <c r="AO174">
        <v>0</v>
      </c>
      <c r="AP174">
        <v>1</v>
      </c>
      <c r="AQ174" t="s">
        <v>2242</v>
      </c>
      <c r="AR174" t="s">
        <v>2413</v>
      </c>
      <c r="AS174" t="s">
        <v>2849</v>
      </c>
      <c r="AT174">
        <v>0</v>
      </c>
      <c r="AV174">
        <v>1</v>
      </c>
      <c r="AW174">
        <v>2</v>
      </c>
      <c r="AX174">
        <v>60.95</v>
      </c>
      <c r="BC174" t="s">
        <v>3130</v>
      </c>
      <c r="BD174">
        <v>13000</v>
      </c>
      <c r="BH174" t="s">
        <v>3159</v>
      </c>
      <c r="BK174" t="s">
        <v>3214</v>
      </c>
      <c r="BL174" t="s">
        <v>190</v>
      </c>
    </row>
    <row r="175" spans="1:65">
      <c r="A175" s="1">
        <f>HYPERLINK("https://lsnyc.legalserver.org/matter/dynamic-profile/view/1905314","19-1905314")</f>
        <v>0</v>
      </c>
      <c r="B175" t="s">
        <v>65</v>
      </c>
      <c r="C175" t="s">
        <v>97</v>
      </c>
      <c r="D175" t="s">
        <v>170</v>
      </c>
      <c r="E175" t="s">
        <v>172</v>
      </c>
      <c r="F175" t="s">
        <v>175</v>
      </c>
      <c r="G175" t="s">
        <v>172</v>
      </c>
      <c r="H175" t="s">
        <v>221</v>
      </c>
      <c r="I175" t="s">
        <v>172</v>
      </c>
      <c r="J175" t="s">
        <v>231</v>
      </c>
      <c r="K175" t="s">
        <v>172</v>
      </c>
      <c r="M175" t="s">
        <v>232</v>
      </c>
      <c r="N175" t="s">
        <v>311</v>
      </c>
      <c r="O175" t="s">
        <v>172</v>
      </c>
      <c r="P175" t="s">
        <v>314</v>
      </c>
      <c r="Q175" t="s">
        <v>322</v>
      </c>
      <c r="T175" t="s">
        <v>490</v>
      </c>
      <c r="U175" t="s">
        <v>875</v>
      </c>
      <c r="V175" t="s">
        <v>196</v>
      </c>
      <c r="W175" t="s">
        <v>175</v>
      </c>
      <c r="X175" t="s">
        <v>1113</v>
      </c>
      <c r="Y175" t="s">
        <v>1279</v>
      </c>
      <c r="AA175" t="s">
        <v>1755</v>
      </c>
      <c r="AB175" t="s">
        <v>1786</v>
      </c>
      <c r="AC175">
        <v>10458</v>
      </c>
      <c r="AD175" t="s">
        <v>1790</v>
      </c>
      <c r="AE175" t="s">
        <v>1951</v>
      </c>
      <c r="AF175">
        <v>17</v>
      </c>
      <c r="AG175" t="s">
        <v>2214</v>
      </c>
      <c r="AH175" t="s">
        <v>2220</v>
      </c>
      <c r="AI175" t="s">
        <v>233</v>
      </c>
      <c r="AJ175" t="s">
        <v>233</v>
      </c>
      <c r="AL175" t="s">
        <v>2230</v>
      </c>
      <c r="AM175" t="s">
        <v>2236</v>
      </c>
      <c r="AN175">
        <v>0</v>
      </c>
      <c r="AO175">
        <v>1054</v>
      </c>
      <c r="AP175">
        <v>0.5</v>
      </c>
      <c r="AQ175" t="s">
        <v>2242</v>
      </c>
      <c r="AR175" t="s">
        <v>2414</v>
      </c>
      <c r="AS175" t="s">
        <v>2850</v>
      </c>
      <c r="AT175">
        <v>51</v>
      </c>
      <c r="AU175" t="s">
        <v>3109</v>
      </c>
      <c r="AV175">
        <v>2</v>
      </c>
      <c r="AW175">
        <v>1</v>
      </c>
      <c r="AX175">
        <v>160.34</v>
      </c>
      <c r="BB175" t="s">
        <v>252</v>
      </c>
      <c r="BC175" t="s">
        <v>3130</v>
      </c>
      <c r="BD175">
        <v>34200</v>
      </c>
      <c r="BH175" t="s">
        <v>3162</v>
      </c>
      <c r="BK175" t="s">
        <v>3198</v>
      </c>
      <c r="BL175" t="s">
        <v>175</v>
      </c>
      <c r="BM175" t="s">
        <v>311</v>
      </c>
    </row>
    <row r="176" spans="1:65">
      <c r="A176" s="1">
        <f>HYPERLINK("https://lsnyc.legalserver.org/matter/dynamic-profile/view/1908578","19-1908578")</f>
        <v>0</v>
      </c>
      <c r="B176" t="s">
        <v>65</v>
      </c>
      <c r="C176" t="s">
        <v>98</v>
      </c>
      <c r="D176" t="s">
        <v>170</v>
      </c>
      <c r="E176" t="s">
        <v>171</v>
      </c>
      <c r="G176" t="s">
        <v>172</v>
      </c>
      <c r="H176" t="s">
        <v>221</v>
      </c>
      <c r="I176" t="s">
        <v>172</v>
      </c>
      <c r="J176" t="s">
        <v>231</v>
      </c>
      <c r="K176" t="s">
        <v>172</v>
      </c>
      <c r="M176" t="s">
        <v>232</v>
      </c>
      <c r="N176" t="s">
        <v>311</v>
      </c>
      <c r="O176" t="s">
        <v>313</v>
      </c>
      <c r="P176" t="s">
        <v>315</v>
      </c>
      <c r="Q176" t="s">
        <v>321</v>
      </c>
      <c r="T176" t="s">
        <v>491</v>
      </c>
      <c r="U176" t="s">
        <v>876</v>
      </c>
      <c r="V176" t="s">
        <v>213</v>
      </c>
      <c r="X176" t="s">
        <v>1112</v>
      </c>
      <c r="Y176" t="s">
        <v>1280</v>
      </c>
      <c r="Z176" t="s">
        <v>1572</v>
      </c>
      <c r="AA176" t="s">
        <v>1755</v>
      </c>
      <c r="AB176" t="s">
        <v>1786</v>
      </c>
      <c r="AC176">
        <v>10467</v>
      </c>
      <c r="AD176" t="s">
        <v>1796</v>
      </c>
      <c r="AE176" t="s">
        <v>1952</v>
      </c>
      <c r="AF176">
        <v>16</v>
      </c>
      <c r="AH176" t="s">
        <v>2221</v>
      </c>
      <c r="AI176" t="s">
        <v>233</v>
      </c>
      <c r="AJ176" t="s">
        <v>233</v>
      </c>
      <c r="AL176" t="s">
        <v>2230</v>
      </c>
      <c r="AM176" t="s">
        <v>2238</v>
      </c>
      <c r="AN176">
        <v>0</v>
      </c>
      <c r="AO176">
        <v>1450</v>
      </c>
      <c r="AP176">
        <v>1</v>
      </c>
      <c r="AR176" t="s">
        <v>2415</v>
      </c>
      <c r="AS176" t="s">
        <v>2851</v>
      </c>
      <c r="AT176">
        <v>28</v>
      </c>
      <c r="AU176" t="s">
        <v>3106</v>
      </c>
      <c r="AV176">
        <v>2</v>
      </c>
      <c r="AW176">
        <v>1</v>
      </c>
      <c r="AX176">
        <v>109.7</v>
      </c>
      <c r="BB176" t="s">
        <v>252</v>
      </c>
      <c r="BC176" t="s">
        <v>3130</v>
      </c>
      <c r="BD176">
        <v>23400</v>
      </c>
      <c r="BH176" t="s">
        <v>3162</v>
      </c>
      <c r="BK176" t="s">
        <v>3198</v>
      </c>
      <c r="BL176" t="s">
        <v>3274</v>
      </c>
      <c r="BM176" t="s">
        <v>311</v>
      </c>
    </row>
    <row r="177" spans="1:65">
      <c r="A177" s="1">
        <f>HYPERLINK("https://lsnyc.legalserver.org/matter/dynamic-profile/view/1906485","19-1906485")</f>
        <v>0</v>
      </c>
      <c r="B177" t="s">
        <v>65</v>
      </c>
      <c r="C177" t="s">
        <v>97</v>
      </c>
      <c r="D177" t="s">
        <v>170</v>
      </c>
      <c r="E177" t="s">
        <v>172</v>
      </c>
      <c r="F177" t="s">
        <v>185</v>
      </c>
      <c r="G177" t="s">
        <v>172</v>
      </c>
      <c r="H177" t="s">
        <v>220</v>
      </c>
      <c r="I177" t="s">
        <v>172</v>
      </c>
      <c r="J177" t="s">
        <v>231</v>
      </c>
      <c r="K177" t="s">
        <v>172</v>
      </c>
      <c r="M177" t="s">
        <v>232</v>
      </c>
      <c r="N177" t="s">
        <v>311</v>
      </c>
      <c r="O177" t="s">
        <v>172</v>
      </c>
      <c r="P177" t="s">
        <v>314</v>
      </c>
      <c r="Q177" t="s">
        <v>322</v>
      </c>
      <c r="T177" t="s">
        <v>492</v>
      </c>
      <c r="U177" t="s">
        <v>808</v>
      </c>
      <c r="V177" t="s">
        <v>1097</v>
      </c>
      <c r="W177" t="s">
        <v>185</v>
      </c>
      <c r="X177" t="s">
        <v>1113</v>
      </c>
      <c r="Y177" t="s">
        <v>1281</v>
      </c>
      <c r="Z177" t="s">
        <v>1571</v>
      </c>
      <c r="AA177" t="s">
        <v>1755</v>
      </c>
      <c r="AB177" t="s">
        <v>1786</v>
      </c>
      <c r="AC177">
        <v>10472</v>
      </c>
      <c r="AD177" t="s">
        <v>1790</v>
      </c>
      <c r="AE177" t="s">
        <v>1953</v>
      </c>
      <c r="AF177">
        <v>0</v>
      </c>
      <c r="AG177" t="s">
        <v>2214</v>
      </c>
      <c r="AH177" t="s">
        <v>2220</v>
      </c>
      <c r="AI177" t="s">
        <v>233</v>
      </c>
      <c r="AL177" t="s">
        <v>2230</v>
      </c>
      <c r="AM177" t="s">
        <v>2236</v>
      </c>
      <c r="AN177">
        <v>0</v>
      </c>
      <c r="AO177">
        <v>215</v>
      </c>
      <c r="AP177">
        <v>1.5</v>
      </c>
      <c r="AQ177" t="s">
        <v>2242</v>
      </c>
      <c r="AR177" t="s">
        <v>2416</v>
      </c>
      <c r="AS177" t="s">
        <v>2852</v>
      </c>
      <c r="AT177">
        <v>0</v>
      </c>
      <c r="AV177">
        <v>1</v>
      </c>
      <c r="AW177">
        <v>0</v>
      </c>
      <c r="AX177">
        <v>0</v>
      </c>
      <c r="BC177" t="s">
        <v>3130</v>
      </c>
      <c r="BD177">
        <v>0</v>
      </c>
      <c r="BH177" t="s">
        <v>125</v>
      </c>
      <c r="BK177" t="s">
        <v>3210</v>
      </c>
      <c r="BL177" t="s">
        <v>185</v>
      </c>
      <c r="BM177" t="s">
        <v>311</v>
      </c>
    </row>
    <row r="178" spans="1:65">
      <c r="A178" s="1">
        <f>HYPERLINK("https://lsnyc.legalserver.org/matter/dynamic-profile/view/1907103","19-1907103")</f>
        <v>0</v>
      </c>
      <c r="B178" t="s">
        <v>65</v>
      </c>
      <c r="C178" t="s">
        <v>97</v>
      </c>
      <c r="D178" t="s">
        <v>170</v>
      </c>
      <c r="E178" t="s">
        <v>172</v>
      </c>
      <c r="F178" t="s">
        <v>194</v>
      </c>
      <c r="G178" t="s">
        <v>172</v>
      </c>
      <c r="H178" t="s">
        <v>221</v>
      </c>
      <c r="I178" t="s">
        <v>172</v>
      </c>
      <c r="J178" t="s">
        <v>231</v>
      </c>
      <c r="K178" t="s">
        <v>172</v>
      </c>
      <c r="L178" t="s">
        <v>263</v>
      </c>
      <c r="M178" t="s">
        <v>232</v>
      </c>
      <c r="N178" t="s">
        <v>311</v>
      </c>
      <c r="O178" t="s">
        <v>172</v>
      </c>
      <c r="P178" t="s">
        <v>314</v>
      </c>
      <c r="Q178" t="s">
        <v>322</v>
      </c>
      <c r="T178" t="s">
        <v>493</v>
      </c>
      <c r="U178" t="s">
        <v>877</v>
      </c>
      <c r="V178" t="s">
        <v>183</v>
      </c>
      <c r="W178" t="s">
        <v>194</v>
      </c>
      <c r="X178" t="s">
        <v>1113</v>
      </c>
      <c r="Y178" t="s">
        <v>1282</v>
      </c>
      <c r="AA178" t="s">
        <v>1755</v>
      </c>
      <c r="AB178" t="s">
        <v>1786</v>
      </c>
      <c r="AC178">
        <v>10472</v>
      </c>
      <c r="AD178" t="s">
        <v>1790</v>
      </c>
      <c r="AE178" t="s">
        <v>1954</v>
      </c>
      <c r="AF178">
        <v>0</v>
      </c>
      <c r="AG178" t="s">
        <v>2214</v>
      </c>
      <c r="AH178" t="s">
        <v>2220</v>
      </c>
      <c r="AI178" t="s">
        <v>233</v>
      </c>
      <c r="AJ178" t="s">
        <v>233</v>
      </c>
      <c r="AL178" t="s">
        <v>2230</v>
      </c>
      <c r="AN178">
        <v>0</v>
      </c>
      <c r="AO178">
        <v>990</v>
      </c>
      <c r="AP178">
        <v>0.5</v>
      </c>
      <c r="AQ178" t="s">
        <v>2242</v>
      </c>
      <c r="AR178" t="s">
        <v>2417</v>
      </c>
      <c r="AS178" t="s">
        <v>2853</v>
      </c>
      <c r="AT178">
        <v>67</v>
      </c>
      <c r="AU178" t="s">
        <v>3106</v>
      </c>
      <c r="AV178">
        <v>1</v>
      </c>
      <c r="AW178">
        <v>2</v>
      </c>
      <c r="AX178">
        <v>189.97</v>
      </c>
      <c r="BB178" t="s">
        <v>3123</v>
      </c>
      <c r="BC178" t="s">
        <v>3130</v>
      </c>
      <c r="BD178">
        <v>40520</v>
      </c>
      <c r="BH178" t="s">
        <v>125</v>
      </c>
      <c r="BK178" t="s">
        <v>3221</v>
      </c>
      <c r="BL178" t="s">
        <v>194</v>
      </c>
      <c r="BM178" t="s">
        <v>311</v>
      </c>
    </row>
    <row r="179" spans="1:65">
      <c r="A179" s="1">
        <f>HYPERLINK("https://lsnyc.legalserver.org/matter/dynamic-profile/view/1908335","19-1908335")</f>
        <v>0</v>
      </c>
      <c r="B179" t="s">
        <v>65</v>
      </c>
      <c r="C179" t="s">
        <v>97</v>
      </c>
      <c r="D179" t="s">
        <v>170</v>
      </c>
      <c r="E179" t="s">
        <v>171</v>
      </c>
      <c r="G179" t="s">
        <v>172</v>
      </c>
      <c r="H179" t="s">
        <v>221</v>
      </c>
      <c r="I179" t="s">
        <v>172</v>
      </c>
      <c r="J179" t="s">
        <v>231</v>
      </c>
      <c r="K179" t="s">
        <v>234</v>
      </c>
      <c r="M179" t="s">
        <v>232</v>
      </c>
      <c r="O179" t="s">
        <v>172</v>
      </c>
      <c r="P179" t="s">
        <v>314</v>
      </c>
      <c r="Q179" t="s">
        <v>322</v>
      </c>
      <c r="T179" t="s">
        <v>398</v>
      </c>
      <c r="U179" t="s">
        <v>878</v>
      </c>
      <c r="V179" t="s">
        <v>185</v>
      </c>
      <c r="W179" t="s">
        <v>194</v>
      </c>
      <c r="X179" t="s">
        <v>1113</v>
      </c>
      <c r="Y179" t="s">
        <v>1283</v>
      </c>
      <c r="Z179" t="s">
        <v>1660</v>
      </c>
      <c r="AA179" t="s">
        <v>1755</v>
      </c>
      <c r="AB179" t="s">
        <v>1786</v>
      </c>
      <c r="AC179">
        <v>10470</v>
      </c>
      <c r="AD179" t="s">
        <v>1797</v>
      </c>
      <c r="AE179" t="s">
        <v>1955</v>
      </c>
      <c r="AF179">
        <v>0</v>
      </c>
      <c r="AG179" t="s">
        <v>2214</v>
      </c>
      <c r="AH179" t="s">
        <v>2220</v>
      </c>
      <c r="AI179" t="s">
        <v>233</v>
      </c>
      <c r="AL179" t="s">
        <v>2230</v>
      </c>
      <c r="AM179" t="s">
        <v>2236</v>
      </c>
      <c r="AN179">
        <v>0</v>
      </c>
      <c r="AO179">
        <v>0</v>
      </c>
      <c r="AP179">
        <v>0.5</v>
      </c>
      <c r="AQ179" t="s">
        <v>2242</v>
      </c>
      <c r="AR179" t="s">
        <v>2418</v>
      </c>
      <c r="AT179">
        <v>0</v>
      </c>
      <c r="AV179">
        <v>1</v>
      </c>
      <c r="AW179">
        <v>2</v>
      </c>
      <c r="AX179">
        <v>79.7</v>
      </c>
      <c r="BC179" t="s">
        <v>3130</v>
      </c>
      <c r="BD179">
        <v>17000</v>
      </c>
      <c r="BH179" t="s">
        <v>3160</v>
      </c>
      <c r="BK179" t="s">
        <v>3198</v>
      </c>
      <c r="BL179" t="s">
        <v>194</v>
      </c>
    </row>
    <row r="180" spans="1:65">
      <c r="A180" s="1">
        <f>HYPERLINK("https://lsnyc.legalserver.org/matter/dynamic-profile/view/1904969","19-1904969")</f>
        <v>0</v>
      </c>
      <c r="B180" t="s">
        <v>65</v>
      </c>
      <c r="C180" t="s">
        <v>97</v>
      </c>
      <c r="D180" t="s">
        <v>170</v>
      </c>
      <c r="E180" t="s">
        <v>172</v>
      </c>
      <c r="F180" t="s">
        <v>175</v>
      </c>
      <c r="G180" t="s">
        <v>172</v>
      </c>
      <c r="H180" t="s">
        <v>220</v>
      </c>
      <c r="I180" t="s">
        <v>172</v>
      </c>
      <c r="J180" t="s">
        <v>231</v>
      </c>
      <c r="K180" t="s">
        <v>172</v>
      </c>
      <c r="M180" t="s">
        <v>232</v>
      </c>
      <c r="N180" t="s">
        <v>311</v>
      </c>
      <c r="O180" t="s">
        <v>172</v>
      </c>
      <c r="P180" t="s">
        <v>314</v>
      </c>
      <c r="Q180" t="s">
        <v>322</v>
      </c>
      <c r="T180" t="s">
        <v>494</v>
      </c>
      <c r="U180" t="s">
        <v>836</v>
      </c>
      <c r="V180" t="s">
        <v>187</v>
      </c>
      <c r="W180" t="s">
        <v>212</v>
      </c>
      <c r="X180" t="s">
        <v>1113</v>
      </c>
      <c r="Y180" t="s">
        <v>1284</v>
      </c>
      <c r="AA180" t="s">
        <v>1755</v>
      </c>
      <c r="AB180" t="s">
        <v>1786</v>
      </c>
      <c r="AC180">
        <v>10469</v>
      </c>
      <c r="AD180" t="s">
        <v>1790</v>
      </c>
      <c r="AE180" t="s">
        <v>1956</v>
      </c>
      <c r="AF180">
        <v>12</v>
      </c>
      <c r="AG180" t="s">
        <v>2214</v>
      </c>
      <c r="AH180" t="s">
        <v>2220</v>
      </c>
      <c r="AI180" t="s">
        <v>233</v>
      </c>
      <c r="AJ180" t="s">
        <v>233</v>
      </c>
      <c r="AL180" t="s">
        <v>2230</v>
      </c>
      <c r="AM180" t="s">
        <v>2236</v>
      </c>
      <c r="AN180">
        <v>0</v>
      </c>
      <c r="AO180">
        <v>0</v>
      </c>
      <c r="AP180">
        <v>0.25</v>
      </c>
      <c r="AQ180" t="s">
        <v>2242</v>
      </c>
      <c r="AR180" t="s">
        <v>2419</v>
      </c>
      <c r="AS180" t="s">
        <v>2854</v>
      </c>
      <c r="AT180">
        <v>0</v>
      </c>
      <c r="AU180" t="s">
        <v>3108</v>
      </c>
      <c r="AV180">
        <v>2</v>
      </c>
      <c r="AW180">
        <v>0</v>
      </c>
      <c r="AX180">
        <v>85.16</v>
      </c>
      <c r="BC180" t="s">
        <v>3130</v>
      </c>
      <c r="BD180">
        <v>14400</v>
      </c>
      <c r="BH180" t="s">
        <v>125</v>
      </c>
      <c r="BK180" t="s">
        <v>3196</v>
      </c>
      <c r="BL180" t="s">
        <v>175</v>
      </c>
      <c r="BM180" t="s">
        <v>311</v>
      </c>
    </row>
    <row r="181" spans="1:65">
      <c r="A181" s="1">
        <f>HYPERLINK("https://lsnyc.legalserver.org/matter/dynamic-profile/view/1906345","19-1906345")</f>
        <v>0</v>
      </c>
      <c r="B181" t="s">
        <v>65</v>
      </c>
      <c r="C181" t="s">
        <v>97</v>
      </c>
      <c r="D181" t="s">
        <v>170</v>
      </c>
      <c r="E181" t="s">
        <v>171</v>
      </c>
      <c r="G181" t="s">
        <v>172</v>
      </c>
      <c r="H181" t="s">
        <v>221</v>
      </c>
      <c r="I181" t="s">
        <v>172</v>
      </c>
      <c r="J181" t="s">
        <v>231</v>
      </c>
      <c r="K181" t="s">
        <v>172</v>
      </c>
      <c r="L181" t="s">
        <v>264</v>
      </c>
      <c r="M181" t="s">
        <v>232</v>
      </c>
      <c r="N181" t="s">
        <v>311</v>
      </c>
      <c r="O181" t="s">
        <v>172</v>
      </c>
      <c r="P181" t="s">
        <v>314</v>
      </c>
      <c r="Q181" t="s">
        <v>322</v>
      </c>
      <c r="T181" t="s">
        <v>495</v>
      </c>
      <c r="U181" t="s">
        <v>879</v>
      </c>
      <c r="V181" t="s">
        <v>195</v>
      </c>
      <c r="W181" t="s">
        <v>194</v>
      </c>
      <c r="X181" t="s">
        <v>1113</v>
      </c>
      <c r="Y181" t="s">
        <v>1285</v>
      </c>
      <c r="Z181">
        <v>2</v>
      </c>
      <c r="AA181" t="s">
        <v>1755</v>
      </c>
      <c r="AB181" t="s">
        <v>1786</v>
      </c>
      <c r="AC181">
        <v>10469</v>
      </c>
      <c r="AE181" t="s">
        <v>1957</v>
      </c>
      <c r="AF181">
        <v>-1</v>
      </c>
      <c r="AG181" t="s">
        <v>2214</v>
      </c>
      <c r="AH181" t="s">
        <v>2220</v>
      </c>
      <c r="AI181" t="s">
        <v>233</v>
      </c>
      <c r="AJ181" t="s">
        <v>233</v>
      </c>
      <c r="AL181" t="s">
        <v>2230</v>
      </c>
      <c r="AN181">
        <v>0</v>
      </c>
      <c r="AO181">
        <v>2250</v>
      </c>
      <c r="AP181">
        <v>1.1</v>
      </c>
      <c r="AQ181" t="s">
        <v>2242</v>
      </c>
      <c r="AR181" t="s">
        <v>2420</v>
      </c>
      <c r="AS181" t="s">
        <v>2855</v>
      </c>
      <c r="AT181">
        <v>0</v>
      </c>
      <c r="AU181" t="s">
        <v>3108</v>
      </c>
      <c r="AV181">
        <v>2</v>
      </c>
      <c r="AW181">
        <v>2</v>
      </c>
      <c r="AX181">
        <v>161.94</v>
      </c>
      <c r="BB181" t="s">
        <v>3127</v>
      </c>
      <c r="BC181" t="s">
        <v>3130</v>
      </c>
      <c r="BD181">
        <v>41700</v>
      </c>
      <c r="BG181" t="s">
        <v>3142</v>
      </c>
      <c r="BH181" t="s">
        <v>125</v>
      </c>
      <c r="BK181" t="s">
        <v>3219</v>
      </c>
      <c r="BL181" t="s">
        <v>194</v>
      </c>
      <c r="BM181" t="s">
        <v>311</v>
      </c>
    </row>
    <row r="182" spans="1:65">
      <c r="A182" s="1">
        <f>HYPERLINK("https://lsnyc.legalserver.org/matter/dynamic-profile/view/1905491","19-1905491")</f>
        <v>0</v>
      </c>
      <c r="B182" t="s">
        <v>65</v>
      </c>
      <c r="C182" t="s">
        <v>97</v>
      </c>
      <c r="D182" t="s">
        <v>170</v>
      </c>
      <c r="E182" t="s">
        <v>171</v>
      </c>
      <c r="G182" t="s">
        <v>219</v>
      </c>
      <c r="I182" t="s">
        <v>172</v>
      </c>
      <c r="J182" t="s">
        <v>231</v>
      </c>
      <c r="K182" t="s">
        <v>234</v>
      </c>
      <c r="M182" t="s">
        <v>232</v>
      </c>
      <c r="O182" t="s">
        <v>172</v>
      </c>
      <c r="P182" t="s">
        <v>314</v>
      </c>
      <c r="Q182" t="s">
        <v>322</v>
      </c>
      <c r="T182" t="s">
        <v>496</v>
      </c>
      <c r="U182" t="s">
        <v>880</v>
      </c>
      <c r="V182" t="s">
        <v>217</v>
      </c>
      <c r="W182" t="s">
        <v>175</v>
      </c>
      <c r="X182" t="s">
        <v>1113</v>
      </c>
      <c r="Y182" t="s">
        <v>1286</v>
      </c>
      <c r="Z182" t="s">
        <v>1661</v>
      </c>
      <c r="AA182" t="s">
        <v>1755</v>
      </c>
      <c r="AB182" t="s">
        <v>1786</v>
      </c>
      <c r="AC182">
        <v>10468</v>
      </c>
      <c r="AF182">
        <v>9</v>
      </c>
      <c r="AG182" t="s">
        <v>2214</v>
      </c>
      <c r="AH182" t="s">
        <v>2221</v>
      </c>
      <c r="AI182" t="s">
        <v>233</v>
      </c>
      <c r="AL182" t="s">
        <v>2230</v>
      </c>
      <c r="AN182">
        <v>0</v>
      </c>
      <c r="AO182">
        <v>1160</v>
      </c>
      <c r="AP182">
        <v>0.2</v>
      </c>
      <c r="AQ182" t="s">
        <v>2242</v>
      </c>
      <c r="AR182" t="s">
        <v>2421</v>
      </c>
      <c r="AT182">
        <v>0</v>
      </c>
      <c r="AV182">
        <v>2</v>
      </c>
      <c r="AW182">
        <v>1</v>
      </c>
      <c r="AX182">
        <v>248.48</v>
      </c>
      <c r="BC182" t="s">
        <v>3131</v>
      </c>
      <c r="BD182">
        <v>53000</v>
      </c>
      <c r="BH182" t="s">
        <v>3160</v>
      </c>
      <c r="BK182" t="s">
        <v>3198</v>
      </c>
      <c r="BL182" t="s">
        <v>175</v>
      </c>
    </row>
    <row r="183" spans="1:65">
      <c r="A183" s="1">
        <f>HYPERLINK("https://lsnyc.legalserver.org/matter/dynamic-profile/view/1905610","19-1905610")</f>
        <v>0</v>
      </c>
      <c r="B183" t="s">
        <v>65</v>
      </c>
      <c r="C183" t="s">
        <v>97</v>
      </c>
      <c r="D183" t="s">
        <v>170</v>
      </c>
      <c r="E183" t="s">
        <v>171</v>
      </c>
      <c r="G183" t="s">
        <v>219</v>
      </c>
      <c r="I183" t="s">
        <v>230</v>
      </c>
      <c r="J183" t="s">
        <v>233</v>
      </c>
      <c r="K183" t="s">
        <v>234</v>
      </c>
      <c r="M183" t="s">
        <v>232</v>
      </c>
      <c r="O183" t="s">
        <v>172</v>
      </c>
      <c r="P183" t="s">
        <v>314</v>
      </c>
      <c r="Q183" t="s">
        <v>321</v>
      </c>
      <c r="T183" t="s">
        <v>409</v>
      </c>
      <c r="U183" t="s">
        <v>881</v>
      </c>
      <c r="V183" t="s">
        <v>214</v>
      </c>
      <c r="X183" t="s">
        <v>1112</v>
      </c>
      <c r="Y183" t="s">
        <v>1287</v>
      </c>
      <c r="Z183" t="s">
        <v>1621</v>
      </c>
      <c r="AA183" t="s">
        <v>1755</v>
      </c>
      <c r="AB183" t="s">
        <v>1786</v>
      </c>
      <c r="AC183">
        <v>10468</v>
      </c>
      <c r="AF183">
        <v>0</v>
      </c>
      <c r="AH183" t="s">
        <v>2221</v>
      </c>
      <c r="AI183" t="s">
        <v>233</v>
      </c>
      <c r="AL183" t="s">
        <v>2230</v>
      </c>
      <c r="AN183">
        <v>0</v>
      </c>
      <c r="AO183">
        <v>0</v>
      </c>
      <c r="AP183">
        <v>0.3</v>
      </c>
      <c r="AR183" t="s">
        <v>2422</v>
      </c>
      <c r="AT183">
        <v>0</v>
      </c>
      <c r="AV183">
        <v>1</v>
      </c>
      <c r="AW183">
        <v>0</v>
      </c>
      <c r="AX183">
        <v>286.65</v>
      </c>
      <c r="BC183" t="s">
        <v>3130</v>
      </c>
      <c r="BD183">
        <v>35802</v>
      </c>
      <c r="BH183" t="s">
        <v>3160</v>
      </c>
      <c r="BK183" t="s">
        <v>3198</v>
      </c>
      <c r="BL183" t="s">
        <v>1111</v>
      </c>
    </row>
    <row r="184" spans="1:65">
      <c r="A184" s="1">
        <f>HYPERLINK("https://lsnyc.legalserver.org/matter/dynamic-profile/view/1906825","19-1906825")</f>
        <v>0</v>
      </c>
      <c r="B184" t="s">
        <v>65</v>
      </c>
      <c r="C184" t="s">
        <v>97</v>
      </c>
      <c r="D184" t="s">
        <v>170</v>
      </c>
      <c r="E184" t="s">
        <v>171</v>
      </c>
      <c r="G184" t="s">
        <v>172</v>
      </c>
      <c r="H184" t="s">
        <v>220</v>
      </c>
      <c r="I184" t="s">
        <v>172</v>
      </c>
      <c r="J184" t="s">
        <v>231</v>
      </c>
      <c r="K184" t="s">
        <v>172</v>
      </c>
      <c r="M184" t="s">
        <v>232</v>
      </c>
      <c r="N184" t="s">
        <v>311</v>
      </c>
      <c r="O184" t="s">
        <v>172</v>
      </c>
      <c r="P184" t="s">
        <v>314</v>
      </c>
      <c r="Q184" t="s">
        <v>322</v>
      </c>
      <c r="T184" t="s">
        <v>497</v>
      </c>
      <c r="U184" t="s">
        <v>882</v>
      </c>
      <c r="V184" t="s">
        <v>212</v>
      </c>
      <c r="W184" t="s">
        <v>184</v>
      </c>
      <c r="X184" t="s">
        <v>1113</v>
      </c>
      <c r="Y184" t="s">
        <v>1288</v>
      </c>
      <c r="Z184" t="s">
        <v>1662</v>
      </c>
      <c r="AA184" t="s">
        <v>1755</v>
      </c>
      <c r="AB184" t="s">
        <v>1786</v>
      </c>
      <c r="AC184">
        <v>10467</v>
      </c>
      <c r="AD184" t="s">
        <v>1793</v>
      </c>
      <c r="AE184" t="s">
        <v>1958</v>
      </c>
      <c r="AF184">
        <v>1</v>
      </c>
      <c r="AG184" t="s">
        <v>2214</v>
      </c>
      <c r="AH184" t="s">
        <v>2221</v>
      </c>
      <c r="AI184" t="s">
        <v>233</v>
      </c>
      <c r="AJ184" t="s">
        <v>233</v>
      </c>
      <c r="AL184" t="s">
        <v>2230</v>
      </c>
      <c r="AM184" t="s">
        <v>2236</v>
      </c>
      <c r="AN184">
        <v>0</v>
      </c>
      <c r="AO184">
        <v>1400</v>
      </c>
      <c r="AP184">
        <v>0.5</v>
      </c>
      <c r="AQ184" t="s">
        <v>2242</v>
      </c>
      <c r="AR184" t="s">
        <v>2423</v>
      </c>
      <c r="AS184" t="s">
        <v>2856</v>
      </c>
      <c r="AT184">
        <v>67</v>
      </c>
      <c r="AU184" t="s">
        <v>3106</v>
      </c>
      <c r="AV184">
        <v>2</v>
      </c>
      <c r="AW184">
        <v>0</v>
      </c>
      <c r="AX184">
        <v>508.57</v>
      </c>
      <c r="BC184" t="s">
        <v>3130</v>
      </c>
      <c r="BD184">
        <v>86000</v>
      </c>
      <c r="BH184" t="s">
        <v>125</v>
      </c>
      <c r="BK184" t="s">
        <v>3198</v>
      </c>
      <c r="BL184" t="s">
        <v>184</v>
      </c>
      <c r="BM184" t="s">
        <v>311</v>
      </c>
    </row>
    <row r="185" spans="1:65">
      <c r="A185" s="1">
        <f>HYPERLINK("https://lsnyc.legalserver.org/matter/dynamic-profile/view/1907097","19-1907097")</f>
        <v>0</v>
      </c>
      <c r="B185" t="s">
        <v>65</v>
      </c>
      <c r="C185" t="s">
        <v>97</v>
      </c>
      <c r="D185" t="s">
        <v>170</v>
      </c>
      <c r="E185" t="s">
        <v>172</v>
      </c>
      <c r="F185" t="s">
        <v>183</v>
      </c>
      <c r="G185" t="s">
        <v>172</v>
      </c>
      <c r="H185" t="s">
        <v>221</v>
      </c>
      <c r="I185" t="s">
        <v>172</v>
      </c>
      <c r="J185" t="s">
        <v>231</v>
      </c>
      <c r="K185" t="s">
        <v>172</v>
      </c>
      <c r="M185" t="s">
        <v>232</v>
      </c>
      <c r="N185" t="s">
        <v>311</v>
      </c>
      <c r="O185" t="s">
        <v>172</v>
      </c>
      <c r="P185" t="s">
        <v>314</v>
      </c>
      <c r="Q185" t="s">
        <v>322</v>
      </c>
      <c r="T185" t="s">
        <v>498</v>
      </c>
      <c r="U185" t="s">
        <v>883</v>
      </c>
      <c r="V185" t="s">
        <v>183</v>
      </c>
      <c r="W185" t="s">
        <v>1110</v>
      </c>
      <c r="X185" t="s">
        <v>1113</v>
      </c>
      <c r="Y185" t="s">
        <v>1289</v>
      </c>
      <c r="Z185" t="s">
        <v>1663</v>
      </c>
      <c r="AA185" t="s">
        <v>1755</v>
      </c>
      <c r="AB185" t="s">
        <v>1786</v>
      </c>
      <c r="AC185">
        <v>10452</v>
      </c>
      <c r="AD185" t="s">
        <v>1796</v>
      </c>
      <c r="AE185" t="s">
        <v>1959</v>
      </c>
      <c r="AF185">
        <v>23</v>
      </c>
      <c r="AG185" t="s">
        <v>2214</v>
      </c>
      <c r="AH185" t="s">
        <v>2220</v>
      </c>
      <c r="AI185" t="s">
        <v>233</v>
      </c>
      <c r="AJ185" t="s">
        <v>233</v>
      </c>
      <c r="AL185" t="s">
        <v>2230</v>
      </c>
      <c r="AM185" t="s">
        <v>2240</v>
      </c>
      <c r="AN185">
        <v>0</v>
      </c>
      <c r="AO185">
        <v>1050</v>
      </c>
      <c r="AP185">
        <v>0.5</v>
      </c>
      <c r="AQ185" t="s">
        <v>2242</v>
      </c>
      <c r="AR185" t="s">
        <v>2424</v>
      </c>
      <c r="AT185">
        <v>54</v>
      </c>
      <c r="AU185" t="s">
        <v>3106</v>
      </c>
      <c r="AV185">
        <v>1</v>
      </c>
      <c r="AW185">
        <v>0</v>
      </c>
      <c r="AX185">
        <v>67.25</v>
      </c>
      <c r="BC185" t="s">
        <v>3131</v>
      </c>
      <c r="BD185">
        <v>8400</v>
      </c>
      <c r="BH185" t="s">
        <v>125</v>
      </c>
      <c r="BK185" t="s">
        <v>3196</v>
      </c>
      <c r="BL185" t="s">
        <v>1110</v>
      </c>
      <c r="BM185" t="s">
        <v>311</v>
      </c>
    </row>
    <row r="186" spans="1:65">
      <c r="A186" s="1">
        <f>HYPERLINK("https://lsnyc.legalserver.org/matter/dynamic-profile/view/1904361","19-1904361")</f>
        <v>0</v>
      </c>
      <c r="B186" t="s">
        <v>65</v>
      </c>
      <c r="C186" t="s">
        <v>97</v>
      </c>
      <c r="D186" t="s">
        <v>170</v>
      </c>
      <c r="E186" t="s">
        <v>172</v>
      </c>
      <c r="F186" t="s">
        <v>178</v>
      </c>
      <c r="G186" t="s">
        <v>172</v>
      </c>
      <c r="H186" t="s">
        <v>221</v>
      </c>
      <c r="I186" t="s">
        <v>172</v>
      </c>
      <c r="J186" t="s">
        <v>231</v>
      </c>
      <c r="K186" t="s">
        <v>172</v>
      </c>
      <c r="M186" t="s">
        <v>232</v>
      </c>
      <c r="N186" t="s">
        <v>311</v>
      </c>
      <c r="O186" t="s">
        <v>172</v>
      </c>
      <c r="P186" t="s">
        <v>314</v>
      </c>
      <c r="Q186" t="s">
        <v>322</v>
      </c>
      <c r="T186" t="s">
        <v>499</v>
      </c>
      <c r="U186" t="s">
        <v>881</v>
      </c>
      <c r="V186" t="s">
        <v>1101</v>
      </c>
      <c r="W186" t="s">
        <v>212</v>
      </c>
      <c r="X186" t="s">
        <v>1113</v>
      </c>
      <c r="Y186" t="s">
        <v>1290</v>
      </c>
      <c r="Z186" t="s">
        <v>1664</v>
      </c>
      <c r="AA186" t="s">
        <v>1755</v>
      </c>
      <c r="AB186" t="s">
        <v>1786</v>
      </c>
      <c r="AC186">
        <v>10467</v>
      </c>
      <c r="AD186" t="s">
        <v>1790</v>
      </c>
      <c r="AE186" t="s">
        <v>1960</v>
      </c>
      <c r="AF186">
        <v>0</v>
      </c>
      <c r="AG186" t="s">
        <v>2214</v>
      </c>
      <c r="AH186" t="s">
        <v>2221</v>
      </c>
      <c r="AI186" t="s">
        <v>233</v>
      </c>
      <c r="AJ186" t="s">
        <v>233</v>
      </c>
      <c r="AL186" t="s">
        <v>2230</v>
      </c>
      <c r="AN186">
        <v>0</v>
      </c>
      <c r="AO186">
        <v>1380</v>
      </c>
      <c r="AP186">
        <v>0.6</v>
      </c>
      <c r="AQ186" t="s">
        <v>2242</v>
      </c>
      <c r="AR186" t="s">
        <v>2425</v>
      </c>
      <c r="AS186" t="s">
        <v>2857</v>
      </c>
      <c r="AT186">
        <v>40</v>
      </c>
      <c r="AU186" t="s">
        <v>3109</v>
      </c>
      <c r="AV186">
        <v>2</v>
      </c>
      <c r="AW186">
        <v>1</v>
      </c>
      <c r="AX186">
        <v>245.66</v>
      </c>
      <c r="BB186" t="s">
        <v>252</v>
      </c>
      <c r="BC186" t="s">
        <v>3130</v>
      </c>
      <c r="BD186">
        <v>52400</v>
      </c>
      <c r="BG186" t="s">
        <v>3143</v>
      </c>
      <c r="BH186" t="s">
        <v>3162</v>
      </c>
      <c r="BK186" t="s">
        <v>3221</v>
      </c>
      <c r="BL186" t="s">
        <v>1103</v>
      </c>
      <c r="BM186" t="s">
        <v>311</v>
      </c>
    </row>
    <row r="187" spans="1:65">
      <c r="A187" s="1">
        <f>HYPERLINK("https://lsnyc.legalserver.org/matter/dynamic-profile/view/1908575","19-1908575")</f>
        <v>0</v>
      </c>
      <c r="B187" t="s">
        <v>65</v>
      </c>
      <c r="C187" t="s">
        <v>102</v>
      </c>
      <c r="D187" t="s">
        <v>170</v>
      </c>
      <c r="E187" t="s">
        <v>171</v>
      </c>
      <c r="G187" t="s">
        <v>172</v>
      </c>
      <c r="H187" t="s">
        <v>220</v>
      </c>
      <c r="I187" t="s">
        <v>230</v>
      </c>
      <c r="J187" t="s">
        <v>232</v>
      </c>
      <c r="K187" t="s">
        <v>234</v>
      </c>
      <c r="M187" t="s">
        <v>232</v>
      </c>
      <c r="O187" t="s">
        <v>172</v>
      </c>
      <c r="P187" t="s">
        <v>316</v>
      </c>
      <c r="Q187" t="s">
        <v>321</v>
      </c>
      <c r="T187" t="s">
        <v>500</v>
      </c>
      <c r="U187" t="s">
        <v>884</v>
      </c>
      <c r="V187" t="s">
        <v>213</v>
      </c>
      <c r="X187" t="s">
        <v>1112</v>
      </c>
      <c r="Y187" t="s">
        <v>1291</v>
      </c>
      <c r="Z187" t="s">
        <v>1592</v>
      </c>
      <c r="AA187" t="s">
        <v>1755</v>
      </c>
      <c r="AB187" t="s">
        <v>1786</v>
      </c>
      <c r="AC187">
        <v>10467</v>
      </c>
      <c r="AE187" t="s">
        <v>1961</v>
      </c>
      <c r="AF187">
        <v>1</v>
      </c>
      <c r="AH187" t="s">
        <v>2221</v>
      </c>
      <c r="AI187" t="s">
        <v>233</v>
      </c>
      <c r="AL187" t="s">
        <v>2230</v>
      </c>
      <c r="AM187" t="s">
        <v>2236</v>
      </c>
      <c r="AN187">
        <v>0</v>
      </c>
      <c r="AO187">
        <v>500</v>
      </c>
      <c r="AP187">
        <v>0.4</v>
      </c>
      <c r="AR187" t="s">
        <v>2426</v>
      </c>
      <c r="AS187" t="s">
        <v>2858</v>
      </c>
      <c r="AT187">
        <v>3</v>
      </c>
      <c r="AU187" t="s">
        <v>3108</v>
      </c>
      <c r="AV187">
        <v>1</v>
      </c>
      <c r="AW187">
        <v>0</v>
      </c>
      <c r="AX187">
        <v>90.89</v>
      </c>
      <c r="BC187" t="s">
        <v>3130</v>
      </c>
      <c r="BD187">
        <v>11352</v>
      </c>
      <c r="BH187" t="s">
        <v>3165</v>
      </c>
      <c r="BK187" t="s">
        <v>3233</v>
      </c>
      <c r="BL187" t="s">
        <v>215</v>
      </c>
    </row>
    <row r="188" spans="1:65">
      <c r="A188" s="1">
        <f>HYPERLINK("https://lsnyc.legalserver.org/matter/dynamic-profile/view/1908547","19-1908547")</f>
        <v>0</v>
      </c>
      <c r="B188" t="s">
        <v>65</v>
      </c>
      <c r="C188" t="s">
        <v>102</v>
      </c>
      <c r="D188" t="s">
        <v>170</v>
      </c>
      <c r="E188" t="s">
        <v>171</v>
      </c>
      <c r="G188" t="s">
        <v>172</v>
      </c>
      <c r="H188" t="s">
        <v>221</v>
      </c>
      <c r="I188" t="s">
        <v>230</v>
      </c>
      <c r="J188" t="s">
        <v>232</v>
      </c>
      <c r="K188" t="s">
        <v>234</v>
      </c>
      <c r="M188" t="s">
        <v>232</v>
      </c>
      <c r="O188" t="s">
        <v>313</v>
      </c>
      <c r="Q188" t="s">
        <v>321</v>
      </c>
      <c r="T188" t="s">
        <v>501</v>
      </c>
      <c r="U188" t="s">
        <v>836</v>
      </c>
      <c r="V188" t="s">
        <v>213</v>
      </c>
      <c r="X188" t="s">
        <v>1112</v>
      </c>
      <c r="Y188" t="s">
        <v>1292</v>
      </c>
      <c r="Z188" t="s">
        <v>1665</v>
      </c>
      <c r="AA188" t="s">
        <v>1755</v>
      </c>
      <c r="AB188" t="s">
        <v>1786</v>
      </c>
      <c r="AC188">
        <v>10468</v>
      </c>
      <c r="AE188" t="s">
        <v>1962</v>
      </c>
      <c r="AF188">
        <v>5</v>
      </c>
      <c r="AH188" t="s">
        <v>2221</v>
      </c>
      <c r="AI188" t="s">
        <v>233</v>
      </c>
      <c r="AL188" t="s">
        <v>2230</v>
      </c>
      <c r="AN188">
        <v>0</v>
      </c>
      <c r="AO188">
        <v>1200</v>
      </c>
      <c r="AP188">
        <v>0</v>
      </c>
      <c r="AR188" t="s">
        <v>2427</v>
      </c>
      <c r="AS188" t="s">
        <v>2859</v>
      </c>
      <c r="AT188">
        <v>0</v>
      </c>
      <c r="AU188" t="s">
        <v>3106</v>
      </c>
      <c r="AV188">
        <v>2</v>
      </c>
      <c r="AW188">
        <v>0</v>
      </c>
      <c r="AX188">
        <v>177.41</v>
      </c>
      <c r="BC188" t="s">
        <v>3130</v>
      </c>
      <c r="BD188">
        <v>30000</v>
      </c>
      <c r="BH188" t="s">
        <v>3165</v>
      </c>
      <c r="BK188" t="s">
        <v>3240</v>
      </c>
    </row>
    <row r="189" spans="1:65">
      <c r="A189" s="1">
        <f>HYPERLINK("https://lsnyc.legalserver.org/matter/dynamic-profile/view/1908474","19-1908474")</f>
        <v>0</v>
      </c>
      <c r="B189" t="s">
        <v>65</v>
      </c>
      <c r="C189" t="s">
        <v>102</v>
      </c>
      <c r="D189" t="s">
        <v>170</v>
      </c>
      <c r="E189" t="s">
        <v>171</v>
      </c>
      <c r="G189" t="s">
        <v>172</v>
      </c>
      <c r="H189" t="s">
        <v>221</v>
      </c>
      <c r="I189" t="s">
        <v>230</v>
      </c>
      <c r="J189" t="s">
        <v>232</v>
      </c>
      <c r="K189" t="s">
        <v>234</v>
      </c>
      <c r="M189" t="s">
        <v>232</v>
      </c>
      <c r="O189" t="s">
        <v>313</v>
      </c>
      <c r="Q189" t="s">
        <v>321</v>
      </c>
      <c r="T189" t="s">
        <v>502</v>
      </c>
      <c r="U189" t="s">
        <v>885</v>
      </c>
      <c r="V189" t="s">
        <v>213</v>
      </c>
      <c r="X189" t="s">
        <v>1112</v>
      </c>
      <c r="Y189" t="s">
        <v>1293</v>
      </c>
      <c r="Z189" t="s">
        <v>1666</v>
      </c>
      <c r="AA189" t="s">
        <v>1755</v>
      </c>
      <c r="AB189" t="s">
        <v>1786</v>
      </c>
      <c r="AC189">
        <v>10462</v>
      </c>
      <c r="AE189" t="s">
        <v>1963</v>
      </c>
      <c r="AF189">
        <v>25</v>
      </c>
      <c r="AH189" t="s">
        <v>2221</v>
      </c>
      <c r="AI189" t="s">
        <v>233</v>
      </c>
      <c r="AL189" t="s">
        <v>2230</v>
      </c>
      <c r="AN189">
        <v>0</v>
      </c>
      <c r="AO189">
        <v>995</v>
      </c>
      <c r="AP189">
        <v>1</v>
      </c>
      <c r="AR189" t="s">
        <v>2428</v>
      </c>
      <c r="AT189">
        <v>0</v>
      </c>
      <c r="AV189">
        <v>2</v>
      </c>
      <c r="AW189">
        <v>0</v>
      </c>
      <c r="AX189">
        <v>107.63</v>
      </c>
      <c r="BC189" t="s">
        <v>3131</v>
      </c>
      <c r="BD189">
        <v>18200</v>
      </c>
      <c r="BH189" t="s">
        <v>3165</v>
      </c>
      <c r="BK189" t="s">
        <v>3198</v>
      </c>
      <c r="BL189" t="s">
        <v>1110</v>
      </c>
    </row>
    <row r="190" spans="1:65">
      <c r="A190" s="1">
        <f>HYPERLINK("https://lsnyc.legalserver.org/matter/dynamic-profile/view/1904775","19-1904775")</f>
        <v>0</v>
      </c>
      <c r="B190" t="s">
        <v>65</v>
      </c>
      <c r="C190" t="s">
        <v>102</v>
      </c>
      <c r="D190" t="s">
        <v>170</v>
      </c>
      <c r="E190" t="s">
        <v>171</v>
      </c>
      <c r="G190" t="s">
        <v>172</v>
      </c>
      <c r="H190" t="s">
        <v>220</v>
      </c>
      <c r="I190" t="s">
        <v>172</v>
      </c>
      <c r="J190" t="s">
        <v>231</v>
      </c>
      <c r="K190" t="s">
        <v>172</v>
      </c>
      <c r="L190" t="s">
        <v>265</v>
      </c>
      <c r="M190" t="s">
        <v>232</v>
      </c>
      <c r="N190" t="s">
        <v>312</v>
      </c>
      <c r="O190" t="s">
        <v>172</v>
      </c>
      <c r="P190" t="s">
        <v>314</v>
      </c>
      <c r="Q190" t="s">
        <v>321</v>
      </c>
      <c r="T190" t="s">
        <v>503</v>
      </c>
      <c r="U190" t="s">
        <v>725</v>
      </c>
      <c r="V190" t="s">
        <v>179</v>
      </c>
      <c r="X190" t="s">
        <v>1112</v>
      </c>
      <c r="Y190" t="s">
        <v>1294</v>
      </c>
      <c r="Z190" t="s">
        <v>1667</v>
      </c>
      <c r="AA190" t="s">
        <v>1755</v>
      </c>
      <c r="AB190" t="s">
        <v>1786</v>
      </c>
      <c r="AC190">
        <v>10460</v>
      </c>
      <c r="AD190" t="s">
        <v>1787</v>
      </c>
      <c r="AE190" t="s">
        <v>1964</v>
      </c>
      <c r="AF190">
        <v>0</v>
      </c>
      <c r="AH190" t="s">
        <v>2220</v>
      </c>
      <c r="AI190" t="s">
        <v>233</v>
      </c>
      <c r="AL190" t="s">
        <v>2230</v>
      </c>
      <c r="AM190" t="s">
        <v>2236</v>
      </c>
      <c r="AN190">
        <v>0</v>
      </c>
      <c r="AO190">
        <v>378</v>
      </c>
      <c r="AP190">
        <v>7.7</v>
      </c>
      <c r="AR190" t="s">
        <v>2429</v>
      </c>
      <c r="AS190" t="s">
        <v>2860</v>
      </c>
      <c r="AT190">
        <v>0</v>
      </c>
      <c r="AU190" t="s">
        <v>3107</v>
      </c>
      <c r="AV190">
        <v>1</v>
      </c>
      <c r="AW190">
        <v>2</v>
      </c>
      <c r="AX190">
        <v>84.84</v>
      </c>
      <c r="BC190" t="s">
        <v>3130</v>
      </c>
      <c r="BD190">
        <v>18096</v>
      </c>
      <c r="BH190" t="s">
        <v>3160</v>
      </c>
      <c r="BK190" t="s">
        <v>3198</v>
      </c>
      <c r="BL190" t="s">
        <v>1108</v>
      </c>
      <c r="BM190" t="s">
        <v>312</v>
      </c>
    </row>
    <row r="191" spans="1:65">
      <c r="A191" s="1">
        <f>HYPERLINK("https://lsnyc.legalserver.org/matter/dynamic-profile/view/1908027","19-1908027")</f>
        <v>0</v>
      </c>
      <c r="B191" t="s">
        <v>65</v>
      </c>
      <c r="C191" t="s">
        <v>103</v>
      </c>
      <c r="D191" t="s">
        <v>170</v>
      </c>
      <c r="E191" t="s">
        <v>171</v>
      </c>
      <c r="G191" t="s">
        <v>172</v>
      </c>
      <c r="H191" t="s">
        <v>221</v>
      </c>
      <c r="I191" t="s">
        <v>172</v>
      </c>
      <c r="J191" t="s">
        <v>231</v>
      </c>
      <c r="K191" t="s">
        <v>172</v>
      </c>
      <c r="M191" t="s">
        <v>232</v>
      </c>
      <c r="N191" t="s">
        <v>311</v>
      </c>
      <c r="O191" t="s">
        <v>172</v>
      </c>
      <c r="P191" t="s">
        <v>316</v>
      </c>
      <c r="Q191" t="s">
        <v>321</v>
      </c>
      <c r="T191" t="s">
        <v>504</v>
      </c>
      <c r="U191" t="s">
        <v>886</v>
      </c>
      <c r="V191" t="s">
        <v>1098</v>
      </c>
      <c r="X191" t="s">
        <v>1112</v>
      </c>
      <c r="Y191" t="s">
        <v>1295</v>
      </c>
      <c r="Z191" t="s">
        <v>1668</v>
      </c>
      <c r="AA191" t="s">
        <v>1755</v>
      </c>
      <c r="AB191" t="s">
        <v>1786</v>
      </c>
      <c r="AC191">
        <v>10467</v>
      </c>
      <c r="AD191" t="s">
        <v>1788</v>
      </c>
      <c r="AE191" t="s">
        <v>1965</v>
      </c>
      <c r="AF191">
        <v>27</v>
      </c>
      <c r="AH191" t="s">
        <v>2221</v>
      </c>
      <c r="AI191" t="s">
        <v>233</v>
      </c>
      <c r="AJ191" t="s">
        <v>233</v>
      </c>
      <c r="AL191" t="s">
        <v>2230</v>
      </c>
      <c r="AN191">
        <v>0</v>
      </c>
      <c r="AO191">
        <v>1333.64</v>
      </c>
      <c r="AP191">
        <v>2.75</v>
      </c>
      <c r="AR191" t="s">
        <v>2430</v>
      </c>
      <c r="AS191" t="s">
        <v>2861</v>
      </c>
      <c r="AT191">
        <v>48</v>
      </c>
      <c r="AU191" t="s">
        <v>3106</v>
      </c>
      <c r="AV191">
        <v>4</v>
      </c>
      <c r="AW191">
        <v>0</v>
      </c>
      <c r="AX191">
        <v>54.34</v>
      </c>
      <c r="BB191" t="s">
        <v>252</v>
      </c>
      <c r="BC191" t="s">
        <v>3130</v>
      </c>
      <c r="BD191">
        <v>13992</v>
      </c>
      <c r="BH191" t="s">
        <v>3159</v>
      </c>
      <c r="BK191" t="s">
        <v>3241</v>
      </c>
      <c r="BL191" t="s">
        <v>1110</v>
      </c>
      <c r="BM191" t="s">
        <v>311</v>
      </c>
    </row>
    <row r="192" spans="1:65">
      <c r="A192" s="1">
        <f>HYPERLINK("https://lsnyc.legalserver.org/matter/dynamic-profile/view/1905320","19-1905320")</f>
        <v>0</v>
      </c>
      <c r="B192" t="s">
        <v>65</v>
      </c>
      <c r="C192" t="s">
        <v>104</v>
      </c>
      <c r="D192" t="s">
        <v>170</v>
      </c>
      <c r="E192" t="s">
        <v>171</v>
      </c>
      <c r="G192" t="s">
        <v>172</v>
      </c>
      <c r="H192" t="s">
        <v>221</v>
      </c>
      <c r="I192" t="s">
        <v>230</v>
      </c>
      <c r="J192" t="s">
        <v>233</v>
      </c>
      <c r="K192" t="s">
        <v>234</v>
      </c>
      <c r="M192" t="s">
        <v>232</v>
      </c>
      <c r="N192" t="s">
        <v>252</v>
      </c>
      <c r="O192" t="s">
        <v>313</v>
      </c>
      <c r="Q192" t="s">
        <v>321</v>
      </c>
      <c r="T192" t="s">
        <v>505</v>
      </c>
      <c r="U192" t="s">
        <v>887</v>
      </c>
      <c r="V192" t="s">
        <v>196</v>
      </c>
      <c r="X192" t="s">
        <v>1112</v>
      </c>
      <c r="Y192" t="s">
        <v>1296</v>
      </c>
      <c r="Z192" t="s">
        <v>1669</v>
      </c>
      <c r="AA192" t="s">
        <v>1755</v>
      </c>
      <c r="AB192" t="s">
        <v>1786</v>
      </c>
      <c r="AC192">
        <v>10467</v>
      </c>
      <c r="AE192" t="s">
        <v>1966</v>
      </c>
      <c r="AF192">
        <v>0</v>
      </c>
      <c r="AH192" t="s">
        <v>2221</v>
      </c>
      <c r="AI192" t="s">
        <v>233</v>
      </c>
      <c r="AJ192" t="s">
        <v>233</v>
      </c>
      <c r="AL192" t="s">
        <v>2230</v>
      </c>
      <c r="AN192">
        <v>0</v>
      </c>
      <c r="AO192">
        <v>1201.06</v>
      </c>
      <c r="AP192">
        <v>0</v>
      </c>
      <c r="AR192" t="s">
        <v>2431</v>
      </c>
      <c r="AT192">
        <v>54</v>
      </c>
      <c r="AV192">
        <v>1</v>
      </c>
      <c r="AW192">
        <v>0</v>
      </c>
      <c r="AX192">
        <v>76.86</v>
      </c>
      <c r="BC192" t="s">
        <v>3130</v>
      </c>
      <c r="BD192">
        <v>9600</v>
      </c>
      <c r="BG192" t="s">
        <v>3144</v>
      </c>
      <c r="BH192" t="s">
        <v>125</v>
      </c>
      <c r="BK192" t="s">
        <v>3196</v>
      </c>
      <c r="BM192" t="s">
        <v>252</v>
      </c>
    </row>
    <row r="193" spans="1:65">
      <c r="A193" s="1">
        <f>HYPERLINK("https://lsnyc.legalserver.org/matter/dynamic-profile/view/1907654","19-1907654")</f>
        <v>0</v>
      </c>
      <c r="B193" t="s">
        <v>65</v>
      </c>
      <c r="C193" t="s">
        <v>105</v>
      </c>
      <c r="D193" t="s">
        <v>170</v>
      </c>
      <c r="E193" t="s">
        <v>171</v>
      </c>
      <c r="G193" t="s">
        <v>172</v>
      </c>
      <c r="H193" t="s">
        <v>220</v>
      </c>
      <c r="I193" t="s">
        <v>172</v>
      </c>
      <c r="J193" t="s">
        <v>231</v>
      </c>
      <c r="K193" t="s">
        <v>172</v>
      </c>
      <c r="M193" t="s">
        <v>232</v>
      </c>
      <c r="N193" t="s">
        <v>311</v>
      </c>
      <c r="O193" t="s">
        <v>313</v>
      </c>
      <c r="Q193" t="s">
        <v>321</v>
      </c>
      <c r="T193" t="s">
        <v>506</v>
      </c>
      <c r="U193" t="s">
        <v>867</v>
      </c>
      <c r="V193" t="s">
        <v>190</v>
      </c>
      <c r="X193" t="s">
        <v>1112</v>
      </c>
      <c r="Y193" t="s">
        <v>1297</v>
      </c>
      <c r="Z193" t="s">
        <v>1621</v>
      </c>
      <c r="AA193" t="s">
        <v>1755</v>
      </c>
      <c r="AB193" t="s">
        <v>1786</v>
      </c>
      <c r="AC193">
        <v>10467</v>
      </c>
      <c r="AE193" t="s">
        <v>1967</v>
      </c>
      <c r="AF193">
        <v>0</v>
      </c>
      <c r="AH193" t="s">
        <v>2221</v>
      </c>
      <c r="AI193" t="s">
        <v>233</v>
      </c>
      <c r="AJ193" t="s">
        <v>233</v>
      </c>
      <c r="AL193" t="s">
        <v>2230</v>
      </c>
      <c r="AN193">
        <v>0</v>
      </c>
      <c r="AO193">
        <v>1155</v>
      </c>
      <c r="AP193">
        <v>2</v>
      </c>
      <c r="AR193" t="s">
        <v>2432</v>
      </c>
      <c r="AT193">
        <v>49</v>
      </c>
      <c r="AV193">
        <v>2</v>
      </c>
      <c r="AW193">
        <v>4</v>
      </c>
      <c r="AX193">
        <v>75.17</v>
      </c>
      <c r="BC193" t="s">
        <v>3130</v>
      </c>
      <c r="BD193">
        <v>26000</v>
      </c>
      <c r="BH193" t="s">
        <v>125</v>
      </c>
      <c r="BK193" t="s">
        <v>3198</v>
      </c>
      <c r="BL193" t="s">
        <v>185</v>
      </c>
      <c r="BM193" t="s">
        <v>311</v>
      </c>
    </row>
    <row r="194" spans="1:65">
      <c r="A194" s="1">
        <f>HYPERLINK("https://lsnyc.legalserver.org/matter/dynamic-profile/view/1905906","19-1905906")</f>
        <v>0</v>
      </c>
      <c r="B194" t="s">
        <v>65</v>
      </c>
      <c r="C194" t="s">
        <v>105</v>
      </c>
      <c r="D194" t="s">
        <v>170</v>
      </c>
      <c r="E194" t="s">
        <v>171</v>
      </c>
      <c r="G194" t="s">
        <v>172</v>
      </c>
      <c r="H194" t="s">
        <v>220</v>
      </c>
      <c r="I194" t="s">
        <v>172</v>
      </c>
      <c r="J194" t="s">
        <v>231</v>
      </c>
      <c r="K194" t="s">
        <v>172</v>
      </c>
      <c r="M194" t="s">
        <v>232</v>
      </c>
      <c r="N194" t="s">
        <v>311</v>
      </c>
      <c r="O194" t="s">
        <v>313</v>
      </c>
      <c r="Q194" t="s">
        <v>321</v>
      </c>
      <c r="T194" t="s">
        <v>348</v>
      </c>
      <c r="U194" t="s">
        <v>888</v>
      </c>
      <c r="V194" t="s">
        <v>211</v>
      </c>
      <c r="X194" t="s">
        <v>1112</v>
      </c>
      <c r="Y194" t="s">
        <v>1298</v>
      </c>
      <c r="Z194">
        <v>1</v>
      </c>
      <c r="AA194" t="s">
        <v>1755</v>
      </c>
      <c r="AB194" t="s">
        <v>1786</v>
      </c>
      <c r="AC194">
        <v>10457</v>
      </c>
      <c r="AE194" t="s">
        <v>1968</v>
      </c>
      <c r="AF194">
        <v>6</v>
      </c>
      <c r="AH194" t="s">
        <v>2221</v>
      </c>
      <c r="AI194" t="s">
        <v>233</v>
      </c>
      <c r="AJ194" t="s">
        <v>233</v>
      </c>
      <c r="AL194" t="s">
        <v>2230</v>
      </c>
      <c r="AN194">
        <v>0</v>
      </c>
      <c r="AO194">
        <v>0</v>
      </c>
      <c r="AP194">
        <v>0</v>
      </c>
      <c r="AR194" t="s">
        <v>2433</v>
      </c>
      <c r="AS194" t="s">
        <v>2862</v>
      </c>
      <c r="AT194">
        <v>3</v>
      </c>
      <c r="AV194">
        <v>1</v>
      </c>
      <c r="AW194">
        <v>0</v>
      </c>
      <c r="AX194">
        <v>208.17</v>
      </c>
      <c r="BC194" t="s">
        <v>3130</v>
      </c>
      <c r="BD194">
        <v>26000</v>
      </c>
      <c r="BG194" t="s">
        <v>3145</v>
      </c>
      <c r="BH194" t="s">
        <v>125</v>
      </c>
      <c r="BK194" t="s">
        <v>3228</v>
      </c>
      <c r="BM194" t="s">
        <v>311</v>
      </c>
    </row>
    <row r="195" spans="1:65">
      <c r="A195" s="1">
        <f>HYPERLINK("https://lsnyc.legalserver.org/matter/dynamic-profile/view/1907711","19-1907711")</f>
        <v>0</v>
      </c>
      <c r="B195" t="s">
        <v>65</v>
      </c>
      <c r="C195" t="s">
        <v>105</v>
      </c>
      <c r="D195" t="s">
        <v>170</v>
      </c>
      <c r="E195" t="s">
        <v>171</v>
      </c>
      <c r="G195" t="s">
        <v>172</v>
      </c>
      <c r="H195" t="s">
        <v>221</v>
      </c>
      <c r="I195" t="s">
        <v>172</v>
      </c>
      <c r="J195" t="s">
        <v>231</v>
      </c>
      <c r="K195" t="s">
        <v>172</v>
      </c>
      <c r="M195" t="s">
        <v>232</v>
      </c>
      <c r="N195" t="s">
        <v>311</v>
      </c>
      <c r="O195" t="s">
        <v>313</v>
      </c>
      <c r="Q195" t="s">
        <v>321</v>
      </c>
      <c r="T195" t="s">
        <v>507</v>
      </c>
      <c r="U195" t="s">
        <v>889</v>
      </c>
      <c r="V195" t="s">
        <v>190</v>
      </c>
      <c r="X195" t="s">
        <v>1112</v>
      </c>
      <c r="Y195" t="s">
        <v>1299</v>
      </c>
      <c r="AA195" t="s">
        <v>1755</v>
      </c>
      <c r="AB195" t="s">
        <v>1786</v>
      </c>
      <c r="AC195">
        <v>10467</v>
      </c>
      <c r="AE195" t="s">
        <v>1969</v>
      </c>
      <c r="AF195">
        <v>2</v>
      </c>
      <c r="AH195" t="s">
        <v>2221</v>
      </c>
      <c r="AI195" t="s">
        <v>233</v>
      </c>
      <c r="AJ195" t="s">
        <v>233</v>
      </c>
      <c r="AL195" t="s">
        <v>2230</v>
      </c>
      <c r="AN195">
        <v>0</v>
      </c>
      <c r="AO195">
        <v>1537</v>
      </c>
      <c r="AP195">
        <v>2</v>
      </c>
      <c r="AR195" t="s">
        <v>2434</v>
      </c>
      <c r="AS195" t="s">
        <v>2863</v>
      </c>
      <c r="AT195">
        <v>28</v>
      </c>
      <c r="AU195" t="s">
        <v>3106</v>
      </c>
      <c r="AV195">
        <v>1</v>
      </c>
      <c r="AW195">
        <v>3</v>
      </c>
      <c r="AX195">
        <v>13.13</v>
      </c>
      <c r="BC195" t="s">
        <v>3130</v>
      </c>
      <c r="BD195">
        <v>3380</v>
      </c>
      <c r="BH195" t="s">
        <v>125</v>
      </c>
      <c r="BK195" t="s">
        <v>3232</v>
      </c>
      <c r="BL195" t="s">
        <v>185</v>
      </c>
      <c r="BM195" t="s">
        <v>311</v>
      </c>
    </row>
    <row r="196" spans="1:65">
      <c r="A196" s="1">
        <f>HYPERLINK("https://lsnyc.legalserver.org/matter/dynamic-profile/view/1907610","19-1907610")</f>
        <v>0</v>
      </c>
      <c r="B196" t="s">
        <v>65</v>
      </c>
      <c r="C196" t="s">
        <v>105</v>
      </c>
      <c r="D196" t="s">
        <v>170</v>
      </c>
      <c r="E196" t="s">
        <v>171</v>
      </c>
      <c r="G196" t="s">
        <v>172</v>
      </c>
      <c r="H196" t="s">
        <v>220</v>
      </c>
      <c r="I196" t="s">
        <v>172</v>
      </c>
      <c r="J196" t="s">
        <v>231</v>
      </c>
      <c r="K196" t="s">
        <v>172</v>
      </c>
      <c r="M196" t="s">
        <v>232</v>
      </c>
      <c r="N196" t="s">
        <v>311</v>
      </c>
      <c r="O196" t="s">
        <v>313</v>
      </c>
      <c r="Q196" t="s">
        <v>321</v>
      </c>
      <c r="T196" t="s">
        <v>508</v>
      </c>
      <c r="U196" t="s">
        <v>890</v>
      </c>
      <c r="V196" t="s">
        <v>210</v>
      </c>
      <c r="X196" t="s">
        <v>1112</v>
      </c>
      <c r="Y196" t="s">
        <v>1300</v>
      </c>
      <c r="Z196">
        <v>3</v>
      </c>
      <c r="AA196" t="s">
        <v>1755</v>
      </c>
      <c r="AB196" t="s">
        <v>1786</v>
      </c>
      <c r="AC196">
        <v>10467</v>
      </c>
      <c r="AE196" t="s">
        <v>1970</v>
      </c>
      <c r="AF196">
        <v>1</v>
      </c>
      <c r="AH196" t="s">
        <v>2221</v>
      </c>
      <c r="AI196" t="s">
        <v>233</v>
      </c>
      <c r="AJ196" t="s">
        <v>233</v>
      </c>
      <c r="AL196" t="s">
        <v>2230</v>
      </c>
      <c r="AM196" t="s">
        <v>2236</v>
      </c>
      <c r="AN196">
        <v>0</v>
      </c>
      <c r="AO196">
        <v>2300</v>
      </c>
      <c r="AP196">
        <v>0</v>
      </c>
      <c r="AR196" t="s">
        <v>2435</v>
      </c>
      <c r="AS196" t="s">
        <v>2864</v>
      </c>
      <c r="AT196">
        <v>3</v>
      </c>
      <c r="AV196">
        <v>1</v>
      </c>
      <c r="AW196">
        <v>0</v>
      </c>
      <c r="AX196">
        <v>74.08</v>
      </c>
      <c r="BD196">
        <v>9252</v>
      </c>
      <c r="BH196" t="s">
        <v>125</v>
      </c>
      <c r="BK196" t="s">
        <v>3196</v>
      </c>
      <c r="BM196" t="s">
        <v>311</v>
      </c>
    </row>
    <row r="197" spans="1:65">
      <c r="A197" s="1">
        <f>HYPERLINK("https://lsnyc.legalserver.org/matter/dynamic-profile/view/1908191","19-1908191")</f>
        <v>0</v>
      </c>
      <c r="B197" t="s">
        <v>65</v>
      </c>
      <c r="C197" t="s">
        <v>105</v>
      </c>
      <c r="D197" t="s">
        <v>170</v>
      </c>
      <c r="E197" t="s">
        <v>171</v>
      </c>
      <c r="G197" t="s">
        <v>172</v>
      </c>
      <c r="H197" t="s">
        <v>221</v>
      </c>
      <c r="I197" t="s">
        <v>172</v>
      </c>
      <c r="J197" t="s">
        <v>231</v>
      </c>
      <c r="K197" t="s">
        <v>172</v>
      </c>
      <c r="M197" t="s">
        <v>232</v>
      </c>
      <c r="N197" t="s">
        <v>311</v>
      </c>
      <c r="O197" t="s">
        <v>313</v>
      </c>
      <c r="Q197" t="s">
        <v>321</v>
      </c>
      <c r="T197" t="s">
        <v>509</v>
      </c>
      <c r="U197" t="s">
        <v>891</v>
      </c>
      <c r="V197" t="s">
        <v>1100</v>
      </c>
      <c r="X197" t="s">
        <v>1112</v>
      </c>
      <c r="Y197" t="s">
        <v>1301</v>
      </c>
      <c r="Z197" t="s">
        <v>1670</v>
      </c>
      <c r="AA197" t="s">
        <v>1755</v>
      </c>
      <c r="AB197" t="s">
        <v>1786</v>
      </c>
      <c r="AC197">
        <v>10457</v>
      </c>
      <c r="AE197" t="s">
        <v>1971</v>
      </c>
      <c r="AF197">
        <v>0</v>
      </c>
      <c r="AH197" t="s">
        <v>2221</v>
      </c>
      <c r="AI197" t="s">
        <v>233</v>
      </c>
      <c r="AJ197" t="s">
        <v>233</v>
      </c>
      <c r="AL197" t="s">
        <v>2230</v>
      </c>
      <c r="AM197" t="s">
        <v>2236</v>
      </c>
      <c r="AN197">
        <v>0</v>
      </c>
      <c r="AO197">
        <v>1211</v>
      </c>
      <c r="AP197">
        <v>0</v>
      </c>
      <c r="AR197" t="s">
        <v>2436</v>
      </c>
      <c r="AS197" t="s">
        <v>2865</v>
      </c>
      <c r="AT197">
        <v>0</v>
      </c>
      <c r="AU197" t="s">
        <v>3106</v>
      </c>
      <c r="AV197">
        <v>2</v>
      </c>
      <c r="AW197">
        <v>0</v>
      </c>
      <c r="AX197">
        <v>56.35</v>
      </c>
      <c r="BB197" t="s">
        <v>3123</v>
      </c>
      <c r="BC197" t="s">
        <v>3130</v>
      </c>
      <c r="BD197">
        <v>9528</v>
      </c>
      <c r="BH197" t="s">
        <v>125</v>
      </c>
      <c r="BK197" t="s">
        <v>3196</v>
      </c>
      <c r="BM197" t="s">
        <v>311</v>
      </c>
    </row>
    <row r="198" spans="1:65">
      <c r="A198" s="1">
        <f>HYPERLINK("https://lsnyc.legalserver.org/matter/dynamic-profile/view/1907033","19-1907033")</f>
        <v>0</v>
      </c>
      <c r="B198" t="s">
        <v>65</v>
      </c>
      <c r="C198" t="s">
        <v>97</v>
      </c>
      <c r="D198" t="s">
        <v>170</v>
      </c>
      <c r="E198" t="s">
        <v>171</v>
      </c>
      <c r="G198" t="s">
        <v>172</v>
      </c>
      <c r="H198" t="s">
        <v>221</v>
      </c>
      <c r="I198" t="s">
        <v>172</v>
      </c>
      <c r="J198" t="s">
        <v>231</v>
      </c>
      <c r="K198" t="s">
        <v>172</v>
      </c>
      <c r="M198" t="s">
        <v>232</v>
      </c>
      <c r="N198" t="s">
        <v>311</v>
      </c>
      <c r="O198" t="s">
        <v>172</v>
      </c>
      <c r="P198" t="s">
        <v>314</v>
      </c>
      <c r="Q198" t="s">
        <v>321</v>
      </c>
      <c r="T198" t="s">
        <v>510</v>
      </c>
      <c r="U198" t="s">
        <v>892</v>
      </c>
      <c r="V198" t="s">
        <v>183</v>
      </c>
      <c r="X198" t="s">
        <v>1112</v>
      </c>
      <c r="Y198" t="s">
        <v>1302</v>
      </c>
      <c r="Z198" t="s">
        <v>1671</v>
      </c>
      <c r="AA198" t="s">
        <v>1755</v>
      </c>
      <c r="AB198" t="s">
        <v>1786</v>
      </c>
      <c r="AC198">
        <v>10473</v>
      </c>
      <c r="AD198" t="s">
        <v>1790</v>
      </c>
      <c r="AE198" t="s">
        <v>1972</v>
      </c>
      <c r="AF198">
        <v>11</v>
      </c>
      <c r="AH198" t="s">
        <v>2220</v>
      </c>
      <c r="AI198" t="s">
        <v>233</v>
      </c>
      <c r="AJ198" t="s">
        <v>233</v>
      </c>
      <c r="AL198" t="s">
        <v>2230</v>
      </c>
      <c r="AM198" t="s">
        <v>2236</v>
      </c>
      <c r="AN198">
        <v>0</v>
      </c>
      <c r="AO198">
        <v>1485.31</v>
      </c>
      <c r="AP198">
        <v>1.1</v>
      </c>
      <c r="AR198" t="s">
        <v>2437</v>
      </c>
      <c r="AS198" t="s">
        <v>2866</v>
      </c>
      <c r="AT198">
        <v>154</v>
      </c>
      <c r="AU198" t="s">
        <v>3106</v>
      </c>
      <c r="AV198">
        <v>1</v>
      </c>
      <c r="AW198">
        <v>0</v>
      </c>
      <c r="AX198">
        <v>164.04</v>
      </c>
      <c r="BC198" t="s">
        <v>3130</v>
      </c>
      <c r="BD198">
        <v>20488</v>
      </c>
      <c r="BH198" t="s">
        <v>125</v>
      </c>
      <c r="BK198" t="s">
        <v>3198</v>
      </c>
      <c r="BL198" t="s">
        <v>215</v>
      </c>
      <c r="BM198" t="s">
        <v>311</v>
      </c>
    </row>
    <row r="199" spans="1:65">
      <c r="A199" s="1">
        <f>HYPERLINK("https://lsnyc.legalserver.org/matter/dynamic-profile/view/1905395","19-1905395")</f>
        <v>0</v>
      </c>
      <c r="B199" t="s">
        <v>65</v>
      </c>
      <c r="C199" t="s">
        <v>97</v>
      </c>
      <c r="D199" t="s">
        <v>170</v>
      </c>
      <c r="E199" t="s">
        <v>172</v>
      </c>
      <c r="F199" t="s">
        <v>195</v>
      </c>
      <c r="G199" t="s">
        <v>172</v>
      </c>
      <c r="H199" t="s">
        <v>221</v>
      </c>
      <c r="I199" t="s">
        <v>172</v>
      </c>
      <c r="J199" t="s">
        <v>231</v>
      </c>
      <c r="K199" t="s">
        <v>172</v>
      </c>
      <c r="M199" t="s">
        <v>232</v>
      </c>
      <c r="N199" t="s">
        <v>311</v>
      </c>
      <c r="O199" t="s">
        <v>172</v>
      </c>
      <c r="P199" t="s">
        <v>314</v>
      </c>
      <c r="Q199" t="s">
        <v>322</v>
      </c>
      <c r="T199" t="s">
        <v>511</v>
      </c>
      <c r="U199" t="s">
        <v>893</v>
      </c>
      <c r="V199" t="s">
        <v>217</v>
      </c>
      <c r="W199" t="s">
        <v>195</v>
      </c>
      <c r="X199" t="s">
        <v>1113</v>
      </c>
      <c r="Y199" t="s">
        <v>1303</v>
      </c>
      <c r="AA199" t="s">
        <v>1755</v>
      </c>
      <c r="AB199" t="s">
        <v>1786</v>
      </c>
      <c r="AC199">
        <v>10458</v>
      </c>
      <c r="AE199" t="s">
        <v>1973</v>
      </c>
      <c r="AF199">
        <v>4</v>
      </c>
      <c r="AG199" t="s">
        <v>2214</v>
      </c>
      <c r="AH199" t="s">
        <v>2220</v>
      </c>
      <c r="AI199" t="s">
        <v>233</v>
      </c>
      <c r="AJ199" t="s">
        <v>233</v>
      </c>
      <c r="AL199" t="s">
        <v>2230</v>
      </c>
      <c r="AM199" t="s">
        <v>2236</v>
      </c>
      <c r="AN199">
        <v>0</v>
      </c>
      <c r="AO199">
        <v>1600</v>
      </c>
      <c r="AP199">
        <v>0.3</v>
      </c>
      <c r="AQ199" t="s">
        <v>2242</v>
      </c>
      <c r="AR199" t="s">
        <v>2438</v>
      </c>
      <c r="AT199">
        <v>56</v>
      </c>
      <c r="AU199" t="s">
        <v>3106</v>
      </c>
      <c r="AV199">
        <v>1</v>
      </c>
      <c r="AW199">
        <v>0</v>
      </c>
      <c r="AX199">
        <v>249.8</v>
      </c>
      <c r="BC199" t="s">
        <v>3130</v>
      </c>
      <c r="BD199">
        <v>31200</v>
      </c>
      <c r="BH199" t="s">
        <v>3160</v>
      </c>
      <c r="BK199" t="s">
        <v>3198</v>
      </c>
      <c r="BL199" t="s">
        <v>195</v>
      </c>
      <c r="BM199" t="s">
        <v>311</v>
      </c>
    </row>
    <row r="200" spans="1:65">
      <c r="A200" s="1">
        <f>HYPERLINK("https://lsnyc.legalserver.org/matter/dynamic-profile/view/1904069","19-1904069")</f>
        <v>0</v>
      </c>
      <c r="B200" t="s">
        <v>65</v>
      </c>
      <c r="C200" t="s">
        <v>97</v>
      </c>
      <c r="D200" t="s">
        <v>170</v>
      </c>
      <c r="E200" t="s">
        <v>172</v>
      </c>
      <c r="F200" t="s">
        <v>196</v>
      </c>
      <c r="G200" t="s">
        <v>172</v>
      </c>
      <c r="H200" t="s">
        <v>221</v>
      </c>
      <c r="I200" t="s">
        <v>172</v>
      </c>
      <c r="J200" t="s">
        <v>231</v>
      </c>
      <c r="K200" t="s">
        <v>172</v>
      </c>
      <c r="M200" t="s">
        <v>232</v>
      </c>
      <c r="N200" t="s">
        <v>311</v>
      </c>
      <c r="O200" t="s">
        <v>172</v>
      </c>
      <c r="P200" t="s">
        <v>314</v>
      </c>
      <c r="Q200" t="s">
        <v>322</v>
      </c>
      <c r="T200" t="s">
        <v>512</v>
      </c>
      <c r="U200" t="s">
        <v>894</v>
      </c>
      <c r="V200" t="s">
        <v>1102</v>
      </c>
      <c r="W200" t="s">
        <v>196</v>
      </c>
      <c r="X200" t="s">
        <v>1113</v>
      </c>
      <c r="Y200" t="s">
        <v>1304</v>
      </c>
      <c r="Z200" t="s">
        <v>1672</v>
      </c>
      <c r="AA200" t="s">
        <v>1755</v>
      </c>
      <c r="AB200" t="s">
        <v>1786</v>
      </c>
      <c r="AC200">
        <v>10473</v>
      </c>
      <c r="AD200" t="s">
        <v>1790</v>
      </c>
      <c r="AE200" t="s">
        <v>1974</v>
      </c>
      <c r="AF200">
        <v>29</v>
      </c>
      <c r="AG200" t="s">
        <v>2214</v>
      </c>
      <c r="AH200" t="s">
        <v>2220</v>
      </c>
      <c r="AI200" t="s">
        <v>233</v>
      </c>
      <c r="AJ200" t="s">
        <v>233</v>
      </c>
      <c r="AL200" t="s">
        <v>2230</v>
      </c>
      <c r="AM200" t="s">
        <v>2236</v>
      </c>
      <c r="AN200">
        <v>0</v>
      </c>
      <c r="AO200">
        <v>231</v>
      </c>
      <c r="AP200">
        <v>1.5</v>
      </c>
      <c r="AQ200" t="s">
        <v>2242</v>
      </c>
      <c r="AR200" t="s">
        <v>2439</v>
      </c>
      <c r="AS200" t="s">
        <v>2867</v>
      </c>
      <c r="AT200">
        <v>54</v>
      </c>
      <c r="AU200" t="s">
        <v>3107</v>
      </c>
      <c r="AV200">
        <v>2</v>
      </c>
      <c r="AW200">
        <v>0</v>
      </c>
      <c r="AX200">
        <v>42.79</v>
      </c>
      <c r="BB200" t="s">
        <v>252</v>
      </c>
      <c r="BC200" t="s">
        <v>3130</v>
      </c>
      <c r="BD200">
        <v>7236.32</v>
      </c>
      <c r="BH200" t="s">
        <v>3159</v>
      </c>
      <c r="BK200" t="s">
        <v>3197</v>
      </c>
      <c r="BL200" t="s">
        <v>196</v>
      </c>
      <c r="BM200" t="s">
        <v>311</v>
      </c>
    </row>
    <row r="201" spans="1:65">
      <c r="A201" s="1">
        <f>HYPERLINK("https://lsnyc.legalserver.org/matter/dynamic-profile/view/1906561","19-1906561")</f>
        <v>0</v>
      </c>
      <c r="B201" t="s">
        <v>65</v>
      </c>
      <c r="C201" t="s">
        <v>97</v>
      </c>
      <c r="D201" t="s">
        <v>170</v>
      </c>
      <c r="E201" t="s">
        <v>172</v>
      </c>
      <c r="F201" t="s">
        <v>197</v>
      </c>
      <c r="G201" t="s">
        <v>172</v>
      </c>
      <c r="H201" t="s">
        <v>220</v>
      </c>
      <c r="I201" t="s">
        <v>172</v>
      </c>
      <c r="J201" t="s">
        <v>231</v>
      </c>
      <c r="K201" t="s">
        <v>172</v>
      </c>
      <c r="M201" t="s">
        <v>232</v>
      </c>
      <c r="N201" t="s">
        <v>311</v>
      </c>
      <c r="O201" t="s">
        <v>172</v>
      </c>
      <c r="P201" t="s">
        <v>314</v>
      </c>
      <c r="Q201" t="s">
        <v>322</v>
      </c>
      <c r="T201" t="s">
        <v>513</v>
      </c>
      <c r="U201" t="s">
        <v>881</v>
      </c>
      <c r="V201" t="s">
        <v>197</v>
      </c>
      <c r="W201" t="s">
        <v>1108</v>
      </c>
      <c r="X201" t="s">
        <v>1113</v>
      </c>
      <c r="Y201" t="s">
        <v>1305</v>
      </c>
      <c r="Z201">
        <v>2</v>
      </c>
      <c r="AA201" t="s">
        <v>1755</v>
      </c>
      <c r="AB201" t="s">
        <v>1786</v>
      </c>
      <c r="AC201">
        <v>10473</v>
      </c>
      <c r="AE201" t="s">
        <v>1975</v>
      </c>
      <c r="AF201">
        <v>1</v>
      </c>
      <c r="AG201" t="s">
        <v>2214</v>
      </c>
      <c r="AH201" t="s">
        <v>2220</v>
      </c>
      <c r="AI201" t="s">
        <v>233</v>
      </c>
      <c r="AL201" t="s">
        <v>2230</v>
      </c>
      <c r="AN201">
        <v>0</v>
      </c>
      <c r="AO201">
        <v>750</v>
      </c>
      <c r="AP201">
        <v>0.8</v>
      </c>
      <c r="AQ201" t="s">
        <v>2242</v>
      </c>
      <c r="AR201" t="s">
        <v>2440</v>
      </c>
      <c r="AS201" t="s">
        <v>2868</v>
      </c>
      <c r="AT201">
        <v>0</v>
      </c>
      <c r="AU201" t="s">
        <v>3113</v>
      </c>
      <c r="AV201">
        <v>1</v>
      </c>
      <c r="AW201">
        <v>0</v>
      </c>
      <c r="AX201">
        <v>81.18000000000001</v>
      </c>
      <c r="BB201" t="s">
        <v>3125</v>
      </c>
      <c r="BC201" t="s">
        <v>3131</v>
      </c>
      <c r="BD201">
        <v>10140</v>
      </c>
      <c r="BH201" t="s">
        <v>125</v>
      </c>
      <c r="BK201" t="s">
        <v>3242</v>
      </c>
      <c r="BL201" t="s">
        <v>3275</v>
      </c>
      <c r="BM201" t="s">
        <v>311</v>
      </c>
    </row>
    <row r="202" spans="1:65">
      <c r="A202" s="1">
        <f>HYPERLINK("https://lsnyc.legalserver.org/matter/dynamic-profile/view/1908075","19-1908075")</f>
        <v>0</v>
      </c>
      <c r="B202" t="s">
        <v>65</v>
      </c>
      <c r="C202" t="s">
        <v>97</v>
      </c>
      <c r="D202" t="s">
        <v>170</v>
      </c>
      <c r="E202" t="s">
        <v>171</v>
      </c>
      <c r="G202" t="s">
        <v>172</v>
      </c>
      <c r="H202" t="s">
        <v>221</v>
      </c>
      <c r="I202" t="s">
        <v>230</v>
      </c>
      <c r="J202" t="s">
        <v>232</v>
      </c>
      <c r="K202" t="s">
        <v>234</v>
      </c>
      <c r="M202" t="s">
        <v>232</v>
      </c>
      <c r="N202" t="s">
        <v>252</v>
      </c>
      <c r="O202" t="s">
        <v>172</v>
      </c>
      <c r="P202" t="s">
        <v>314</v>
      </c>
      <c r="Q202" t="s">
        <v>321</v>
      </c>
      <c r="T202" t="s">
        <v>514</v>
      </c>
      <c r="U202" t="s">
        <v>895</v>
      </c>
      <c r="V202" t="s">
        <v>1098</v>
      </c>
      <c r="X202" t="s">
        <v>1112</v>
      </c>
      <c r="Y202" t="s">
        <v>1306</v>
      </c>
      <c r="Z202" t="s">
        <v>1673</v>
      </c>
      <c r="AA202" t="s">
        <v>1755</v>
      </c>
      <c r="AB202" t="s">
        <v>1786</v>
      </c>
      <c r="AC202">
        <v>10456</v>
      </c>
      <c r="AE202" t="s">
        <v>1976</v>
      </c>
      <c r="AF202">
        <v>0</v>
      </c>
      <c r="AH202" t="s">
        <v>2220</v>
      </c>
      <c r="AI202" t="s">
        <v>233</v>
      </c>
      <c r="AJ202" t="s">
        <v>233</v>
      </c>
      <c r="AL202" t="s">
        <v>2230</v>
      </c>
      <c r="AN202">
        <v>0</v>
      </c>
      <c r="AO202">
        <v>0</v>
      </c>
      <c r="AP202">
        <v>0.2</v>
      </c>
      <c r="AR202" t="s">
        <v>2441</v>
      </c>
      <c r="AT202">
        <v>0</v>
      </c>
      <c r="AV202">
        <v>1</v>
      </c>
      <c r="AW202">
        <v>0</v>
      </c>
      <c r="AX202">
        <v>0</v>
      </c>
      <c r="BC202" t="s">
        <v>3135</v>
      </c>
      <c r="BD202">
        <v>0</v>
      </c>
      <c r="BH202" t="s">
        <v>125</v>
      </c>
      <c r="BK202" t="s">
        <v>3210</v>
      </c>
      <c r="BL202" t="s">
        <v>1110</v>
      </c>
      <c r="BM202" t="s">
        <v>252</v>
      </c>
    </row>
    <row r="203" spans="1:65">
      <c r="A203" s="1">
        <f>HYPERLINK("https://lsnyc.legalserver.org/matter/dynamic-profile/view/1903574","19-1903574")</f>
        <v>0</v>
      </c>
      <c r="B203" t="s">
        <v>65</v>
      </c>
      <c r="C203" t="s">
        <v>97</v>
      </c>
      <c r="D203" t="s">
        <v>170</v>
      </c>
      <c r="E203" t="s">
        <v>172</v>
      </c>
      <c r="F203" t="s">
        <v>198</v>
      </c>
      <c r="G203" t="s">
        <v>172</v>
      </c>
      <c r="H203" t="s">
        <v>221</v>
      </c>
      <c r="I203" t="s">
        <v>172</v>
      </c>
      <c r="J203" t="s">
        <v>231</v>
      </c>
      <c r="K203" t="s">
        <v>172</v>
      </c>
      <c r="M203" t="s">
        <v>232</v>
      </c>
      <c r="N203" t="s">
        <v>311</v>
      </c>
      <c r="O203" t="s">
        <v>172</v>
      </c>
      <c r="P203" t="s">
        <v>314</v>
      </c>
      <c r="Q203" t="s">
        <v>322</v>
      </c>
      <c r="T203" t="s">
        <v>515</v>
      </c>
      <c r="U203" t="s">
        <v>896</v>
      </c>
      <c r="V203" t="s">
        <v>198</v>
      </c>
      <c r="W203" t="s">
        <v>212</v>
      </c>
      <c r="X203" t="s">
        <v>1113</v>
      </c>
      <c r="Y203" t="s">
        <v>1307</v>
      </c>
      <c r="AA203" t="s">
        <v>1755</v>
      </c>
      <c r="AB203" t="s">
        <v>1786</v>
      </c>
      <c r="AC203">
        <v>10458</v>
      </c>
      <c r="AD203" t="s">
        <v>1794</v>
      </c>
      <c r="AE203" t="s">
        <v>1977</v>
      </c>
      <c r="AF203">
        <v>2</v>
      </c>
      <c r="AG203" t="s">
        <v>2214</v>
      </c>
      <c r="AH203" t="s">
        <v>2220</v>
      </c>
      <c r="AI203" t="s">
        <v>233</v>
      </c>
      <c r="AJ203" t="s">
        <v>233</v>
      </c>
      <c r="AL203" t="s">
        <v>2230</v>
      </c>
      <c r="AM203" t="s">
        <v>2236</v>
      </c>
      <c r="AN203">
        <v>0</v>
      </c>
      <c r="AO203">
        <v>1451.92</v>
      </c>
      <c r="AP203">
        <v>0.6</v>
      </c>
      <c r="AQ203" t="s">
        <v>2242</v>
      </c>
      <c r="AR203" t="s">
        <v>2442</v>
      </c>
      <c r="AS203" t="s">
        <v>2869</v>
      </c>
      <c r="AT203">
        <v>44</v>
      </c>
      <c r="AU203" t="s">
        <v>3106</v>
      </c>
      <c r="AV203">
        <v>0</v>
      </c>
      <c r="AW203">
        <v>3</v>
      </c>
      <c r="AX203">
        <v>42.19</v>
      </c>
      <c r="BB203" t="s">
        <v>3125</v>
      </c>
      <c r="BC203" t="s">
        <v>3130</v>
      </c>
      <c r="BD203">
        <v>9000</v>
      </c>
      <c r="BH203" t="s">
        <v>3167</v>
      </c>
      <c r="BK203" t="s">
        <v>3228</v>
      </c>
      <c r="BL203" t="s">
        <v>1103</v>
      </c>
      <c r="BM203" t="s">
        <v>311</v>
      </c>
    </row>
    <row r="204" spans="1:65">
      <c r="A204" s="1">
        <f>HYPERLINK("https://lsnyc.legalserver.org/matter/dynamic-profile/view/1904932","19-1904932")</f>
        <v>0</v>
      </c>
      <c r="B204" t="s">
        <v>65</v>
      </c>
      <c r="C204" t="s">
        <v>97</v>
      </c>
      <c r="D204" t="s">
        <v>170</v>
      </c>
      <c r="E204" t="s">
        <v>172</v>
      </c>
      <c r="F204" t="s">
        <v>175</v>
      </c>
      <c r="G204" t="s">
        <v>172</v>
      </c>
      <c r="H204" t="s">
        <v>220</v>
      </c>
      <c r="I204" t="s">
        <v>172</v>
      </c>
      <c r="J204" t="s">
        <v>231</v>
      </c>
      <c r="K204" t="s">
        <v>172</v>
      </c>
      <c r="M204" t="s">
        <v>232</v>
      </c>
      <c r="N204" t="s">
        <v>311</v>
      </c>
      <c r="O204" t="s">
        <v>172</v>
      </c>
      <c r="P204" t="s">
        <v>314</v>
      </c>
      <c r="Q204" t="s">
        <v>322</v>
      </c>
      <c r="T204" t="s">
        <v>516</v>
      </c>
      <c r="U204" t="s">
        <v>897</v>
      </c>
      <c r="V204" t="s">
        <v>187</v>
      </c>
      <c r="W204" t="s">
        <v>175</v>
      </c>
      <c r="X204" t="s">
        <v>1113</v>
      </c>
      <c r="Y204" t="s">
        <v>1308</v>
      </c>
      <c r="Z204" t="s">
        <v>1566</v>
      </c>
      <c r="AA204" t="s">
        <v>1755</v>
      </c>
      <c r="AB204" t="s">
        <v>1786</v>
      </c>
      <c r="AC204">
        <v>10454</v>
      </c>
      <c r="AD204" t="s">
        <v>1794</v>
      </c>
      <c r="AE204" t="s">
        <v>1978</v>
      </c>
      <c r="AF204">
        <v>19</v>
      </c>
      <c r="AG204" t="s">
        <v>2214</v>
      </c>
      <c r="AH204" t="s">
        <v>2220</v>
      </c>
      <c r="AI204" t="s">
        <v>233</v>
      </c>
      <c r="AJ204" t="s">
        <v>233</v>
      </c>
      <c r="AL204" t="s">
        <v>2230</v>
      </c>
      <c r="AM204" t="s">
        <v>2236</v>
      </c>
      <c r="AN204">
        <v>0</v>
      </c>
      <c r="AO204">
        <v>2462</v>
      </c>
      <c r="AP204">
        <v>0.5</v>
      </c>
      <c r="AQ204" t="s">
        <v>2242</v>
      </c>
      <c r="AR204" t="s">
        <v>2443</v>
      </c>
      <c r="AS204" t="s">
        <v>2870</v>
      </c>
      <c r="AT204">
        <v>24</v>
      </c>
      <c r="AU204" t="s">
        <v>3115</v>
      </c>
      <c r="AV204">
        <v>1</v>
      </c>
      <c r="AW204">
        <v>0</v>
      </c>
      <c r="AX204">
        <v>151.96</v>
      </c>
      <c r="BB204" t="s">
        <v>1793</v>
      </c>
      <c r="BC204" t="s">
        <v>3130</v>
      </c>
      <c r="BD204">
        <v>18980</v>
      </c>
      <c r="BH204" t="s">
        <v>125</v>
      </c>
      <c r="BK204" t="s">
        <v>3198</v>
      </c>
      <c r="BL204" t="s">
        <v>175</v>
      </c>
      <c r="BM204" t="s">
        <v>311</v>
      </c>
    </row>
    <row r="205" spans="1:65">
      <c r="A205" s="1">
        <f>HYPERLINK("https://lsnyc.legalserver.org/matter/dynamic-profile/view/1908373","19-1908373")</f>
        <v>0</v>
      </c>
      <c r="B205" t="s">
        <v>65</v>
      </c>
      <c r="C205" t="s">
        <v>97</v>
      </c>
      <c r="D205" t="s">
        <v>170</v>
      </c>
      <c r="E205" t="s">
        <v>171</v>
      </c>
      <c r="G205" t="s">
        <v>172</v>
      </c>
      <c r="H205" t="s">
        <v>220</v>
      </c>
      <c r="I205" t="s">
        <v>172</v>
      </c>
      <c r="J205" t="s">
        <v>231</v>
      </c>
      <c r="K205" t="s">
        <v>234</v>
      </c>
      <c r="M205" t="s">
        <v>232</v>
      </c>
      <c r="N205" t="s">
        <v>252</v>
      </c>
      <c r="O205" t="s">
        <v>172</v>
      </c>
      <c r="P205" t="s">
        <v>314</v>
      </c>
      <c r="Q205" t="s">
        <v>321</v>
      </c>
      <c r="T205" t="s">
        <v>517</v>
      </c>
      <c r="U205" t="s">
        <v>898</v>
      </c>
      <c r="V205" t="s">
        <v>194</v>
      </c>
      <c r="X205" t="s">
        <v>1112</v>
      </c>
      <c r="Y205" t="s">
        <v>1309</v>
      </c>
      <c r="Z205" t="s">
        <v>1581</v>
      </c>
      <c r="AA205" t="s">
        <v>1755</v>
      </c>
      <c r="AB205" t="s">
        <v>1786</v>
      </c>
      <c r="AC205">
        <v>10458</v>
      </c>
      <c r="AD205" t="s">
        <v>1790</v>
      </c>
      <c r="AE205" t="s">
        <v>1979</v>
      </c>
      <c r="AF205">
        <v>12</v>
      </c>
      <c r="AH205" t="s">
        <v>2220</v>
      </c>
      <c r="AI205" t="s">
        <v>233</v>
      </c>
      <c r="AJ205" t="s">
        <v>233</v>
      </c>
      <c r="AL205" t="s">
        <v>2230</v>
      </c>
      <c r="AN205">
        <v>0</v>
      </c>
      <c r="AO205">
        <v>910.27</v>
      </c>
      <c r="AP205">
        <v>0.9</v>
      </c>
      <c r="AR205" t="s">
        <v>2444</v>
      </c>
      <c r="AT205">
        <v>6</v>
      </c>
      <c r="AU205" t="s">
        <v>3106</v>
      </c>
      <c r="AV205">
        <v>1</v>
      </c>
      <c r="AW205">
        <v>0</v>
      </c>
      <c r="AX205">
        <v>0</v>
      </c>
      <c r="BB205" t="s">
        <v>252</v>
      </c>
      <c r="BC205" t="s">
        <v>3130</v>
      </c>
      <c r="BD205">
        <v>0</v>
      </c>
      <c r="BH205" t="s">
        <v>3159</v>
      </c>
      <c r="BK205" t="s">
        <v>3210</v>
      </c>
      <c r="BL205" t="s">
        <v>3274</v>
      </c>
      <c r="BM205" t="s">
        <v>252</v>
      </c>
    </row>
    <row r="206" spans="1:65">
      <c r="A206" s="1">
        <f>HYPERLINK("https://lsnyc.legalserver.org/matter/dynamic-profile/view/1907077","19-1907077")</f>
        <v>0</v>
      </c>
      <c r="B206" t="s">
        <v>65</v>
      </c>
      <c r="C206" t="s">
        <v>97</v>
      </c>
      <c r="D206" t="s">
        <v>170</v>
      </c>
      <c r="E206" t="s">
        <v>171</v>
      </c>
      <c r="G206" t="s">
        <v>172</v>
      </c>
      <c r="H206" t="s">
        <v>220</v>
      </c>
      <c r="I206" t="s">
        <v>172</v>
      </c>
      <c r="J206" t="s">
        <v>231</v>
      </c>
      <c r="K206" t="s">
        <v>172</v>
      </c>
      <c r="M206" t="s">
        <v>232</v>
      </c>
      <c r="N206" t="s">
        <v>311</v>
      </c>
      <c r="O206" t="s">
        <v>172</v>
      </c>
      <c r="P206" t="s">
        <v>314</v>
      </c>
      <c r="Q206" t="s">
        <v>321</v>
      </c>
      <c r="T206" t="s">
        <v>381</v>
      </c>
      <c r="U206" t="s">
        <v>899</v>
      </c>
      <c r="V206" t="s">
        <v>183</v>
      </c>
      <c r="X206" t="s">
        <v>1112</v>
      </c>
      <c r="Y206" t="s">
        <v>1310</v>
      </c>
      <c r="Z206">
        <v>509</v>
      </c>
      <c r="AA206" t="s">
        <v>1755</v>
      </c>
      <c r="AB206" t="s">
        <v>1786</v>
      </c>
      <c r="AC206">
        <v>10458</v>
      </c>
      <c r="AD206" t="s">
        <v>1790</v>
      </c>
      <c r="AE206" t="s">
        <v>1980</v>
      </c>
      <c r="AF206">
        <v>35</v>
      </c>
      <c r="AH206" t="s">
        <v>2220</v>
      </c>
      <c r="AI206" t="s">
        <v>233</v>
      </c>
      <c r="AJ206" t="s">
        <v>233</v>
      </c>
      <c r="AL206" t="s">
        <v>2230</v>
      </c>
      <c r="AN206">
        <v>0</v>
      </c>
      <c r="AO206">
        <v>1036</v>
      </c>
      <c r="AP206">
        <v>0.7</v>
      </c>
      <c r="AR206" t="s">
        <v>2445</v>
      </c>
      <c r="AS206" t="s">
        <v>2871</v>
      </c>
      <c r="AT206">
        <v>65</v>
      </c>
      <c r="AU206" t="s">
        <v>3106</v>
      </c>
      <c r="AV206">
        <v>1</v>
      </c>
      <c r="AW206">
        <v>0</v>
      </c>
      <c r="AX206">
        <v>163.62</v>
      </c>
      <c r="BC206" t="s">
        <v>3130</v>
      </c>
      <c r="BD206">
        <v>20436</v>
      </c>
      <c r="BH206" t="s">
        <v>125</v>
      </c>
      <c r="BK206" t="s">
        <v>3198</v>
      </c>
      <c r="BL206" t="s">
        <v>1108</v>
      </c>
      <c r="BM206" t="s">
        <v>311</v>
      </c>
    </row>
    <row r="207" spans="1:65">
      <c r="A207" s="1">
        <f>HYPERLINK("https://lsnyc.legalserver.org/matter/dynamic-profile/view/1907051","19-1907051")</f>
        <v>0</v>
      </c>
      <c r="B207" t="s">
        <v>65</v>
      </c>
      <c r="C207" t="s">
        <v>97</v>
      </c>
      <c r="D207" t="s">
        <v>170</v>
      </c>
      <c r="E207" t="s">
        <v>171</v>
      </c>
      <c r="G207" t="s">
        <v>172</v>
      </c>
      <c r="H207" t="s">
        <v>220</v>
      </c>
      <c r="I207" t="s">
        <v>172</v>
      </c>
      <c r="J207" t="s">
        <v>231</v>
      </c>
      <c r="K207" t="s">
        <v>172</v>
      </c>
      <c r="M207" t="s">
        <v>232</v>
      </c>
      <c r="N207" t="s">
        <v>311</v>
      </c>
      <c r="O207" t="s">
        <v>172</v>
      </c>
      <c r="P207" t="s">
        <v>314</v>
      </c>
      <c r="Q207" t="s">
        <v>322</v>
      </c>
      <c r="T207" t="s">
        <v>518</v>
      </c>
      <c r="U207" t="s">
        <v>900</v>
      </c>
      <c r="V207" t="s">
        <v>183</v>
      </c>
      <c r="W207" t="s">
        <v>194</v>
      </c>
      <c r="X207" t="s">
        <v>1113</v>
      </c>
      <c r="Y207" t="s">
        <v>1311</v>
      </c>
      <c r="Z207" t="s">
        <v>1596</v>
      </c>
      <c r="AA207" t="s">
        <v>1755</v>
      </c>
      <c r="AB207" t="s">
        <v>1786</v>
      </c>
      <c r="AC207">
        <v>10458</v>
      </c>
      <c r="AD207" t="s">
        <v>1790</v>
      </c>
      <c r="AE207" t="s">
        <v>1981</v>
      </c>
      <c r="AF207">
        <v>4</v>
      </c>
      <c r="AG207" t="s">
        <v>2214</v>
      </c>
      <c r="AH207" t="s">
        <v>2220</v>
      </c>
      <c r="AI207" t="s">
        <v>233</v>
      </c>
      <c r="AJ207" t="s">
        <v>233</v>
      </c>
      <c r="AL207" t="s">
        <v>2230</v>
      </c>
      <c r="AN207">
        <v>0</v>
      </c>
      <c r="AO207">
        <v>886</v>
      </c>
      <c r="AP207">
        <v>0.5</v>
      </c>
      <c r="AQ207" t="s">
        <v>2242</v>
      </c>
      <c r="AR207" t="s">
        <v>2446</v>
      </c>
      <c r="AS207" t="s">
        <v>2872</v>
      </c>
      <c r="AT207">
        <v>32</v>
      </c>
      <c r="AU207" t="s">
        <v>3106</v>
      </c>
      <c r="AV207">
        <v>1</v>
      </c>
      <c r="AW207">
        <v>0</v>
      </c>
      <c r="AX207">
        <v>283.11</v>
      </c>
      <c r="BC207" t="s">
        <v>3130</v>
      </c>
      <c r="BD207">
        <v>35360</v>
      </c>
      <c r="BH207" t="s">
        <v>125</v>
      </c>
      <c r="BK207" t="s">
        <v>3198</v>
      </c>
      <c r="BL207" t="s">
        <v>194</v>
      </c>
      <c r="BM207" t="s">
        <v>311</v>
      </c>
    </row>
    <row r="208" spans="1:65">
      <c r="A208" s="1">
        <f>HYPERLINK("https://lsnyc.legalserver.org/matter/dynamic-profile/view/1905407","19-1905407")</f>
        <v>0</v>
      </c>
      <c r="B208" t="s">
        <v>65</v>
      </c>
      <c r="C208" t="s">
        <v>97</v>
      </c>
      <c r="D208" t="s">
        <v>170</v>
      </c>
      <c r="E208" t="s">
        <v>172</v>
      </c>
      <c r="F208" t="s">
        <v>178</v>
      </c>
      <c r="G208" t="s">
        <v>172</v>
      </c>
      <c r="H208" t="s">
        <v>220</v>
      </c>
      <c r="I208" t="s">
        <v>172</v>
      </c>
      <c r="J208" t="s">
        <v>231</v>
      </c>
      <c r="K208" t="s">
        <v>234</v>
      </c>
      <c r="M208" t="s">
        <v>232</v>
      </c>
      <c r="O208" t="s">
        <v>172</v>
      </c>
      <c r="P208" t="s">
        <v>314</v>
      </c>
      <c r="Q208" t="s">
        <v>322</v>
      </c>
      <c r="T208" t="s">
        <v>519</v>
      </c>
      <c r="U208" t="s">
        <v>901</v>
      </c>
      <c r="V208" t="s">
        <v>217</v>
      </c>
      <c r="W208" t="s">
        <v>195</v>
      </c>
      <c r="X208" t="s">
        <v>1113</v>
      </c>
      <c r="Y208" t="s">
        <v>1312</v>
      </c>
      <c r="Z208" t="s">
        <v>1674</v>
      </c>
      <c r="AA208" t="s">
        <v>1755</v>
      </c>
      <c r="AB208" t="s">
        <v>1786</v>
      </c>
      <c r="AC208">
        <v>10458</v>
      </c>
      <c r="AE208" t="s">
        <v>1982</v>
      </c>
      <c r="AF208">
        <v>7</v>
      </c>
      <c r="AG208" t="s">
        <v>2214</v>
      </c>
      <c r="AH208" t="s">
        <v>2220</v>
      </c>
      <c r="AI208" t="s">
        <v>233</v>
      </c>
      <c r="AJ208" t="s">
        <v>233</v>
      </c>
      <c r="AL208" t="s">
        <v>2230</v>
      </c>
      <c r="AM208" t="s">
        <v>2238</v>
      </c>
      <c r="AN208">
        <v>0</v>
      </c>
      <c r="AO208">
        <v>1838.24</v>
      </c>
      <c r="AP208">
        <v>0.9</v>
      </c>
      <c r="AQ208" t="s">
        <v>2242</v>
      </c>
      <c r="AR208" t="s">
        <v>2447</v>
      </c>
      <c r="AT208">
        <v>58</v>
      </c>
      <c r="AU208" t="s">
        <v>3106</v>
      </c>
      <c r="AV208">
        <v>1</v>
      </c>
      <c r="AW208">
        <v>0</v>
      </c>
      <c r="AX208">
        <v>156.12</v>
      </c>
      <c r="BC208" t="s">
        <v>3130</v>
      </c>
      <c r="BD208">
        <v>19500</v>
      </c>
      <c r="BH208" t="s">
        <v>3160</v>
      </c>
      <c r="BK208" t="s">
        <v>3207</v>
      </c>
      <c r="BL208" t="s">
        <v>195</v>
      </c>
    </row>
    <row r="209" spans="1:65">
      <c r="A209" s="1">
        <f>HYPERLINK("https://lsnyc.legalserver.org/matter/dynamic-profile/view/1902706","19-1902706")</f>
        <v>0</v>
      </c>
      <c r="B209" t="s">
        <v>65</v>
      </c>
      <c r="C209" t="s">
        <v>97</v>
      </c>
      <c r="D209" t="s">
        <v>170</v>
      </c>
      <c r="E209" t="s">
        <v>171</v>
      </c>
      <c r="G209" t="s">
        <v>172</v>
      </c>
      <c r="H209" t="s">
        <v>220</v>
      </c>
      <c r="I209" t="s">
        <v>172</v>
      </c>
      <c r="J209" t="s">
        <v>231</v>
      </c>
      <c r="K209" t="s">
        <v>172</v>
      </c>
      <c r="M209" t="s">
        <v>232</v>
      </c>
      <c r="N209" t="s">
        <v>311</v>
      </c>
      <c r="O209" t="s">
        <v>172</v>
      </c>
      <c r="P209" t="s">
        <v>314</v>
      </c>
      <c r="Q209" t="s">
        <v>321</v>
      </c>
      <c r="T209" t="s">
        <v>520</v>
      </c>
      <c r="U209" t="s">
        <v>902</v>
      </c>
      <c r="V209" t="s">
        <v>202</v>
      </c>
      <c r="X209" t="s">
        <v>1112</v>
      </c>
      <c r="Y209" t="s">
        <v>1313</v>
      </c>
      <c r="Z209" t="s">
        <v>1675</v>
      </c>
      <c r="AA209" t="s">
        <v>1755</v>
      </c>
      <c r="AB209" t="s">
        <v>1786</v>
      </c>
      <c r="AC209">
        <v>10458</v>
      </c>
      <c r="AD209" t="s">
        <v>1790</v>
      </c>
      <c r="AE209" t="s">
        <v>1983</v>
      </c>
      <c r="AF209">
        <v>9</v>
      </c>
      <c r="AH209" t="s">
        <v>2220</v>
      </c>
      <c r="AI209" t="s">
        <v>233</v>
      </c>
      <c r="AJ209" t="s">
        <v>233</v>
      </c>
      <c r="AL209" t="s">
        <v>2230</v>
      </c>
      <c r="AM209" t="s">
        <v>2240</v>
      </c>
      <c r="AN209">
        <v>0</v>
      </c>
      <c r="AO209">
        <v>1000</v>
      </c>
      <c r="AP209">
        <v>0.7</v>
      </c>
      <c r="AR209" t="s">
        <v>2448</v>
      </c>
      <c r="AT209">
        <v>0</v>
      </c>
      <c r="AU209" t="s">
        <v>3109</v>
      </c>
      <c r="AV209">
        <v>1</v>
      </c>
      <c r="AW209">
        <v>0</v>
      </c>
      <c r="AX209">
        <v>0</v>
      </c>
      <c r="BB209" t="s">
        <v>252</v>
      </c>
      <c r="BC209" t="s">
        <v>3130</v>
      </c>
      <c r="BD209">
        <v>0</v>
      </c>
      <c r="BH209" t="s">
        <v>125</v>
      </c>
      <c r="BK209" t="s">
        <v>3210</v>
      </c>
      <c r="BL209" t="s">
        <v>1110</v>
      </c>
      <c r="BM209" t="s">
        <v>311</v>
      </c>
    </row>
    <row r="210" spans="1:65">
      <c r="A210" s="1">
        <f>HYPERLINK("https://lsnyc.legalserver.org/matter/dynamic-profile/view/1907552","19-1907552")</f>
        <v>0</v>
      </c>
      <c r="B210" t="s">
        <v>65</v>
      </c>
      <c r="C210" t="s">
        <v>97</v>
      </c>
      <c r="D210" t="s">
        <v>170</v>
      </c>
      <c r="E210" t="s">
        <v>171</v>
      </c>
      <c r="G210" t="s">
        <v>172</v>
      </c>
      <c r="H210" t="s">
        <v>221</v>
      </c>
      <c r="I210" t="s">
        <v>172</v>
      </c>
      <c r="J210" t="s">
        <v>231</v>
      </c>
      <c r="K210" t="s">
        <v>234</v>
      </c>
      <c r="M210" t="s">
        <v>232</v>
      </c>
      <c r="O210" t="s">
        <v>172</v>
      </c>
      <c r="P210" t="s">
        <v>314</v>
      </c>
      <c r="Q210" t="s">
        <v>321</v>
      </c>
      <c r="T210" t="s">
        <v>521</v>
      </c>
      <c r="U210" t="s">
        <v>903</v>
      </c>
      <c r="V210" t="s">
        <v>210</v>
      </c>
      <c r="X210" t="s">
        <v>1112</v>
      </c>
      <c r="Y210" t="s">
        <v>1314</v>
      </c>
      <c r="Z210" t="s">
        <v>1572</v>
      </c>
      <c r="AA210" t="s">
        <v>1755</v>
      </c>
      <c r="AB210" t="s">
        <v>1786</v>
      </c>
      <c r="AC210">
        <v>10459</v>
      </c>
      <c r="AD210" t="s">
        <v>1796</v>
      </c>
      <c r="AF210">
        <v>5</v>
      </c>
      <c r="AH210" t="s">
        <v>2220</v>
      </c>
      <c r="AI210" t="s">
        <v>233</v>
      </c>
      <c r="AJ210" t="s">
        <v>231</v>
      </c>
      <c r="AL210" t="s">
        <v>2230</v>
      </c>
      <c r="AN210">
        <v>0</v>
      </c>
      <c r="AO210">
        <v>525.67</v>
      </c>
      <c r="AP210">
        <v>0.2</v>
      </c>
      <c r="AR210" t="s">
        <v>2449</v>
      </c>
      <c r="AS210" t="s">
        <v>2873</v>
      </c>
      <c r="AT210">
        <v>0</v>
      </c>
      <c r="AV210">
        <v>1</v>
      </c>
      <c r="AW210">
        <v>0</v>
      </c>
      <c r="AX210">
        <v>76.86</v>
      </c>
      <c r="BC210" t="s">
        <v>3131</v>
      </c>
      <c r="BD210">
        <v>9600</v>
      </c>
      <c r="BH210" t="s">
        <v>3164</v>
      </c>
      <c r="BK210" t="s">
        <v>3196</v>
      </c>
      <c r="BL210" t="s">
        <v>1110</v>
      </c>
    </row>
    <row r="211" spans="1:65">
      <c r="A211" s="1">
        <f>HYPERLINK("https://lsnyc.legalserver.org/matter/dynamic-profile/view/1907110","19-1907110")</f>
        <v>0</v>
      </c>
      <c r="B211" t="s">
        <v>65</v>
      </c>
      <c r="C211" t="s">
        <v>97</v>
      </c>
      <c r="D211" t="s">
        <v>170</v>
      </c>
      <c r="E211" t="s">
        <v>171</v>
      </c>
      <c r="G211" t="s">
        <v>172</v>
      </c>
      <c r="H211" t="s">
        <v>221</v>
      </c>
      <c r="I211" t="s">
        <v>172</v>
      </c>
      <c r="J211" t="s">
        <v>231</v>
      </c>
      <c r="K211" t="s">
        <v>172</v>
      </c>
      <c r="L211" t="s">
        <v>266</v>
      </c>
      <c r="M211" t="s">
        <v>232</v>
      </c>
      <c r="N211" t="s">
        <v>311</v>
      </c>
      <c r="O211" t="s">
        <v>172</v>
      </c>
      <c r="P211" t="s">
        <v>314</v>
      </c>
      <c r="Q211" t="s">
        <v>321</v>
      </c>
      <c r="T211" t="s">
        <v>522</v>
      </c>
      <c r="U211" t="s">
        <v>904</v>
      </c>
      <c r="V211" t="s">
        <v>183</v>
      </c>
      <c r="X211" t="s">
        <v>1112</v>
      </c>
      <c r="Y211" t="s">
        <v>1315</v>
      </c>
      <c r="Z211" t="s">
        <v>1676</v>
      </c>
      <c r="AA211" t="s">
        <v>1755</v>
      </c>
      <c r="AB211" t="s">
        <v>1786</v>
      </c>
      <c r="AC211">
        <v>10459</v>
      </c>
      <c r="AD211" t="s">
        <v>1790</v>
      </c>
      <c r="AE211" t="s">
        <v>1984</v>
      </c>
      <c r="AF211">
        <v>6</v>
      </c>
      <c r="AH211" t="s">
        <v>2220</v>
      </c>
      <c r="AI211" t="s">
        <v>233</v>
      </c>
      <c r="AJ211" t="s">
        <v>233</v>
      </c>
      <c r="AL211" t="s">
        <v>2230</v>
      </c>
      <c r="AM211" t="s">
        <v>2236</v>
      </c>
      <c r="AN211">
        <v>0</v>
      </c>
      <c r="AO211">
        <v>0</v>
      </c>
      <c r="AP211">
        <v>0.8</v>
      </c>
      <c r="AR211" t="s">
        <v>2450</v>
      </c>
      <c r="AT211">
        <v>0</v>
      </c>
      <c r="AU211" t="s">
        <v>3115</v>
      </c>
      <c r="AV211">
        <v>3</v>
      </c>
      <c r="AW211">
        <v>2</v>
      </c>
      <c r="AX211">
        <v>25.85</v>
      </c>
      <c r="BB211" t="s">
        <v>3123</v>
      </c>
      <c r="BC211" t="s">
        <v>3130</v>
      </c>
      <c r="BD211">
        <v>7800</v>
      </c>
      <c r="BH211" t="s">
        <v>125</v>
      </c>
      <c r="BK211" t="s">
        <v>3198</v>
      </c>
      <c r="BL211" t="s">
        <v>3275</v>
      </c>
      <c r="BM211" t="s">
        <v>311</v>
      </c>
    </row>
    <row r="212" spans="1:65">
      <c r="A212" s="1">
        <f>HYPERLINK("https://lsnyc.legalserver.org/matter/dynamic-profile/view/1907045","19-1907045")</f>
        <v>0</v>
      </c>
      <c r="B212" t="s">
        <v>65</v>
      </c>
      <c r="C212" t="s">
        <v>97</v>
      </c>
      <c r="D212" t="s">
        <v>170</v>
      </c>
      <c r="E212" t="s">
        <v>172</v>
      </c>
      <c r="F212" t="s">
        <v>183</v>
      </c>
      <c r="G212" t="s">
        <v>172</v>
      </c>
      <c r="H212" t="s">
        <v>220</v>
      </c>
      <c r="I212" t="s">
        <v>172</v>
      </c>
      <c r="J212" t="s">
        <v>231</v>
      </c>
      <c r="K212" t="s">
        <v>172</v>
      </c>
      <c r="L212" t="s">
        <v>267</v>
      </c>
      <c r="M212" t="s">
        <v>232</v>
      </c>
      <c r="N212" t="s">
        <v>311</v>
      </c>
      <c r="O212" t="s">
        <v>172</v>
      </c>
      <c r="P212" t="s">
        <v>314</v>
      </c>
      <c r="Q212" t="s">
        <v>322</v>
      </c>
      <c r="T212" t="s">
        <v>523</v>
      </c>
      <c r="U212" t="s">
        <v>881</v>
      </c>
      <c r="V212" t="s">
        <v>183</v>
      </c>
      <c r="W212" t="s">
        <v>192</v>
      </c>
      <c r="X212" t="s">
        <v>1113</v>
      </c>
      <c r="Y212" t="s">
        <v>1316</v>
      </c>
      <c r="Z212" t="s">
        <v>1575</v>
      </c>
      <c r="AA212" t="s">
        <v>1755</v>
      </c>
      <c r="AB212" t="s">
        <v>1786</v>
      </c>
      <c r="AC212">
        <v>10459</v>
      </c>
      <c r="AE212" t="s">
        <v>1985</v>
      </c>
      <c r="AF212">
        <v>14</v>
      </c>
      <c r="AG212" t="s">
        <v>2214</v>
      </c>
      <c r="AH212" t="s">
        <v>2220</v>
      </c>
      <c r="AI212" t="s">
        <v>233</v>
      </c>
      <c r="AJ212" t="s">
        <v>231</v>
      </c>
      <c r="AL212" t="s">
        <v>2230</v>
      </c>
      <c r="AM212" t="s">
        <v>2240</v>
      </c>
      <c r="AN212">
        <v>0</v>
      </c>
      <c r="AO212">
        <v>826</v>
      </c>
      <c r="AP212">
        <v>0.8</v>
      </c>
      <c r="AQ212" t="s">
        <v>2242</v>
      </c>
      <c r="AR212" t="s">
        <v>2451</v>
      </c>
      <c r="AS212" t="s">
        <v>2874</v>
      </c>
      <c r="AT212">
        <v>27</v>
      </c>
      <c r="AU212" t="s">
        <v>3106</v>
      </c>
      <c r="AV212">
        <v>1</v>
      </c>
      <c r="AW212">
        <v>3</v>
      </c>
      <c r="AX212">
        <v>168.95</v>
      </c>
      <c r="BB212" t="s">
        <v>252</v>
      </c>
      <c r="BC212" t="s">
        <v>3130</v>
      </c>
      <c r="BD212">
        <v>43504</v>
      </c>
      <c r="BH212" t="s">
        <v>125</v>
      </c>
      <c r="BK212" t="s">
        <v>3221</v>
      </c>
      <c r="BL212" t="s">
        <v>192</v>
      </c>
      <c r="BM212" t="s">
        <v>311</v>
      </c>
    </row>
    <row r="213" spans="1:65">
      <c r="A213" s="1">
        <f>HYPERLINK("https://lsnyc.legalserver.org/matter/dynamic-profile/view/1903941","19-1903941")</f>
        <v>0</v>
      </c>
      <c r="B213" t="s">
        <v>65</v>
      </c>
      <c r="C213" t="s">
        <v>97</v>
      </c>
      <c r="D213" t="s">
        <v>170</v>
      </c>
      <c r="E213" t="s">
        <v>172</v>
      </c>
      <c r="F213" t="s">
        <v>186</v>
      </c>
      <c r="G213" t="s">
        <v>172</v>
      </c>
      <c r="H213" t="s">
        <v>220</v>
      </c>
      <c r="I213" t="s">
        <v>172</v>
      </c>
      <c r="J213" t="s">
        <v>231</v>
      </c>
      <c r="K213" t="s">
        <v>172</v>
      </c>
      <c r="M213" t="s">
        <v>232</v>
      </c>
      <c r="N213" t="s">
        <v>311</v>
      </c>
      <c r="O213" t="s">
        <v>172</v>
      </c>
      <c r="P213" t="s">
        <v>314</v>
      </c>
      <c r="Q213" t="s">
        <v>322</v>
      </c>
      <c r="T213" t="s">
        <v>524</v>
      </c>
      <c r="U213" t="s">
        <v>905</v>
      </c>
      <c r="V213" t="s">
        <v>186</v>
      </c>
      <c r="W213" t="s">
        <v>203</v>
      </c>
      <c r="X213" t="s">
        <v>1113</v>
      </c>
      <c r="Y213" t="s">
        <v>1317</v>
      </c>
      <c r="Z213">
        <v>19</v>
      </c>
      <c r="AA213" t="s">
        <v>1755</v>
      </c>
      <c r="AB213" t="s">
        <v>1786</v>
      </c>
      <c r="AC213">
        <v>10459</v>
      </c>
      <c r="AD213" t="s">
        <v>1790</v>
      </c>
      <c r="AE213" t="s">
        <v>1986</v>
      </c>
      <c r="AF213">
        <v>33</v>
      </c>
      <c r="AG213" t="s">
        <v>2214</v>
      </c>
      <c r="AH213" t="s">
        <v>2220</v>
      </c>
      <c r="AI213" t="s">
        <v>233</v>
      </c>
      <c r="AJ213" t="s">
        <v>233</v>
      </c>
      <c r="AL213" t="s">
        <v>2230</v>
      </c>
      <c r="AM213" t="s">
        <v>2236</v>
      </c>
      <c r="AN213">
        <v>0</v>
      </c>
      <c r="AO213">
        <v>383</v>
      </c>
      <c r="AP213">
        <v>4.05</v>
      </c>
      <c r="AQ213" t="s">
        <v>2242</v>
      </c>
      <c r="AR213" t="s">
        <v>2452</v>
      </c>
      <c r="AS213" t="s">
        <v>2875</v>
      </c>
      <c r="AT213">
        <v>20</v>
      </c>
      <c r="AU213" t="s">
        <v>3109</v>
      </c>
      <c r="AV213">
        <v>4</v>
      </c>
      <c r="AW213">
        <v>0</v>
      </c>
      <c r="AX213">
        <v>71.77</v>
      </c>
      <c r="BB213" t="s">
        <v>252</v>
      </c>
      <c r="BC213" t="s">
        <v>3130</v>
      </c>
      <c r="BD213">
        <v>18480</v>
      </c>
      <c r="BH213" t="s">
        <v>3159</v>
      </c>
      <c r="BK213" t="s">
        <v>3196</v>
      </c>
      <c r="BL213" t="s">
        <v>203</v>
      </c>
      <c r="BM213" t="s">
        <v>311</v>
      </c>
    </row>
    <row r="214" spans="1:65">
      <c r="A214" s="1">
        <f>HYPERLINK("https://lsnyc.legalserver.org/matter/dynamic-profile/view/1906405","19-1906405")</f>
        <v>0</v>
      </c>
      <c r="B214" t="s">
        <v>65</v>
      </c>
      <c r="C214" t="s">
        <v>97</v>
      </c>
      <c r="D214" t="s">
        <v>170</v>
      </c>
      <c r="E214" t="s">
        <v>171</v>
      </c>
      <c r="G214" t="s">
        <v>172</v>
      </c>
      <c r="H214" t="s">
        <v>220</v>
      </c>
      <c r="I214" t="s">
        <v>172</v>
      </c>
      <c r="J214" t="s">
        <v>231</v>
      </c>
      <c r="K214" t="s">
        <v>172</v>
      </c>
      <c r="M214" t="s">
        <v>232</v>
      </c>
      <c r="N214" t="s">
        <v>311</v>
      </c>
      <c r="O214" t="s">
        <v>172</v>
      </c>
      <c r="P214" t="s">
        <v>314</v>
      </c>
      <c r="Q214" t="s">
        <v>322</v>
      </c>
      <c r="T214" t="s">
        <v>525</v>
      </c>
      <c r="U214" t="s">
        <v>906</v>
      </c>
      <c r="V214" t="s">
        <v>178</v>
      </c>
      <c r="W214" t="s">
        <v>184</v>
      </c>
      <c r="X214" t="s">
        <v>1113</v>
      </c>
      <c r="Y214" t="s">
        <v>1318</v>
      </c>
      <c r="Z214" t="s">
        <v>1568</v>
      </c>
      <c r="AA214" t="s">
        <v>1755</v>
      </c>
      <c r="AB214" t="s">
        <v>1786</v>
      </c>
      <c r="AC214">
        <v>10455</v>
      </c>
      <c r="AD214" t="s">
        <v>1790</v>
      </c>
      <c r="AE214" t="s">
        <v>1987</v>
      </c>
      <c r="AF214">
        <v>3</v>
      </c>
      <c r="AG214" t="s">
        <v>2214</v>
      </c>
      <c r="AH214" t="s">
        <v>2220</v>
      </c>
      <c r="AI214" t="s">
        <v>233</v>
      </c>
      <c r="AL214" t="s">
        <v>2230</v>
      </c>
      <c r="AM214" t="s">
        <v>2236</v>
      </c>
      <c r="AN214">
        <v>0</v>
      </c>
      <c r="AO214">
        <v>178</v>
      </c>
      <c r="AP214">
        <v>0.5</v>
      </c>
      <c r="AQ214" t="s">
        <v>2242</v>
      </c>
      <c r="AR214" t="s">
        <v>2453</v>
      </c>
      <c r="AS214" t="s">
        <v>2876</v>
      </c>
      <c r="AT214">
        <v>50</v>
      </c>
      <c r="AU214" t="s">
        <v>3115</v>
      </c>
      <c r="AV214">
        <v>2</v>
      </c>
      <c r="AW214">
        <v>0</v>
      </c>
      <c r="AX214">
        <v>60.75</v>
      </c>
      <c r="BB214" t="s">
        <v>1793</v>
      </c>
      <c r="BC214" t="s">
        <v>3130</v>
      </c>
      <c r="BD214">
        <v>10272</v>
      </c>
      <c r="BH214" t="s">
        <v>125</v>
      </c>
      <c r="BK214" t="s">
        <v>3198</v>
      </c>
      <c r="BL214" t="s">
        <v>184</v>
      </c>
      <c r="BM214" t="s">
        <v>311</v>
      </c>
    </row>
    <row r="215" spans="1:65">
      <c r="A215" s="1">
        <f>HYPERLINK("https://lsnyc.legalserver.org/matter/dynamic-profile/view/1904633","19-1904633")</f>
        <v>0</v>
      </c>
      <c r="B215" t="s">
        <v>65</v>
      </c>
      <c r="C215" t="s">
        <v>97</v>
      </c>
      <c r="D215" t="s">
        <v>170</v>
      </c>
      <c r="E215" t="s">
        <v>172</v>
      </c>
      <c r="F215" t="s">
        <v>179</v>
      </c>
      <c r="G215" t="s">
        <v>172</v>
      </c>
      <c r="H215" t="s">
        <v>221</v>
      </c>
      <c r="I215" t="s">
        <v>172</v>
      </c>
      <c r="J215" t="s">
        <v>231</v>
      </c>
      <c r="K215" t="s">
        <v>172</v>
      </c>
      <c r="M215" t="s">
        <v>232</v>
      </c>
      <c r="N215" t="s">
        <v>311</v>
      </c>
      <c r="O215" t="s">
        <v>172</v>
      </c>
      <c r="P215" t="s">
        <v>314</v>
      </c>
      <c r="Q215" t="s">
        <v>322</v>
      </c>
      <c r="T215" t="s">
        <v>526</v>
      </c>
      <c r="U215" t="s">
        <v>907</v>
      </c>
      <c r="V215" t="s">
        <v>198</v>
      </c>
      <c r="W215" t="s">
        <v>214</v>
      </c>
      <c r="X215" t="s">
        <v>1113</v>
      </c>
      <c r="Y215" t="s">
        <v>1319</v>
      </c>
      <c r="Z215" t="s">
        <v>1579</v>
      </c>
      <c r="AA215" t="s">
        <v>1755</v>
      </c>
      <c r="AB215" t="s">
        <v>1786</v>
      </c>
      <c r="AC215">
        <v>10455</v>
      </c>
      <c r="AD215" t="s">
        <v>1787</v>
      </c>
      <c r="AE215" t="s">
        <v>1988</v>
      </c>
      <c r="AF215">
        <v>17</v>
      </c>
      <c r="AG215" t="s">
        <v>2214</v>
      </c>
      <c r="AH215" t="s">
        <v>2220</v>
      </c>
      <c r="AI215" t="s">
        <v>233</v>
      </c>
      <c r="AL215" t="s">
        <v>2230</v>
      </c>
      <c r="AM215" t="s">
        <v>2239</v>
      </c>
      <c r="AN215">
        <v>0</v>
      </c>
      <c r="AO215">
        <v>836.16</v>
      </c>
      <c r="AP215">
        <v>0.5</v>
      </c>
      <c r="AQ215" t="s">
        <v>2242</v>
      </c>
      <c r="AR215" t="s">
        <v>2454</v>
      </c>
      <c r="AS215" t="s">
        <v>2877</v>
      </c>
      <c r="AT215">
        <v>8</v>
      </c>
      <c r="AU215" t="s">
        <v>3116</v>
      </c>
      <c r="AV215">
        <v>3</v>
      </c>
      <c r="AW215">
        <v>0</v>
      </c>
      <c r="AX215">
        <v>13.31</v>
      </c>
      <c r="BC215" t="s">
        <v>3130</v>
      </c>
      <c r="BD215">
        <v>2838.72</v>
      </c>
      <c r="BH215" t="s">
        <v>3160</v>
      </c>
      <c r="BK215" t="s">
        <v>3232</v>
      </c>
      <c r="BL215" t="s">
        <v>214</v>
      </c>
      <c r="BM215" t="s">
        <v>311</v>
      </c>
    </row>
    <row r="216" spans="1:65">
      <c r="A216" s="1">
        <f>HYPERLINK("https://lsnyc.legalserver.org/matter/dynamic-profile/view/1904654","19-1904654")</f>
        <v>0</v>
      </c>
      <c r="B216" t="s">
        <v>65</v>
      </c>
      <c r="C216" t="s">
        <v>97</v>
      </c>
      <c r="D216" t="s">
        <v>170</v>
      </c>
      <c r="E216" t="s">
        <v>172</v>
      </c>
      <c r="F216" t="s">
        <v>178</v>
      </c>
      <c r="G216" t="s">
        <v>172</v>
      </c>
      <c r="H216" t="s">
        <v>220</v>
      </c>
      <c r="I216" t="s">
        <v>172</v>
      </c>
      <c r="J216" t="s">
        <v>231</v>
      </c>
      <c r="K216" t="s">
        <v>172</v>
      </c>
      <c r="M216" t="s">
        <v>232</v>
      </c>
      <c r="N216" t="s">
        <v>311</v>
      </c>
      <c r="O216" t="s">
        <v>172</v>
      </c>
      <c r="P216" t="s">
        <v>314</v>
      </c>
      <c r="Q216" t="s">
        <v>322</v>
      </c>
      <c r="T216" t="s">
        <v>527</v>
      </c>
      <c r="U216" t="s">
        <v>851</v>
      </c>
      <c r="V216" t="s">
        <v>198</v>
      </c>
      <c r="W216" t="s">
        <v>1103</v>
      </c>
      <c r="X216" t="s">
        <v>1113</v>
      </c>
      <c r="Y216" t="s">
        <v>1320</v>
      </c>
      <c r="Z216">
        <v>325</v>
      </c>
      <c r="AA216" t="s">
        <v>1755</v>
      </c>
      <c r="AB216" t="s">
        <v>1786</v>
      </c>
      <c r="AC216">
        <v>10455</v>
      </c>
      <c r="AE216" t="s">
        <v>1989</v>
      </c>
      <c r="AF216">
        <v>1</v>
      </c>
      <c r="AG216" t="s">
        <v>2214</v>
      </c>
      <c r="AH216" t="s">
        <v>2220</v>
      </c>
      <c r="AI216" t="s">
        <v>233</v>
      </c>
      <c r="AL216" t="s">
        <v>2230</v>
      </c>
      <c r="AM216" t="s">
        <v>2236</v>
      </c>
      <c r="AN216">
        <v>0</v>
      </c>
      <c r="AO216">
        <v>1942.15</v>
      </c>
      <c r="AP216">
        <v>0.5</v>
      </c>
      <c r="AQ216" t="s">
        <v>2242</v>
      </c>
      <c r="AR216" t="s">
        <v>2455</v>
      </c>
      <c r="AS216" t="s">
        <v>2878</v>
      </c>
      <c r="AT216">
        <v>0</v>
      </c>
      <c r="AU216" t="s">
        <v>3114</v>
      </c>
      <c r="AV216">
        <v>1</v>
      </c>
      <c r="AW216">
        <v>0</v>
      </c>
      <c r="AX216">
        <v>67.34999999999999</v>
      </c>
      <c r="BC216" t="s">
        <v>3130</v>
      </c>
      <c r="BD216">
        <v>8412</v>
      </c>
      <c r="BH216" t="s">
        <v>3160</v>
      </c>
      <c r="BK216" t="s">
        <v>3215</v>
      </c>
      <c r="BL216" t="s">
        <v>1103</v>
      </c>
      <c r="BM216" t="s">
        <v>311</v>
      </c>
    </row>
    <row r="217" spans="1:65">
      <c r="A217" s="1">
        <f>HYPERLINK("https://lsnyc.legalserver.org/matter/dynamic-profile/view/1907978","19-1907978")</f>
        <v>0</v>
      </c>
      <c r="B217" t="s">
        <v>65</v>
      </c>
      <c r="C217" t="s">
        <v>97</v>
      </c>
      <c r="D217" t="s">
        <v>170</v>
      </c>
      <c r="E217" t="s">
        <v>171</v>
      </c>
      <c r="G217" t="s">
        <v>172</v>
      </c>
      <c r="H217" t="s">
        <v>221</v>
      </c>
      <c r="I217" t="s">
        <v>172</v>
      </c>
      <c r="J217" t="s">
        <v>231</v>
      </c>
      <c r="K217" t="s">
        <v>172</v>
      </c>
      <c r="L217">
        <v>12951359</v>
      </c>
      <c r="M217" t="s">
        <v>232</v>
      </c>
      <c r="N217" t="s">
        <v>311</v>
      </c>
      <c r="O217" t="s">
        <v>172</v>
      </c>
      <c r="P217" t="s">
        <v>314</v>
      </c>
      <c r="Q217" t="s">
        <v>321</v>
      </c>
      <c r="T217" t="s">
        <v>528</v>
      </c>
      <c r="U217" t="s">
        <v>908</v>
      </c>
      <c r="V217" t="s">
        <v>192</v>
      </c>
      <c r="X217" t="s">
        <v>1112</v>
      </c>
      <c r="Y217" t="s">
        <v>1321</v>
      </c>
      <c r="Z217" t="s">
        <v>1655</v>
      </c>
      <c r="AA217" t="s">
        <v>1755</v>
      </c>
      <c r="AB217" t="s">
        <v>1786</v>
      </c>
      <c r="AC217">
        <v>10455</v>
      </c>
      <c r="AD217" t="s">
        <v>1790</v>
      </c>
      <c r="AE217" t="s">
        <v>1990</v>
      </c>
      <c r="AF217">
        <v>4</v>
      </c>
      <c r="AH217" t="s">
        <v>2220</v>
      </c>
      <c r="AI217" t="s">
        <v>233</v>
      </c>
      <c r="AJ217" t="s">
        <v>233</v>
      </c>
      <c r="AL217" t="s">
        <v>2230</v>
      </c>
      <c r="AN217">
        <v>0</v>
      </c>
      <c r="AO217">
        <v>934</v>
      </c>
      <c r="AP217">
        <v>0.2</v>
      </c>
      <c r="AR217" t="s">
        <v>2456</v>
      </c>
      <c r="AS217" t="s">
        <v>2879</v>
      </c>
      <c r="AT217">
        <v>10</v>
      </c>
      <c r="AU217" t="s">
        <v>3106</v>
      </c>
      <c r="AV217">
        <v>1</v>
      </c>
      <c r="AW217">
        <v>2</v>
      </c>
      <c r="AX217">
        <v>94.01000000000001</v>
      </c>
      <c r="BB217" t="s">
        <v>3123</v>
      </c>
      <c r="BC217" t="s">
        <v>3130</v>
      </c>
      <c r="BD217">
        <v>20052</v>
      </c>
      <c r="BH217" t="s">
        <v>125</v>
      </c>
      <c r="BK217" t="s">
        <v>3243</v>
      </c>
      <c r="BL217" t="s">
        <v>1110</v>
      </c>
      <c r="BM217" t="s">
        <v>311</v>
      </c>
    </row>
    <row r="218" spans="1:65">
      <c r="A218" s="1">
        <f>HYPERLINK("https://lsnyc.legalserver.org/matter/dynamic-profile/view/1907447","19-1907447")</f>
        <v>0</v>
      </c>
      <c r="B218" t="s">
        <v>65</v>
      </c>
      <c r="C218" t="s">
        <v>97</v>
      </c>
      <c r="D218" t="s">
        <v>170</v>
      </c>
      <c r="E218" t="s">
        <v>172</v>
      </c>
      <c r="F218" t="s">
        <v>191</v>
      </c>
      <c r="G218" t="s">
        <v>172</v>
      </c>
      <c r="H218" t="s">
        <v>220</v>
      </c>
      <c r="I218" t="s">
        <v>172</v>
      </c>
      <c r="J218" t="s">
        <v>231</v>
      </c>
      <c r="K218" t="s">
        <v>172</v>
      </c>
      <c r="M218" t="s">
        <v>232</v>
      </c>
      <c r="N218" t="s">
        <v>311</v>
      </c>
      <c r="O218" t="s">
        <v>172</v>
      </c>
      <c r="P218" t="s">
        <v>314</v>
      </c>
      <c r="Q218" t="s">
        <v>322</v>
      </c>
      <c r="T218" t="s">
        <v>388</v>
      </c>
      <c r="U218" t="s">
        <v>909</v>
      </c>
      <c r="V218" t="s">
        <v>191</v>
      </c>
      <c r="W218" t="s">
        <v>1108</v>
      </c>
      <c r="X218" t="s">
        <v>1113</v>
      </c>
      <c r="Y218" t="s">
        <v>1322</v>
      </c>
      <c r="Z218">
        <v>3</v>
      </c>
      <c r="AA218" t="s">
        <v>1755</v>
      </c>
      <c r="AB218" t="s">
        <v>1786</v>
      </c>
      <c r="AC218">
        <v>10466</v>
      </c>
      <c r="AD218" t="s">
        <v>1790</v>
      </c>
      <c r="AE218" t="s">
        <v>1991</v>
      </c>
      <c r="AF218">
        <v>5</v>
      </c>
      <c r="AG218" t="s">
        <v>2214</v>
      </c>
      <c r="AH218" t="s">
        <v>2220</v>
      </c>
      <c r="AI218" t="s">
        <v>233</v>
      </c>
      <c r="AJ218" t="s">
        <v>233</v>
      </c>
      <c r="AL218" t="s">
        <v>2230</v>
      </c>
      <c r="AN218">
        <v>0</v>
      </c>
      <c r="AO218">
        <v>1100</v>
      </c>
      <c r="AP218">
        <v>0.5</v>
      </c>
      <c r="AQ218" t="s">
        <v>2242</v>
      </c>
      <c r="AR218" t="s">
        <v>2457</v>
      </c>
      <c r="AS218" t="s">
        <v>2880</v>
      </c>
      <c r="AT218">
        <v>6</v>
      </c>
      <c r="AU218" t="s">
        <v>3108</v>
      </c>
      <c r="AV218">
        <v>1</v>
      </c>
      <c r="AW218">
        <v>0</v>
      </c>
      <c r="AX218">
        <v>90.31</v>
      </c>
      <c r="BC218" t="s">
        <v>3130</v>
      </c>
      <c r="BD218">
        <v>11280</v>
      </c>
      <c r="BH218" t="s">
        <v>125</v>
      </c>
      <c r="BK218" t="s">
        <v>3228</v>
      </c>
      <c r="BL218" t="s">
        <v>1108</v>
      </c>
      <c r="BM218" t="s">
        <v>311</v>
      </c>
    </row>
    <row r="219" spans="1:65">
      <c r="A219" s="1">
        <f>HYPERLINK("https://lsnyc.legalserver.org/matter/dynamic-profile/view/1903784","19-1903784")</f>
        <v>0</v>
      </c>
      <c r="B219" t="s">
        <v>65</v>
      </c>
      <c r="C219" t="s">
        <v>97</v>
      </c>
      <c r="D219" t="s">
        <v>170</v>
      </c>
      <c r="E219" t="s">
        <v>172</v>
      </c>
      <c r="F219" t="s">
        <v>186</v>
      </c>
      <c r="G219" t="s">
        <v>172</v>
      </c>
      <c r="H219" t="s">
        <v>220</v>
      </c>
      <c r="I219" t="s">
        <v>172</v>
      </c>
      <c r="J219" t="s">
        <v>231</v>
      </c>
      <c r="K219" t="s">
        <v>172</v>
      </c>
      <c r="M219" t="s">
        <v>232</v>
      </c>
      <c r="N219" t="s">
        <v>311</v>
      </c>
      <c r="O219" t="s">
        <v>172</v>
      </c>
      <c r="P219" t="s">
        <v>314</v>
      </c>
      <c r="Q219" t="s">
        <v>322</v>
      </c>
      <c r="T219" t="s">
        <v>529</v>
      </c>
      <c r="U219" t="s">
        <v>910</v>
      </c>
      <c r="V219" t="s">
        <v>186</v>
      </c>
      <c r="W219" t="s">
        <v>180</v>
      </c>
      <c r="X219" t="s">
        <v>1113</v>
      </c>
      <c r="Y219" t="s">
        <v>1323</v>
      </c>
      <c r="Z219">
        <v>1</v>
      </c>
      <c r="AA219" t="s">
        <v>1755</v>
      </c>
      <c r="AB219" t="s">
        <v>1786</v>
      </c>
      <c r="AC219">
        <v>10472</v>
      </c>
      <c r="AD219" t="s">
        <v>1790</v>
      </c>
      <c r="AE219" t="s">
        <v>1992</v>
      </c>
      <c r="AF219">
        <v>3</v>
      </c>
      <c r="AG219" t="s">
        <v>2214</v>
      </c>
      <c r="AH219" t="s">
        <v>2220</v>
      </c>
      <c r="AI219" t="s">
        <v>233</v>
      </c>
      <c r="AJ219" t="s">
        <v>233</v>
      </c>
      <c r="AL219" t="s">
        <v>2230</v>
      </c>
      <c r="AM219" t="s">
        <v>2236</v>
      </c>
      <c r="AN219">
        <v>0</v>
      </c>
      <c r="AO219">
        <v>1950</v>
      </c>
      <c r="AP219">
        <v>1.1</v>
      </c>
      <c r="AQ219" t="s">
        <v>2242</v>
      </c>
      <c r="AR219" t="s">
        <v>2458</v>
      </c>
      <c r="AS219" t="s">
        <v>2881</v>
      </c>
      <c r="AT219">
        <v>2</v>
      </c>
      <c r="AU219" t="s">
        <v>3108</v>
      </c>
      <c r="AV219">
        <v>2</v>
      </c>
      <c r="AW219">
        <v>2</v>
      </c>
      <c r="AX219">
        <v>155.34</v>
      </c>
      <c r="BB219" t="s">
        <v>3123</v>
      </c>
      <c r="BC219" t="s">
        <v>3130</v>
      </c>
      <c r="BD219">
        <v>40000</v>
      </c>
      <c r="BH219" t="s">
        <v>3159</v>
      </c>
      <c r="BK219" t="s">
        <v>3198</v>
      </c>
      <c r="BL219" t="s">
        <v>180</v>
      </c>
      <c r="BM219" t="s">
        <v>311</v>
      </c>
    </row>
    <row r="220" spans="1:65">
      <c r="A220" s="1">
        <f>HYPERLINK("https://lsnyc.legalserver.org/matter/dynamic-profile/view/1904221","19-1904221")</f>
        <v>0</v>
      </c>
      <c r="B220" t="s">
        <v>65</v>
      </c>
      <c r="C220" t="s">
        <v>97</v>
      </c>
      <c r="D220" t="s">
        <v>170</v>
      </c>
      <c r="E220" t="s">
        <v>172</v>
      </c>
      <c r="F220" t="s">
        <v>178</v>
      </c>
      <c r="G220" t="s">
        <v>172</v>
      </c>
      <c r="H220" t="s">
        <v>220</v>
      </c>
      <c r="I220" t="s">
        <v>172</v>
      </c>
      <c r="J220" t="s">
        <v>231</v>
      </c>
      <c r="K220" t="s">
        <v>172</v>
      </c>
      <c r="M220" t="s">
        <v>232</v>
      </c>
      <c r="N220" t="s">
        <v>311</v>
      </c>
      <c r="O220" t="s">
        <v>172</v>
      </c>
      <c r="P220" t="s">
        <v>314</v>
      </c>
      <c r="Q220" t="s">
        <v>322</v>
      </c>
      <c r="T220" t="s">
        <v>530</v>
      </c>
      <c r="U220" t="s">
        <v>911</v>
      </c>
      <c r="V220" t="s">
        <v>174</v>
      </c>
      <c r="W220" t="s">
        <v>214</v>
      </c>
      <c r="X220" t="s">
        <v>1113</v>
      </c>
      <c r="Y220" t="s">
        <v>1324</v>
      </c>
      <c r="AA220" t="s">
        <v>1755</v>
      </c>
      <c r="AB220" t="s">
        <v>1786</v>
      </c>
      <c r="AC220">
        <v>10475</v>
      </c>
      <c r="AD220" t="s">
        <v>1790</v>
      </c>
      <c r="AE220" t="s">
        <v>1993</v>
      </c>
      <c r="AF220">
        <v>0</v>
      </c>
      <c r="AG220" t="s">
        <v>2214</v>
      </c>
      <c r="AH220" t="s">
        <v>2220</v>
      </c>
      <c r="AI220" t="s">
        <v>233</v>
      </c>
      <c r="AJ220" t="s">
        <v>233</v>
      </c>
      <c r="AL220" t="s">
        <v>2230</v>
      </c>
      <c r="AN220">
        <v>0</v>
      </c>
      <c r="AO220">
        <v>0</v>
      </c>
      <c r="AP220">
        <v>1</v>
      </c>
      <c r="AQ220" t="s">
        <v>2242</v>
      </c>
      <c r="AR220" t="s">
        <v>2459</v>
      </c>
      <c r="AS220" t="s">
        <v>2882</v>
      </c>
      <c r="AT220">
        <v>0</v>
      </c>
      <c r="AU220" t="s">
        <v>3117</v>
      </c>
      <c r="AV220">
        <v>1</v>
      </c>
      <c r="AW220">
        <v>0</v>
      </c>
      <c r="AX220">
        <v>0</v>
      </c>
      <c r="BC220" t="s">
        <v>3130</v>
      </c>
      <c r="BD220">
        <v>0</v>
      </c>
      <c r="BH220" t="s">
        <v>3159</v>
      </c>
      <c r="BK220" t="s">
        <v>3220</v>
      </c>
      <c r="BL220" t="s">
        <v>214</v>
      </c>
      <c r="BM220" t="s">
        <v>311</v>
      </c>
    </row>
    <row r="221" spans="1:65">
      <c r="A221" s="1">
        <f>HYPERLINK("https://lsnyc.legalserver.org/matter/dynamic-profile/view/1907434","19-1907434")</f>
        <v>0</v>
      </c>
      <c r="B221" t="s">
        <v>65</v>
      </c>
      <c r="C221" t="s">
        <v>97</v>
      </c>
      <c r="D221" t="s">
        <v>170</v>
      </c>
      <c r="E221" t="s">
        <v>172</v>
      </c>
      <c r="F221" t="s">
        <v>191</v>
      </c>
      <c r="G221" t="s">
        <v>172</v>
      </c>
      <c r="H221" t="s">
        <v>220</v>
      </c>
      <c r="I221" t="s">
        <v>172</v>
      </c>
      <c r="J221" t="s">
        <v>231</v>
      </c>
      <c r="K221" t="s">
        <v>172</v>
      </c>
      <c r="M221" t="s">
        <v>232</v>
      </c>
      <c r="N221" t="s">
        <v>311</v>
      </c>
      <c r="O221" t="s">
        <v>172</v>
      </c>
      <c r="P221" t="s">
        <v>314</v>
      </c>
      <c r="Q221" t="s">
        <v>322</v>
      </c>
      <c r="T221" t="s">
        <v>531</v>
      </c>
      <c r="U221" t="s">
        <v>912</v>
      </c>
      <c r="V221" t="s">
        <v>191</v>
      </c>
      <c r="W221" t="s">
        <v>1111</v>
      </c>
      <c r="X221" t="s">
        <v>1113</v>
      </c>
      <c r="Y221" t="s">
        <v>1325</v>
      </c>
      <c r="Z221" t="s">
        <v>1643</v>
      </c>
      <c r="AA221" t="s">
        <v>1755</v>
      </c>
      <c r="AB221" t="s">
        <v>1786</v>
      </c>
      <c r="AC221">
        <v>10474</v>
      </c>
      <c r="AD221" t="s">
        <v>1790</v>
      </c>
      <c r="AE221" t="s">
        <v>1994</v>
      </c>
      <c r="AF221">
        <v>3</v>
      </c>
      <c r="AG221" t="s">
        <v>2214</v>
      </c>
      <c r="AH221" t="s">
        <v>2220</v>
      </c>
      <c r="AI221" t="s">
        <v>233</v>
      </c>
      <c r="AJ221" t="s">
        <v>233</v>
      </c>
      <c r="AL221" t="s">
        <v>2230</v>
      </c>
      <c r="AN221">
        <v>0</v>
      </c>
      <c r="AO221">
        <v>1316</v>
      </c>
      <c r="AP221">
        <v>1</v>
      </c>
      <c r="AQ221" t="s">
        <v>2242</v>
      </c>
      <c r="AR221" t="s">
        <v>2460</v>
      </c>
      <c r="AS221" t="s">
        <v>2883</v>
      </c>
      <c r="AT221">
        <v>44</v>
      </c>
      <c r="AU221" t="s">
        <v>3106</v>
      </c>
      <c r="AV221">
        <v>1</v>
      </c>
      <c r="AW221">
        <v>2</v>
      </c>
      <c r="AX221">
        <v>183.45</v>
      </c>
      <c r="BC221" t="s">
        <v>3130</v>
      </c>
      <c r="BD221">
        <v>39130</v>
      </c>
      <c r="BH221" t="s">
        <v>125</v>
      </c>
      <c r="BK221" t="s">
        <v>3198</v>
      </c>
      <c r="BL221" t="s">
        <v>1111</v>
      </c>
      <c r="BM221" t="s">
        <v>311</v>
      </c>
    </row>
    <row r="222" spans="1:65">
      <c r="A222" s="1">
        <f>HYPERLINK("https://lsnyc.legalserver.org/matter/dynamic-profile/view/1907455","19-1907455")</f>
        <v>0</v>
      </c>
      <c r="B222" t="s">
        <v>65</v>
      </c>
      <c r="C222" t="s">
        <v>97</v>
      </c>
      <c r="D222" t="s">
        <v>170</v>
      </c>
      <c r="E222" t="s">
        <v>171</v>
      </c>
      <c r="G222" t="s">
        <v>172</v>
      </c>
      <c r="H222" t="s">
        <v>221</v>
      </c>
      <c r="I222" t="s">
        <v>172</v>
      </c>
      <c r="J222" t="s">
        <v>231</v>
      </c>
      <c r="K222" t="s">
        <v>172</v>
      </c>
      <c r="M222" t="s">
        <v>232</v>
      </c>
      <c r="N222" t="s">
        <v>311</v>
      </c>
      <c r="O222" t="s">
        <v>172</v>
      </c>
      <c r="P222" t="s">
        <v>314</v>
      </c>
      <c r="Q222" t="s">
        <v>321</v>
      </c>
      <c r="T222" t="s">
        <v>532</v>
      </c>
      <c r="U222" t="s">
        <v>799</v>
      </c>
      <c r="V222" t="s">
        <v>191</v>
      </c>
      <c r="X222" t="s">
        <v>1112</v>
      </c>
      <c r="Y222" t="s">
        <v>1326</v>
      </c>
      <c r="Z222" t="s">
        <v>1600</v>
      </c>
      <c r="AA222" t="s">
        <v>1755</v>
      </c>
      <c r="AB222" t="s">
        <v>1786</v>
      </c>
      <c r="AC222">
        <v>10474</v>
      </c>
      <c r="AD222" t="s">
        <v>1790</v>
      </c>
      <c r="AE222" t="s">
        <v>1995</v>
      </c>
      <c r="AF222">
        <v>13</v>
      </c>
      <c r="AH222" t="s">
        <v>2220</v>
      </c>
      <c r="AI222" t="s">
        <v>233</v>
      </c>
      <c r="AJ222" t="s">
        <v>233</v>
      </c>
      <c r="AL222" t="s">
        <v>2230</v>
      </c>
      <c r="AN222">
        <v>0</v>
      </c>
      <c r="AO222">
        <v>900</v>
      </c>
      <c r="AP222">
        <v>0.4</v>
      </c>
      <c r="AR222" t="s">
        <v>2461</v>
      </c>
      <c r="AS222" t="s">
        <v>2884</v>
      </c>
      <c r="AT222">
        <v>22</v>
      </c>
      <c r="AU222" t="s">
        <v>3106</v>
      </c>
      <c r="AV222">
        <v>1</v>
      </c>
      <c r="AW222">
        <v>2</v>
      </c>
      <c r="AX222">
        <v>196.91</v>
      </c>
      <c r="BC222" t="s">
        <v>3130</v>
      </c>
      <c r="BD222">
        <v>42000</v>
      </c>
      <c r="BH222" t="s">
        <v>125</v>
      </c>
      <c r="BK222" t="s">
        <v>3198</v>
      </c>
      <c r="BL222" t="s">
        <v>1108</v>
      </c>
      <c r="BM222" t="s">
        <v>311</v>
      </c>
    </row>
    <row r="223" spans="1:65">
      <c r="A223" s="1">
        <f>HYPERLINK("https://lsnyc.legalserver.org/matter/dynamic-profile/view/1906675","19-1906675")</f>
        <v>0</v>
      </c>
      <c r="B223" t="s">
        <v>65</v>
      </c>
      <c r="C223" t="s">
        <v>97</v>
      </c>
      <c r="D223" t="s">
        <v>170</v>
      </c>
      <c r="E223" t="s">
        <v>172</v>
      </c>
      <c r="F223" t="s">
        <v>194</v>
      </c>
      <c r="G223" t="s">
        <v>172</v>
      </c>
      <c r="H223" t="s">
        <v>220</v>
      </c>
      <c r="I223" t="s">
        <v>172</v>
      </c>
      <c r="J223" t="s">
        <v>231</v>
      </c>
      <c r="K223" t="s">
        <v>172</v>
      </c>
      <c r="M223" t="s">
        <v>232</v>
      </c>
      <c r="N223" t="s">
        <v>311</v>
      </c>
      <c r="O223" t="s">
        <v>172</v>
      </c>
      <c r="P223" t="s">
        <v>314</v>
      </c>
      <c r="Q223" t="s">
        <v>322</v>
      </c>
      <c r="T223" t="s">
        <v>533</v>
      </c>
      <c r="U223" t="s">
        <v>725</v>
      </c>
      <c r="V223" t="s">
        <v>197</v>
      </c>
      <c r="W223" t="s">
        <v>194</v>
      </c>
      <c r="X223" t="s">
        <v>1113</v>
      </c>
      <c r="Y223" t="s">
        <v>1305</v>
      </c>
      <c r="Z223">
        <v>2</v>
      </c>
      <c r="AA223" t="s">
        <v>1755</v>
      </c>
      <c r="AB223" t="s">
        <v>1786</v>
      </c>
      <c r="AC223">
        <v>10473</v>
      </c>
      <c r="AE223" t="s">
        <v>1975</v>
      </c>
      <c r="AF223">
        <v>1</v>
      </c>
      <c r="AG223" t="s">
        <v>2214</v>
      </c>
      <c r="AH223" t="s">
        <v>2220</v>
      </c>
      <c r="AI223" t="s">
        <v>233</v>
      </c>
      <c r="AJ223" t="s">
        <v>233</v>
      </c>
      <c r="AL223" t="s">
        <v>2230</v>
      </c>
      <c r="AM223" t="s">
        <v>2236</v>
      </c>
      <c r="AN223">
        <v>0</v>
      </c>
      <c r="AO223">
        <v>800</v>
      </c>
      <c r="AP223">
        <v>0.5</v>
      </c>
      <c r="AQ223" t="s">
        <v>2242</v>
      </c>
      <c r="AR223" t="s">
        <v>2462</v>
      </c>
      <c r="AT223">
        <v>0</v>
      </c>
      <c r="AU223" t="s">
        <v>3113</v>
      </c>
      <c r="AV223">
        <v>1</v>
      </c>
      <c r="AW223">
        <v>0</v>
      </c>
      <c r="AX223">
        <v>83.11</v>
      </c>
      <c r="BB223" t="s">
        <v>3124</v>
      </c>
      <c r="BC223" t="s">
        <v>3131</v>
      </c>
      <c r="BD223">
        <v>10380</v>
      </c>
      <c r="BH223" t="s">
        <v>125</v>
      </c>
      <c r="BK223" t="s">
        <v>3207</v>
      </c>
      <c r="BL223" t="s">
        <v>194</v>
      </c>
      <c r="BM223" t="s">
        <v>311</v>
      </c>
    </row>
    <row r="224" spans="1:65">
      <c r="A224" s="1">
        <f>HYPERLINK("https://lsnyc.legalserver.org/matter/dynamic-profile/view/1908454","19-1908454")</f>
        <v>0</v>
      </c>
      <c r="B224" t="s">
        <v>65</v>
      </c>
      <c r="C224" t="s">
        <v>98</v>
      </c>
      <c r="D224" t="s">
        <v>170</v>
      </c>
      <c r="E224" t="s">
        <v>171</v>
      </c>
      <c r="G224" t="s">
        <v>172</v>
      </c>
      <c r="H224" t="s">
        <v>221</v>
      </c>
      <c r="I224" t="s">
        <v>172</v>
      </c>
      <c r="J224" t="s">
        <v>231</v>
      </c>
      <c r="K224" t="s">
        <v>172</v>
      </c>
      <c r="L224" t="s">
        <v>268</v>
      </c>
      <c r="M224" t="s">
        <v>232</v>
      </c>
      <c r="N224" t="s">
        <v>311</v>
      </c>
      <c r="O224" t="s">
        <v>172</v>
      </c>
      <c r="P224" t="s">
        <v>316</v>
      </c>
      <c r="Q224" t="s">
        <v>321</v>
      </c>
      <c r="T224" t="s">
        <v>534</v>
      </c>
      <c r="U224" t="s">
        <v>913</v>
      </c>
      <c r="V224" t="s">
        <v>213</v>
      </c>
      <c r="X224" t="s">
        <v>1112</v>
      </c>
      <c r="Y224" t="s">
        <v>1327</v>
      </c>
      <c r="Z224" t="s">
        <v>1677</v>
      </c>
      <c r="AA224" t="s">
        <v>1755</v>
      </c>
      <c r="AB224" t="s">
        <v>1786</v>
      </c>
      <c r="AC224">
        <v>10463</v>
      </c>
      <c r="AD224" t="s">
        <v>1788</v>
      </c>
      <c r="AE224" t="s">
        <v>1996</v>
      </c>
      <c r="AF224">
        <v>5</v>
      </c>
      <c r="AH224" t="s">
        <v>2221</v>
      </c>
      <c r="AI224" t="s">
        <v>233</v>
      </c>
      <c r="AJ224" t="s">
        <v>233</v>
      </c>
      <c r="AL224" t="s">
        <v>2230</v>
      </c>
      <c r="AN224">
        <v>0</v>
      </c>
      <c r="AO224">
        <v>1600</v>
      </c>
      <c r="AP224">
        <v>5.1</v>
      </c>
      <c r="AR224" t="s">
        <v>2463</v>
      </c>
      <c r="AS224" t="s">
        <v>2885</v>
      </c>
      <c r="AT224">
        <v>45</v>
      </c>
      <c r="AU224" t="s">
        <v>3106</v>
      </c>
      <c r="AV224">
        <v>4</v>
      </c>
      <c r="AW224">
        <v>1</v>
      </c>
      <c r="AX224">
        <v>84.19</v>
      </c>
      <c r="BC224" t="s">
        <v>3130</v>
      </c>
      <c r="BD224">
        <v>25400</v>
      </c>
      <c r="BH224" t="s">
        <v>3162</v>
      </c>
      <c r="BK224" t="s">
        <v>3221</v>
      </c>
      <c r="BL224" t="s">
        <v>1109</v>
      </c>
      <c r="BM224" t="s">
        <v>311</v>
      </c>
    </row>
    <row r="225" spans="1:65">
      <c r="A225" s="1">
        <f>HYPERLINK("https://lsnyc.legalserver.org/matter/dynamic-profile/view/1908270","19-1908270")</f>
        <v>0</v>
      </c>
      <c r="B225" t="s">
        <v>65</v>
      </c>
      <c r="C225" t="s">
        <v>99</v>
      </c>
      <c r="D225" t="s">
        <v>170</v>
      </c>
      <c r="E225" t="s">
        <v>171</v>
      </c>
      <c r="G225" t="s">
        <v>172</v>
      </c>
      <c r="H225" t="s">
        <v>221</v>
      </c>
      <c r="I225" t="s">
        <v>172</v>
      </c>
      <c r="J225" t="s">
        <v>231</v>
      </c>
      <c r="K225" t="s">
        <v>172</v>
      </c>
      <c r="M225" t="s">
        <v>232</v>
      </c>
      <c r="N225" t="s">
        <v>311</v>
      </c>
      <c r="O225" t="s">
        <v>313</v>
      </c>
      <c r="Q225" t="s">
        <v>321</v>
      </c>
      <c r="T225" t="s">
        <v>535</v>
      </c>
      <c r="U225" t="s">
        <v>914</v>
      </c>
      <c r="V225" t="s">
        <v>185</v>
      </c>
      <c r="X225" t="s">
        <v>1112</v>
      </c>
      <c r="Y225" t="s">
        <v>1328</v>
      </c>
      <c r="Z225" t="s">
        <v>1575</v>
      </c>
      <c r="AA225" t="s">
        <v>1755</v>
      </c>
      <c r="AB225" t="s">
        <v>1786</v>
      </c>
      <c r="AC225">
        <v>10467</v>
      </c>
      <c r="AD225" t="s">
        <v>1787</v>
      </c>
      <c r="AE225" t="s">
        <v>1997</v>
      </c>
      <c r="AF225">
        <v>5</v>
      </c>
      <c r="AH225" t="s">
        <v>2221</v>
      </c>
      <c r="AI225" t="s">
        <v>233</v>
      </c>
      <c r="AJ225" t="s">
        <v>233</v>
      </c>
      <c r="AL225" t="s">
        <v>2230</v>
      </c>
      <c r="AN225">
        <v>0</v>
      </c>
      <c r="AO225">
        <v>1325</v>
      </c>
      <c r="AP225">
        <v>0</v>
      </c>
      <c r="AR225" t="s">
        <v>2464</v>
      </c>
      <c r="AS225" t="s">
        <v>2886</v>
      </c>
      <c r="AT225">
        <v>49</v>
      </c>
      <c r="AU225" t="s">
        <v>3109</v>
      </c>
      <c r="AV225">
        <v>3</v>
      </c>
      <c r="AW225">
        <v>0</v>
      </c>
      <c r="AX225">
        <v>170.65</v>
      </c>
      <c r="BB225" t="s">
        <v>252</v>
      </c>
      <c r="BC225" t="s">
        <v>3131</v>
      </c>
      <c r="BD225">
        <v>36400</v>
      </c>
      <c r="BH225" t="s">
        <v>121</v>
      </c>
      <c r="BK225" t="s">
        <v>3198</v>
      </c>
      <c r="BM225" t="s">
        <v>311</v>
      </c>
    </row>
    <row r="226" spans="1:65">
      <c r="A226" s="1">
        <f>HYPERLINK("https://lsnyc.legalserver.org/matter/dynamic-profile/view/1909132","19-1909132")</f>
        <v>0</v>
      </c>
      <c r="B226" t="s">
        <v>65</v>
      </c>
      <c r="C226" t="s">
        <v>106</v>
      </c>
      <c r="D226" t="s">
        <v>170</v>
      </c>
      <c r="E226" t="s">
        <v>171</v>
      </c>
      <c r="G226" t="s">
        <v>172</v>
      </c>
      <c r="H226" t="s">
        <v>221</v>
      </c>
      <c r="I226" t="s">
        <v>172</v>
      </c>
      <c r="J226" t="s">
        <v>231</v>
      </c>
      <c r="K226" t="s">
        <v>172</v>
      </c>
      <c r="M226" t="s">
        <v>232</v>
      </c>
      <c r="N226" t="s">
        <v>311</v>
      </c>
      <c r="O226" t="s">
        <v>313</v>
      </c>
      <c r="Q226" t="s">
        <v>321</v>
      </c>
      <c r="T226" t="s">
        <v>536</v>
      </c>
      <c r="U226" t="s">
        <v>881</v>
      </c>
      <c r="V226" t="s">
        <v>206</v>
      </c>
      <c r="X226" t="s">
        <v>1112</v>
      </c>
      <c r="Y226" t="s">
        <v>1329</v>
      </c>
      <c r="Z226" t="s">
        <v>1678</v>
      </c>
      <c r="AA226" t="s">
        <v>1755</v>
      </c>
      <c r="AB226" t="s">
        <v>1786</v>
      </c>
      <c r="AC226">
        <v>10468</v>
      </c>
      <c r="AD226" t="s">
        <v>1790</v>
      </c>
      <c r="AE226" t="s">
        <v>1998</v>
      </c>
      <c r="AF226">
        <v>1</v>
      </c>
      <c r="AH226" t="s">
        <v>2221</v>
      </c>
      <c r="AI226" t="s">
        <v>233</v>
      </c>
      <c r="AJ226" t="s">
        <v>233</v>
      </c>
      <c r="AL226" t="s">
        <v>2230</v>
      </c>
      <c r="AN226">
        <v>0</v>
      </c>
      <c r="AO226">
        <v>1675</v>
      </c>
      <c r="AP226">
        <v>0.5</v>
      </c>
      <c r="AR226" t="s">
        <v>2465</v>
      </c>
      <c r="AS226" t="s">
        <v>2887</v>
      </c>
      <c r="AT226">
        <v>0</v>
      </c>
      <c r="AU226" t="s">
        <v>3106</v>
      </c>
      <c r="AV226">
        <v>3</v>
      </c>
      <c r="AW226">
        <v>1</v>
      </c>
      <c r="AX226">
        <v>213.59</v>
      </c>
      <c r="BB226" t="s">
        <v>252</v>
      </c>
      <c r="BC226" t="s">
        <v>3131</v>
      </c>
      <c r="BD226">
        <v>55000</v>
      </c>
      <c r="BH226" t="s">
        <v>3168</v>
      </c>
      <c r="BK226" t="s">
        <v>3198</v>
      </c>
      <c r="BL226" t="s">
        <v>1109</v>
      </c>
      <c r="BM226" t="s">
        <v>311</v>
      </c>
    </row>
    <row r="227" spans="1:65">
      <c r="A227" s="1">
        <f>HYPERLINK("https://lsnyc.legalserver.org/matter/dynamic-profile/view/1908515","19-1908515")</f>
        <v>0</v>
      </c>
      <c r="B227" t="s">
        <v>65</v>
      </c>
      <c r="C227" t="s">
        <v>107</v>
      </c>
      <c r="D227" t="s">
        <v>170</v>
      </c>
      <c r="E227" t="s">
        <v>171</v>
      </c>
      <c r="G227" t="s">
        <v>172</v>
      </c>
      <c r="H227" t="s">
        <v>220</v>
      </c>
      <c r="I227" t="s">
        <v>172</v>
      </c>
      <c r="J227" t="s">
        <v>231</v>
      </c>
      <c r="K227" t="s">
        <v>172</v>
      </c>
      <c r="M227" t="s">
        <v>232</v>
      </c>
      <c r="N227" t="s">
        <v>311</v>
      </c>
      <c r="O227" t="s">
        <v>172</v>
      </c>
      <c r="P227" t="s">
        <v>316</v>
      </c>
      <c r="Q227" t="s">
        <v>321</v>
      </c>
      <c r="T227" t="s">
        <v>439</v>
      </c>
      <c r="U227" t="s">
        <v>915</v>
      </c>
      <c r="V227" t="s">
        <v>213</v>
      </c>
      <c r="X227" t="s">
        <v>1112</v>
      </c>
      <c r="Y227" t="s">
        <v>1330</v>
      </c>
      <c r="Z227">
        <v>1</v>
      </c>
      <c r="AA227" t="s">
        <v>1755</v>
      </c>
      <c r="AB227" t="s">
        <v>1786</v>
      </c>
      <c r="AC227">
        <v>10467</v>
      </c>
      <c r="AD227" t="s">
        <v>1796</v>
      </c>
      <c r="AE227" t="s">
        <v>1999</v>
      </c>
      <c r="AF227">
        <v>16</v>
      </c>
      <c r="AH227" t="s">
        <v>2221</v>
      </c>
      <c r="AI227" t="s">
        <v>233</v>
      </c>
      <c r="AJ227" t="s">
        <v>233</v>
      </c>
      <c r="AL227" t="s">
        <v>2230</v>
      </c>
      <c r="AN227">
        <v>0</v>
      </c>
      <c r="AO227">
        <v>1500</v>
      </c>
      <c r="AP227">
        <v>2.05</v>
      </c>
      <c r="AR227" t="s">
        <v>2466</v>
      </c>
      <c r="AS227" t="s">
        <v>2888</v>
      </c>
      <c r="AT227">
        <v>2</v>
      </c>
      <c r="AU227" t="s">
        <v>3108</v>
      </c>
      <c r="AV227">
        <v>3</v>
      </c>
      <c r="AW227">
        <v>0</v>
      </c>
      <c r="AX227">
        <v>225.04</v>
      </c>
      <c r="BC227" t="s">
        <v>3130</v>
      </c>
      <c r="BD227">
        <v>48000</v>
      </c>
      <c r="BG227" t="s">
        <v>3146</v>
      </c>
      <c r="BH227" t="s">
        <v>3162</v>
      </c>
      <c r="BK227" t="s">
        <v>3244</v>
      </c>
      <c r="BL227" t="s">
        <v>1110</v>
      </c>
      <c r="BM227" t="s">
        <v>311</v>
      </c>
    </row>
    <row r="228" spans="1:65">
      <c r="A228" s="1">
        <f>HYPERLINK("https://lsnyc.legalserver.org/matter/dynamic-profile/view/1908186","19-1908186")</f>
        <v>0</v>
      </c>
      <c r="B228" t="s">
        <v>65</v>
      </c>
      <c r="C228" t="s">
        <v>107</v>
      </c>
      <c r="D228" t="s">
        <v>170</v>
      </c>
      <c r="E228" t="s">
        <v>171</v>
      </c>
      <c r="G228" t="s">
        <v>172</v>
      </c>
      <c r="H228" t="s">
        <v>221</v>
      </c>
      <c r="I228" t="s">
        <v>172</v>
      </c>
      <c r="J228" t="s">
        <v>231</v>
      </c>
      <c r="K228" t="s">
        <v>172</v>
      </c>
      <c r="M228" t="s">
        <v>232</v>
      </c>
      <c r="N228" t="s">
        <v>311</v>
      </c>
      <c r="O228" t="s">
        <v>313</v>
      </c>
      <c r="Q228" t="s">
        <v>321</v>
      </c>
      <c r="T228" t="s">
        <v>537</v>
      </c>
      <c r="U228" t="s">
        <v>916</v>
      </c>
      <c r="V228" t="s">
        <v>1100</v>
      </c>
      <c r="X228" t="s">
        <v>1112</v>
      </c>
      <c r="Y228" t="s">
        <v>1331</v>
      </c>
      <c r="Z228" t="s">
        <v>1679</v>
      </c>
      <c r="AA228" t="s">
        <v>1755</v>
      </c>
      <c r="AB228" t="s">
        <v>1786</v>
      </c>
      <c r="AC228">
        <v>10462</v>
      </c>
      <c r="AE228" t="s">
        <v>2000</v>
      </c>
      <c r="AF228">
        <v>10</v>
      </c>
      <c r="AH228" t="s">
        <v>2221</v>
      </c>
      <c r="AI228" t="s">
        <v>233</v>
      </c>
      <c r="AL228" t="s">
        <v>2230</v>
      </c>
      <c r="AN228">
        <v>0</v>
      </c>
      <c r="AO228">
        <v>875.63</v>
      </c>
      <c r="AP228">
        <v>1.5</v>
      </c>
      <c r="AR228" t="s">
        <v>2467</v>
      </c>
      <c r="AS228" t="s">
        <v>2889</v>
      </c>
      <c r="AT228">
        <v>0</v>
      </c>
      <c r="AU228" t="s">
        <v>3106</v>
      </c>
      <c r="AV228">
        <v>1</v>
      </c>
      <c r="AW228">
        <v>0</v>
      </c>
      <c r="AX228">
        <v>415</v>
      </c>
      <c r="BC228" t="s">
        <v>3130</v>
      </c>
      <c r="BD228">
        <v>51833</v>
      </c>
      <c r="BH228" t="s">
        <v>125</v>
      </c>
      <c r="BK228" t="s">
        <v>3198</v>
      </c>
      <c r="BL228" t="s">
        <v>1110</v>
      </c>
      <c r="BM228" t="s">
        <v>311</v>
      </c>
    </row>
    <row r="229" spans="1:65">
      <c r="A229" s="1">
        <f>HYPERLINK("https://lsnyc.legalserver.org/matter/dynamic-profile/view/1906537","19-1906537")</f>
        <v>0</v>
      </c>
      <c r="B229" t="s">
        <v>65</v>
      </c>
      <c r="C229" t="s">
        <v>108</v>
      </c>
      <c r="D229" t="s">
        <v>170</v>
      </c>
      <c r="E229" t="s">
        <v>171</v>
      </c>
      <c r="G229" t="s">
        <v>172</v>
      </c>
      <c r="H229" t="s">
        <v>220</v>
      </c>
      <c r="I229" t="s">
        <v>172</v>
      </c>
      <c r="J229" t="s">
        <v>231</v>
      </c>
      <c r="K229" t="s">
        <v>172</v>
      </c>
      <c r="M229" t="s">
        <v>232</v>
      </c>
      <c r="N229" t="s">
        <v>311</v>
      </c>
      <c r="O229" t="s">
        <v>313</v>
      </c>
      <c r="Q229" t="s">
        <v>321</v>
      </c>
      <c r="T229" t="s">
        <v>398</v>
      </c>
      <c r="U229" t="s">
        <v>900</v>
      </c>
      <c r="V229" t="s">
        <v>1097</v>
      </c>
      <c r="X229" t="s">
        <v>1112</v>
      </c>
      <c r="Y229" t="s">
        <v>1332</v>
      </c>
      <c r="Z229" t="s">
        <v>1680</v>
      </c>
      <c r="AA229" t="s">
        <v>1755</v>
      </c>
      <c r="AB229" t="s">
        <v>1786</v>
      </c>
      <c r="AC229">
        <v>10451</v>
      </c>
      <c r="AD229" t="s">
        <v>1790</v>
      </c>
      <c r="AE229" t="s">
        <v>2001</v>
      </c>
      <c r="AF229">
        <v>18</v>
      </c>
      <c r="AH229" t="s">
        <v>2220</v>
      </c>
      <c r="AI229" t="s">
        <v>233</v>
      </c>
      <c r="AJ229" t="s">
        <v>233</v>
      </c>
      <c r="AL229" t="s">
        <v>2230</v>
      </c>
      <c r="AM229" t="s">
        <v>2240</v>
      </c>
      <c r="AN229">
        <v>0</v>
      </c>
      <c r="AO229">
        <v>1283</v>
      </c>
      <c r="AP229">
        <v>2.5</v>
      </c>
      <c r="AR229" t="s">
        <v>2468</v>
      </c>
      <c r="AS229" t="s">
        <v>2890</v>
      </c>
      <c r="AT229">
        <v>56</v>
      </c>
      <c r="AU229" t="s">
        <v>3106</v>
      </c>
      <c r="AV229">
        <v>4</v>
      </c>
      <c r="AW229">
        <v>0</v>
      </c>
      <c r="AX229">
        <v>222.14</v>
      </c>
      <c r="BB229" t="s">
        <v>3125</v>
      </c>
      <c r="BC229" t="s">
        <v>3131</v>
      </c>
      <c r="BD229">
        <v>57200</v>
      </c>
      <c r="BH229" t="s">
        <v>125</v>
      </c>
      <c r="BK229" t="s">
        <v>3198</v>
      </c>
      <c r="BL229" t="s">
        <v>3274</v>
      </c>
      <c r="BM229" t="s">
        <v>311</v>
      </c>
    </row>
    <row r="230" spans="1:65">
      <c r="A230" s="1">
        <f>HYPERLINK("https://lsnyc.legalserver.org/matter/dynamic-profile/view/1905569","19-1905569")</f>
        <v>0</v>
      </c>
      <c r="B230" t="s">
        <v>65</v>
      </c>
      <c r="C230" t="s">
        <v>108</v>
      </c>
      <c r="D230" t="s">
        <v>170</v>
      </c>
      <c r="E230" t="s">
        <v>172</v>
      </c>
      <c r="F230" t="s">
        <v>178</v>
      </c>
      <c r="G230" t="s">
        <v>219</v>
      </c>
      <c r="I230" t="s">
        <v>172</v>
      </c>
      <c r="J230" t="s">
        <v>231</v>
      </c>
      <c r="K230" t="s">
        <v>172</v>
      </c>
      <c r="L230" t="s">
        <v>269</v>
      </c>
      <c r="M230" t="s">
        <v>232</v>
      </c>
      <c r="N230" t="s">
        <v>312</v>
      </c>
      <c r="O230" t="s">
        <v>172</v>
      </c>
      <c r="P230" t="s">
        <v>316</v>
      </c>
      <c r="Q230" t="s">
        <v>321</v>
      </c>
      <c r="T230" t="s">
        <v>538</v>
      </c>
      <c r="U230" t="s">
        <v>917</v>
      </c>
      <c r="V230" t="s">
        <v>214</v>
      </c>
      <c r="X230" t="s">
        <v>1112</v>
      </c>
      <c r="Y230" t="s">
        <v>1333</v>
      </c>
      <c r="Z230" t="s">
        <v>1681</v>
      </c>
      <c r="AA230" t="s">
        <v>1755</v>
      </c>
      <c r="AB230" t="s">
        <v>1786</v>
      </c>
      <c r="AC230">
        <v>10453</v>
      </c>
      <c r="AD230" t="s">
        <v>1790</v>
      </c>
      <c r="AE230" t="s">
        <v>2002</v>
      </c>
      <c r="AF230">
        <v>35</v>
      </c>
      <c r="AH230" t="s">
        <v>2220</v>
      </c>
      <c r="AI230" t="s">
        <v>233</v>
      </c>
      <c r="AJ230" t="s">
        <v>233</v>
      </c>
      <c r="AL230" t="s">
        <v>2230</v>
      </c>
      <c r="AN230">
        <v>0</v>
      </c>
      <c r="AO230">
        <v>1066</v>
      </c>
      <c r="AP230">
        <v>4.6</v>
      </c>
      <c r="AR230" t="s">
        <v>2469</v>
      </c>
      <c r="AS230" t="s">
        <v>2891</v>
      </c>
      <c r="AT230">
        <v>0</v>
      </c>
      <c r="AU230" t="s">
        <v>3118</v>
      </c>
      <c r="AV230">
        <v>3</v>
      </c>
      <c r="AW230">
        <v>3</v>
      </c>
      <c r="AX230">
        <v>80.17</v>
      </c>
      <c r="BB230" t="s">
        <v>252</v>
      </c>
      <c r="BC230" t="s">
        <v>3130</v>
      </c>
      <c r="BD230">
        <v>27732</v>
      </c>
      <c r="BH230" t="s">
        <v>3166</v>
      </c>
      <c r="BK230" t="s">
        <v>3245</v>
      </c>
      <c r="BL230" t="s">
        <v>215</v>
      </c>
      <c r="BM230" t="s">
        <v>312</v>
      </c>
    </row>
    <row r="231" spans="1:65">
      <c r="A231" s="1">
        <f>HYPERLINK("https://lsnyc.legalserver.org/matter/dynamic-profile/view/1904667","19-1904667")</f>
        <v>0</v>
      </c>
      <c r="B231" t="s">
        <v>65</v>
      </c>
      <c r="C231" t="s">
        <v>108</v>
      </c>
      <c r="D231" t="s">
        <v>170</v>
      </c>
      <c r="E231" t="s">
        <v>171</v>
      </c>
      <c r="G231" t="s">
        <v>172</v>
      </c>
      <c r="H231" t="s">
        <v>221</v>
      </c>
      <c r="I231" t="s">
        <v>172</v>
      </c>
      <c r="J231" t="s">
        <v>231</v>
      </c>
      <c r="K231" t="s">
        <v>172</v>
      </c>
      <c r="M231" t="s">
        <v>232</v>
      </c>
      <c r="N231" t="s">
        <v>311</v>
      </c>
      <c r="O231" t="s">
        <v>172</v>
      </c>
      <c r="P231" t="s">
        <v>316</v>
      </c>
      <c r="Q231" t="s">
        <v>321</v>
      </c>
      <c r="T231" t="s">
        <v>539</v>
      </c>
      <c r="U231" t="s">
        <v>913</v>
      </c>
      <c r="V231" t="s">
        <v>198</v>
      </c>
      <c r="X231" t="s">
        <v>1112</v>
      </c>
      <c r="Y231" t="s">
        <v>1334</v>
      </c>
      <c r="Z231" t="s">
        <v>1585</v>
      </c>
      <c r="AA231" t="s">
        <v>1755</v>
      </c>
      <c r="AB231" t="s">
        <v>1786</v>
      </c>
      <c r="AC231">
        <v>10460</v>
      </c>
      <c r="AD231" t="s">
        <v>1790</v>
      </c>
      <c r="AE231" t="s">
        <v>2003</v>
      </c>
      <c r="AF231">
        <v>4</v>
      </c>
      <c r="AH231" t="s">
        <v>2220</v>
      </c>
      <c r="AI231" t="s">
        <v>233</v>
      </c>
      <c r="AJ231" t="s">
        <v>233</v>
      </c>
      <c r="AL231" t="s">
        <v>2230</v>
      </c>
      <c r="AM231" t="s">
        <v>2236</v>
      </c>
      <c r="AN231">
        <v>0</v>
      </c>
      <c r="AO231">
        <v>729</v>
      </c>
      <c r="AP231">
        <v>3</v>
      </c>
      <c r="AS231" t="s">
        <v>2892</v>
      </c>
      <c r="AT231">
        <v>298</v>
      </c>
      <c r="AU231" t="s">
        <v>3115</v>
      </c>
      <c r="AV231">
        <v>1</v>
      </c>
      <c r="AW231">
        <v>0</v>
      </c>
      <c r="AX231">
        <v>249.61</v>
      </c>
      <c r="BC231" t="s">
        <v>3130</v>
      </c>
      <c r="BD231">
        <v>31176</v>
      </c>
      <c r="BH231" t="s">
        <v>3160</v>
      </c>
      <c r="BK231" t="s">
        <v>3198</v>
      </c>
      <c r="BL231" t="s">
        <v>215</v>
      </c>
      <c r="BM231" t="s">
        <v>311</v>
      </c>
    </row>
    <row r="232" spans="1:65">
      <c r="A232" s="1">
        <f>HYPERLINK("https://lsnyc.legalserver.org/matter/dynamic-profile/view/1903722","19-1903722")</f>
        <v>0</v>
      </c>
      <c r="B232" t="s">
        <v>65</v>
      </c>
      <c r="C232" t="s">
        <v>108</v>
      </c>
      <c r="D232" t="s">
        <v>170</v>
      </c>
      <c r="E232" t="s">
        <v>171</v>
      </c>
      <c r="G232" t="s">
        <v>172</v>
      </c>
      <c r="H232" t="s">
        <v>221</v>
      </c>
      <c r="I232" t="s">
        <v>172</v>
      </c>
      <c r="J232" t="s">
        <v>231</v>
      </c>
      <c r="K232" t="s">
        <v>234</v>
      </c>
      <c r="M232" t="s">
        <v>232</v>
      </c>
      <c r="O232" t="s">
        <v>313</v>
      </c>
      <c r="Q232" t="s">
        <v>321</v>
      </c>
      <c r="T232" t="s">
        <v>540</v>
      </c>
      <c r="U232" t="s">
        <v>918</v>
      </c>
      <c r="V232" t="s">
        <v>200</v>
      </c>
      <c r="X232" t="s">
        <v>1112</v>
      </c>
      <c r="Y232" t="s">
        <v>1335</v>
      </c>
      <c r="Z232" t="s">
        <v>1618</v>
      </c>
      <c r="AA232" t="s">
        <v>1755</v>
      </c>
      <c r="AB232" t="s">
        <v>1786</v>
      </c>
      <c r="AC232">
        <v>10463</v>
      </c>
      <c r="AE232" t="s">
        <v>2004</v>
      </c>
      <c r="AF232">
        <v>25</v>
      </c>
      <c r="AH232" t="s">
        <v>2220</v>
      </c>
      <c r="AI232" t="s">
        <v>233</v>
      </c>
      <c r="AJ232" t="s">
        <v>233</v>
      </c>
      <c r="AL232" t="s">
        <v>2230</v>
      </c>
      <c r="AN232">
        <v>0</v>
      </c>
      <c r="AO232">
        <v>1685.42</v>
      </c>
      <c r="AP232">
        <v>14.55</v>
      </c>
      <c r="AR232" t="s">
        <v>2470</v>
      </c>
      <c r="AS232" t="s">
        <v>2893</v>
      </c>
      <c r="AT232">
        <v>0</v>
      </c>
      <c r="AU232" t="s">
        <v>3109</v>
      </c>
      <c r="AV232">
        <v>3</v>
      </c>
      <c r="AW232">
        <v>0</v>
      </c>
      <c r="AX232">
        <v>121.89</v>
      </c>
      <c r="BB232" t="s">
        <v>252</v>
      </c>
      <c r="BC232" t="s">
        <v>3131</v>
      </c>
      <c r="BD232">
        <v>26000</v>
      </c>
      <c r="BH232" t="s">
        <v>3166</v>
      </c>
      <c r="BK232" t="s">
        <v>3198</v>
      </c>
      <c r="BL232" t="s">
        <v>1107</v>
      </c>
    </row>
    <row r="233" spans="1:65">
      <c r="A233" s="1">
        <f>HYPERLINK("https://lsnyc.legalserver.org/matter/dynamic-profile/view/1905864","19-1905864")</f>
        <v>0</v>
      </c>
      <c r="B233" t="s">
        <v>65</v>
      </c>
      <c r="C233" t="s">
        <v>108</v>
      </c>
      <c r="D233" t="s">
        <v>170</v>
      </c>
      <c r="E233" t="s">
        <v>171</v>
      </c>
      <c r="G233" t="s">
        <v>172</v>
      </c>
      <c r="H233" t="s">
        <v>220</v>
      </c>
      <c r="I233" t="s">
        <v>172</v>
      </c>
      <c r="J233" t="s">
        <v>231</v>
      </c>
      <c r="K233" t="s">
        <v>234</v>
      </c>
      <c r="M233" t="s">
        <v>232</v>
      </c>
      <c r="O233" t="s">
        <v>313</v>
      </c>
      <c r="Q233" t="s">
        <v>321</v>
      </c>
      <c r="T233" t="s">
        <v>541</v>
      </c>
      <c r="U233" t="s">
        <v>919</v>
      </c>
      <c r="V233" t="s">
        <v>211</v>
      </c>
      <c r="X233" t="s">
        <v>1112</v>
      </c>
      <c r="Y233" t="s">
        <v>1336</v>
      </c>
      <c r="AA233" t="s">
        <v>1755</v>
      </c>
      <c r="AB233" t="s">
        <v>1786</v>
      </c>
      <c r="AC233">
        <v>10467</v>
      </c>
      <c r="AD233" t="s">
        <v>1793</v>
      </c>
      <c r="AE233" t="s">
        <v>2005</v>
      </c>
      <c r="AF233">
        <v>3</v>
      </c>
      <c r="AH233" t="s">
        <v>2221</v>
      </c>
      <c r="AI233" t="s">
        <v>233</v>
      </c>
      <c r="AJ233" t="s">
        <v>233</v>
      </c>
      <c r="AL233" t="s">
        <v>2230</v>
      </c>
      <c r="AN233">
        <v>0</v>
      </c>
      <c r="AO233">
        <v>1998</v>
      </c>
      <c r="AP233">
        <v>3.8</v>
      </c>
      <c r="AR233" t="s">
        <v>2471</v>
      </c>
      <c r="AS233" t="s">
        <v>2894</v>
      </c>
      <c r="AT233">
        <v>3</v>
      </c>
      <c r="AU233" t="s">
        <v>3108</v>
      </c>
      <c r="AV233">
        <v>3</v>
      </c>
      <c r="AW233">
        <v>0</v>
      </c>
      <c r="AX233">
        <v>12.49</v>
      </c>
      <c r="BB233" t="s">
        <v>3123</v>
      </c>
      <c r="BC233" t="s">
        <v>3130</v>
      </c>
      <c r="BD233">
        <v>2664</v>
      </c>
      <c r="BH233" t="s">
        <v>3166</v>
      </c>
      <c r="BK233" t="s">
        <v>3232</v>
      </c>
      <c r="BL233" t="s">
        <v>207</v>
      </c>
    </row>
    <row r="234" spans="1:65">
      <c r="A234" s="1">
        <f>HYPERLINK("https://lsnyc.legalserver.org/matter/dynamic-profile/view/1908526","19-1908526")</f>
        <v>0</v>
      </c>
      <c r="B234" t="s">
        <v>65</v>
      </c>
      <c r="C234" t="s">
        <v>109</v>
      </c>
      <c r="D234" t="s">
        <v>170</v>
      </c>
      <c r="E234" t="s">
        <v>171</v>
      </c>
      <c r="G234" t="s">
        <v>219</v>
      </c>
      <c r="I234" t="s">
        <v>230</v>
      </c>
      <c r="J234" t="s">
        <v>233</v>
      </c>
      <c r="K234" t="s">
        <v>234</v>
      </c>
      <c r="M234" t="s">
        <v>232</v>
      </c>
      <c r="N234" t="s">
        <v>252</v>
      </c>
      <c r="O234" t="s">
        <v>313</v>
      </c>
      <c r="P234" t="s">
        <v>315</v>
      </c>
      <c r="Q234" t="s">
        <v>322</v>
      </c>
      <c r="T234" t="s">
        <v>542</v>
      </c>
      <c r="U234" t="s">
        <v>920</v>
      </c>
      <c r="V234" t="s">
        <v>213</v>
      </c>
      <c r="W234" t="s">
        <v>206</v>
      </c>
      <c r="X234" t="s">
        <v>1113</v>
      </c>
      <c r="Y234" t="s">
        <v>1337</v>
      </c>
      <c r="AA234" t="s">
        <v>1755</v>
      </c>
      <c r="AB234" t="s">
        <v>1786</v>
      </c>
      <c r="AC234">
        <v>10463</v>
      </c>
      <c r="AD234" t="s">
        <v>1791</v>
      </c>
      <c r="AF234">
        <v>0</v>
      </c>
      <c r="AG234" t="s">
        <v>2214</v>
      </c>
      <c r="AH234" t="s">
        <v>2220</v>
      </c>
      <c r="AI234" t="s">
        <v>233</v>
      </c>
      <c r="AJ234" t="s">
        <v>233</v>
      </c>
      <c r="AL234" t="s">
        <v>2230</v>
      </c>
      <c r="AN234">
        <v>0</v>
      </c>
      <c r="AO234">
        <v>0</v>
      </c>
      <c r="AP234">
        <v>0.8</v>
      </c>
      <c r="AQ234" t="s">
        <v>2242</v>
      </c>
      <c r="AR234" t="s">
        <v>2472</v>
      </c>
      <c r="AS234" t="s">
        <v>2895</v>
      </c>
      <c r="AT234">
        <v>0</v>
      </c>
      <c r="AV234">
        <v>1</v>
      </c>
      <c r="AW234">
        <v>0</v>
      </c>
      <c r="AX234">
        <v>70.34999999999999</v>
      </c>
      <c r="BC234" t="s">
        <v>3130</v>
      </c>
      <c r="BD234">
        <v>8786.4</v>
      </c>
      <c r="BH234" t="s">
        <v>3159</v>
      </c>
      <c r="BK234" t="s">
        <v>3246</v>
      </c>
      <c r="BL234" t="s">
        <v>206</v>
      </c>
      <c r="BM234" t="s">
        <v>252</v>
      </c>
    </row>
    <row r="235" spans="1:65">
      <c r="A235" s="1">
        <f>HYPERLINK("https://lsnyc.legalserver.org/matter/dynamic-profile/view/1908051","19-1908051")</f>
        <v>0</v>
      </c>
      <c r="B235" t="s">
        <v>65</v>
      </c>
      <c r="C235" t="s">
        <v>108</v>
      </c>
      <c r="D235" t="s">
        <v>170</v>
      </c>
      <c r="E235" t="s">
        <v>171</v>
      </c>
      <c r="G235" t="s">
        <v>172</v>
      </c>
      <c r="H235" t="s">
        <v>221</v>
      </c>
      <c r="I235" t="s">
        <v>172</v>
      </c>
      <c r="J235" t="s">
        <v>231</v>
      </c>
      <c r="K235" t="s">
        <v>172</v>
      </c>
      <c r="M235" t="s">
        <v>232</v>
      </c>
      <c r="N235" t="s">
        <v>311</v>
      </c>
      <c r="O235" t="s">
        <v>313</v>
      </c>
      <c r="P235" t="s">
        <v>315</v>
      </c>
      <c r="Q235" t="s">
        <v>321</v>
      </c>
      <c r="T235" t="s">
        <v>543</v>
      </c>
      <c r="U235" t="s">
        <v>921</v>
      </c>
      <c r="V235" t="s">
        <v>1098</v>
      </c>
      <c r="X235" t="s">
        <v>1112</v>
      </c>
      <c r="Y235" t="s">
        <v>1338</v>
      </c>
      <c r="Z235" t="s">
        <v>1611</v>
      </c>
      <c r="AA235" t="s">
        <v>1755</v>
      </c>
      <c r="AB235" t="s">
        <v>1786</v>
      </c>
      <c r="AC235">
        <v>10468</v>
      </c>
      <c r="AD235" t="s">
        <v>1790</v>
      </c>
      <c r="AE235" t="s">
        <v>2006</v>
      </c>
      <c r="AF235">
        <v>7</v>
      </c>
      <c r="AH235" t="s">
        <v>2221</v>
      </c>
      <c r="AI235" t="s">
        <v>233</v>
      </c>
      <c r="AJ235" t="s">
        <v>233</v>
      </c>
      <c r="AL235" t="s">
        <v>2230</v>
      </c>
      <c r="AN235">
        <v>0</v>
      </c>
      <c r="AO235">
        <v>1107.13</v>
      </c>
      <c r="AP235">
        <v>1.4</v>
      </c>
      <c r="AR235" t="s">
        <v>2473</v>
      </c>
      <c r="AS235" t="s">
        <v>2896</v>
      </c>
      <c r="AT235">
        <v>58</v>
      </c>
      <c r="AU235" t="s">
        <v>3109</v>
      </c>
      <c r="AV235">
        <v>2</v>
      </c>
      <c r="AW235">
        <v>0</v>
      </c>
      <c r="AX235">
        <v>126.85</v>
      </c>
      <c r="BB235" t="s">
        <v>252</v>
      </c>
      <c r="BC235" t="s">
        <v>3130</v>
      </c>
      <c r="BD235">
        <v>21450</v>
      </c>
      <c r="BH235" t="s">
        <v>3166</v>
      </c>
      <c r="BK235" t="s">
        <v>3198</v>
      </c>
      <c r="BL235" t="s">
        <v>1107</v>
      </c>
      <c r="BM235" t="s">
        <v>311</v>
      </c>
    </row>
    <row r="236" spans="1:65">
      <c r="A236" s="1">
        <f>HYPERLINK("https://lsnyc.legalserver.org/matter/dynamic-profile/view/1909741","19-1909741")</f>
        <v>0</v>
      </c>
      <c r="B236" t="s">
        <v>65</v>
      </c>
      <c r="C236" t="s">
        <v>110</v>
      </c>
      <c r="D236" t="s">
        <v>170</v>
      </c>
      <c r="E236" t="s">
        <v>171</v>
      </c>
      <c r="G236" t="s">
        <v>172</v>
      </c>
      <c r="H236" t="s">
        <v>220</v>
      </c>
      <c r="I236" t="s">
        <v>172</v>
      </c>
      <c r="J236" t="s">
        <v>231</v>
      </c>
      <c r="K236" t="s">
        <v>172</v>
      </c>
      <c r="M236" t="s">
        <v>232</v>
      </c>
      <c r="N236" t="s">
        <v>311</v>
      </c>
      <c r="O236" t="s">
        <v>313</v>
      </c>
      <c r="Q236" t="s">
        <v>321</v>
      </c>
      <c r="T236" t="s">
        <v>435</v>
      </c>
      <c r="U236" t="s">
        <v>922</v>
      </c>
      <c r="V236" t="s">
        <v>202</v>
      </c>
      <c r="X236" t="s">
        <v>1112</v>
      </c>
      <c r="Y236" t="s">
        <v>1339</v>
      </c>
      <c r="Z236" t="s">
        <v>1682</v>
      </c>
      <c r="AA236" t="s">
        <v>1755</v>
      </c>
      <c r="AB236" t="s">
        <v>1786</v>
      </c>
      <c r="AC236">
        <v>10468</v>
      </c>
      <c r="AD236" t="s">
        <v>1787</v>
      </c>
      <c r="AE236" t="s">
        <v>2007</v>
      </c>
      <c r="AF236">
        <v>3</v>
      </c>
      <c r="AH236" t="s">
        <v>2221</v>
      </c>
      <c r="AI236" t="s">
        <v>233</v>
      </c>
      <c r="AJ236" t="s">
        <v>233</v>
      </c>
      <c r="AL236" t="s">
        <v>2230</v>
      </c>
      <c r="AN236">
        <v>0</v>
      </c>
      <c r="AO236">
        <v>237</v>
      </c>
      <c r="AP236">
        <v>0</v>
      </c>
      <c r="AR236" t="s">
        <v>2474</v>
      </c>
      <c r="AS236" t="s">
        <v>2897</v>
      </c>
      <c r="AT236">
        <v>111</v>
      </c>
      <c r="AU236" t="s">
        <v>3118</v>
      </c>
      <c r="AV236">
        <v>1</v>
      </c>
      <c r="AW236">
        <v>0</v>
      </c>
      <c r="AX236">
        <v>74.08</v>
      </c>
      <c r="BB236" t="s">
        <v>3123</v>
      </c>
      <c r="BC236" t="s">
        <v>3130</v>
      </c>
      <c r="BD236">
        <v>9252</v>
      </c>
      <c r="BH236" t="s">
        <v>121</v>
      </c>
      <c r="BK236" t="s">
        <v>3196</v>
      </c>
      <c r="BM236" t="s">
        <v>311</v>
      </c>
    </row>
    <row r="237" spans="1:65">
      <c r="A237" s="1">
        <f>HYPERLINK("https://lsnyc.legalserver.org/matter/dynamic-profile/view/1906104","19-1906104")</f>
        <v>0</v>
      </c>
      <c r="B237" t="s">
        <v>65</v>
      </c>
      <c r="C237" t="s">
        <v>110</v>
      </c>
      <c r="D237" t="s">
        <v>170</v>
      </c>
      <c r="E237" t="s">
        <v>171</v>
      </c>
      <c r="G237" t="s">
        <v>172</v>
      </c>
      <c r="H237" t="s">
        <v>221</v>
      </c>
      <c r="I237" t="s">
        <v>172</v>
      </c>
      <c r="J237" t="s">
        <v>231</v>
      </c>
      <c r="K237" t="s">
        <v>234</v>
      </c>
      <c r="M237" t="s">
        <v>232</v>
      </c>
      <c r="N237" t="s">
        <v>252</v>
      </c>
      <c r="O237" t="s">
        <v>172</v>
      </c>
      <c r="P237" t="s">
        <v>316</v>
      </c>
      <c r="Q237" t="s">
        <v>321</v>
      </c>
      <c r="T237" t="s">
        <v>544</v>
      </c>
      <c r="U237" t="s">
        <v>761</v>
      </c>
      <c r="V237" t="s">
        <v>175</v>
      </c>
      <c r="X237" t="s">
        <v>1112</v>
      </c>
      <c r="Y237" t="s">
        <v>1340</v>
      </c>
      <c r="Z237" t="s">
        <v>1683</v>
      </c>
      <c r="AA237" t="s">
        <v>1755</v>
      </c>
      <c r="AB237" t="s">
        <v>1786</v>
      </c>
      <c r="AC237">
        <v>10457</v>
      </c>
      <c r="AE237" t="s">
        <v>2008</v>
      </c>
      <c r="AF237">
        <v>0</v>
      </c>
      <c r="AH237" t="s">
        <v>2221</v>
      </c>
      <c r="AI237" t="s">
        <v>233</v>
      </c>
      <c r="AJ237" t="s">
        <v>233</v>
      </c>
      <c r="AL237" t="s">
        <v>2230</v>
      </c>
      <c r="AN237">
        <v>0</v>
      </c>
      <c r="AO237">
        <v>0</v>
      </c>
      <c r="AP237">
        <v>8</v>
      </c>
      <c r="AR237" t="s">
        <v>2475</v>
      </c>
      <c r="AT237">
        <v>21</v>
      </c>
      <c r="AU237" t="s">
        <v>3106</v>
      </c>
      <c r="AV237">
        <v>1</v>
      </c>
      <c r="AW237">
        <v>1</v>
      </c>
      <c r="AX237">
        <v>153.76</v>
      </c>
      <c r="BC237" t="s">
        <v>3130</v>
      </c>
      <c r="BD237">
        <v>26000</v>
      </c>
      <c r="BH237" t="s">
        <v>125</v>
      </c>
      <c r="BK237" t="s">
        <v>3198</v>
      </c>
      <c r="BL237" t="s">
        <v>1111</v>
      </c>
      <c r="BM237" t="s">
        <v>252</v>
      </c>
    </row>
    <row r="238" spans="1:65">
      <c r="A238" s="1">
        <f>HYPERLINK("https://lsnyc.legalserver.org/matter/dynamic-profile/view/1908502","19-1908502")</f>
        <v>0</v>
      </c>
      <c r="B238" t="s">
        <v>65</v>
      </c>
      <c r="C238" t="s">
        <v>99</v>
      </c>
      <c r="D238" t="s">
        <v>170</v>
      </c>
      <c r="E238" t="s">
        <v>171</v>
      </c>
      <c r="G238" t="s">
        <v>172</v>
      </c>
      <c r="H238" t="s">
        <v>221</v>
      </c>
      <c r="I238" t="s">
        <v>172</v>
      </c>
      <c r="J238" t="s">
        <v>231</v>
      </c>
      <c r="K238" t="s">
        <v>172</v>
      </c>
      <c r="M238" t="s">
        <v>232</v>
      </c>
      <c r="N238" t="s">
        <v>312</v>
      </c>
      <c r="O238" t="s">
        <v>172</v>
      </c>
      <c r="P238" t="s">
        <v>316</v>
      </c>
      <c r="Q238" t="s">
        <v>321</v>
      </c>
      <c r="T238" t="s">
        <v>545</v>
      </c>
      <c r="U238" t="s">
        <v>923</v>
      </c>
      <c r="V238" t="s">
        <v>202</v>
      </c>
      <c r="X238" t="s">
        <v>1112</v>
      </c>
      <c r="Y238" t="s">
        <v>1341</v>
      </c>
      <c r="Z238" t="s">
        <v>1564</v>
      </c>
      <c r="AA238" t="s">
        <v>1755</v>
      </c>
      <c r="AB238" t="s">
        <v>1786</v>
      </c>
      <c r="AC238">
        <v>10468</v>
      </c>
      <c r="AD238" t="s">
        <v>1787</v>
      </c>
      <c r="AE238" t="s">
        <v>2009</v>
      </c>
      <c r="AF238">
        <v>5</v>
      </c>
      <c r="AH238" t="s">
        <v>2221</v>
      </c>
      <c r="AI238" t="s">
        <v>233</v>
      </c>
      <c r="AJ238" t="s">
        <v>233</v>
      </c>
      <c r="AL238" t="s">
        <v>2230</v>
      </c>
      <c r="AN238">
        <v>0</v>
      </c>
      <c r="AO238">
        <v>1408</v>
      </c>
      <c r="AP238">
        <v>0</v>
      </c>
      <c r="AR238" t="s">
        <v>2476</v>
      </c>
      <c r="AS238" t="s">
        <v>2898</v>
      </c>
      <c r="AT238">
        <v>66</v>
      </c>
      <c r="AU238" t="s">
        <v>3106</v>
      </c>
      <c r="AV238">
        <v>2</v>
      </c>
      <c r="AW238">
        <v>3</v>
      </c>
      <c r="AX238">
        <v>208.82</v>
      </c>
      <c r="BB238" t="s">
        <v>252</v>
      </c>
      <c r="BC238" t="s">
        <v>3130</v>
      </c>
      <c r="BD238">
        <v>63000</v>
      </c>
      <c r="BH238" t="s">
        <v>121</v>
      </c>
      <c r="BK238" t="s">
        <v>3198</v>
      </c>
      <c r="BM238" t="s">
        <v>312</v>
      </c>
    </row>
    <row r="239" spans="1:65">
      <c r="A239" s="1">
        <f>HYPERLINK("https://lsnyc.legalserver.org/matter/dynamic-profile/view/1908262","19-1908262")</f>
        <v>0</v>
      </c>
      <c r="B239" t="s">
        <v>65</v>
      </c>
      <c r="C239" t="s">
        <v>110</v>
      </c>
      <c r="D239" t="s">
        <v>170</v>
      </c>
      <c r="E239" t="s">
        <v>171</v>
      </c>
      <c r="G239" t="s">
        <v>172</v>
      </c>
      <c r="H239" t="s">
        <v>220</v>
      </c>
      <c r="I239" t="s">
        <v>172</v>
      </c>
      <c r="J239" t="s">
        <v>231</v>
      </c>
      <c r="K239" t="s">
        <v>172</v>
      </c>
      <c r="M239" t="s">
        <v>232</v>
      </c>
      <c r="N239" t="s">
        <v>311</v>
      </c>
      <c r="O239" t="s">
        <v>172</v>
      </c>
      <c r="P239" t="s">
        <v>316</v>
      </c>
      <c r="Q239" t="s">
        <v>321</v>
      </c>
      <c r="T239" t="s">
        <v>546</v>
      </c>
      <c r="U239" t="s">
        <v>924</v>
      </c>
      <c r="V239" t="s">
        <v>202</v>
      </c>
      <c r="X239" t="s">
        <v>1112</v>
      </c>
      <c r="Y239" t="s">
        <v>1342</v>
      </c>
      <c r="Z239" t="s">
        <v>1684</v>
      </c>
      <c r="AA239" t="s">
        <v>1755</v>
      </c>
      <c r="AB239" t="s">
        <v>1786</v>
      </c>
      <c r="AC239">
        <v>10457</v>
      </c>
      <c r="AE239" t="s">
        <v>2010</v>
      </c>
      <c r="AF239">
        <v>13</v>
      </c>
      <c r="AH239" t="s">
        <v>2221</v>
      </c>
      <c r="AI239" t="s">
        <v>233</v>
      </c>
      <c r="AJ239" t="s">
        <v>233</v>
      </c>
      <c r="AL239" t="s">
        <v>2230</v>
      </c>
      <c r="AM239" t="s">
        <v>2238</v>
      </c>
      <c r="AN239">
        <v>0</v>
      </c>
      <c r="AO239">
        <v>582</v>
      </c>
      <c r="AP239">
        <v>0</v>
      </c>
      <c r="AR239" t="s">
        <v>2477</v>
      </c>
      <c r="AS239" t="s">
        <v>2899</v>
      </c>
      <c r="AT239">
        <v>166</v>
      </c>
      <c r="AU239" t="s">
        <v>3118</v>
      </c>
      <c r="AV239">
        <v>1</v>
      </c>
      <c r="AW239">
        <v>2</v>
      </c>
      <c r="AX239">
        <v>67.04000000000001</v>
      </c>
      <c r="BB239" t="s">
        <v>3123</v>
      </c>
      <c r="BC239" t="s">
        <v>3136</v>
      </c>
      <c r="BD239">
        <v>14300</v>
      </c>
      <c r="BH239" t="s">
        <v>121</v>
      </c>
      <c r="BK239" t="s">
        <v>3197</v>
      </c>
      <c r="BM239" t="s">
        <v>311</v>
      </c>
    </row>
    <row r="240" spans="1:65">
      <c r="A240" s="1">
        <f>HYPERLINK("https://lsnyc.legalserver.org/matter/dynamic-profile/view/1907252","19-1907252")</f>
        <v>0</v>
      </c>
      <c r="B240" t="s">
        <v>65</v>
      </c>
      <c r="C240" t="s">
        <v>110</v>
      </c>
      <c r="D240" t="s">
        <v>170</v>
      </c>
      <c r="E240" t="s">
        <v>171</v>
      </c>
      <c r="G240" t="s">
        <v>172</v>
      </c>
      <c r="H240" t="s">
        <v>221</v>
      </c>
      <c r="I240" t="s">
        <v>172</v>
      </c>
      <c r="J240" t="s">
        <v>231</v>
      </c>
      <c r="K240" t="s">
        <v>172</v>
      </c>
      <c r="M240" t="s">
        <v>232</v>
      </c>
      <c r="N240" t="s">
        <v>311</v>
      </c>
      <c r="O240" t="s">
        <v>172</v>
      </c>
      <c r="P240" t="s">
        <v>316</v>
      </c>
      <c r="Q240" t="s">
        <v>321</v>
      </c>
      <c r="T240" t="s">
        <v>547</v>
      </c>
      <c r="U240" t="s">
        <v>925</v>
      </c>
      <c r="V240" t="s">
        <v>212</v>
      </c>
      <c r="X240" t="s">
        <v>1112</v>
      </c>
      <c r="Y240" t="s">
        <v>1343</v>
      </c>
      <c r="Z240" t="s">
        <v>1621</v>
      </c>
      <c r="AA240" t="s">
        <v>1755</v>
      </c>
      <c r="AB240" t="s">
        <v>1786</v>
      </c>
      <c r="AC240">
        <v>10462</v>
      </c>
      <c r="AD240" t="s">
        <v>1790</v>
      </c>
      <c r="AE240" t="s">
        <v>2011</v>
      </c>
      <c r="AF240">
        <v>15</v>
      </c>
      <c r="AH240" t="s">
        <v>2220</v>
      </c>
      <c r="AI240" t="s">
        <v>233</v>
      </c>
      <c r="AJ240" t="s">
        <v>233</v>
      </c>
      <c r="AL240" t="s">
        <v>2230</v>
      </c>
      <c r="AN240">
        <v>0</v>
      </c>
      <c r="AO240">
        <v>1186.51</v>
      </c>
      <c r="AP240">
        <v>11.7</v>
      </c>
      <c r="AR240" t="s">
        <v>2478</v>
      </c>
      <c r="AS240" t="s">
        <v>2900</v>
      </c>
      <c r="AT240">
        <v>128</v>
      </c>
      <c r="AU240" t="s">
        <v>3109</v>
      </c>
      <c r="AV240">
        <v>1</v>
      </c>
      <c r="AW240">
        <v>1</v>
      </c>
      <c r="AX240">
        <v>161.14</v>
      </c>
      <c r="BB240" t="s">
        <v>252</v>
      </c>
      <c r="BC240" t="s">
        <v>3130</v>
      </c>
      <c r="BD240">
        <v>27248</v>
      </c>
      <c r="BH240" t="s">
        <v>121</v>
      </c>
      <c r="BK240" t="s">
        <v>3197</v>
      </c>
      <c r="BL240" t="s">
        <v>206</v>
      </c>
      <c r="BM240" t="s">
        <v>311</v>
      </c>
    </row>
    <row r="241" spans="1:65">
      <c r="A241" s="1">
        <f>HYPERLINK("https://lsnyc.legalserver.org/matter/dynamic-profile/view/1905229","19-1905229")</f>
        <v>0</v>
      </c>
      <c r="B241" t="s">
        <v>65</v>
      </c>
      <c r="C241" t="s">
        <v>111</v>
      </c>
      <c r="D241" t="s">
        <v>170</v>
      </c>
      <c r="E241" t="s">
        <v>171</v>
      </c>
      <c r="G241" t="s">
        <v>219</v>
      </c>
      <c r="I241" t="s">
        <v>172</v>
      </c>
      <c r="J241" t="s">
        <v>231</v>
      </c>
      <c r="K241" t="s">
        <v>172</v>
      </c>
      <c r="L241" t="s">
        <v>270</v>
      </c>
      <c r="M241" t="s">
        <v>232</v>
      </c>
      <c r="N241" t="s">
        <v>312</v>
      </c>
      <c r="O241" t="s">
        <v>313</v>
      </c>
      <c r="Q241" t="s">
        <v>321</v>
      </c>
      <c r="T241" t="s">
        <v>548</v>
      </c>
      <c r="U241" t="s">
        <v>926</v>
      </c>
      <c r="V241" t="s">
        <v>196</v>
      </c>
      <c r="X241" t="s">
        <v>1112</v>
      </c>
      <c r="Y241" t="s">
        <v>1344</v>
      </c>
      <c r="Z241">
        <v>13</v>
      </c>
      <c r="AA241" t="s">
        <v>1755</v>
      </c>
      <c r="AB241" t="s">
        <v>1786</v>
      </c>
      <c r="AC241">
        <v>10469</v>
      </c>
      <c r="AE241" t="s">
        <v>2012</v>
      </c>
      <c r="AF241">
        <v>10</v>
      </c>
      <c r="AH241" t="s">
        <v>2220</v>
      </c>
      <c r="AI241" t="s">
        <v>233</v>
      </c>
      <c r="AL241" t="s">
        <v>2230</v>
      </c>
      <c r="AM241" t="s">
        <v>2236</v>
      </c>
      <c r="AN241">
        <v>0</v>
      </c>
      <c r="AO241">
        <v>1050</v>
      </c>
      <c r="AP241">
        <v>2.5</v>
      </c>
      <c r="AR241" t="s">
        <v>2479</v>
      </c>
      <c r="AS241" t="s">
        <v>2901</v>
      </c>
      <c r="AT241">
        <v>8</v>
      </c>
      <c r="AV241">
        <v>1</v>
      </c>
      <c r="AW241">
        <v>1</v>
      </c>
      <c r="AX241">
        <v>70.95999999999999</v>
      </c>
      <c r="BB241" t="s">
        <v>3124</v>
      </c>
      <c r="BC241" t="s">
        <v>3130</v>
      </c>
      <c r="BD241">
        <v>12000</v>
      </c>
      <c r="BH241" t="s">
        <v>125</v>
      </c>
      <c r="BK241" t="s">
        <v>3214</v>
      </c>
      <c r="BL241" t="s">
        <v>199</v>
      </c>
      <c r="BM241" t="s">
        <v>312</v>
      </c>
    </row>
    <row r="242" spans="1:65">
      <c r="A242" s="1">
        <f>HYPERLINK("https://lsnyc.legalserver.org/matter/dynamic-profile/view/1907184","19-1907184")</f>
        <v>0</v>
      </c>
      <c r="B242" t="s">
        <v>65</v>
      </c>
      <c r="C242" t="s">
        <v>111</v>
      </c>
      <c r="D242" t="s">
        <v>170</v>
      </c>
      <c r="E242" t="s">
        <v>171</v>
      </c>
      <c r="G242" t="s">
        <v>172</v>
      </c>
      <c r="H242" t="s">
        <v>220</v>
      </c>
      <c r="I242" t="s">
        <v>230</v>
      </c>
      <c r="J242" t="s">
        <v>232</v>
      </c>
      <c r="K242" t="s">
        <v>234</v>
      </c>
      <c r="M242" t="s">
        <v>232</v>
      </c>
      <c r="O242" t="s">
        <v>172</v>
      </c>
      <c r="P242" t="s">
        <v>316</v>
      </c>
      <c r="Q242" t="s">
        <v>321</v>
      </c>
      <c r="T242" t="s">
        <v>549</v>
      </c>
      <c r="U242" t="s">
        <v>927</v>
      </c>
      <c r="V242" t="s">
        <v>184</v>
      </c>
      <c r="X242" t="s">
        <v>1112</v>
      </c>
      <c r="Y242" t="s">
        <v>1345</v>
      </c>
      <c r="Z242" t="s">
        <v>1685</v>
      </c>
      <c r="AA242" t="s">
        <v>1755</v>
      </c>
      <c r="AB242" t="s">
        <v>1786</v>
      </c>
      <c r="AC242">
        <v>10467</v>
      </c>
      <c r="AD242" t="s">
        <v>1798</v>
      </c>
      <c r="AE242" t="s">
        <v>2013</v>
      </c>
      <c r="AF242">
        <v>2</v>
      </c>
      <c r="AH242" t="s">
        <v>2221</v>
      </c>
      <c r="AI242" t="s">
        <v>233</v>
      </c>
      <c r="AL242" t="s">
        <v>2230</v>
      </c>
      <c r="AM242" t="s">
        <v>2236</v>
      </c>
      <c r="AN242">
        <v>0</v>
      </c>
      <c r="AO242">
        <v>1100</v>
      </c>
      <c r="AP242">
        <v>1.3</v>
      </c>
      <c r="AR242" t="s">
        <v>2480</v>
      </c>
      <c r="AS242" t="s">
        <v>2902</v>
      </c>
      <c r="AT242">
        <v>4</v>
      </c>
      <c r="AV242">
        <v>1</v>
      </c>
      <c r="AW242">
        <v>0</v>
      </c>
      <c r="AX242">
        <v>17.49</v>
      </c>
      <c r="BC242" t="s">
        <v>3130</v>
      </c>
      <c r="BD242">
        <v>2184</v>
      </c>
      <c r="BH242" t="s">
        <v>3169</v>
      </c>
      <c r="BK242" t="s">
        <v>3247</v>
      </c>
      <c r="BL242" t="s">
        <v>1110</v>
      </c>
    </row>
    <row r="243" spans="1:65">
      <c r="A243" s="1">
        <f>HYPERLINK("https://lsnyc.legalserver.org/matter/dynamic-profile/view/1907248","19-1907248")</f>
        <v>0</v>
      </c>
      <c r="B243" t="s">
        <v>65</v>
      </c>
      <c r="C243" t="s">
        <v>110</v>
      </c>
      <c r="D243" t="s">
        <v>170</v>
      </c>
      <c r="E243" t="s">
        <v>171</v>
      </c>
      <c r="G243" t="s">
        <v>172</v>
      </c>
      <c r="H243" t="s">
        <v>220</v>
      </c>
      <c r="I243" t="s">
        <v>172</v>
      </c>
      <c r="J243" t="s">
        <v>231</v>
      </c>
      <c r="K243" t="s">
        <v>172</v>
      </c>
      <c r="M243" t="s">
        <v>232</v>
      </c>
      <c r="N243" t="s">
        <v>311</v>
      </c>
      <c r="O243" t="s">
        <v>172</v>
      </c>
      <c r="P243" t="s">
        <v>316</v>
      </c>
      <c r="Q243" t="s">
        <v>321</v>
      </c>
      <c r="T243" t="s">
        <v>547</v>
      </c>
      <c r="U243" t="s">
        <v>925</v>
      </c>
      <c r="V243" t="s">
        <v>212</v>
      </c>
      <c r="X243" t="s">
        <v>1112</v>
      </c>
      <c r="Y243" t="s">
        <v>1343</v>
      </c>
      <c r="Z243" t="s">
        <v>1621</v>
      </c>
      <c r="AA243" t="s">
        <v>1755</v>
      </c>
      <c r="AB243" t="s">
        <v>1786</v>
      </c>
      <c r="AC243">
        <v>10462</v>
      </c>
      <c r="AD243" t="s">
        <v>1790</v>
      </c>
      <c r="AE243" t="s">
        <v>2014</v>
      </c>
      <c r="AF243">
        <v>15</v>
      </c>
      <c r="AH243" t="s">
        <v>2220</v>
      </c>
      <c r="AI243" t="s">
        <v>233</v>
      </c>
      <c r="AJ243" t="s">
        <v>233</v>
      </c>
      <c r="AL243" t="s">
        <v>2230</v>
      </c>
      <c r="AM243" t="s">
        <v>2236</v>
      </c>
      <c r="AN243">
        <v>0</v>
      </c>
      <c r="AO243">
        <v>1186.51</v>
      </c>
      <c r="AP243">
        <v>10</v>
      </c>
      <c r="AR243" t="s">
        <v>2478</v>
      </c>
      <c r="AS243" t="s">
        <v>2900</v>
      </c>
      <c r="AT243">
        <v>128</v>
      </c>
      <c r="AU243" t="s">
        <v>3109</v>
      </c>
      <c r="AV243">
        <v>1</v>
      </c>
      <c r="AW243">
        <v>1</v>
      </c>
      <c r="AX243">
        <v>161.14</v>
      </c>
      <c r="BB243" t="s">
        <v>252</v>
      </c>
      <c r="BC243" t="s">
        <v>3130</v>
      </c>
      <c r="BD243">
        <v>27248</v>
      </c>
      <c r="BH243" t="s">
        <v>121</v>
      </c>
      <c r="BK243" t="s">
        <v>3197</v>
      </c>
      <c r="BL243" t="s">
        <v>1109</v>
      </c>
      <c r="BM243" t="s">
        <v>311</v>
      </c>
    </row>
    <row r="244" spans="1:65">
      <c r="A244" s="1">
        <f>HYPERLINK("https://lsnyc.legalserver.org/matter/dynamic-profile/view/1905886","19-1905886")</f>
        <v>0</v>
      </c>
      <c r="B244" t="s">
        <v>65</v>
      </c>
      <c r="C244" t="s">
        <v>112</v>
      </c>
      <c r="D244" t="s">
        <v>170</v>
      </c>
      <c r="E244" t="s">
        <v>171</v>
      </c>
      <c r="G244" t="s">
        <v>172</v>
      </c>
      <c r="H244" t="s">
        <v>221</v>
      </c>
      <c r="I244" t="s">
        <v>172</v>
      </c>
      <c r="J244" t="s">
        <v>231</v>
      </c>
      <c r="K244" t="s">
        <v>172</v>
      </c>
      <c r="L244" t="s">
        <v>271</v>
      </c>
      <c r="M244" t="s">
        <v>232</v>
      </c>
      <c r="N244" t="s">
        <v>312</v>
      </c>
      <c r="O244" t="s">
        <v>313</v>
      </c>
      <c r="P244" t="s">
        <v>315</v>
      </c>
      <c r="Q244" t="s">
        <v>321</v>
      </c>
      <c r="T244" t="s">
        <v>550</v>
      </c>
      <c r="U244" t="s">
        <v>928</v>
      </c>
      <c r="V244" t="s">
        <v>211</v>
      </c>
      <c r="X244" t="s">
        <v>1112</v>
      </c>
      <c r="Y244" t="s">
        <v>1346</v>
      </c>
      <c r="Z244" t="s">
        <v>1575</v>
      </c>
      <c r="AA244" t="s">
        <v>1755</v>
      </c>
      <c r="AB244" t="s">
        <v>1786</v>
      </c>
      <c r="AC244">
        <v>10474</v>
      </c>
      <c r="AD244" t="s">
        <v>1787</v>
      </c>
      <c r="AE244" t="s">
        <v>2015</v>
      </c>
      <c r="AF244">
        <v>5</v>
      </c>
      <c r="AH244" t="s">
        <v>2220</v>
      </c>
      <c r="AI244" t="s">
        <v>233</v>
      </c>
      <c r="AJ244" t="s">
        <v>233</v>
      </c>
      <c r="AL244" t="s">
        <v>2230</v>
      </c>
      <c r="AM244" t="s">
        <v>2238</v>
      </c>
      <c r="AN244">
        <v>0</v>
      </c>
      <c r="AO244">
        <v>1151</v>
      </c>
      <c r="AP244">
        <v>5.4</v>
      </c>
      <c r="AR244" t="s">
        <v>2481</v>
      </c>
      <c r="AS244" t="s">
        <v>2903</v>
      </c>
      <c r="AT244">
        <v>40</v>
      </c>
      <c r="AU244" t="s">
        <v>3109</v>
      </c>
      <c r="AV244">
        <v>1</v>
      </c>
      <c r="AW244">
        <v>0</v>
      </c>
      <c r="AX244">
        <v>19.22</v>
      </c>
      <c r="BB244" t="s">
        <v>252</v>
      </c>
      <c r="BC244" t="s">
        <v>3130</v>
      </c>
      <c r="BD244">
        <v>2400</v>
      </c>
      <c r="BH244" t="s">
        <v>3163</v>
      </c>
      <c r="BK244" t="s">
        <v>3248</v>
      </c>
      <c r="BL244" t="s">
        <v>192</v>
      </c>
      <c r="BM244" t="s">
        <v>312</v>
      </c>
    </row>
    <row r="245" spans="1:65">
      <c r="A245" s="1">
        <f>HYPERLINK("https://lsnyc.legalserver.org/matter/dynamic-profile/view/1908123","19-1908123")</f>
        <v>0</v>
      </c>
      <c r="B245" t="s">
        <v>65</v>
      </c>
      <c r="C245" t="s">
        <v>112</v>
      </c>
      <c r="D245" t="s">
        <v>170</v>
      </c>
      <c r="E245" t="s">
        <v>171</v>
      </c>
      <c r="G245" t="s">
        <v>172</v>
      </c>
      <c r="H245" t="s">
        <v>221</v>
      </c>
      <c r="I245" t="s">
        <v>172</v>
      </c>
      <c r="J245" t="s">
        <v>231</v>
      </c>
      <c r="K245" t="s">
        <v>172</v>
      </c>
      <c r="M245" t="s">
        <v>232</v>
      </c>
      <c r="N245" t="s">
        <v>311</v>
      </c>
      <c r="O245" t="s">
        <v>313</v>
      </c>
      <c r="P245" t="s">
        <v>315</v>
      </c>
      <c r="Q245" t="s">
        <v>321</v>
      </c>
      <c r="T245" t="s">
        <v>551</v>
      </c>
      <c r="U245" t="s">
        <v>929</v>
      </c>
      <c r="V245" t="s">
        <v>1100</v>
      </c>
      <c r="X245" t="s">
        <v>1112</v>
      </c>
      <c r="Y245" t="s">
        <v>1347</v>
      </c>
      <c r="Z245" t="s">
        <v>1663</v>
      </c>
      <c r="AA245" t="s">
        <v>1755</v>
      </c>
      <c r="AB245" t="s">
        <v>1786</v>
      </c>
      <c r="AC245">
        <v>10457</v>
      </c>
      <c r="AD245" t="s">
        <v>1796</v>
      </c>
      <c r="AE245" t="s">
        <v>2016</v>
      </c>
      <c r="AF245">
        <v>29</v>
      </c>
      <c r="AH245" t="s">
        <v>2221</v>
      </c>
      <c r="AI245" t="s">
        <v>233</v>
      </c>
      <c r="AJ245" t="s">
        <v>231</v>
      </c>
      <c r="AL245" t="s">
        <v>2230</v>
      </c>
      <c r="AN245">
        <v>0</v>
      </c>
      <c r="AO245">
        <v>710.54</v>
      </c>
      <c r="AP245">
        <v>1</v>
      </c>
      <c r="AR245" t="s">
        <v>2482</v>
      </c>
      <c r="AS245" t="s">
        <v>2904</v>
      </c>
      <c r="AT245">
        <v>0</v>
      </c>
      <c r="AV245">
        <v>2</v>
      </c>
      <c r="AW245">
        <v>2</v>
      </c>
      <c r="AX245">
        <v>15.65</v>
      </c>
      <c r="BC245" t="s">
        <v>3130</v>
      </c>
      <c r="BD245">
        <v>4030</v>
      </c>
      <c r="BH245" t="s">
        <v>3164</v>
      </c>
      <c r="BK245" t="s">
        <v>3213</v>
      </c>
      <c r="BL245" t="s">
        <v>3275</v>
      </c>
      <c r="BM245" t="s">
        <v>311</v>
      </c>
    </row>
    <row r="246" spans="1:65">
      <c r="A246" s="1">
        <f>HYPERLINK("https://lsnyc.legalserver.org/matter/dynamic-profile/view/1907943","19-1907943")</f>
        <v>0</v>
      </c>
      <c r="B246" t="s">
        <v>65</v>
      </c>
      <c r="C246" t="s">
        <v>113</v>
      </c>
      <c r="D246" t="s">
        <v>170</v>
      </c>
      <c r="E246" t="s">
        <v>171</v>
      </c>
      <c r="G246" t="s">
        <v>172</v>
      </c>
      <c r="H246" t="s">
        <v>221</v>
      </c>
      <c r="I246" t="s">
        <v>172</v>
      </c>
      <c r="J246" t="s">
        <v>231</v>
      </c>
      <c r="K246" t="s">
        <v>172</v>
      </c>
      <c r="M246" t="s">
        <v>232</v>
      </c>
      <c r="N246" t="s">
        <v>311</v>
      </c>
      <c r="O246" t="s">
        <v>313</v>
      </c>
      <c r="Q246" t="s">
        <v>321</v>
      </c>
      <c r="T246" t="s">
        <v>552</v>
      </c>
      <c r="U246" t="s">
        <v>930</v>
      </c>
      <c r="V246" t="s">
        <v>192</v>
      </c>
      <c r="X246" t="s">
        <v>1112</v>
      </c>
      <c r="Y246" t="s">
        <v>1348</v>
      </c>
      <c r="Z246" t="s">
        <v>1579</v>
      </c>
      <c r="AA246" t="s">
        <v>1755</v>
      </c>
      <c r="AB246" t="s">
        <v>1786</v>
      </c>
      <c r="AC246">
        <v>10467</v>
      </c>
      <c r="AD246" t="s">
        <v>1790</v>
      </c>
      <c r="AE246" t="s">
        <v>2017</v>
      </c>
      <c r="AF246">
        <v>2</v>
      </c>
      <c r="AH246" t="s">
        <v>2221</v>
      </c>
      <c r="AI246" t="s">
        <v>233</v>
      </c>
      <c r="AJ246" t="s">
        <v>233</v>
      </c>
      <c r="AL246" t="s">
        <v>2230</v>
      </c>
      <c r="AN246">
        <v>0</v>
      </c>
      <c r="AO246">
        <v>1490</v>
      </c>
      <c r="AP246">
        <v>0.9</v>
      </c>
      <c r="AR246" t="s">
        <v>2483</v>
      </c>
      <c r="AS246" t="s">
        <v>2905</v>
      </c>
      <c r="AT246">
        <v>97</v>
      </c>
      <c r="AU246" t="s">
        <v>3113</v>
      </c>
      <c r="AV246">
        <v>2</v>
      </c>
      <c r="AW246">
        <v>1</v>
      </c>
      <c r="AX246">
        <v>381.28</v>
      </c>
      <c r="BB246" t="s">
        <v>252</v>
      </c>
      <c r="BC246" t="s">
        <v>3130</v>
      </c>
      <c r="BD246">
        <v>81328</v>
      </c>
      <c r="BH246" t="s">
        <v>3163</v>
      </c>
      <c r="BK246" t="s">
        <v>3198</v>
      </c>
      <c r="BL246" t="s">
        <v>3275</v>
      </c>
      <c r="BM246" t="s">
        <v>311</v>
      </c>
    </row>
    <row r="247" spans="1:65">
      <c r="A247" s="1">
        <f>HYPERLINK("https://lsnyc.legalserver.org/matter/dynamic-profile/view/1906708","19-1906708")</f>
        <v>0</v>
      </c>
      <c r="B247" t="s">
        <v>65</v>
      </c>
      <c r="C247" t="s">
        <v>114</v>
      </c>
      <c r="D247" t="s">
        <v>170</v>
      </c>
      <c r="E247" t="s">
        <v>171</v>
      </c>
      <c r="G247" t="s">
        <v>172</v>
      </c>
      <c r="H247" t="s">
        <v>220</v>
      </c>
      <c r="I247" t="s">
        <v>172</v>
      </c>
      <c r="J247" t="s">
        <v>231</v>
      </c>
      <c r="K247" t="s">
        <v>172</v>
      </c>
      <c r="M247" t="s">
        <v>232</v>
      </c>
      <c r="N247" t="s">
        <v>311</v>
      </c>
      <c r="O247" t="s">
        <v>172</v>
      </c>
      <c r="P247" t="s">
        <v>316</v>
      </c>
      <c r="Q247" t="s">
        <v>321</v>
      </c>
      <c r="T247" t="s">
        <v>553</v>
      </c>
      <c r="U247" t="s">
        <v>931</v>
      </c>
      <c r="V247" t="s">
        <v>197</v>
      </c>
      <c r="X247" t="s">
        <v>1112</v>
      </c>
      <c r="Y247" t="s">
        <v>1349</v>
      </c>
      <c r="Z247">
        <v>2</v>
      </c>
      <c r="AA247" t="s">
        <v>1755</v>
      </c>
      <c r="AB247" t="s">
        <v>1786</v>
      </c>
      <c r="AC247">
        <v>10457</v>
      </c>
      <c r="AD247" t="s">
        <v>1787</v>
      </c>
      <c r="AE247" t="s">
        <v>2018</v>
      </c>
      <c r="AF247">
        <v>1</v>
      </c>
      <c r="AH247" t="s">
        <v>2221</v>
      </c>
      <c r="AI247" t="s">
        <v>233</v>
      </c>
      <c r="AJ247" t="s">
        <v>233</v>
      </c>
      <c r="AL247" t="s">
        <v>2230</v>
      </c>
      <c r="AM247" t="s">
        <v>2236</v>
      </c>
      <c r="AN247">
        <v>0</v>
      </c>
      <c r="AO247">
        <v>1975</v>
      </c>
      <c r="AP247">
        <v>1.9</v>
      </c>
      <c r="AR247" t="s">
        <v>2484</v>
      </c>
      <c r="AS247" t="s">
        <v>2906</v>
      </c>
      <c r="AT247">
        <v>3</v>
      </c>
      <c r="AU247" t="s">
        <v>3108</v>
      </c>
      <c r="AV247">
        <v>2</v>
      </c>
      <c r="AW247">
        <v>3</v>
      </c>
      <c r="AX247">
        <v>14.91</v>
      </c>
      <c r="BB247" t="s">
        <v>3124</v>
      </c>
      <c r="BC247" t="s">
        <v>3130</v>
      </c>
      <c r="BD247">
        <v>4498</v>
      </c>
      <c r="BH247" t="s">
        <v>125</v>
      </c>
      <c r="BK247" t="s">
        <v>3232</v>
      </c>
      <c r="BL247" t="s">
        <v>207</v>
      </c>
      <c r="BM247" t="s">
        <v>311</v>
      </c>
    </row>
    <row r="248" spans="1:65">
      <c r="A248" s="1">
        <f>HYPERLINK("https://lsnyc.legalserver.org/matter/dynamic-profile/view/1906723","19-1906723")</f>
        <v>0</v>
      </c>
      <c r="B248" t="s">
        <v>65</v>
      </c>
      <c r="C248" t="s">
        <v>114</v>
      </c>
      <c r="D248" t="s">
        <v>170</v>
      </c>
      <c r="E248" t="s">
        <v>171</v>
      </c>
      <c r="G248" t="s">
        <v>172</v>
      </c>
      <c r="H248" t="s">
        <v>220</v>
      </c>
      <c r="I248" t="s">
        <v>172</v>
      </c>
      <c r="J248" t="s">
        <v>231</v>
      </c>
      <c r="K248" t="s">
        <v>172</v>
      </c>
      <c r="M248" t="s">
        <v>232</v>
      </c>
      <c r="N248" t="s">
        <v>311</v>
      </c>
      <c r="O248" t="s">
        <v>313</v>
      </c>
      <c r="P248" t="s">
        <v>315</v>
      </c>
      <c r="Q248" t="s">
        <v>321</v>
      </c>
      <c r="T248" t="s">
        <v>554</v>
      </c>
      <c r="U248" t="s">
        <v>932</v>
      </c>
      <c r="V248" t="s">
        <v>208</v>
      </c>
      <c r="X248" t="s">
        <v>1112</v>
      </c>
      <c r="Y248" t="s">
        <v>1350</v>
      </c>
      <c r="Z248">
        <v>212</v>
      </c>
      <c r="AA248" t="s">
        <v>1755</v>
      </c>
      <c r="AB248" t="s">
        <v>1786</v>
      </c>
      <c r="AC248">
        <v>10457</v>
      </c>
      <c r="AD248" t="s">
        <v>1787</v>
      </c>
      <c r="AE248" t="s">
        <v>2019</v>
      </c>
      <c r="AF248">
        <v>40</v>
      </c>
      <c r="AH248" t="s">
        <v>2221</v>
      </c>
      <c r="AI248" t="s">
        <v>233</v>
      </c>
      <c r="AJ248" t="s">
        <v>233</v>
      </c>
      <c r="AL248" t="s">
        <v>2230</v>
      </c>
      <c r="AM248" t="s">
        <v>2236</v>
      </c>
      <c r="AN248">
        <v>0</v>
      </c>
      <c r="AO248">
        <v>1350</v>
      </c>
      <c r="AP248">
        <v>6.1</v>
      </c>
      <c r="AR248" t="s">
        <v>2485</v>
      </c>
      <c r="AS248" t="s">
        <v>2907</v>
      </c>
      <c r="AT248">
        <v>119</v>
      </c>
      <c r="AU248" t="s">
        <v>3106</v>
      </c>
      <c r="AV248">
        <v>3</v>
      </c>
      <c r="AW248">
        <v>0</v>
      </c>
      <c r="AX248">
        <v>146.27</v>
      </c>
      <c r="BB248" t="s">
        <v>252</v>
      </c>
      <c r="BC248" t="s">
        <v>3130</v>
      </c>
      <c r="BD248">
        <v>31200</v>
      </c>
      <c r="BH248" t="s">
        <v>3159</v>
      </c>
      <c r="BK248" t="s">
        <v>3198</v>
      </c>
      <c r="BL248" t="s">
        <v>207</v>
      </c>
      <c r="BM248" t="s">
        <v>311</v>
      </c>
    </row>
    <row r="249" spans="1:65">
      <c r="A249" s="1">
        <f>HYPERLINK("https://lsnyc.legalserver.org/matter/dynamic-profile/view/1907586","19-1907586")</f>
        <v>0</v>
      </c>
      <c r="B249" t="s">
        <v>65</v>
      </c>
      <c r="C249" t="s">
        <v>115</v>
      </c>
      <c r="D249" t="s">
        <v>170</v>
      </c>
      <c r="E249" t="s">
        <v>171</v>
      </c>
      <c r="G249" t="s">
        <v>172</v>
      </c>
      <c r="H249" t="s">
        <v>221</v>
      </c>
      <c r="I249" t="s">
        <v>172</v>
      </c>
      <c r="J249" t="s">
        <v>231</v>
      </c>
      <c r="K249" t="s">
        <v>172</v>
      </c>
      <c r="L249" t="s">
        <v>272</v>
      </c>
      <c r="M249" t="s">
        <v>232</v>
      </c>
      <c r="N249" t="s">
        <v>312</v>
      </c>
      <c r="O249" t="s">
        <v>313</v>
      </c>
      <c r="Q249" t="s">
        <v>321</v>
      </c>
      <c r="T249" t="s">
        <v>555</v>
      </c>
      <c r="U249" t="s">
        <v>933</v>
      </c>
      <c r="V249" t="s">
        <v>210</v>
      </c>
      <c r="X249" t="s">
        <v>1112</v>
      </c>
      <c r="Y249" t="s">
        <v>1351</v>
      </c>
      <c r="Z249" t="s">
        <v>1686</v>
      </c>
      <c r="AA249" t="s">
        <v>1755</v>
      </c>
      <c r="AB249" t="s">
        <v>1786</v>
      </c>
      <c r="AC249">
        <v>10457</v>
      </c>
      <c r="AE249" t="s">
        <v>2020</v>
      </c>
      <c r="AF249">
        <v>18</v>
      </c>
      <c r="AH249" t="s">
        <v>2221</v>
      </c>
      <c r="AI249" t="s">
        <v>233</v>
      </c>
      <c r="AJ249" t="s">
        <v>233</v>
      </c>
      <c r="AL249" t="s">
        <v>2230</v>
      </c>
      <c r="AN249">
        <v>0</v>
      </c>
      <c r="AO249">
        <v>1490</v>
      </c>
      <c r="AP249">
        <v>2</v>
      </c>
      <c r="AR249" t="s">
        <v>2486</v>
      </c>
      <c r="AS249" t="s">
        <v>2908</v>
      </c>
      <c r="AT249">
        <v>221</v>
      </c>
      <c r="AV249">
        <v>1</v>
      </c>
      <c r="AW249">
        <v>1</v>
      </c>
      <c r="AX249">
        <v>88.7</v>
      </c>
      <c r="BC249" t="s">
        <v>3130</v>
      </c>
      <c r="BD249">
        <v>15000</v>
      </c>
      <c r="BH249" t="s">
        <v>125</v>
      </c>
      <c r="BK249" t="s">
        <v>3197</v>
      </c>
      <c r="BL249" t="s">
        <v>215</v>
      </c>
      <c r="BM249" t="s">
        <v>312</v>
      </c>
    </row>
    <row r="250" spans="1:65">
      <c r="A250" s="1">
        <f>HYPERLINK("https://lsnyc.legalserver.org/matter/dynamic-profile/view/1904952","19-1904952")</f>
        <v>0</v>
      </c>
      <c r="B250" t="s">
        <v>65</v>
      </c>
      <c r="C250" t="s">
        <v>115</v>
      </c>
      <c r="D250" t="s">
        <v>170</v>
      </c>
      <c r="E250" t="s">
        <v>171</v>
      </c>
      <c r="G250" t="s">
        <v>172</v>
      </c>
      <c r="H250" t="s">
        <v>220</v>
      </c>
      <c r="I250" t="s">
        <v>172</v>
      </c>
      <c r="J250" t="s">
        <v>231</v>
      </c>
      <c r="K250" t="s">
        <v>234</v>
      </c>
      <c r="M250" t="s">
        <v>232</v>
      </c>
      <c r="O250" t="s">
        <v>172</v>
      </c>
      <c r="P250" t="s">
        <v>316</v>
      </c>
      <c r="Q250" t="s">
        <v>321</v>
      </c>
      <c r="T250" t="s">
        <v>556</v>
      </c>
      <c r="U250" t="s">
        <v>934</v>
      </c>
      <c r="V250" t="s">
        <v>187</v>
      </c>
      <c r="X250" t="s">
        <v>1112</v>
      </c>
      <c r="Y250" t="s">
        <v>1352</v>
      </c>
      <c r="Z250" t="s">
        <v>1687</v>
      </c>
      <c r="AA250" t="s">
        <v>1755</v>
      </c>
      <c r="AB250" t="s">
        <v>1786</v>
      </c>
      <c r="AC250">
        <v>10467</v>
      </c>
      <c r="AE250" t="s">
        <v>2021</v>
      </c>
      <c r="AF250">
        <v>0</v>
      </c>
      <c r="AH250" t="s">
        <v>2221</v>
      </c>
      <c r="AI250" t="s">
        <v>233</v>
      </c>
      <c r="AJ250" t="s">
        <v>233</v>
      </c>
      <c r="AL250" t="s">
        <v>2230</v>
      </c>
      <c r="AN250">
        <v>0</v>
      </c>
      <c r="AO250">
        <v>0</v>
      </c>
      <c r="AP250">
        <v>3.5</v>
      </c>
      <c r="AR250" t="s">
        <v>2487</v>
      </c>
      <c r="AS250" t="s">
        <v>2909</v>
      </c>
      <c r="AT250">
        <v>83</v>
      </c>
      <c r="AV250">
        <v>2</v>
      </c>
      <c r="AW250">
        <v>1</v>
      </c>
      <c r="AX250">
        <v>23.77</v>
      </c>
      <c r="BC250" t="s">
        <v>3131</v>
      </c>
      <c r="BD250">
        <v>5070</v>
      </c>
      <c r="BG250" t="s">
        <v>3147</v>
      </c>
      <c r="BH250" t="s">
        <v>125</v>
      </c>
      <c r="BK250" t="s">
        <v>3194</v>
      </c>
      <c r="BL250" t="s">
        <v>215</v>
      </c>
    </row>
    <row r="251" spans="1:65">
      <c r="A251" s="1">
        <f>HYPERLINK("https://lsnyc.legalserver.org/matter/dynamic-profile/view/1907580","19-1907580")</f>
        <v>0</v>
      </c>
      <c r="B251" t="s">
        <v>65</v>
      </c>
      <c r="C251" t="s">
        <v>115</v>
      </c>
      <c r="D251" t="s">
        <v>170</v>
      </c>
      <c r="E251" t="s">
        <v>171</v>
      </c>
      <c r="G251" t="s">
        <v>172</v>
      </c>
      <c r="H251" t="s">
        <v>221</v>
      </c>
      <c r="I251" t="s">
        <v>172</v>
      </c>
      <c r="J251" t="s">
        <v>231</v>
      </c>
      <c r="K251" t="s">
        <v>172</v>
      </c>
      <c r="M251" t="s">
        <v>232</v>
      </c>
      <c r="N251" t="s">
        <v>311</v>
      </c>
      <c r="O251" t="s">
        <v>313</v>
      </c>
      <c r="Q251" t="s">
        <v>321</v>
      </c>
      <c r="T251" t="s">
        <v>557</v>
      </c>
      <c r="U251" t="s">
        <v>935</v>
      </c>
      <c r="V251" t="s">
        <v>210</v>
      </c>
      <c r="X251" t="s">
        <v>1112</v>
      </c>
      <c r="Y251" t="s">
        <v>1353</v>
      </c>
      <c r="Z251">
        <v>401</v>
      </c>
      <c r="AA251" t="s">
        <v>1755</v>
      </c>
      <c r="AB251" t="s">
        <v>1786</v>
      </c>
      <c r="AC251">
        <v>10462</v>
      </c>
      <c r="AE251" t="s">
        <v>2022</v>
      </c>
      <c r="AF251">
        <v>4</v>
      </c>
      <c r="AH251" t="s">
        <v>2221</v>
      </c>
      <c r="AI251" t="s">
        <v>233</v>
      </c>
      <c r="AJ251" t="s">
        <v>233</v>
      </c>
      <c r="AL251" t="s">
        <v>2230</v>
      </c>
      <c r="AN251">
        <v>0</v>
      </c>
      <c r="AO251">
        <v>1326</v>
      </c>
      <c r="AP251">
        <v>0</v>
      </c>
      <c r="AR251" t="s">
        <v>2488</v>
      </c>
      <c r="AS251" t="s">
        <v>2910</v>
      </c>
      <c r="AT251">
        <v>101</v>
      </c>
      <c r="AV251">
        <v>1</v>
      </c>
      <c r="AW251">
        <v>1</v>
      </c>
      <c r="AX251">
        <v>179.78</v>
      </c>
      <c r="BC251" t="s">
        <v>3131</v>
      </c>
      <c r="BD251">
        <v>30400</v>
      </c>
      <c r="BH251" t="s">
        <v>125</v>
      </c>
      <c r="BK251" t="s">
        <v>3216</v>
      </c>
      <c r="BM251" t="s">
        <v>311</v>
      </c>
    </row>
    <row r="252" spans="1:65">
      <c r="A252" s="1">
        <f>HYPERLINK("https://lsnyc.legalserver.org/matter/dynamic-profile/view/1907888","19-1907888")</f>
        <v>0</v>
      </c>
      <c r="B252" t="s">
        <v>65</v>
      </c>
      <c r="C252" t="s">
        <v>115</v>
      </c>
      <c r="D252" t="s">
        <v>170</v>
      </c>
      <c r="E252" t="s">
        <v>171</v>
      </c>
      <c r="G252" t="s">
        <v>172</v>
      </c>
      <c r="H252" t="s">
        <v>220</v>
      </c>
      <c r="I252" t="s">
        <v>172</v>
      </c>
      <c r="J252" t="s">
        <v>231</v>
      </c>
      <c r="K252" t="s">
        <v>172</v>
      </c>
      <c r="M252" t="s">
        <v>232</v>
      </c>
      <c r="N252" t="s">
        <v>311</v>
      </c>
      <c r="O252" t="s">
        <v>313</v>
      </c>
      <c r="Q252" t="s">
        <v>321</v>
      </c>
      <c r="T252" t="s">
        <v>558</v>
      </c>
      <c r="U252" t="s">
        <v>936</v>
      </c>
      <c r="V252" t="s">
        <v>202</v>
      </c>
      <c r="X252" t="s">
        <v>1112</v>
      </c>
      <c r="Y252" t="s">
        <v>1354</v>
      </c>
      <c r="Z252" t="s">
        <v>1588</v>
      </c>
      <c r="AA252" t="s">
        <v>1755</v>
      </c>
      <c r="AB252" t="s">
        <v>1786</v>
      </c>
      <c r="AC252">
        <v>10469</v>
      </c>
      <c r="AD252" t="s">
        <v>1790</v>
      </c>
      <c r="AE252" t="s">
        <v>2023</v>
      </c>
      <c r="AF252">
        <v>13</v>
      </c>
      <c r="AH252" t="s">
        <v>2220</v>
      </c>
      <c r="AI252" t="s">
        <v>233</v>
      </c>
      <c r="AJ252" t="s">
        <v>233</v>
      </c>
      <c r="AL252" t="s">
        <v>2230</v>
      </c>
      <c r="AN252">
        <v>0</v>
      </c>
      <c r="AO252">
        <v>434</v>
      </c>
      <c r="AP252">
        <v>0.5</v>
      </c>
      <c r="AR252" t="s">
        <v>2489</v>
      </c>
      <c r="AS252" t="s">
        <v>2911</v>
      </c>
      <c r="AT252">
        <v>0</v>
      </c>
      <c r="AU252" t="s">
        <v>3109</v>
      </c>
      <c r="AV252">
        <v>3</v>
      </c>
      <c r="AW252">
        <v>0</v>
      </c>
      <c r="AX252">
        <v>34.88</v>
      </c>
      <c r="BB252" t="s">
        <v>252</v>
      </c>
      <c r="BC252" t="s">
        <v>3130</v>
      </c>
      <c r="BD252">
        <v>7440</v>
      </c>
      <c r="BH252" t="s">
        <v>3164</v>
      </c>
      <c r="BK252" t="s">
        <v>3196</v>
      </c>
      <c r="BL252" t="s">
        <v>202</v>
      </c>
      <c r="BM252" t="s">
        <v>311</v>
      </c>
    </row>
    <row r="253" spans="1:65">
      <c r="A253" s="1">
        <f>HYPERLINK("https://lsnyc.legalserver.org/matter/dynamic-profile/view/1903894","19-1903894")</f>
        <v>0</v>
      </c>
      <c r="B253" t="s">
        <v>65</v>
      </c>
      <c r="C253" t="s">
        <v>116</v>
      </c>
      <c r="D253" t="s">
        <v>170</v>
      </c>
      <c r="E253" t="s">
        <v>171</v>
      </c>
      <c r="G253" t="s">
        <v>172</v>
      </c>
      <c r="H253" t="s">
        <v>220</v>
      </c>
      <c r="I253" t="s">
        <v>230</v>
      </c>
      <c r="J253" t="s">
        <v>233</v>
      </c>
      <c r="K253" t="s">
        <v>234</v>
      </c>
      <c r="M253" t="s">
        <v>232</v>
      </c>
      <c r="N253" t="s">
        <v>252</v>
      </c>
      <c r="O253" t="s">
        <v>313</v>
      </c>
      <c r="Q253" t="s">
        <v>321</v>
      </c>
      <c r="T253" t="s">
        <v>445</v>
      </c>
      <c r="U253" t="s">
        <v>937</v>
      </c>
      <c r="V253" t="s">
        <v>186</v>
      </c>
      <c r="X253" t="s">
        <v>1112</v>
      </c>
      <c r="Y253" t="s">
        <v>1355</v>
      </c>
      <c r="Z253" t="s">
        <v>1688</v>
      </c>
      <c r="AA253" t="s">
        <v>1755</v>
      </c>
      <c r="AB253" t="s">
        <v>1786</v>
      </c>
      <c r="AC253">
        <v>10451</v>
      </c>
      <c r="AE253" t="s">
        <v>2024</v>
      </c>
      <c r="AF253">
        <v>22</v>
      </c>
      <c r="AH253" t="s">
        <v>2220</v>
      </c>
      <c r="AI253" t="s">
        <v>233</v>
      </c>
      <c r="AJ253" t="s">
        <v>233</v>
      </c>
      <c r="AL253" t="s">
        <v>2230</v>
      </c>
      <c r="AN253">
        <v>0</v>
      </c>
      <c r="AO253">
        <v>0</v>
      </c>
      <c r="AP253">
        <v>4.9</v>
      </c>
      <c r="AR253" t="s">
        <v>2490</v>
      </c>
      <c r="AT253">
        <v>11</v>
      </c>
      <c r="AV253">
        <v>1</v>
      </c>
      <c r="AW253">
        <v>0</v>
      </c>
      <c r="AX253">
        <v>72.92</v>
      </c>
      <c r="BC253" t="s">
        <v>3130</v>
      </c>
      <c r="BD253">
        <v>9108</v>
      </c>
      <c r="BG253" t="s">
        <v>3148</v>
      </c>
      <c r="BH253" t="s">
        <v>125</v>
      </c>
      <c r="BK253" t="s">
        <v>3196</v>
      </c>
      <c r="BL253" t="s">
        <v>1109</v>
      </c>
      <c r="BM253" t="s">
        <v>252</v>
      </c>
    </row>
    <row r="254" spans="1:65">
      <c r="A254" s="1">
        <f>HYPERLINK("https://lsnyc.legalserver.org/matter/dynamic-profile/view/1907997","19-1907997")</f>
        <v>0</v>
      </c>
      <c r="B254" t="s">
        <v>65</v>
      </c>
      <c r="C254" t="s">
        <v>117</v>
      </c>
      <c r="D254" t="s">
        <v>170</v>
      </c>
      <c r="E254" t="s">
        <v>171</v>
      </c>
      <c r="G254" t="s">
        <v>172</v>
      </c>
      <c r="H254" t="s">
        <v>221</v>
      </c>
      <c r="I254" t="s">
        <v>172</v>
      </c>
      <c r="J254" t="s">
        <v>231</v>
      </c>
      <c r="K254" t="s">
        <v>172</v>
      </c>
      <c r="M254" t="s">
        <v>232</v>
      </c>
      <c r="N254" t="s">
        <v>311</v>
      </c>
      <c r="O254" t="s">
        <v>313</v>
      </c>
      <c r="Q254" t="s">
        <v>321</v>
      </c>
      <c r="T254" t="s">
        <v>559</v>
      </c>
      <c r="U254" t="s">
        <v>938</v>
      </c>
      <c r="V254" t="s">
        <v>192</v>
      </c>
      <c r="X254" t="s">
        <v>1112</v>
      </c>
      <c r="Y254" t="s">
        <v>1356</v>
      </c>
      <c r="Z254" t="s">
        <v>1618</v>
      </c>
      <c r="AA254" t="s">
        <v>1755</v>
      </c>
      <c r="AB254" t="s">
        <v>1786</v>
      </c>
      <c r="AC254">
        <v>10453</v>
      </c>
      <c r="AE254" t="s">
        <v>2025</v>
      </c>
      <c r="AF254">
        <v>2</v>
      </c>
      <c r="AH254" t="s">
        <v>2220</v>
      </c>
      <c r="AI254" t="s">
        <v>233</v>
      </c>
      <c r="AJ254" t="s">
        <v>233</v>
      </c>
      <c r="AL254" t="s">
        <v>2230</v>
      </c>
      <c r="AN254">
        <v>0</v>
      </c>
      <c r="AO254">
        <v>863.09</v>
      </c>
      <c r="AP254">
        <v>3</v>
      </c>
      <c r="AR254" t="s">
        <v>2491</v>
      </c>
      <c r="AS254" t="s">
        <v>2912</v>
      </c>
      <c r="AT254">
        <v>39</v>
      </c>
      <c r="AU254" t="s">
        <v>3106</v>
      </c>
      <c r="AV254">
        <v>3</v>
      </c>
      <c r="AW254">
        <v>0</v>
      </c>
      <c r="AX254">
        <v>96.05</v>
      </c>
      <c r="BC254" t="s">
        <v>3131</v>
      </c>
      <c r="BD254">
        <v>20488</v>
      </c>
      <c r="BH254" t="s">
        <v>125</v>
      </c>
      <c r="BK254" t="s">
        <v>3198</v>
      </c>
      <c r="BL254" t="s">
        <v>3274</v>
      </c>
      <c r="BM254" t="s">
        <v>311</v>
      </c>
    </row>
    <row r="255" spans="1:65">
      <c r="A255" s="1">
        <f>HYPERLINK("https://lsnyc.legalserver.org/matter/dynamic-profile/view/1906580","19-1906580")</f>
        <v>0</v>
      </c>
      <c r="B255" t="s">
        <v>65</v>
      </c>
      <c r="C255" t="s">
        <v>117</v>
      </c>
      <c r="D255" t="s">
        <v>170</v>
      </c>
      <c r="E255" t="s">
        <v>171</v>
      </c>
      <c r="G255" t="s">
        <v>172</v>
      </c>
      <c r="H255" t="s">
        <v>221</v>
      </c>
      <c r="I255" t="s">
        <v>172</v>
      </c>
      <c r="J255" t="s">
        <v>231</v>
      </c>
      <c r="K255" t="s">
        <v>172</v>
      </c>
      <c r="M255" t="s">
        <v>232</v>
      </c>
      <c r="N255" t="s">
        <v>311</v>
      </c>
      <c r="O255" t="s">
        <v>313</v>
      </c>
      <c r="P255" t="s">
        <v>315</v>
      </c>
      <c r="Q255" t="s">
        <v>321</v>
      </c>
      <c r="T255" t="s">
        <v>560</v>
      </c>
      <c r="U255" t="s">
        <v>939</v>
      </c>
      <c r="V255" t="s">
        <v>197</v>
      </c>
      <c r="X255" t="s">
        <v>1112</v>
      </c>
      <c r="Y255" t="s">
        <v>1357</v>
      </c>
      <c r="Z255" t="s">
        <v>1673</v>
      </c>
      <c r="AA255" t="s">
        <v>1755</v>
      </c>
      <c r="AB255" t="s">
        <v>1786</v>
      </c>
      <c r="AC255">
        <v>10471</v>
      </c>
      <c r="AD255" t="s">
        <v>1792</v>
      </c>
      <c r="AE255" t="s">
        <v>2026</v>
      </c>
      <c r="AF255">
        <v>60</v>
      </c>
      <c r="AH255" t="s">
        <v>2220</v>
      </c>
      <c r="AI255" t="s">
        <v>233</v>
      </c>
      <c r="AJ255" t="s">
        <v>233</v>
      </c>
      <c r="AL255" t="s">
        <v>2230</v>
      </c>
      <c r="AN255">
        <v>0</v>
      </c>
      <c r="AO255">
        <v>1300</v>
      </c>
      <c r="AP255">
        <v>2</v>
      </c>
      <c r="AR255" t="s">
        <v>2492</v>
      </c>
      <c r="AS255" t="s">
        <v>2913</v>
      </c>
      <c r="AT255">
        <v>180</v>
      </c>
      <c r="AU255" t="s">
        <v>3117</v>
      </c>
      <c r="AV255">
        <v>1</v>
      </c>
      <c r="AW255">
        <v>0</v>
      </c>
      <c r="AX255">
        <v>77.81999999999999</v>
      </c>
      <c r="BB255" t="s">
        <v>252</v>
      </c>
      <c r="BC255" t="s">
        <v>3130</v>
      </c>
      <c r="BD255">
        <v>9720</v>
      </c>
      <c r="BH255" t="s">
        <v>3162</v>
      </c>
      <c r="BK255" t="s">
        <v>3207</v>
      </c>
      <c r="BL255" t="s">
        <v>197</v>
      </c>
      <c r="BM255" t="s">
        <v>311</v>
      </c>
    </row>
    <row r="256" spans="1:65">
      <c r="A256" s="1">
        <f>HYPERLINK("https://lsnyc.legalserver.org/matter/dynamic-profile/view/1908723","19-1908723")</f>
        <v>0</v>
      </c>
      <c r="B256" t="s">
        <v>65</v>
      </c>
      <c r="C256" t="s">
        <v>117</v>
      </c>
      <c r="D256" t="s">
        <v>170</v>
      </c>
      <c r="E256" t="s">
        <v>171</v>
      </c>
      <c r="G256" t="s">
        <v>172</v>
      </c>
      <c r="H256" t="s">
        <v>221</v>
      </c>
      <c r="I256" t="s">
        <v>172</v>
      </c>
      <c r="J256" t="s">
        <v>231</v>
      </c>
      <c r="K256" t="s">
        <v>172</v>
      </c>
      <c r="L256" t="s">
        <v>273</v>
      </c>
      <c r="M256" t="s">
        <v>232</v>
      </c>
      <c r="N256" t="s">
        <v>312</v>
      </c>
      <c r="O256" t="s">
        <v>313</v>
      </c>
      <c r="Q256" t="s">
        <v>321</v>
      </c>
      <c r="T256" t="s">
        <v>561</v>
      </c>
      <c r="U256" t="s">
        <v>940</v>
      </c>
      <c r="V256" t="s">
        <v>194</v>
      </c>
      <c r="X256" t="s">
        <v>1112</v>
      </c>
      <c r="Y256" t="s">
        <v>1358</v>
      </c>
      <c r="Z256" t="s">
        <v>1602</v>
      </c>
      <c r="AA256" t="s">
        <v>1755</v>
      </c>
      <c r="AB256" t="s">
        <v>1786</v>
      </c>
      <c r="AC256">
        <v>10462</v>
      </c>
      <c r="AD256" t="s">
        <v>1790</v>
      </c>
      <c r="AE256" t="s">
        <v>2027</v>
      </c>
      <c r="AF256">
        <v>19</v>
      </c>
      <c r="AH256" t="s">
        <v>2221</v>
      </c>
      <c r="AI256" t="s">
        <v>233</v>
      </c>
      <c r="AJ256" t="s">
        <v>233</v>
      </c>
      <c r="AL256" t="s">
        <v>2230</v>
      </c>
      <c r="AN256">
        <v>0</v>
      </c>
      <c r="AO256">
        <v>991.46</v>
      </c>
      <c r="AP256">
        <v>0.3</v>
      </c>
      <c r="AR256" t="s">
        <v>2493</v>
      </c>
      <c r="AS256" t="s">
        <v>2914</v>
      </c>
      <c r="AT256">
        <v>0</v>
      </c>
      <c r="AU256" t="s">
        <v>3109</v>
      </c>
      <c r="AV256">
        <v>1</v>
      </c>
      <c r="AW256">
        <v>2</v>
      </c>
      <c r="AX256">
        <v>66.92</v>
      </c>
      <c r="BB256" t="s">
        <v>252</v>
      </c>
      <c r="BC256" t="s">
        <v>3130</v>
      </c>
      <c r="BD256">
        <v>14274</v>
      </c>
      <c r="BH256" t="s">
        <v>3168</v>
      </c>
      <c r="BK256" t="s">
        <v>3197</v>
      </c>
      <c r="BL256" t="s">
        <v>3276</v>
      </c>
      <c r="BM256" t="s">
        <v>312</v>
      </c>
    </row>
    <row r="257" spans="1:65">
      <c r="A257" s="1">
        <f>HYPERLINK("https://lsnyc.legalserver.org/matter/dynamic-profile/view/1908350","19-1908350")</f>
        <v>0</v>
      </c>
      <c r="B257" t="s">
        <v>65</v>
      </c>
      <c r="C257" t="s">
        <v>117</v>
      </c>
      <c r="D257" t="s">
        <v>170</v>
      </c>
      <c r="E257" t="s">
        <v>171</v>
      </c>
      <c r="G257" t="s">
        <v>172</v>
      </c>
      <c r="H257" t="s">
        <v>220</v>
      </c>
      <c r="I257" t="s">
        <v>172</v>
      </c>
      <c r="J257" t="s">
        <v>231</v>
      </c>
      <c r="K257" t="s">
        <v>172</v>
      </c>
      <c r="L257" t="s">
        <v>274</v>
      </c>
      <c r="M257" t="s">
        <v>232</v>
      </c>
      <c r="O257" t="s">
        <v>313</v>
      </c>
      <c r="Q257" t="s">
        <v>321</v>
      </c>
      <c r="T257" t="s">
        <v>562</v>
      </c>
      <c r="U257" t="s">
        <v>858</v>
      </c>
      <c r="V257" t="s">
        <v>194</v>
      </c>
      <c r="X257" t="s">
        <v>1112</v>
      </c>
      <c r="Y257" t="s">
        <v>1359</v>
      </c>
      <c r="Z257" t="s">
        <v>1667</v>
      </c>
      <c r="AA257" t="s">
        <v>1755</v>
      </c>
      <c r="AB257" t="s">
        <v>1786</v>
      </c>
      <c r="AC257">
        <v>10457</v>
      </c>
      <c r="AD257" t="s">
        <v>1790</v>
      </c>
      <c r="AE257" t="s">
        <v>2028</v>
      </c>
      <c r="AF257">
        <v>3</v>
      </c>
      <c r="AH257" t="s">
        <v>2221</v>
      </c>
      <c r="AI257" t="s">
        <v>233</v>
      </c>
      <c r="AJ257" t="s">
        <v>233</v>
      </c>
      <c r="AL257" t="s">
        <v>2230</v>
      </c>
      <c r="AN257">
        <v>0</v>
      </c>
      <c r="AO257">
        <v>985</v>
      </c>
      <c r="AP257">
        <v>1</v>
      </c>
      <c r="AR257" t="s">
        <v>2494</v>
      </c>
      <c r="AS257" t="s">
        <v>2915</v>
      </c>
      <c r="AT257">
        <v>70</v>
      </c>
      <c r="AU257" t="s">
        <v>3109</v>
      </c>
      <c r="AV257">
        <v>1</v>
      </c>
      <c r="AW257">
        <v>1</v>
      </c>
      <c r="AX257">
        <v>0</v>
      </c>
      <c r="BB257" t="s">
        <v>252</v>
      </c>
      <c r="BC257" t="s">
        <v>3130</v>
      </c>
      <c r="BD257">
        <v>0</v>
      </c>
      <c r="BH257" t="s">
        <v>3166</v>
      </c>
      <c r="BK257" t="s">
        <v>3220</v>
      </c>
      <c r="BL257" t="s">
        <v>194</v>
      </c>
    </row>
    <row r="258" spans="1:65">
      <c r="A258" s="1">
        <f>HYPERLINK("https://lsnyc.legalserver.org/matter/dynamic-profile/view/1909392","19-1909392")</f>
        <v>0</v>
      </c>
      <c r="B258" t="s">
        <v>65</v>
      </c>
      <c r="C258" t="s">
        <v>117</v>
      </c>
      <c r="D258" t="s">
        <v>170</v>
      </c>
      <c r="E258" t="s">
        <v>171</v>
      </c>
      <c r="G258" t="s">
        <v>172</v>
      </c>
      <c r="H258" t="s">
        <v>221</v>
      </c>
      <c r="I258" t="s">
        <v>172</v>
      </c>
      <c r="J258" t="s">
        <v>231</v>
      </c>
      <c r="K258" t="s">
        <v>172</v>
      </c>
      <c r="M258" t="s">
        <v>232</v>
      </c>
      <c r="N258" t="s">
        <v>311</v>
      </c>
      <c r="O258" t="s">
        <v>172</v>
      </c>
      <c r="P258" t="s">
        <v>316</v>
      </c>
      <c r="Q258" t="s">
        <v>321</v>
      </c>
      <c r="T258" t="s">
        <v>563</v>
      </c>
      <c r="U258" t="s">
        <v>941</v>
      </c>
      <c r="V258" t="s">
        <v>213</v>
      </c>
      <c r="X258" t="s">
        <v>1112</v>
      </c>
      <c r="Y258" t="s">
        <v>1360</v>
      </c>
      <c r="Z258">
        <v>2</v>
      </c>
      <c r="AA258" t="s">
        <v>1755</v>
      </c>
      <c r="AB258" t="s">
        <v>1786</v>
      </c>
      <c r="AC258">
        <v>10467</v>
      </c>
      <c r="AD258" t="s">
        <v>1787</v>
      </c>
      <c r="AE258" t="s">
        <v>2029</v>
      </c>
      <c r="AF258">
        <v>8</v>
      </c>
      <c r="AH258" t="s">
        <v>2221</v>
      </c>
      <c r="AI258" t="s">
        <v>233</v>
      </c>
      <c r="AJ258" t="s">
        <v>233</v>
      </c>
      <c r="AL258" t="s">
        <v>2230</v>
      </c>
      <c r="AM258" t="s">
        <v>2236</v>
      </c>
      <c r="AN258">
        <v>0</v>
      </c>
      <c r="AO258">
        <v>1350</v>
      </c>
      <c r="AP258">
        <v>4.7</v>
      </c>
      <c r="AR258" t="s">
        <v>2495</v>
      </c>
      <c r="AS258" t="s">
        <v>2916</v>
      </c>
      <c r="AT258">
        <v>3</v>
      </c>
      <c r="AU258" t="s">
        <v>3113</v>
      </c>
      <c r="AV258">
        <v>1</v>
      </c>
      <c r="AW258">
        <v>0</v>
      </c>
      <c r="AX258">
        <v>67.25</v>
      </c>
      <c r="BB258" t="s">
        <v>252</v>
      </c>
      <c r="BC258" t="s">
        <v>3130</v>
      </c>
      <c r="BD258">
        <v>8400</v>
      </c>
      <c r="BH258" t="s">
        <v>121</v>
      </c>
      <c r="BK258" t="s">
        <v>1793</v>
      </c>
      <c r="BL258" t="s">
        <v>3277</v>
      </c>
      <c r="BM258" t="s">
        <v>311</v>
      </c>
    </row>
    <row r="259" spans="1:65">
      <c r="A259" s="1">
        <f>HYPERLINK("https://lsnyc.legalserver.org/matter/dynamic-profile/view/1909194","19-1909194")</f>
        <v>0</v>
      </c>
      <c r="B259" t="s">
        <v>65</v>
      </c>
      <c r="C259" t="s">
        <v>117</v>
      </c>
      <c r="D259" t="s">
        <v>170</v>
      </c>
      <c r="E259" t="s">
        <v>171</v>
      </c>
      <c r="G259" t="s">
        <v>172</v>
      </c>
      <c r="H259" t="s">
        <v>221</v>
      </c>
      <c r="I259" t="s">
        <v>172</v>
      </c>
      <c r="J259" t="s">
        <v>231</v>
      </c>
      <c r="K259" t="s">
        <v>172</v>
      </c>
      <c r="M259" t="s">
        <v>232</v>
      </c>
      <c r="N259" t="s">
        <v>311</v>
      </c>
      <c r="O259" t="s">
        <v>172</v>
      </c>
      <c r="P259" t="s">
        <v>316</v>
      </c>
      <c r="Q259" t="s">
        <v>321</v>
      </c>
      <c r="T259" t="s">
        <v>383</v>
      </c>
      <c r="U259" t="s">
        <v>923</v>
      </c>
      <c r="V259" t="s">
        <v>206</v>
      </c>
      <c r="X259" t="s">
        <v>1112</v>
      </c>
      <c r="Y259" t="s">
        <v>1361</v>
      </c>
      <c r="Z259" t="s">
        <v>1689</v>
      </c>
      <c r="AA259" t="s">
        <v>1755</v>
      </c>
      <c r="AB259" t="s">
        <v>1786</v>
      </c>
      <c r="AC259">
        <v>10467</v>
      </c>
      <c r="AD259" t="s">
        <v>1790</v>
      </c>
      <c r="AE259" t="s">
        <v>2030</v>
      </c>
      <c r="AF259">
        <v>1</v>
      </c>
      <c r="AH259" t="s">
        <v>2221</v>
      </c>
      <c r="AI259" t="s">
        <v>233</v>
      </c>
      <c r="AJ259" t="s">
        <v>233</v>
      </c>
      <c r="AL259" t="s">
        <v>2230</v>
      </c>
      <c r="AN259">
        <v>0</v>
      </c>
      <c r="AO259">
        <v>1230</v>
      </c>
      <c r="AP259">
        <v>0</v>
      </c>
      <c r="AR259" t="s">
        <v>2496</v>
      </c>
      <c r="AS259" t="s">
        <v>2917</v>
      </c>
      <c r="AT259">
        <v>0</v>
      </c>
      <c r="AU259" t="s">
        <v>3109</v>
      </c>
      <c r="AV259">
        <v>1</v>
      </c>
      <c r="AW259">
        <v>3</v>
      </c>
      <c r="AX259">
        <v>116.5</v>
      </c>
      <c r="BB259" t="s">
        <v>1793</v>
      </c>
      <c r="BC259" t="s">
        <v>3130</v>
      </c>
      <c r="BD259">
        <v>30000</v>
      </c>
      <c r="BH259" t="s">
        <v>3168</v>
      </c>
      <c r="BK259" t="s">
        <v>3198</v>
      </c>
      <c r="BM259" t="s">
        <v>311</v>
      </c>
    </row>
    <row r="260" spans="1:65">
      <c r="A260" s="1">
        <f>HYPERLINK("https://lsnyc.legalserver.org/matter/dynamic-profile/view/1906530","19-1906530")</f>
        <v>0</v>
      </c>
      <c r="B260" t="s">
        <v>65</v>
      </c>
      <c r="C260" t="s">
        <v>117</v>
      </c>
      <c r="D260" t="s">
        <v>170</v>
      </c>
      <c r="E260" t="s">
        <v>171</v>
      </c>
      <c r="G260" t="s">
        <v>172</v>
      </c>
      <c r="H260" t="s">
        <v>220</v>
      </c>
      <c r="I260" t="s">
        <v>172</v>
      </c>
      <c r="J260" t="s">
        <v>231</v>
      </c>
      <c r="K260" t="s">
        <v>172</v>
      </c>
      <c r="L260" t="s">
        <v>275</v>
      </c>
      <c r="M260" t="s">
        <v>232</v>
      </c>
      <c r="O260" t="s">
        <v>172</v>
      </c>
      <c r="P260" t="s">
        <v>316</v>
      </c>
      <c r="Q260" t="s">
        <v>321</v>
      </c>
      <c r="T260" t="s">
        <v>564</v>
      </c>
      <c r="U260" t="s">
        <v>942</v>
      </c>
      <c r="V260" t="s">
        <v>1097</v>
      </c>
      <c r="X260" t="s">
        <v>1112</v>
      </c>
      <c r="Y260" t="s">
        <v>1362</v>
      </c>
      <c r="Z260">
        <v>2</v>
      </c>
      <c r="AA260" t="s">
        <v>1755</v>
      </c>
      <c r="AB260" t="s">
        <v>1786</v>
      </c>
      <c r="AC260">
        <v>10467</v>
      </c>
      <c r="AD260" t="s">
        <v>1791</v>
      </c>
      <c r="AE260" t="s">
        <v>2031</v>
      </c>
      <c r="AF260">
        <v>1</v>
      </c>
      <c r="AH260" t="s">
        <v>2221</v>
      </c>
      <c r="AI260" t="s">
        <v>233</v>
      </c>
      <c r="AJ260" t="s">
        <v>233</v>
      </c>
      <c r="AL260" t="s">
        <v>2230</v>
      </c>
      <c r="AM260" t="s">
        <v>2236</v>
      </c>
      <c r="AN260">
        <v>0</v>
      </c>
      <c r="AO260">
        <v>2000</v>
      </c>
      <c r="AP260">
        <v>3.2</v>
      </c>
      <c r="AR260" t="s">
        <v>2497</v>
      </c>
      <c r="AS260" t="s">
        <v>2918</v>
      </c>
      <c r="AT260">
        <v>3</v>
      </c>
      <c r="AU260" t="s">
        <v>3109</v>
      </c>
      <c r="AV260">
        <v>3</v>
      </c>
      <c r="AW260">
        <v>1</v>
      </c>
      <c r="AX260">
        <v>95.92</v>
      </c>
      <c r="BB260" t="s">
        <v>252</v>
      </c>
      <c r="BC260" t="s">
        <v>3130</v>
      </c>
      <c r="BD260">
        <v>24700</v>
      </c>
      <c r="BH260" t="s">
        <v>3166</v>
      </c>
      <c r="BK260" t="s">
        <v>3198</v>
      </c>
      <c r="BL260" t="s">
        <v>1098</v>
      </c>
    </row>
    <row r="261" spans="1:65">
      <c r="A261" s="1">
        <f>HYPERLINK("https://lsnyc.legalserver.org/matter/dynamic-profile/view/1907467","19-1907467")</f>
        <v>0</v>
      </c>
      <c r="B261" t="s">
        <v>65</v>
      </c>
      <c r="C261" t="s">
        <v>109</v>
      </c>
      <c r="D261" t="s">
        <v>170</v>
      </c>
      <c r="E261" t="s">
        <v>171</v>
      </c>
      <c r="G261" t="s">
        <v>172</v>
      </c>
      <c r="H261" t="s">
        <v>221</v>
      </c>
      <c r="I261" t="s">
        <v>230</v>
      </c>
      <c r="J261" t="s">
        <v>232</v>
      </c>
      <c r="K261" t="s">
        <v>234</v>
      </c>
      <c r="M261" t="s">
        <v>232</v>
      </c>
      <c r="O261" t="s">
        <v>172</v>
      </c>
      <c r="P261" t="s">
        <v>314</v>
      </c>
      <c r="Q261" t="s">
        <v>321</v>
      </c>
      <c r="T261" t="s">
        <v>565</v>
      </c>
      <c r="U261" t="s">
        <v>943</v>
      </c>
      <c r="V261" t="s">
        <v>191</v>
      </c>
      <c r="X261" t="s">
        <v>1112</v>
      </c>
      <c r="Y261" t="s">
        <v>1363</v>
      </c>
      <c r="Z261" t="s">
        <v>1690</v>
      </c>
      <c r="AA261" t="s">
        <v>1755</v>
      </c>
      <c r="AB261" t="s">
        <v>1786</v>
      </c>
      <c r="AC261">
        <v>10458</v>
      </c>
      <c r="AD261" t="s">
        <v>1794</v>
      </c>
      <c r="AE261" t="s">
        <v>2032</v>
      </c>
      <c r="AF261">
        <v>3</v>
      </c>
      <c r="AH261" t="s">
        <v>2220</v>
      </c>
      <c r="AI261" t="s">
        <v>233</v>
      </c>
      <c r="AL261" t="s">
        <v>2230</v>
      </c>
      <c r="AN261">
        <v>0</v>
      </c>
      <c r="AO261">
        <v>1300</v>
      </c>
      <c r="AP261">
        <v>2.9</v>
      </c>
      <c r="AR261" t="s">
        <v>2498</v>
      </c>
      <c r="AS261" t="s">
        <v>2919</v>
      </c>
      <c r="AT261">
        <v>60</v>
      </c>
      <c r="AU261" t="s">
        <v>3106</v>
      </c>
      <c r="AV261">
        <v>1</v>
      </c>
      <c r="AW261">
        <v>0</v>
      </c>
      <c r="AX261">
        <v>288.23</v>
      </c>
      <c r="BC261" t="s">
        <v>3130</v>
      </c>
      <c r="BD261">
        <v>36000</v>
      </c>
      <c r="BH261" t="s">
        <v>3170</v>
      </c>
      <c r="BK261" t="s">
        <v>3249</v>
      </c>
      <c r="BL261" t="s">
        <v>1109</v>
      </c>
    </row>
    <row r="262" spans="1:65">
      <c r="A262" s="1">
        <f>HYPERLINK("https://lsnyc.legalserver.org/matter/dynamic-profile/view/1907280","19-1907280")</f>
        <v>0</v>
      </c>
      <c r="B262" t="s">
        <v>65</v>
      </c>
      <c r="C262" t="s">
        <v>109</v>
      </c>
      <c r="D262" t="s">
        <v>170</v>
      </c>
      <c r="E262" t="s">
        <v>171</v>
      </c>
      <c r="G262" t="s">
        <v>172</v>
      </c>
      <c r="H262" t="s">
        <v>226</v>
      </c>
      <c r="I262" t="s">
        <v>230</v>
      </c>
      <c r="J262" t="s">
        <v>232</v>
      </c>
      <c r="K262" t="s">
        <v>234</v>
      </c>
      <c r="M262" t="s">
        <v>232</v>
      </c>
      <c r="O262" t="s">
        <v>172</v>
      </c>
      <c r="P262" t="s">
        <v>314</v>
      </c>
      <c r="Q262" t="s">
        <v>322</v>
      </c>
      <c r="T262" t="s">
        <v>393</v>
      </c>
      <c r="U262" t="s">
        <v>808</v>
      </c>
      <c r="V262" t="s">
        <v>193</v>
      </c>
      <c r="W262" t="s">
        <v>191</v>
      </c>
      <c r="X262" t="s">
        <v>1113</v>
      </c>
      <c r="Y262" t="s">
        <v>1364</v>
      </c>
      <c r="Z262" t="s">
        <v>1644</v>
      </c>
      <c r="AA262" t="s">
        <v>1755</v>
      </c>
      <c r="AB262" t="s">
        <v>1786</v>
      </c>
      <c r="AC262">
        <v>10468</v>
      </c>
      <c r="AD262" t="s">
        <v>1793</v>
      </c>
      <c r="AF262">
        <v>7</v>
      </c>
      <c r="AG262" t="s">
        <v>2214</v>
      </c>
      <c r="AH262" t="s">
        <v>2221</v>
      </c>
      <c r="AI262" t="s">
        <v>233</v>
      </c>
      <c r="AJ262" t="s">
        <v>233</v>
      </c>
      <c r="AL262" t="s">
        <v>2230</v>
      </c>
      <c r="AN262">
        <v>0</v>
      </c>
      <c r="AO262">
        <v>1350</v>
      </c>
      <c r="AP262">
        <v>1.41</v>
      </c>
      <c r="AQ262" t="s">
        <v>2242</v>
      </c>
      <c r="AR262" t="s">
        <v>2499</v>
      </c>
      <c r="AS262" t="s">
        <v>2920</v>
      </c>
      <c r="AT262">
        <v>40</v>
      </c>
      <c r="AU262" t="s">
        <v>3109</v>
      </c>
      <c r="AV262">
        <v>1</v>
      </c>
      <c r="AW262">
        <v>0</v>
      </c>
      <c r="AX262">
        <v>163.14</v>
      </c>
      <c r="BB262" t="s">
        <v>3123</v>
      </c>
      <c r="BC262" t="s">
        <v>3130</v>
      </c>
      <c r="BD262">
        <v>20376</v>
      </c>
      <c r="BH262" t="s">
        <v>3171</v>
      </c>
      <c r="BK262" t="s">
        <v>3244</v>
      </c>
      <c r="BL262" t="s">
        <v>191</v>
      </c>
    </row>
    <row r="263" spans="1:65">
      <c r="A263" s="1">
        <f>HYPERLINK("https://lsnyc.legalserver.org/matter/dynamic-profile/view/1904535","19-1904535")</f>
        <v>0</v>
      </c>
      <c r="B263" t="s">
        <v>65</v>
      </c>
      <c r="C263" t="s">
        <v>113</v>
      </c>
      <c r="D263" t="s">
        <v>170</v>
      </c>
      <c r="E263" t="s">
        <v>171</v>
      </c>
      <c r="G263" t="s">
        <v>172</v>
      </c>
      <c r="H263" t="s">
        <v>220</v>
      </c>
      <c r="I263" t="s">
        <v>172</v>
      </c>
      <c r="J263" t="s">
        <v>231</v>
      </c>
      <c r="K263" t="s">
        <v>172</v>
      </c>
      <c r="M263" t="s">
        <v>232</v>
      </c>
      <c r="N263" t="s">
        <v>311</v>
      </c>
      <c r="O263" t="s">
        <v>172</v>
      </c>
      <c r="P263" t="s">
        <v>316</v>
      </c>
      <c r="Q263" t="s">
        <v>321</v>
      </c>
      <c r="T263" t="s">
        <v>566</v>
      </c>
      <c r="U263" t="s">
        <v>944</v>
      </c>
      <c r="V263" t="s">
        <v>176</v>
      </c>
      <c r="X263" t="s">
        <v>1112</v>
      </c>
      <c r="Y263" t="s">
        <v>1365</v>
      </c>
      <c r="Z263">
        <v>2</v>
      </c>
      <c r="AA263" t="s">
        <v>1755</v>
      </c>
      <c r="AB263" t="s">
        <v>1786</v>
      </c>
      <c r="AC263">
        <v>10457</v>
      </c>
      <c r="AD263" t="s">
        <v>1790</v>
      </c>
      <c r="AE263" t="s">
        <v>2033</v>
      </c>
      <c r="AF263">
        <v>2</v>
      </c>
      <c r="AH263" t="s">
        <v>2221</v>
      </c>
      <c r="AI263" t="s">
        <v>233</v>
      </c>
      <c r="AJ263" t="s">
        <v>233</v>
      </c>
      <c r="AL263" t="s">
        <v>2230</v>
      </c>
      <c r="AM263" t="s">
        <v>2236</v>
      </c>
      <c r="AN263">
        <v>0</v>
      </c>
      <c r="AO263">
        <v>2200</v>
      </c>
      <c r="AP263">
        <v>8.300000000000001</v>
      </c>
      <c r="AR263" t="s">
        <v>2500</v>
      </c>
      <c r="AS263" t="s">
        <v>2921</v>
      </c>
      <c r="AT263">
        <v>3</v>
      </c>
      <c r="AU263" t="s">
        <v>3109</v>
      </c>
      <c r="AV263">
        <v>1</v>
      </c>
      <c r="AW263">
        <v>2</v>
      </c>
      <c r="AX263">
        <v>39.38</v>
      </c>
      <c r="BB263" t="s">
        <v>3124</v>
      </c>
      <c r="BD263">
        <v>8400</v>
      </c>
      <c r="BH263" t="s">
        <v>3163</v>
      </c>
      <c r="BK263" t="s">
        <v>3197</v>
      </c>
      <c r="BL263" t="s">
        <v>202</v>
      </c>
      <c r="BM263" t="s">
        <v>311</v>
      </c>
    </row>
    <row r="264" spans="1:65">
      <c r="A264" s="1">
        <f>HYPERLINK("https://lsnyc.legalserver.org/matter/dynamic-profile/view/1903727","19-1903727")</f>
        <v>0</v>
      </c>
      <c r="B264" t="s">
        <v>65</v>
      </c>
      <c r="C264" t="s">
        <v>111</v>
      </c>
      <c r="D264" t="s">
        <v>170</v>
      </c>
      <c r="E264" t="s">
        <v>171</v>
      </c>
      <c r="G264" t="s">
        <v>219</v>
      </c>
      <c r="I264" t="s">
        <v>172</v>
      </c>
      <c r="J264" t="s">
        <v>231</v>
      </c>
      <c r="K264" t="s">
        <v>172</v>
      </c>
      <c r="M264" t="s">
        <v>232</v>
      </c>
      <c r="N264" t="s">
        <v>311</v>
      </c>
      <c r="O264" t="s">
        <v>172</v>
      </c>
      <c r="P264" t="s">
        <v>316</v>
      </c>
      <c r="Q264" t="s">
        <v>321</v>
      </c>
      <c r="T264" t="s">
        <v>567</v>
      </c>
      <c r="U264" t="s">
        <v>904</v>
      </c>
      <c r="V264" t="s">
        <v>200</v>
      </c>
      <c r="X264" t="s">
        <v>1112</v>
      </c>
      <c r="Y264" t="s">
        <v>1366</v>
      </c>
      <c r="Z264" t="s">
        <v>1691</v>
      </c>
      <c r="AA264" t="s">
        <v>1755</v>
      </c>
      <c r="AB264" t="s">
        <v>1786</v>
      </c>
      <c r="AC264">
        <v>10453</v>
      </c>
      <c r="AF264">
        <v>0</v>
      </c>
      <c r="AH264" t="s">
        <v>2220</v>
      </c>
      <c r="AI264" t="s">
        <v>233</v>
      </c>
      <c r="AL264" t="s">
        <v>2230</v>
      </c>
      <c r="AN264">
        <v>0</v>
      </c>
      <c r="AO264">
        <v>0</v>
      </c>
      <c r="AP264">
        <v>19.5</v>
      </c>
      <c r="AR264" t="s">
        <v>2501</v>
      </c>
      <c r="AS264" t="s">
        <v>2922</v>
      </c>
      <c r="AT264">
        <v>151</v>
      </c>
      <c r="AV264">
        <v>2</v>
      </c>
      <c r="AW264">
        <v>0</v>
      </c>
      <c r="AX264">
        <v>137.03</v>
      </c>
      <c r="BC264" t="s">
        <v>3130</v>
      </c>
      <c r="BD264">
        <v>23172</v>
      </c>
      <c r="BH264" t="s">
        <v>3160</v>
      </c>
      <c r="BK264" t="s">
        <v>3250</v>
      </c>
      <c r="BL264" t="s">
        <v>207</v>
      </c>
      <c r="BM264" t="s">
        <v>311</v>
      </c>
    </row>
    <row r="265" spans="1:65">
      <c r="A265" s="1">
        <f>HYPERLINK("https://lsnyc.legalserver.org/matter/dynamic-profile/view/1904104","19-1904104")</f>
        <v>0</v>
      </c>
      <c r="B265" t="s">
        <v>65</v>
      </c>
      <c r="C265" t="s">
        <v>111</v>
      </c>
      <c r="D265" t="s">
        <v>170</v>
      </c>
      <c r="E265" t="s">
        <v>171</v>
      </c>
      <c r="G265" t="s">
        <v>172</v>
      </c>
      <c r="H265" t="s">
        <v>221</v>
      </c>
      <c r="I265" t="s">
        <v>172</v>
      </c>
      <c r="J265" t="s">
        <v>231</v>
      </c>
      <c r="K265" t="s">
        <v>172</v>
      </c>
      <c r="M265" t="s">
        <v>232</v>
      </c>
      <c r="N265" t="s">
        <v>311</v>
      </c>
      <c r="O265" t="s">
        <v>313</v>
      </c>
      <c r="Q265" t="s">
        <v>321</v>
      </c>
      <c r="T265" t="s">
        <v>568</v>
      </c>
      <c r="U265" t="s">
        <v>945</v>
      </c>
      <c r="V265" t="s">
        <v>1102</v>
      </c>
      <c r="X265" t="s">
        <v>1112</v>
      </c>
      <c r="Y265" t="s">
        <v>1367</v>
      </c>
      <c r="Z265" t="s">
        <v>1642</v>
      </c>
      <c r="AA265" t="s">
        <v>1755</v>
      </c>
      <c r="AB265" t="s">
        <v>1786</v>
      </c>
      <c r="AC265">
        <v>10467</v>
      </c>
      <c r="AE265" t="s">
        <v>2034</v>
      </c>
      <c r="AF265">
        <v>1</v>
      </c>
      <c r="AH265" t="s">
        <v>2221</v>
      </c>
      <c r="AI265" t="s">
        <v>233</v>
      </c>
      <c r="AJ265" t="s">
        <v>233</v>
      </c>
      <c r="AL265" t="s">
        <v>2230</v>
      </c>
      <c r="AN265">
        <v>0</v>
      </c>
      <c r="AO265">
        <v>1500</v>
      </c>
      <c r="AP265">
        <v>1</v>
      </c>
      <c r="AR265" t="s">
        <v>2502</v>
      </c>
      <c r="AS265" t="s">
        <v>2923</v>
      </c>
      <c r="AT265">
        <v>48</v>
      </c>
      <c r="AU265" t="s">
        <v>3106</v>
      </c>
      <c r="AV265">
        <v>1</v>
      </c>
      <c r="AW265">
        <v>0</v>
      </c>
      <c r="AX265">
        <v>0</v>
      </c>
      <c r="BC265" t="s">
        <v>3130</v>
      </c>
      <c r="BD265">
        <v>0</v>
      </c>
      <c r="BH265" t="s">
        <v>125</v>
      </c>
      <c r="BK265" t="s">
        <v>3210</v>
      </c>
      <c r="BL265" t="s">
        <v>197</v>
      </c>
      <c r="BM265" t="s">
        <v>311</v>
      </c>
    </row>
    <row r="266" spans="1:65">
      <c r="A266" s="1">
        <f>HYPERLINK("https://lsnyc.legalserver.org/matter/dynamic-profile/view/1908200","19-1908200")</f>
        <v>0</v>
      </c>
      <c r="B266" t="s">
        <v>65</v>
      </c>
      <c r="C266" t="s">
        <v>110</v>
      </c>
      <c r="D266" t="s">
        <v>170</v>
      </c>
      <c r="E266" t="s">
        <v>172</v>
      </c>
      <c r="F266" t="s">
        <v>194</v>
      </c>
      <c r="G266" t="s">
        <v>219</v>
      </c>
      <c r="I266" t="s">
        <v>172</v>
      </c>
      <c r="J266" t="s">
        <v>231</v>
      </c>
      <c r="K266" t="s">
        <v>172</v>
      </c>
      <c r="L266" t="s">
        <v>276</v>
      </c>
      <c r="M266" t="s">
        <v>232</v>
      </c>
      <c r="N266" t="s">
        <v>312</v>
      </c>
      <c r="O266" t="s">
        <v>172</v>
      </c>
      <c r="P266" t="s">
        <v>316</v>
      </c>
      <c r="Q266" t="s">
        <v>321</v>
      </c>
      <c r="T266" t="s">
        <v>569</v>
      </c>
      <c r="U266" t="s">
        <v>946</v>
      </c>
      <c r="V266" t="s">
        <v>1100</v>
      </c>
      <c r="X266" t="s">
        <v>1112</v>
      </c>
      <c r="Y266" t="s">
        <v>1368</v>
      </c>
      <c r="Z266" t="s">
        <v>1575</v>
      </c>
      <c r="AA266" t="s">
        <v>1755</v>
      </c>
      <c r="AB266" t="s">
        <v>1786</v>
      </c>
      <c r="AC266">
        <v>10457</v>
      </c>
      <c r="AD266" t="s">
        <v>1796</v>
      </c>
      <c r="AE266" t="s">
        <v>2035</v>
      </c>
      <c r="AF266">
        <v>3</v>
      </c>
      <c r="AH266" t="s">
        <v>2220</v>
      </c>
      <c r="AI266" t="s">
        <v>233</v>
      </c>
      <c r="AL266" t="s">
        <v>2230</v>
      </c>
      <c r="AN266">
        <v>0</v>
      </c>
      <c r="AO266">
        <v>1900</v>
      </c>
      <c r="AP266">
        <v>18.5</v>
      </c>
      <c r="AR266" t="s">
        <v>2503</v>
      </c>
      <c r="AS266" t="s">
        <v>2924</v>
      </c>
      <c r="AT266">
        <v>0</v>
      </c>
      <c r="AU266" t="s">
        <v>3106</v>
      </c>
      <c r="AV266">
        <v>2</v>
      </c>
      <c r="AW266">
        <v>0</v>
      </c>
      <c r="AX266">
        <v>179.78</v>
      </c>
      <c r="BD266">
        <v>30400</v>
      </c>
      <c r="BH266" t="s">
        <v>125</v>
      </c>
      <c r="BK266" t="s">
        <v>3198</v>
      </c>
      <c r="BL266" t="s">
        <v>1111</v>
      </c>
      <c r="BM266" t="s">
        <v>312</v>
      </c>
    </row>
    <row r="267" spans="1:65">
      <c r="A267" s="1">
        <f>HYPERLINK("https://lsnyc.legalserver.org/matter/dynamic-profile/view/1905169","19-1905169")</f>
        <v>0</v>
      </c>
      <c r="B267" t="s">
        <v>65</v>
      </c>
      <c r="C267" t="s">
        <v>118</v>
      </c>
      <c r="D267" t="s">
        <v>170</v>
      </c>
      <c r="E267" t="s">
        <v>171</v>
      </c>
      <c r="G267" t="s">
        <v>172</v>
      </c>
      <c r="H267" t="s">
        <v>221</v>
      </c>
      <c r="I267" t="s">
        <v>172</v>
      </c>
      <c r="J267" t="s">
        <v>231</v>
      </c>
      <c r="K267" t="s">
        <v>172</v>
      </c>
      <c r="M267" t="s">
        <v>232</v>
      </c>
      <c r="N267" t="s">
        <v>311</v>
      </c>
      <c r="O267" t="s">
        <v>313</v>
      </c>
      <c r="Q267" t="s">
        <v>321</v>
      </c>
      <c r="T267" t="s">
        <v>570</v>
      </c>
      <c r="U267" t="s">
        <v>947</v>
      </c>
      <c r="V267" t="s">
        <v>196</v>
      </c>
      <c r="X267" t="s">
        <v>1112</v>
      </c>
      <c r="Y267" t="s">
        <v>1369</v>
      </c>
      <c r="Z267">
        <v>529</v>
      </c>
      <c r="AA267" t="s">
        <v>1755</v>
      </c>
      <c r="AB267" t="s">
        <v>1786</v>
      </c>
      <c r="AC267">
        <v>10458</v>
      </c>
      <c r="AE267" t="s">
        <v>2036</v>
      </c>
      <c r="AF267">
        <v>22</v>
      </c>
      <c r="AH267" t="s">
        <v>2220</v>
      </c>
      <c r="AI267" t="s">
        <v>233</v>
      </c>
      <c r="AJ267" t="s">
        <v>233</v>
      </c>
      <c r="AL267" t="s">
        <v>2230</v>
      </c>
      <c r="AN267">
        <v>0</v>
      </c>
      <c r="AO267">
        <v>2057</v>
      </c>
      <c r="AP267">
        <v>5.1</v>
      </c>
      <c r="AR267" t="s">
        <v>2504</v>
      </c>
      <c r="AS267" t="s">
        <v>2925</v>
      </c>
      <c r="AT267">
        <v>214</v>
      </c>
      <c r="AU267" t="s">
        <v>3118</v>
      </c>
      <c r="AV267">
        <v>2</v>
      </c>
      <c r="AW267">
        <v>6</v>
      </c>
      <c r="AX267">
        <v>35.92</v>
      </c>
      <c r="BB267" t="s">
        <v>1793</v>
      </c>
      <c r="BC267" t="s">
        <v>3130</v>
      </c>
      <c r="BD267">
        <v>15600</v>
      </c>
      <c r="BH267" t="s">
        <v>125</v>
      </c>
      <c r="BK267" t="s">
        <v>3198</v>
      </c>
      <c r="BL267" t="s">
        <v>3119</v>
      </c>
      <c r="BM267" t="s">
        <v>311</v>
      </c>
    </row>
    <row r="268" spans="1:65">
      <c r="A268" s="1">
        <f>HYPERLINK("https://lsnyc.legalserver.org/matter/dynamic-profile/view/1905761","19-1905761")</f>
        <v>0</v>
      </c>
      <c r="B268" t="s">
        <v>65</v>
      </c>
      <c r="C268" t="s">
        <v>119</v>
      </c>
      <c r="D268" t="s">
        <v>170</v>
      </c>
      <c r="E268" t="s">
        <v>171</v>
      </c>
      <c r="G268" t="s">
        <v>172</v>
      </c>
      <c r="H268" t="s">
        <v>221</v>
      </c>
      <c r="I268" t="s">
        <v>172</v>
      </c>
      <c r="J268" t="s">
        <v>231</v>
      </c>
      <c r="K268" t="s">
        <v>172</v>
      </c>
      <c r="L268" t="s">
        <v>277</v>
      </c>
      <c r="M268" t="s">
        <v>232</v>
      </c>
      <c r="N268" t="s">
        <v>312</v>
      </c>
      <c r="O268" t="s">
        <v>172</v>
      </c>
      <c r="P268" t="s">
        <v>316</v>
      </c>
      <c r="Q268" t="s">
        <v>321</v>
      </c>
      <c r="T268" t="s">
        <v>571</v>
      </c>
      <c r="U268" t="s">
        <v>948</v>
      </c>
      <c r="V268" t="s">
        <v>1103</v>
      </c>
      <c r="X268" t="s">
        <v>1112</v>
      </c>
      <c r="Y268" t="s">
        <v>1370</v>
      </c>
      <c r="Z268">
        <v>2</v>
      </c>
      <c r="AA268" t="s">
        <v>1755</v>
      </c>
      <c r="AB268" t="s">
        <v>1786</v>
      </c>
      <c r="AC268">
        <v>10462</v>
      </c>
      <c r="AD268" t="s">
        <v>1787</v>
      </c>
      <c r="AE268" t="s">
        <v>2037</v>
      </c>
      <c r="AF268">
        <v>1</v>
      </c>
      <c r="AH268" t="s">
        <v>2221</v>
      </c>
      <c r="AI268" t="s">
        <v>233</v>
      </c>
      <c r="AJ268" t="s">
        <v>233</v>
      </c>
      <c r="AL268" t="s">
        <v>2230</v>
      </c>
      <c r="AM268" t="s">
        <v>2236</v>
      </c>
      <c r="AN268">
        <v>0</v>
      </c>
      <c r="AO268">
        <v>1900</v>
      </c>
      <c r="AP268">
        <v>2.7</v>
      </c>
      <c r="AR268" t="s">
        <v>2505</v>
      </c>
      <c r="AS268" t="s">
        <v>2926</v>
      </c>
      <c r="AT268">
        <v>2</v>
      </c>
      <c r="AU268" t="s">
        <v>3108</v>
      </c>
      <c r="AV268">
        <v>1</v>
      </c>
      <c r="AW268">
        <v>3</v>
      </c>
      <c r="AX268">
        <v>170.64</v>
      </c>
      <c r="BB268" t="s">
        <v>252</v>
      </c>
      <c r="BC268" t="s">
        <v>3130</v>
      </c>
      <c r="BD268">
        <v>43940</v>
      </c>
      <c r="BH268" t="s">
        <v>125</v>
      </c>
      <c r="BK268" t="s">
        <v>3211</v>
      </c>
      <c r="BL268" t="s">
        <v>1107</v>
      </c>
      <c r="BM268" t="s">
        <v>312</v>
      </c>
    </row>
    <row r="269" spans="1:65">
      <c r="A269" s="1">
        <f>HYPERLINK("https://lsnyc.legalserver.org/matter/dynamic-profile/view/1907596","19-1907596")</f>
        <v>0</v>
      </c>
      <c r="B269" t="s">
        <v>65</v>
      </c>
      <c r="C269" t="s">
        <v>118</v>
      </c>
      <c r="D269" t="s">
        <v>170</v>
      </c>
      <c r="E269" t="s">
        <v>171</v>
      </c>
      <c r="G269" t="s">
        <v>172</v>
      </c>
      <c r="H269" t="s">
        <v>221</v>
      </c>
      <c r="I269" t="s">
        <v>172</v>
      </c>
      <c r="J269" t="s">
        <v>231</v>
      </c>
      <c r="K269" t="s">
        <v>172</v>
      </c>
      <c r="M269" t="s">
        <v>232</v>
      </c>
      <c r="N269" t="s">
        <v>311</v>
      </c>
      <c r="O269" t="s">
        <v>313</v>
      </c>
      <c r="Q269" t="s">
        <v>321</v>
      </c>
      <c r="T269" t="s">
        <v>572</v>
      </c>
      <c r="U269" t="s">
        <v>949</v>
      </c>
      <c r="V269" t="s">
        <v>210</v>
      </c>
      <c r="X269" t="s">
        <v>1112</v>
      </c>
      <c r="Y269" t="s">
        <v>1371</v>
      </c>
      <c r="AA269" t="s">
        <v>1755</v>
      </c>
      <c r="AB269" t="s">
        <v>1786</v>
      </c>
      <c r="AC269">
        <v>10462</v>
      </c>
      <c r="AE269" t="s">
        <v>2038</v>
      </c>
      <c r="AF269">
        <v>3</v>
      </c>
      <c r="AH269" t="s">
        <v>2221</v>
      </c>
      <c r="AI269" t="s">
        <v>233</v>
      </c>
      <c r="AJ269" t="s">
        <v>233</v>
      </c>
      <c r="AL269" t="s">
        <v>2230</v>
      </c>
      <c r="AM269" t="s">
        <v>2238</v>
      </c>
      <c r="AN269">
        <v>0</v>
      </c>
      <c r="AO269">
        <v>1421</v>
      </c>
      <c r="AP269">
        <v>0.1</v>
      </c>
      <c r="AR269" t="s">
        <v>2506</v>
      </c>
      <c r="AS269" t="s">
        <v>2927</v>
      </c>
      <c r="AT269">
        <v>171</v>
      </c>
      <c r="AU269" t="s">
        <v>3106</v>
      </c>
      <c r="AV269">
        <v>2</v>
      </c>
      <c r="AW269">
        <v>0</v>
      </c>
      <c r="AX269">
        <v>369.01</v>
      </c>
      <c r="BD269">
        <v>62400</v>
      </c>
      <c r="BG269" t="s">
        <v>3149</v>
      </c>
      <c r="BH269" t="s">
        <v>125</v>
      </c>
      <c r="BK269" t="s">
        <v>3198</v>
      </c>
      <c r="BL269" t="s">
        <v>215</v>
      </c>
      <c r="BM269" t="s">
        <v>311</v>
      </c>
    </row>
    <row r="270" spans="1:65">
      <c r="A270" s="1">
        <f>HYPERLINK("https://lsnyc.legalserver.org/matter/dynamic-profile/view/1907107","19-1907107")</f>
        <v>0</v>
      </c>
      <c r="B270" t="s">
        <v>65</v>
      </c>
      <c r="C270" t="s">
        <v>119</v>
      </c>
      <c r="D270" t="s">
        <v>170</v>
      </c>
      <c r="E270" t="s">
        <v>171</v>
      </c>
      <c r="G270" t="s">
        <v>172</v>
      </c>
      <c r="H270" t="s">
        <v>220</v>
      </c>
      <c r="I270" t="s">
        <v>172</v>
      </c>
      <c r="J270" t="s">
        <v>231</v>
      </c>
      <c r="K270" t="s">
        <v>172</v>
      </c>
      <c r="M270" t="s">
        <v>232</v>
      </c>
      <c r="N270" t="s">
        <v>311</v>
      </c>
      <c r="O270" t="s">
        <v>172</v>
      </c>
      <c r="P270" t="s">
        <v>316</v>
      </c>
      <c r="Q270" t="s">
        <v>321</v>
      </c>
      <c r="T270" t="s">
        <v>573</v>
      </c>
      <c r="U270" t="s">
        <v>752</v>
      </c>
      <c r="V270" t="s">
        <v>183</v>
      </c>
      <c r="X270" t="s">
        <v>1112</v>
      </c>
      <c r="Y270" t="s">
        <v>1372</v>
      </c>
      <c r="Z270" t="s">
        <v>1692</v>
      </c>
      <c r="AA270" t="s">
        <v>1755</v>
      </c>
      <c r="AB270" t="s">
        <v>1786</v>
      </c>
      <c r="AC270">
        <v>10453</v>
      </c>
      <c r="AD270" t="s">
        <v>1794</v>
      </c>
      <c r="AE270" t="s">
        <v>2039</v>
      </c>
      <c r="AF270">
        <v>20</v>
      </c>
      <c r="AH270" t="s">
        <v>2220</v>
      </c>
      <c r="AI270" t="s">
        <v>233</v>
      </c>
      <c r="AJ270" t="s">
        <v>233</v>
      </c>
      <c r="AL270" t="s">
        <v>2230</v>
      </c>
      <c r="AM270" t="s">
        <v>2237</v>
      </c>
      <c r="AN270">
        <v>0</v>
      </c>
      <c r="AO270">
        <v>1181.16</v>
      </c>
      <c r="AP270">
        <v>0</v>
      </c>
      <c r="AR270" t="s">
        <v>2507</v>
      </c>
      <c r="AS270" t="s">
        <v>2928</v>
      </c>
      <c r="AT270">
        <v>0</v>
      </c>
      <c r="AU270" t="s">
        <v>3106</v>
      </c>
      <c r="AV270">
        <v>4</v>
      </c>
      <c r="AW270">
        <v>1</v>
      </c>
      <c r="AX270">
        <v>232.68</v>
      </c>
      <c r="BD270">
        <v>70200</v>
      </c>
      <c r="BG270" t="s">
        <v>3150</v>
      </c>
      <c r="BH270" t="s">
        <v>3165</v>
      </c>
      <c r="BK270" t="s">
        <v>3198</v>
      </c>
      <c r="BM270" t="s">
        <v>311</v>
      </c>
    </row>
    <row r="271" spans="1:65">
      <c r="A271" s="1">
        <f>HYPERLINK("https://lsnyc.legalserver.org/matter/dynamic-profile/view/1907388","19-1907388")</f>
        <v>0</v>
      </c>
      <c r="B271" t="s">
        <v>65</v>
      </c>
      <c r="C271" t="s">
        <v>119</v>
      </c>
      <c r="D271" t="s">
        <v>170</v>
      </c>
      <c r="E271" t="s">
        <v>171</v>
      </c>
      <c r="G271" t="s">
        <v>172</v>
      </c>
      <c r="H271" t="s">
        <v>221</v>
      </c>
      <c r="I271" t="s">
        <v>230</v>
      </c>
      <c r="J271" t="s">
        <v>232</v>
      </c>
      <c r="K271" t="s">
        <v>234</v>
      </c>
      <c r="M271" t="s">
        <v>232</v>
      </c>
      <c r="O271" t="s">
        <v>313</v>
      </c>
      <c r="P271" t="s">
        <v>315</v>
      </c>
      <c r="Q271" t="s">
        <v>321</v>
      </c>
      <c r="T271" t="s">
        <v>574</v>
      </c>
      <c r="U271" t="s">
        <v>950</v>
      </c>
      <c r="V271" t="s">
        <v>1099</v>
      </c>
      <c r="X271" t="s">
        <v>1112</v>
      </c>
      <c r="Y271" t="s">
        <v>1373</v>
      </c>
      <c r="Z271" t="s">
        <v>1572</v>
      </c>
      <c r="AA271" t="s">
        <v>1755</v>
      </c>
      <c r="AB271" t="s">
        <v>1786</v>
      </c>
      <c r="AC271">
        <v>10468</v>
      </c>
      <c r="AD271" t="s">
        <v>1788</v>
      </c>
      <c r="AE271" t="s">
        <v>2040</v>
      </c>
      <c r="AF271">
        <v>8</v>
      </c>
      <c r="AH271" t="s">
        <v>2221</v>
      </c>
      <c r="AI271" t="s">
        <v>233</v>
      </c>
      <c r="AJ271" t="s">
        <v>233</v>
      </c>
      <c r="AL271" t="s">
        <v>2230</v>
      </c>
      <c r="AN271">
        <v>0</v>
      </c>
      <c r="AO271">
        <v>1117.22</v>
      </c>
      <c r="AP271">
        <v>0.2</v>
      </c>
      <c r="AR271" t="s">
        <v>2508</v>
      </c>
      <c r="AS271" t="s">
        <v>2929</v>
      </c>
      <c r="AT271">
        <v>0</v>
      </c>
      <c r="AU271" t="s">
        <v>3106</v>
      </c>
      <c r="AV271">
        <v>1</v>
      </c>
      <c r="AW271">
        <v>1</v>
      </c>
      <c r="AX271">
        <v>100.53</v>
      </c>
      <c r="BC271" t="s">
        <v>3130</v>
      </c>
      <c r="BD271">
        <v>17000</v>
      </c>
      <c r="BH271" t="s">
        <v>3165</v>
      </c>
      <c r="BK271" t="s">
        <v>3197</v>
      </c>
      <c r="BL271" t="s">
        <v>185</v>
      </c>
    </row>
    <row r="272" spans="1:65">
      <c r="A272" s="1">
        <f>HYPERLINK("https://lsnyc.legalserver.org/matter/dynamic-profile/view/1906903","19-1906903")</f>
        <v>0</v>
      </c>
      <c r="B272" t="s">
        <v>65</v>
      </c>
      <c r="C272" t="s">
        <v>120</v>
      </c>
      <c r="D272" t="s">
        <v>170</v>
      </c>
      <c r="E272" t="s">
        <v>172</v>
      </c>
      <c r="F272" t="s">
        <v>199</v>
      </c>
      <c r="G272" t="s">
        <v>172</v>
      </c>
      <c r="H272" t="s">
        <v>221</v>
      </c>
      <c r="I272" t="s">
        <v>172</v>
      </c>
      <c r="J272" t="s">
        <v>231</v>
      </c>
      <c r="K272" t="s">
        <v>172</v>
      </c>
      <c r="M272" t="s">
        <v>232</v>
      </c>
      <c r="N272" t="s">
        <v>311</v>
      </c>
      <c r="O272" t="s">
        <v>172</v>
      </c>
      <c r="P272" t="s">
        <v>314</v>
      </c>
      <c r="Q272" t="s">
        <v>322</v>
      </c>
      <c r="T272" t="s">
        <v>575</v>
      </c>
      <c r="U272" t="s">
        <v>951</v>
      </c>
      <c r="V272" t="s">
        <v>199</v>
      </c>
      <c r="W272" t="s">
        <v>199</v>
      </c>
      <c r="X272" t="s">
        <v>1113</v>
      </c>
      <c r="Y272" t="s">
        <v>1374</v>
      </c>
      <c r="Z272" t="s">
        <v>1693</v>
      </c>
      <c r="AA272" t="s">
        <v>1755</v>
      </c>
      <c r="AB272" t="s">
        <v>1786</v>
      </c>
      <c r="AC272">
        <v>10457</v>
      </c>
      <c r="AD272" t="s">
        <v>1793</v>
      </c>
      <c r="AE272" t="s">
        <v>2041</v>
      </c>
      <c r="AF272">
        <v>11</v>
      </c>
      <c r="AG272" t="s">
        <v>2214</v>
      </c>
      <c r="AH272" t="s">
        <v>2221</v>
      </c>
      <c r="AI272" t="s">
        <v>233</v>
      </c>
      <c r="AJ272" t="s">
        <v>233</v>
      </c>
      <c r="AL272" t="s">
        <v>2230</v>
      </c>
      <c r="AM272" t="s">
        <v>2236</v>
      </c>
      <c r="AN272">
        <v>0</v>
      </c>
      <c r="AO272">
        <v>995</v>
      </c>
      <c r="AP272">
        <v>0.5</v>
      </c>
      <c r="AQ272" t="s">
        <v>2242</v>
      </c>
      <c r="AR272" t="s">
        <v>2509</v>
      </c>
      <c r="AS272" t="s">
        <v>2930</v>
      </c>
      <c r="AT272">
        <v>21</v>
      </c>
      <c r="AU272" t="s">
        <v>3106</v>
      </c>
      <c r="AV272">
        <v>1</v>
      </c>
      <c r="AW272">
        <v>0</v>
      </c>
      <c r="AX272">
        <v>82.43000000000001</v>
      </c>
      <c r="BB272" t="s">
        <v>3128</v>
      </c>
      <c r="BC272" t="s">
        <v>3130</v>
      </c>
      <c r="BD272">
        <v>10296</v>
      </c>
      <c r="BG272" t="s">
        <v>3151</v>
      </c>
      <c r="BH272" t="s">
        <v>125</v>
      </c>
      <c r="BK272" t="s">
        <v>3196</v>
      </c>
      <c r="BL272" t="s">
        <v>212</v>
      </c>
      <c r="BM272" t="s">
        <v>311</v>
      </c>
    </row>
    <row r="273" spans="1:65">
      <c r="A273" s="1">
        <f>HYPERLINK("https://lsnyc.legalserver.org/matter/dynamic-profile/view/1906021","19-1906021")</f>
        <v>0</v>
      </c>
      <c r="B273" t="s">
        <v>65</v>
      </c>
      <c r="C273" t="s">
        <v>121</v>
      </c>
      <c r="D273" t="s">
        <v>170</v>
      </c>
      <c r="E273" t="s">
        <v>171</v>
      </c>
      <c r="G273" t="s">
        <v>172</v>
      </c>
      <c r="H273" t="s">
        <v>221</v>
      </c>
      <c r="I273" t="s">
        <v>230</v>
      </c>
      <c r="J273" t="s">
        <v>233</v>
      </c>
      <c r="K273" t="s">
        <v>234</v>
      </c>
      <c r="M273" t="s">
        <v>232</v>
      </c>
      <c r="N273" t="s">
        <v>252</v>
      </c>
      <c r="O273" t="s">
        <v>172</v>
      </c>
      <c r="P273" t="s">
        <v>314</v>
      </c>
      <c r="Q273" t="s">
        <v>321</v>
      </c>
      <c r="T273" t="s">
        <v>576</v>
      </c>
      <c r="U273" t="s">
        <v>952</v>
      </c>
      <c r="V273" t="s">
        <v>204</v>
      </c>
      <c r="X273" t="s">
        <v>1112</v>
      </c>
      <c r="Y273" t="s">
        <v>1375</v>
      </c>
      <c r="Z273" t="s">
        <v>1649</v>
      </c>
      <c r="AA273" t="s">
        <v>1755</v>
      </c>
      <c r="AB273" t="s">
        <v>1786</v>
      </c>
      <c r="AC273">
        <v>10474</v>
      </c>
      <c r="AE273" t="s">
        <v>2042</v>
      </c>
      <c r="AF273">
        <v>5</v>
      </c>
      <c r="AH273" t="s">
        <v>2220</v>
      </c>
      <c r="AI273" t="s">
        <v>233</v>
      </c>
      <c r="AJ273" t="s">
        <v>233</v>
      </c>
      <c r="AL273" t="s">
        <v>2230</v>
      </c>
      <c r="AN273">
        <v>0</v>
      </c>
      <c r="AO273">
        <v>1350</v>
      </c>
      <c r="AP273">
        <v>0</v>
      </c>
      <c r="AR273" t="s">
        <v>2510</v>
      </c>
      <c r="AT273">
        <v>47</v>
      </c>
      <c r="AV273">
        <v>1</v>
      </c>
      <c r="AW273">
        <v>0</v>
      </c>
      <c r="AX273">
        <v>124.9</v>
      </c>
      <c r="BC273" t="s">
        <v>3130</v>
      </c>
      <c r="BD273">
        <v>15600</v>
      </c>
      <c r="BH273" t="s">
        <v>121</v>
      </c>
      <c r="BK273" t="s">
        <v>3214</v>
      </c>
      <c r="BM273" t="s">
        <v>252</v>
      </c>
    </row>
    <row r="274" spans="1:65">
      <c r="A274" s="1">
        <f>HYPERLINK("https://lsnyc.legalserver.org/matter/dynamic-profile/view/1904769","19-1904769")</f>
        <v>0</v>
      </c>
      <c r="B274" t="s">
        <v>65</v>
      </c>
      <c r="C274" t="s">
        <v>122</v>
      </c>
      <c r="D274" t="s">
        <v>170</v>
      </c>
      <c r="E274" t="s">
        <v>171</v>
      </c>
      <c r="G274" t="s">
        <v>219</v>
      </c>
      <c r="I274" t="s">
        <v>172</v>
      </c>
      <c r="J274" t="s">
        <v>231</v>
      </c>
      <c r="K274" t="s">
        <v>172</v>
      </c>
      <c r="M274" t="s">
        <v>232</v>
      </c>
      <c r="N274" t="s">
        <v>311</v>
      </c>
      <c r="O274" t="s">
        <v>172</v>
      </c>
      <c r="P274" t="s">
        <v>314</v>
      </c>
      <c r="Q274" t="s">
        <v>321</v>
      </c>
      <c r="T274" t="s">
        <v>577</v>
      </c>
      <c r="U274" t="s">
        <v>953</v>
      </c>
      <c r="V274" t="s">
        <v>179</v>
      </c>
      <c r="X274" t="s">
        <v>1112</v>
      </c>
      <c r="Y274" t="s">
        <v>1376</v>
      </c>
      <c r="Z274" t="s">
        <v>1694</v>
      </c>
      <c r="AA274" t="s">
        <v>1755</v>
      </c>
      <c r="AB274" t="s">
        <v>1786</v>
      </c>
      <c r="AC274">
        <v>10453</v>
      </c>
      <c r="AE274" t="s">
        <v>2043</v>
      </c>
      <c r="AF274">
        <v>27</v>
      </c>
      <c r="AH274" t="s">
        <v>2220</v>
      </c>
      <c r="AI274" t="s">
        <v>233</v>
      </c>
      <c r="AL274" t="s">
        <v>2230</v>
      </c>
      <c r="AN274">
        <v>0</v>
      </c>
      <c r="AO274">
        <v>879.3</v>
      </c>
      <c r="AP274">
        <v>0.7</v>
      </c>
      <c r="AR274" t="s">
        <v>2511</v>
      </c>
      <c r="AS274" t="s">
        <v>2931</v>
      </c>
      <c r="AT274">
        <v>0</v>
      </c>
      <c r="AV274">
        <v>1</v>
      </c>
      <c r="AW274">
        <v>0</v>
      </c>
      <c r="AX274">
        <v>47.94</v>
      </c>
      <c r="BC274" t="s">
        <v>3131</v>
      </c>
      <c r="BD274">
        <v>5988</v>
      </c>
      <c r="BH274" t="s">
        <v>3160</v>
      </c>
      <c r="BK274" t="s">
        <v>3199</v>
      </c>
      <c r="BL274" t="s">
        <v>213</v>
      </c>
      <c r="BM274" t="s">
        <v>311</v>
      </c>
    </row>
    <row r="275" spans="1:65">
      <c r="A275" s="1">
        <f>HYPERLINK("https://lsnyc.legalserver.org/matter/dynamic-profile/view/1908484","19-1908484")</f>
        <v>0</v>
      </c>
      <c r="B275" t="s">
        <v>65</v>
      </c>
      <c r="C275" t="s">
        <v>122</v>
      </c>
      <c r="D275" t="s">
        <v>170</v>
      </c>
      <c r="E275" t="s">
        <v>171</v>
      </c>
      <c r="G275" t="s">
        <v>219</v>
      </c>
      <c r="I275" t="s">
        <v>230</v>
      </c>
      <c r="J275" t="s">
        <v>232</v>
      </c>
      <c r="K275" t="s">
        <v>234</v>
      </c>
      <c r="M275" t="s">
        <v>232</v>
      </c>
      <c r="O275" t="s">
        <v>313</v>
      </c>
      <c r="Q275" t="s">
        <v>321</v>
      </c>
      <c r="T275" t="s">
        <v>575</v>
      </c>
      <c r="U275" t="s">
        <v>949</v>
      </c>
      <c r="V275" t="s">
        <v>213</v>
      </c>
      <c r="X275" t="s">
        <v>1112</v>
      </c>
      <c r="Y275" t="s">
        <v>1377</v>
      </c>
      <c r="Z275" t="s">
        <v>1652</v>
      </c>
      <c r="AA275" t="s">
        <v>1755</v>
      </c>
      <c r="AB275" t="s">
        <v>1786</v>
      </c>
      <c r="AC275">
        <v>10452</v>
      </c>
      <c r="AF275">
        <v>0</v>
      </c>
      <c r="AH275" t="s">
        <v>2220</v>
      </c>
      <c r="AI275" t="s">
        <v>233</v>
      </c>
      <c r="AL275" t="s">
        <v>2230</v>
      </c>
      <c r="AN275">
        <v>0</v>
      </c>
      <c r="AO275">
        <v>0</v>
      </c>
      <c r="AP275">
        <v>0</v>
      </c>
      <c r="AR275" t="s">
        <v>2512</v>
      </c>
      <c r="AS275" t="s">
        <v>2932</v>
      </c>
      <c r="AT275">
        <v>0</v>
      </c>
      <c r="AV275">
        <v>1</v>
      </c>
      <c r="AW275">
        <v>2</v>
      </c>
      <c r="AX275">
        <v>73.14</v>
      </c>
      <c r="BC275" t="s">
        <v>3130</v>
      </c>
      <c r="BD275">
        <v>15600</v>
      </c>
      <c r="BH275" t="s">
        <v>3160</v>
      </c>
      <c r="BK275" t="s">
        <v>3198</v>
      </c>
    </row>
    <row r="276" spans="1:65">
      <c r="A276" s="1">
        <f>HYPERLINK("https://lsnyc.legalserver.org/matter/dynamic-profile/view/1907684","19-1907684")</f>
        <v>0</v>
      </c>
      <c r="B276" t="s">
        <v>65</v>
      </c>
      <c r="C276" t="s">
        <v>123</v>
      </c>
      <c r="D276" t="s">
        <v>170</v>
      </c>
      <c r="E276" t="s">
        <v>171</v>
      </c>
      <c r="G276" t="s">
        <v>172</v>
      </c>
      <c r="H276" t="s">
        <v>221</v>
      </c>
      <c r="I276" t="s">
        <v>172</v>
      </c>
      <c r="J276" t="s">
        <v>231</v>
      </c>
      <c r="K276" t="s">
        <v>172</v>
      </c>
      <c r="M276" t="s">
        <v>232</v>
      </c>
      <c r="N276" t="s">
        <v>311</v>
      </c>
      <c r="O276" t="s">
        <v>172</v>
      </c>
      <c r="P276" t="s">
        <v>316</v>
      </c>
      <c r="Q276" t="s">
        <v>321</v>
      </c>
      <c r="T276" t="s">
        <v>491</v>
      </c>
      <c r="U276" t="s">
        <v>754</v>
      </c>
      <c r="V276" t="s">
        <v>190</v>
      </c>
      <c r="X276" t="s">
        <v>1112</v>
      </c>
      <c r="Y276" t="s">
        <v>1378</v>
      </c>
      <c r="Z276" t="s">
        <v>1652</v>
      </c>
      <c r="AA276" t="s">
        <v>1755</v>
      </c>
      <c r="AB276" t="s">
        <v>1786</v>
      </c>
      <c r="AC276">
        <v>10468</v>
      </c>
      <c r="AD276" t="s">
        <v>1796</v>
      </c>
      <c r="AE276" t="s">
        <v>2044</v>
      </c>
      <c r="AF276">
        <v>26</v>
      </c>
      <c r="AH276" t="s">
        <v>2221</v>
      </c>
      <c r="AI276" t="s">
        <v>233</v>
      </c>
      <c r="AJ276" t="s">
        <v>233</v>
      </c>
      <c r="AL276" t="s">
        <v>2230</v>
      </c>
      <c r="AN276">
        <v>0</v>
      </c>
      <c r="AO276">
        <v>1269</v>
      </c>
      <c r="AP276">
        <v>0</v>
      </c>
      <c r="AR276" t="s">
        <v>2513</v>
      </c>
      <c r="AS276" t="s">
        <v>2933</v>
      </c>
      <c r="AT276">
        <v>49</v>
      </c>
      <c r="AV276">
        <v>2</v>
      </c>
      <c r="AW276">
        <v>0</v>
      </c>
      <c r="AX276">
        <v>131.99</v>
      </c>
      <c r="BC276" t="s">
        <v>3130</v>
      </c>
      <c r="BD276">
        <v>22320</v>
      </c>
      <c r="BH276" t="s">
        <v>125</v>
      </c>
      <c r="BK276" t="s">
        <v>3195</v>
      </c>
      <c r="BM276" t="s">
        <v>311</v>
      </c>
    </row>
    <row r="277" spans="1:65">
      <c r="A277" s="1">
        <f>HYPERLINK("https://lsnyc.legalserver.org/matter/dynamic-profile/view/1908451","19-1908451")</f>
        <v>0</v>
      </c>
      <c r="B277" t="s">
        <v>65</v>
      </c>
      <c r="C277" t="s">
        <v>123</v>
      </c>
      <c r="D277" t="s">
        <v>170</v>
      </c>
      <c r="E277" t="s">
        <v>171</v>
      </c>
      <c r="G277" t="s">
        <v>172</v>
      </c>
      <c r="H277" t="s">
        <v>221</v>
      </c>
      <c r="I277" t="s">
        <v>172</v>
      </c>
      <c r="J277" t="s">
        <v>231</v>
      </c>
      <c r="K277" t="s">
        <v>172</v>
      </c>
      <c r="M277" t="s">
        <v>232</v>
      </c>
      <c r="N277" t="s">
        <v>311</v>
      </c>
      <c r="O277" t="s">
        <v>172</v>
      </c>
      <c r="P277" t="s">
        <v>316</v>
      </c>
      <c r="Q277" t="s">
        <v>321</v>
      </c>
      <c r="T277" t="s">
        <v>366</v>
      </c>
      <c r="U277" t="s">
        <v>954</v>
      </c>
      <c r="V277" t="s">
        <v>213</v>
      </c>
      <c r="X277" t="s">
        <v>1112</v>
      </c>
      <c r="Y277" t="s">
        <v>1379</v>
      </c>
      <c r="Z277" t="s">
        <v>1583</v>
      </c>
      <c r="AA277" t="s">
        <v>1755</v>
      </c>
      <c r="AB277" t="s">
        <v>1786</v>
      </c>
      <c r="AC277">
        <v>10452</v>
      </c>
      <c r="AD277" t="s">
        <v>1796</v>
      </c>
      <c r="AE277" t="s">
        <v>2045</v>
      </c>
      <c r="AF277">
        <v>19</v>
      </c>
      <c r="AH277" t="s">
        <v>2220</v>
      </c>
      <c r="AI277" t="s">
        <v>233</v>
      </c>
      <c r="AJ277" t="s">
        <v>231</v>
      </c>
      <c r="AL277" t="s">
        <v>2230</v>
      </c>
      <c r="AM277" t="s">
        <v>2237</v>
      </c>
      <c r="AN277">
        <v>0</v>
      </c>
      <c r="AO277">
        <v>922</v>
      </c>
      <c r="AP277">
        <v>4</v>
      </c>
      <c r="AR277" t="s">
        <v>2514</v>
      </c>
      <c r="AS277" t="s">
        <v>2934</v>
      </c>
      <c r="AT277">
        <v>0</v>
      </c>
      <c r="AU277" t="s">
        <v>3106</v>
      </c>
      <c r="AV277">
        <v>1</v>
      </c>
      <c r="AW277">
        <v>1</v>
      </c>
      <c r="AX277">
        <v>112.41</v>
      </c>
      <c r="BC277" t="s">
        <v>3131</v>
      </c>
      <c r="BD277">
        <v>19008</v>
      </c>
      <c r="BH277" t="s">
        <v>3164</v>
      </c>
      <c r="BK277" t="s">
        <v>3198</v>
      </c>
      <c r="BL277" t="s">
        <v>3274</v>
      </c>
      <c r="BM277" t="s">
        <v>311</v>
      </c>
    </row>
    <row r="278" spans="1:65">
      <c r="A278" s="1">
        <f>HYPERLINK("https://lsnyc.legalserver.org/matter/dynamic-profile/view/1908430","19-1908430")</f>
        <v>0</v>
      </c>
      <c r="B278" t="s">
        <v>65</v>
      </c>
      <c r="C278" t="s">
        <v>123</v>
      </c>
      <c r="D278" t="s">
        <v>170</v>
      </c>
      <c r="E278" t="s">
        <v>171</v>
      </c>
      <c r="G278" t="s">
        <v>172</v>
      </c>
      <c r="H278" t="s">
        <v>220</v>
      </c>
      <c r="I278" t="s">
        <v>172</v>
      </c>
      <c r="J278" t="s">
        <v>231</v>
      </c>
      <c r="K278" t="s">
        <v>172</v>
      </c>
      <c r="M278" t="s">
        <v>232</v>
      </c>
      <c r="N278" t="s">
        <v>311</v>
      </c>
      <c r="O278" t="s">
        <v>172</v>
      </c>
      <c r="P278" t="s">
        <v>316</v>
      </c>
      <c r="Q278" t="s">
        <v>321</v>
      </c>
      <c r="T278" t="s">
        <v>578</v>
      </c>
      <c r="U278" t="s">
        <v>955</v>
      </c>
      <c r="V278" t="s">
        <v>194</v>
      </c>
      <c r="X278" t="s">
        <v>1112</v>
      </c>
      <c r="Y278" t="s">
        <v>1380</v>
      </c>
      <c r="Z278">
        <v>2</v>
      </c>
      <c r="AA278" t="s">
        <v>1755</v>
      </c>
      <c r="AB278" t="s">
        <v>1786</v>
      </c>
      <c r="AC278">
        <v>10462</v>
      </c>
      <c r="AD278" t="s">
        <v>1787</v>
      </c>
      <c r="AE278" t="s">
        <v>2046</v>
      </c>
      <c r="AF278">
        <v>3</v>
      </c>
      <c r="AH278" t="s">
        <v>2221</v>
      </c>
      <c r="AI278" t="s">
        <v>233</v>
      </c>
      <c r="AJ278" t="s">
        <v>233</v>
      </c>
      <c r="AL278" t="s">
        <v>2230</v>
      </c>
      <c r="AN278">
        <v>0</v>
      </c>
      <c r="AO278">
        <v>1810</v>
      </c>
      <c r="AP278">
        <v>1.5</v>
      </c>
      <c r="AR278" t="s">
        <v>2515</v>
      </c>
      <c r="AS278" t="s">
        <v>2935</v>
      </c>
      <c r="AT278">
        <v>0</v>
      </c>
      <c r="AU278" t="s">
        <v>3106</v>
      </c>
      <c r="AV278">
        <v>3</v>
      </c>
      <c r="AW278">
        <v>3</v>
      </c>
      <c r="AX278">
        <v>104.86</v>
      </c>
      <c r="BB278" t="s">
        <v>3123</v>
      </c>
      <c r="BC278" t="s">
        <v>3130</v>
      </c>
      <c r="BD278">
        <v>36270</v>
      </c>
      <c r="BH278" t="s">
        <v>3159</v>
      </c>
      <c r="BK278" t="s">
        <v>3238</v>
      </c>
      <c r="BL278" t="s">
        <v>215</v>
      </c>
      <c r="BM278" t="s">
        <v>311</v>
      </c>
    </row>
    <row r="279" spans="1:65">
      <c r="A279" s="1">
        <f>HYPERLINK("https://lsnyc.legalserver.org/matter/dynamic-profile/view/1908460","19-1908460")</f>
        <v>0</v>
      </c>
      <c r="B279" t="s">
        <v>65</v>
      </c>
      <c r="C279" t="s">
        <v>124</v>
      </c>
      <c r="D279" t="s">
        <v>170</v>
      </c>
      <c r="E279" t="s">
        <v>171</v>
      </c>
      <c r="G279" t="s">
        <v>172</v>
      </c>
      <c r="H279" t="s">
        <v>220</v>
      </c>
      <c r="I279" t="s">
        <v>172</v>
      </c>
      <c r="J279" t="s">
        <v>231</v>
      </c>
      <c r="K279" t="s">
        <v>172</v>
      </c>
      <c r="M279" t="s">
        <v>232</v>
      </c>
      <c r="N279" t="s">
        <v>311</v>
      </c>
      <c r="O279" t="s">
        <v>313</v>
      </c>
      <c r="P279" t="s">
        <v>315</v>
      </c>
      <c r="Q279" t="s">
        <v>321</v>
      </c>
      <c r="T279" t="s">
        <v>579</v>
      </c>
      <c r="U279" t="s">
        <v>903</v>
      </c>
      <c r="V279" t="s">
        <v>213</v>
      </c>
      <c r="X279" t="s">
        <v>1112</v>
      </c>
      <c r="Y279" t="s">
        <v>1381</v>
      </c>
      <c r="Z279" t="s">
        <v>1695</v>
      </c>
      <c r="AA279" t="s">
        <v>1755</v>
      </c>
      <c r="AB279" t="s">
        <v>1786</v>
      </c>
      <c r="AC279">
        <v>10467</v>
      </c>
      <c r="AD279" t="s">
        <v>1787</v>
      </c>
      <c r="AE279" t="s">
        <v>2047</v>
      </c>
      <c r="AF279">
        <v>6</v>
      </c>
      <c r="AH279" t="s">
        <v>2221</v>
      </c>
      <c r="AI279" t="s">
        <v>233</v>
      </c>
      <c r="AJ279" t="s">
        <v>233</v>
      </c>
      <c r="AL279" t="s">
        <v>2230</v>
      </c>
      <c r="AN279">
        <v>0</v>
      </c>
      <c r="AO279">
        <v>245</v>
      </c>
      <c r="AP279">
        <v>1.5</v>
      </c>
      <c r="AR279" t="s">
        <v>2516</v>
      </c>
      <c r="AS279" t="s">
        <v>2936</v>
      </c>
      <c r="AT279">
        <v>0</v>
      </c>
      <c r="AU279" t="s">
        <v>3109</v>
      </c>
      <c r="AV279">
        <v>2</v>
      </c>
      <c r="AW279">
        <v>0</v>
      </c>
      <c r="AX279">
        <v>52.87</v>
      </c>
      <c r="BB279" t="s">
        <v>3127</v>
      </c>
      <c r="BC279" t="s">
        <v>3130</v>
      </c>
      <c r="BD279">
        <v>8940</v>
      </c>
      <c r="BH279" t="s">
        <v>3159</v>
      </c>
      <c r="BK279" t="s">
        <v>3207</v>
      </c>
      <c r="BL279" t="s">
        <v>206</v>
      </c>
      <c r="BM279" t="s">
        <v>311</v>
      </c>
    </row>
    <row r="280" spans="1:65">
      <c r="A280" s="1">
        <f>HYPERLINK("https://lsnyc.legalserver.org/matter/dynamic-profile/view/1908126","19-1908126")</f>
        <v>0</v>
      </c>
      <c r="B280" t="s">
        <v>65</v>
      </c>
      <c r="C280" t="s">
        <v>124</v>
      </c>
      <c r="D280" t="s">
        <v>170</v>
      </c>
      <c r="E280" t="s">
        <v>171</v>
      </c>
      <c r="G280" t="s">
        <v>172</v>
      </c>
      <c r="H280" t="s">
        <v>221</v>
      </c>
      <c r="I280" t="s">
        <v>172</v>
      </c>
      <c r="J280" t="s">
        <v>231</v>
      </c>
      <c r="K280" t="s">
        <v>172</v>
      </c>
      <c r="M280" t="s">
        <v>232</v>
      </c>
      <c r="N280" t="s">
        <v>311</v>
      </c>
      <c r="O280" t="s">
        <v>313</v>
      </c>
      <c r="Q280" t="s">
        <v>321</v>
      </c>
      <c r="T280" t="s">
        <v>580</v>
      </c>
      <c r="U280" t="s">
        <v>863</v>
      </c>
      <c r="V280" t="s">
        <v>1100</v>
      </c>
      <c r="X280" t="s">
        <v>1112</v>
      </c>
      <c r="Y280" t="s">
        <v>1382</v>
      </c>
      <c r="Z280" t="s">
        <v>1588</v>
      </c>
      <c r="AA280" t="s">
        <v>1755</v>
      </c>
      <c r="AB280" t="s">
        <v>1786</v>
      </c>
      <c r="AC280">
        <v>10468</v>
      </c>
      <c r="AD280" t="s">
        <v>1788</v>
      </c>
      <c r="AE280" t="s">
        <v>2048</v>
      </c>
      <c r="AF280">
        <v>3</v>
      </c>
      <c r="AH280" t="s">
        <v>2221</v>
      </c>
      <c r="AI280" t="s">
        <v>233</v>
      </c>
      <c r="AJ280" t="s">
        <v>233</v>
      </c>
      <c r="AL280" t="s">
        <v>2230</v>
      </c>
      <c r="AN280">
        <v>0</v>
      </c>
      <c r="AO280">
        <v>860</v>
      </c>
      <c r="AP280">
        <v>2.5</v>
      </c>
      <c r="AR280" t="s">
        <v>2517</v>
      </c>
      <c r="AS280" t="s">
        <v>2937</v>
      </c>
      <c r="AT280">
        <v>43</v>
      </c>
      <c r="AU280" t="s">
        <v>3106</v>
      </c>
      <c r="AV280">
        <v>1</v>
      </c>
      <c r="AW280">
        <v>2</v>
      </c>
      <c r="AX280">
        <v>0</v>
      </c>
      <c r="BC280" t="s">
        <v>3131</v>
      </c>
      <c r="BD280">
        <v>0</v>
      </c>
      <c r="BH280" t="s">
        <v>125</v>
      </c>
      <c r="BK280" t="s">
        <v>3220</v>
      </c>
      <c r="BL280" t="s">
        <v>206</v>
      </c>
      <c r="BM280" t="s">
        <v>311</v>
      </c>
    </row>
    <row r="281" spans="1:65">
      <c r="A281" s="1">
        <f>HYPERLINK("https://lsnyc.legalserver.org/matter/dynamic-profile/view/1906351","19-1906351")</f>
        <v>0</v>
      </c>
      <c r="B281" t="s">
        <v>65</v>
      </c>
      <c r="C281" t="s">
        <v>125</v>
      </c>
      <c r="D281" t="s">
        <v>170</v>
      </c>
      <c r="E281" t="s">
        <v>171</v>
      </c>
      <c r="G281" t="s">
        <v>172</v>
      </c>
      <c r="H281" t="s">
        <v>221</v>
      </c>
      <c r="I281" t="s">
        <v>230</v>
      </c>
      <c r="J281" t="s">
        <v>233</v>
      </c>
      <c r="K281" t="s">
        <v>234</v>
      </c>
      <c r="M281" t="s">
        <v>232</v>
      </c>
      <c r="O281" t="s">
        <v>313</v>
      </c>
      <c r="Q281" t="s">
        <v>321</v>
      </c>
      <c r="T281" t="s">
        <v>581</v>
      </c>
      <c r="U281" t="s">
        <v>956</v>
      </c>
      <c r="V281" t="s">
        <v>195</v>
      </c>
      <c r="X281" t="s">
        <v>1112</v>
      </c>
      <c r="Y281" t="s">
        <v>1383</v>
      </c>
      <c r="Z281" t="s">
        <v>1696</v>
      </c>
      <c r="AA281" t="s">
        <v>1755</v>
      </c>
      <c r="AB281" t="s">
        <v>1786</v>
      </c>
      <c r="AC281">
        <v>10468</v>
      </c>
      <c r="AE281" t="s">
        <v>2049</v>
      </c>
      <c r="AF281">
        <v>3</v>
      </c>
      <c r="AH281" t="s">
        <v>2221</v>
      </c>
      <c r="AI281" t="s">
        <v>233</v>
      </c>
      <c r="AJ281" t="s">
        <v>233</v>
      </c>
      <c r="AL281" t="s">
        <v>2230</v>
      </c>
      <c r="AN281">
        <v>0</v>
      </c>
      <c r="AO281">
        <v>1300</v>
      </c>
      <c r="AP281">
        <v>0</v>
      </c>
      <c r="AR281" t="s">
        <v>2518</v>
      </c>
      <c r="AT281">
        <v>72</v>
      </c>
      <c r="AV281">
        <v>1</v>
      </c>
      <c r="AW281">
        <v>0</v>
      </c>
      <c r="AX281">
        <v>480.38</v>
      </c>
      <c r="BC281" t="s">
        <v>3130</v>
      </c>
      <c r="BD281">
        <v>60000</v>
      </c>
      <c r="BH281" t="s">
        <v>125</v>
      </c>
      <c r="BK281" t="s">
        <v>3198</v>
      </c>
    </row>
    <row r="282" spans="1:65">
      <c r="A282" s="1">
        <f>HYPERLINK("https://lsnyc.legalserver.org/matter/dynamic-profile/view/1906683","19-1906683")</f>
        <v>0</v>
      </c>
      <c r="B282" t="s">
        <v>65</v>
      </c>
      <c r="C282" t="s">
        <v>126</v>
      </c>
      <c r="D282" t="s">
        <v>170</v>
      </c>
      <c r="E282" t="s">
        <v>171</v>
      </c>
      <c r="G282" t="s">
        <v>219</v>
      </c>
      <c r="I282" t="s">
        <v>230</v>
      </c>
      <c r="J282" t="s">
        <v>232</v>
      </c>
      <c r="K282" t="s">
        <v>234</v>
      </c>
      <c r="M282" t="s">
        <v>232</v>
      </c>
      <c r="O282" t="s">
        <v>172</v>
      </c>
      <c r="P282" t="s">
        <v>316</v>
      </c>
      <c r="Q282" t="s">
        <v>321</v>
      </c>
      <c r="T282" t="s">
        <v>582</v>
      </c>
      <c r="U282" t="s">
        <v>957</v>
      </c>
      <c r="V282" t="s">
        <v>197</v>
      </c>
      <c r="X282" t="s">
        <v>1112</v>
      </c>
      <c r="Y282" t="s">
        <v>1384</v>
      </c>
      <c r="Z282" t="s">
        <v>1697</v>
      </c>
      <c r="AA282" t="s">
        <v>1755</v>
      </c>
      <c r="AB282" t="s">
        <v>1786</v>
      </c>
      <c r="AC282">
        <v>10462</v>
      </c>
      <c r="AF282">
        <v>0</v>
      </c>
      <c r="AH282" t="s">
        <v>2220</v>
      </c>
      <c r="AI282" t="s">
        <v>233</v>
      </c>
      <c r="AL282" t="s">
        <v>2233</v>
      </c>
      <c r="AN282">
        <v>0</v>
      </c>
      <c r="AO282">
        <v>0</v>
      </c>
      <c r="AP282">
        <v>2</v>
      </c>
      <c r="AR282" t="s">
        <v>2519</v>
      </c>
      <c r="AS282" t="s">
        <v>2938</v>
      </c>
      <c r="AT282">
        <v>0</v>
      </c>
      <c r="AV282">
        <v>2</v>
      </c>
      <c r="AW282">
        <v>0</v>
      </c>
      <c r="AX282">
        <v>165.42</v>
      </c>
      <c r="BC282" t="s">
        <v>3130</v>
      </c>
      <c r="BD282">
        <v>27972</v>
      </c>
      <c r="BH282" t="s">
        <v>3166</v>
      </c>
      <c r="BK282" t="s">
        <v>3236</v>
      </c>
      <c r="BL282" t="s">
        <v>207</v>
      </c>
    </row>
    <row r="283" spans="1:65">
      <c r="A283" s="1">
        <f>HYPERLINK("https://lsnyc.legalserver.org/matter/dynamic-profile/view/1908554","19-1908554")</f>
        <v>0</v>
      </c>
      <c r="B283" t="s">
        <v>65</v>
      </c>
      <c r="C283" t="s">
        <v>127</v>
      </c>
      <c r="D283" t="s">
        <v>170</v>
      </c>
      <c r="E283" t="s">
        <v>171</v>
      </c>
      <c r="G283" t="s">
        <v>172</v>
      </c>
      <c r="H283" t="s">
        <v>221</v>
      </c>
      <c r="I283" t="s">
        <v>172</v>
      </c>
      <c r="J283" t="s">
        <v>231</v>
      </c>
      <c r="K283" t="s">
        <v>234</v>
      </c>
      <c r="M283" t="s">
        <v>232</v>
      </c>
      <c r="O283" t="s">
        <v>313</v>
      </c>
      <c r="Q283" t="s">
        <v>321</v>
      </c>
      <c r="T283" t="s">
        <v>475</v>
      </c>
      <c r="U283" t="s">
        <v>958</v>
      </c>
      <c r="V283" t="s">
        <v>213</v>
      </c>
      <c r="X283" t="s">
        <v>1112</v>
      </c>
      <c r="Y283" t="s">
        <v>1385</v>
      </c>
      <c r="Z283" t="s">
        <v>1644</v>
      </c>
      <c r="AA283" t="s">
        <v>1755</v>
      </c>
      <c r="AB283" t="s">
        <v>1786</v>
      </c>
      <c r="AC283">
        <v>10468</v>
      </c>
      <c r="AD283" t="s">
        <v>1790</v>
      </c>
      <c r="AE283" t="s">
        <v>2050</v>
      </c>
      <c r="AF283">
        <v>5</v>
      </c>
      <c r="AH283" t="s">
        <v>2221</v>
      </c>
      <c r="AI283" t="s">
        <v>233</v>
      </c>
      <c r="AJ283" t="s">
        <v>233</v>
      </c>
      <c r="AL283" t="s">
        <v>2230</v>
      </c>
      <c r="AN283">
        <v>0</v>
      </c>
      <c r="AO283">
        <v>1350</v>
      </c>
      <c r="AP283">
        <v>0</v>
      </c>
      <c r="AR283" t="s">
        <v>2520</v>
      </c>
      <c r="AS283" t="s">
        <v>2939</v>
      </c>
      <c r="AT283">
        <v>27</v>
      </c>
      <c r="AU283" t="s">
        <v>3106</v>
      </c>
      <c r="AV283">
        <v>2</v>
      </c>
      <c r="AW283">
        <v>2</v>
      </c>
      <c r="AX283">
        <v>80.78</v>
      </c>
      <c r="BB283" t="s">
        <v>252</v>
      </c>
      <c r="BC283" t="s">
        <v>3131</v>
      </c>
      <c r="BD283">
        <v>20800</v>
      </c>
      <c r="BH283" t="s">
        <v>3166</v>
      </c>
      <c r="BK283" t="s">
        <v>3198</v>
      </c>
    </row>
    <row r="284" spans="1:65">
      <c r="A284" s="1">
        <f>HYPERLINK("https://lsnyc.legalserver.org/matter/dynamic-profile/view/1907928","19-1907928")</f>
        <v>0</v>
      </c>
      <c r="B284" t="s">
        <v>65</v>
      </c>
      <c r="C284" t="s">
        <v>99</v>
      </c>
      <c r="D284" t="s">
        <v>170</v>
      </c>
      <c r="E284" t="s">
        <v>171</v>
      </c>
      <c r="G284" t="s">
        <v>172</v>
      </c>
      <c r="H284" t="s">
        <v>221</v>
      </c>
      <c r="I284" t="s">
        <v>172</v>
      </c>
      <c r="J284" t="s">
        <v>231</v>
      </c>
      <c r="K284" t="s">
        <v>172</v>
      </c>
      <c r="L284" t="s">
        <v>278</v>
      </c>
      <c r="M284" t="s">
        <v>232</v>
      </c>
      <c r="N284" t="s">
        <v>312</v>
      </c>
      <c r="O284" t="s">
        <v>313</v>
      </c>
      <c r="P284" t="s">
        <v>315</v>
      </c>
      <c r="Q284" t="s">
        <v>321</v>
      </c>
      <c r="T284" t="s">
        <v>583</v>
      </c>
      <c r="U284" t="s">
        <v>959</v>
      </c>
      <c r="V284" t="s">
        <v>192</v>
      </c>
      <c r="X284" t="s">
        <v>1112</v>
      </c>
      <c r="Y284" t="s">
        <v>1386</v>
      </c>
      <c r="Z284" t="s">
        <v>1683</v>
      </c>
      <c r="AA284" t="s">
        <v>1755</v>
      </c>
      <c r="AB284" t="s">
        <v>1786</v>
      </c>
      <c r="AC284">
        <v>10467</v>
      </c>
      <c r="AD284" t="s">
        <v>1790</v>
      </c>
      <c r="AE284" t="s">
        <v>2051</v>
      </c>
      <c r="AF284">
        <v>1</v>
      </c>
      <c r="AH284" t="s">
        <v>2221</v>
      </c>
      <c r="AI284" t="s">
        <v>233</v>
      </c>
      <c r="AJ284" t="s">
        <v>233</v>
      </c>
      <c r="AL284" t="s">
        <v>2230</v>
      </c>
      <c r="AN284">
        <v>0</v>
      </c>
      <c r="AO284">
        <v>210</v>
      </c>
      <c r="AP284">
        <v>9.5</v>
      </c>
      <c r="AR284" t="s">
        <v>2521</v>
      </c>
      <c r="AS284" t="s">
        <v>2940</v>
      </c>
      <c r="AT284">
        <v>0</v>
      </c>
      <c r="AU284" t="s">
        <v>3109</v>
      </c>
      <c r="AV284">
        <v>1</v>
      </c>
      <c r="AW284">
        <v>0</v>
      </c>
      <c r="AX284">
        <v>111.16</v>
      </c>
      <c r="BB284" t="s">
        <v>252</v>
      </c>
      <c r="BC284" t="s">
        <v>3130</v>
      </c>
      <c r="BD284">
        <v>13884</v>
      </c>
      <c r="BH284" t="s">
        <v>3159</v>
      </c>
      <c r="BK284" t="s">
        <v>3209</v>
      </c>
      <c r="BL284" t="s">
        <v>213</v>
      </c>
      <c r="BM284" t="s">
        <v>312</v>
      </c>
    </row>
    <row r="285" spans="1:65">
      <c r="A285" s="1">
        <f>HYPERLINK("https://lsnyc.legalserver.org/matter/dynamic-profile/view/1907265","19-1907265")</f>
        <v>0</v>
      </c>
      <c r="B285" t="s">
        <v>65</v>
      </c>
      <c r="C285" t="s">
        <v>119</v>
      </c>
      <c r="D285" t="s">
        <v>170</v>
      </c>
      <c r="E285" t="s">
        <v>171</v>
      </c>
      <c r="G285" t="s">
        <v>172</v>
      </c>
      <c r="H285" t="s">
        <v>221</v>
      </c>
      <c r="I285" t="s">
        <v>230</v>
      </c>
      <c r="J285" t="s">
        <v>232</v>
      </c>
      <c r="K285" t="s">
        <v>234</v>
      </c>
      <c r="M285" t="s">
        <v>232</v>
      </c>
      <c r="O285" t="s">
        <v>313</v>
      </c>
      <c r="Q285" t="s">
        <v>321</v>
      </c>
      <c r="T285" t="s">
        <v>419</v>
      </c>
      <c r="U285" t="s">
        <v>960</v>
      </c>
      <c r="V285" t="s">
        <v>193</v>
      </c>
      <c r="X285" t="s">
        <v>1112</v>
      </c>
      <c r="Y285" t="s">
        <v>1387</v>
      </c>
      <c r="Z285" t="s">
        <v>1564</v>
      </c>
      <c r="AA285" t="s">
        <v>1755</v>
      </c>
      <c r="AB285" t="s">
        <v>1786</v>
      </c>
      <c r="AC285">
        <v>10462</v>
      </c>
      <c r="AD285" t="s">
        <v>1787</v>
      </c>
      <c r="AE285" t="s">
        <v>2052</v>
      </c>
      <c r="AF285">
        <v>20</v>
      </c>
      <c r="AH285" t="s">
        <v>2220</v>
      </c>
      <c r="AI285" t="s">
        <v>233</v>
      </c>
      <c r="AJ285" t="s">
        <v>233</v>
      </c>
      <c r="AK285" t="s">
        <v>2229</v>
      </c>
      <c r="AL285" t="s">
        <v>2234</v>
      </c>
      <c r="AN285">
        <v>0</v>
      </c>
      <c r="AO285">
        <v>1067</v>
      </c>
      <c r="AP285">
        <v>0</v>
      </c>
      <c r="AR285" t="s">
        <v>2522</v>
      </c>
      <c r="AS285" t="s">
        <v>2941</v>
      </c>
      <c r="AT285">
        <v>81</v>
      </c>
      <c r="AU285" t="s">
        <v>3106</v>
      </c>
      <c r="AV285">
        <v>2</v>
      </c>
      <c r="AW285">
        <v>2</v>
      </c>
      <c r="AX285">
        <v>237.67</v>
      </c>
      <c r="BC285" t="s">
        <v>3130</v>
      </c>
      <c r="BD285">
        <v>61200</v>
      </c>
      <c r="BH285" t="s">
        <v>3165</v>
      </c>
      <c r="BK285" t="s">
        <v>3198</v>
      </c>
    </row>
    <row r="286" spans="1:65">
      <c r="A286" s="1">
        <f>HYPERLINK("https://lsnyc.legalserver.org/matter/dynamic-profile/view/1906942","19-1906942")</f>
        <v>0</v>
      </c>
      <c r="B286" t="s">
        <v>65</v>
      </c>
      <c r="C286" t="s">
        <v>128</v>
      </c>
      <c r="D286" t="s">
        <v>170</v>
      </c>
      <c r="E286" t="s">
        <v>172</v>
      </c>
      <c r="F286" t="s">
        <v>199</v>
      </c>
      <c r="G286" t="s">
        <v>172</v>
      </c>
      <c r="H286" t="s">
        <v>224</v>
      </c>
      <c r="I286" t="s">
        <v>172</v>
      </c>
      <c r="J286" t="s">
        <v>231</v>
      </c>
      <c r="K286" t="s">
        <v>172</v>
      </c>
      <c r="L286" t="s">
        <v>279</v>
      </c>
      <c r="M286" t="s">
        <v>232</v>
      </c>
      <c r="N286" t="s">
        <v>312</v>
      </c>
      <c r="O286" t="s">
        <v>172</v>
      </c>
      <c r="P286" t="s">
        <v>314</v>
      </c>
      <c r="Q286" t="s">
        <v>322</v>
      </c>
      <c r="T286" t="s">
        <v>584</v>
      </c>
      <c r="U286" t="s">
        <v>961</v>
      </c>
      <c r="V286" t="s">
        <v>199</v>
      </c>
      <c r="W286" t="s">
        <v>191</v>
      </c>
      <c r="X286" t="s">
        <v>1113</v>
      </c>
      <c r="Y286" t="s">
        <v>1388</v>
      </c>
      <c r="Z286" t="s">
        <v>1637</v>
      </c>
      <c r="AA286" t="s">
        <v>1755</v>
      </c>
      <c r="AB286" t="s">
        <v>1786</v>
      </c>
      <c r="AC286">
        <v>10455</v>
      </c>
      <c r="AD286" t="s">
        <v>1796</v>
      </c>
      <c r="AE286" t="s">
        <v>2053</v>
      </c>
      <c r="AF286">
        <v>38</v>
      </c>
      <c r="AG286" t="s">
        <v>2214</v>
      </c>
      <c r="AH286" t="s">
        <v>2220</v>
      </c>
      <c r="AI286" t="s">
        <v>233</v>
      </c>
      <c r="AJ286" t="s">
        <v>233</v>
      </c>
      <c r="AL286" t="s">
        <v>2230</v>
      </c>
      <c r="AM286" t="s">
        <v>2237</v>
      </c>
      <c r="AN286">
        <v>0</v>
      </c>
      <c r="AO286">
        <v>1400</v>
      </c>
      <c r="AP286">
        <v>2.5</v>
      </c>
      <c r="AQ286" t="s">
        <v>2242</v>
      </c>
      <c r="AR286" t="s">
        <v>2523</v>
      </c>
      <c r="AS286" t="s">
        <v>2942</v>
      </c>
      <c r="AT286">
        <v>49</v>
      </c>
      <c r="AU286" t="s">
        <v>3107</v>
      </c>
      <c r="AV286">
        <v>1</v>
      </c>
      <c r="AW286">
        <v>0</v>
      </c>
      <c r="AX286">
        <v>163.01</v>
      </c>
      <c r="BB286" t="s">
        <v>252</v>
      </c>
      <c r="BC286" t="s">
        <v>3130</v>
      </c>
      <c r="BD286">
        <v>20360</v>
      </c>
      <c r="BH286" t="s">
        <v>3159</v>
      </c>
      <c r="BK286" t="s">
        <v>3211</v>
      </c>
      <c r="BL286" t="s">
        <v>190</v>
      </c>
      <c r="BM286" t="s">
        <v>312</v>
      </c>
    </row>
    <row r="287" spans="1:65">
      <c r="A287" s="1">
        <f>HYPERLINK("https://lsnyc.legalserver.org/matter/dynamic-profile/view/1904816","19-1904816")</f>
        <v>0</v>
      </c>
      <c r="B287" t="s">
        <v>65</v>
      </c>
      <c r="C287" t="s">
        <v>119</v>
      </c>
      <c r="D287" t="s">
        <v>170</v>
      </c>
      <c r="E287" t="s">
        <v>172</v>
      </c>
      <c r="F287" t="s">
        <v>179</v>
      </c>
      <c r="G287" t="s">
        <v>172</v>
      </c>
      <c r="H287" t="s">
        <v>221</v>
      </c>
      <c r="I287" t="s">
        <v>172</v>
      </c>
      <c r="J287" t="s">
        <v>231</v>
      </c>
      <c r="K287" t="s">
        <v>172</v>
      </c>
      <c r="L287">
        <v>37661359</v>
      </c>
      <c r="M287" t="s">
        <v>232</v>
      </c>
      <c r="N287" t="s">
        <v>311</v>
      </c>
      <c r="O287" t="s">
        <v>172</v>
      </c>
      <c r="P287" t="s">
        <v>314</v>
      </c>
      <c r="Q287" t="s">
        <v>322</v>
      </c>
      <c r="T287" t="s">
        <v>585</v>
      </c>
      <c r="U287" t="s">
        <v>962</v>
      </c>
      <c r="V287" t="s">
        <v>179</v>
      </c>
      <c r="W287" t="s">
        <v>214</v>
      </c>
      <c r="X287" t="s">
        <v>1113</v>
      </c>
      <c r="Y287" t="s">
        <v>1389</v>
      </c>
      <c r="AA287" t="s">
        <v>1755</v>
      </c>
      <c r="AB287" t="s">
        <v>1786</v>
      </c>
      <c r="AC287">
        <v>10453</v>
      </c>
      <c r="AD287" t="s">
        <v>1791</v>
      </c>
      <c r="AE287" t="s">
        <v>2054</v>
      </c>
      <c r="AF287">
        <v>3</v>
      </c>
      <c r="AG287" t="s">
        <v>2214</v>
      </c>
      <c r="AH287" t="s">
        <v>2220</v>
      </c>
      <c r="AI287" t="s">
        <v>233</v>
      </c>
      <c r="AJ287" t="s">
        <v>233</v>
      </c>
      <c r="AL287" t="s">
        <v>2230</v>
      </c>
      <c r="AM287" t="s">
        <v>2241</v>
      </c>
      <c r="AN287">
        <v>0</v>
      </c>
      <c r="AO287">
        <v>840</v>
      </c>
      <c r="AP287">
        <v>2.4</v>
      </c>
      <c r="AQ287" t="s">
        <v>2242</v>
      </c>
      <c r="AR287" t="s">
        <v>2524</v>
      </c>
      <c r="AS287" t="s">
        <v>2943</v>
      </c>
      <c r="AT287">
        <v>61</v>
      </c>
      <c r="AU287" t="s">
        <v>3106</v>
      </c>
      <c r="AV287">
        <v>1</v>
      </c>
      <c r="AW287">
        <v>0</v>
      </c>
      <c r="AX287">
        <v>0</v>
      </c>
      <c r="BB287" t="s">
        <v>252</v>
      </c>
      <c r="BC287" t="s">
        <v>3130</v>
      </c>
      <c r="BD287">
        <v>0</v>
      </c>
      <c r="BH287" t="s">
        <v>3162</v>
      </c>
      <c r="BK287" t="s">
        <v>3220</v>
      </c>
      <c r="BL287" t="s">
        <v>217</v>
      </c>
      <c r="BM287" t="s">
        <v>311</v>
      </c>
    </row>
    <row r="288" spans="1:65">
      <c r="A288" s="1">
        <f>HYPERLINK("https://lsnyc.legalserver.org/matter/dynamic-profile/view/1904882","19-1904882")</f>
        <v>0</v>
      </c>
      <c r="B288" t="s">
        <v>65</v>
      </c>
      <c r="C288" t="s">
        <v>113</v>
      </c>
      <c r="D288" t="s">
        <v>170</v>
      </c>
      <c r="E288" t="s">
        <v>171</v>
      </c>
      <c r="G288" t="s">
        <v>172</v>
      </c>
      <c r="H288" t="s">
        <v>221</v>
      </c>
      <c r="I288" t="s">
        <v>172</v>
      </c>
      <c r="J288" t="s">
        <v>231</v>
      </c>
      <c r="K288" t="s">
        <v>172</v>
      </c>
      <c r="M288" t="s">
        <v>232</v>
      </c>
      <c r="N288" t="s">
        <v>311</v>
      </c>
      <c r="O288" t="s">
        <v>172</v>
      </c>
      <c r="P288" t="s">
        <v>316</v>
      </c>
      <c r="Q288" t="s">
        <v>321</v>
      </c>
      <c r="T288" t="s">
        <v>586</v>
      </c>
      <c r="U288" t="s">
        <v>963</v>
      </c>
      <c r="V288" t="s">
        <v>179</v>
      </c>
      <c r="X288" t="s">
        <v>1112</v>
      </c>
      <c r="Y288" t="s">
        <v>1390</v>
      </c>
      <c r="Z288" t="s">
        <v>1698</v>
      </c>
      <c r="AA288" t="s">
        <v>1755</v>
      </c>
      <c r="AB288" t="s">
        <v>1786</v>
      </c>
      <c r="AC288">
        <v>10467</v>
      </c>
      <c r="AD288" t="s">
        <v>1788</v>
      </c>
      <c r="AE288" t="s">
        <v>2055</v>
      </c>
      <c r="AF288">
        <v>13</v>
      </c>
      <c r="AH288" t="s">
        <v>2221</v>
      </c>
      <c r="AI288" t="s">
        <v>233</v>
      </c>
      <c r="AJ288" t="s">
        <v>233</v>
      </c>
      <c r="AL288" t="s">
        <v>2230</v>
      </c>
      <c r="AN288">
        <v>0</v>
      </c>
      <c r="AO288">
        <v>550</v>
      </c>
      <c r="AP288">
        <v>3.75</v>
      </c>
      <c r="AR288" t="s">
        <v>2525</v>
      </c>
      <c r="AS288" t="s">
        <v>2944</v>
      </c>
      <c r="AT288">
        <v>48</v>
      </c>
      <c r="AU288" t="s">
        <v>3107</v>
      </c>
      <c r="AV288">
        <v>1</v>
      </c>
      <c r="AW288">
        <v>0</v>
      </c>
      <c r="AX288">
        <v>77.02</v>
      </c>
      <c r="BB288" t="s">
        <v>3123</v>
      </c>
      <c r="BC288" t="s">
        <v>3130</v>
      </c>
      <c r="BD288">
        <v>9620</v>
      </c>
      <c r="BH288" t="s">
        <v>3159</v>
      </c>
      <c r="BK288" t="s">
        <v>3198</v>
      </c>
      <c r="BL288" t="s">
        <v>3119</v>
      </c>
      <c r="BM288" t="s">
        <v>311</v>
      </c>
    </row>
    <row r="289" spans="1:65">
      <c r="A289" s="1">
        <f>HYPERLINK("https://lsnyc.legalserver.org/matter/dynamic-profile/view/1907487","19-1907487")</f>
        <v>0</v>
      </c>
      <c r="B289" t="s">
        <v>65</v>
      </c>
      <c r="C289" t="s">
        <v>113</v>
      </c>
      <c r="D289" t="s">
        <v>170</v>
      </c>
      <c r="E289" t="s">
        <v>171</v>
      </c>
      <c r="G289" t="s">
        <v>172</v>
      </c>
      <c r="H289" t="s">
        <v>220</v>
      </c>
      <c r="I289" t="s">
        <v>172</v>
      </c>
      <c r="J289" t="s">
        <v>231</v>
      </c>
      <c r="K289" t="s">
        <v>172</v>
      </c>
      <c r="L289">
        <v>396724180</v>
      </c>
      <c r="M289" t="s">
        <v>232</v>
      </c>
      <c r="N289" t="s">
        <v>311</v>
      </c>
      <c r="O289" t="s">
        <v>313</v>
      </c>
      <c r="Q289" t="s">
        <v>321</v>
      </c>
      <c r="T289" t="s">
        <v>587</v>
      </c>
      <c r="U289" t="s">
        <v>964</v>
      </c>
      <c r="V289" t="s">
        <v>191</v>
      </c>
      <c r="X289" t="s">
        <v>1112</v>
      </c>
      <c r="Y289" t="s">
        <v>1391</v>
      </c>
      <c r="Z289" t="s">
        <v>1637</v>
      </c>
      <c r="AA289" t="s">
        <v>1755</v>
      </c>
      <c r="AB289" t="s">
        <v>1786</v>
      </c>
      <c r="AC289">
        <v>10460</v>
      </c>
      <c r="AD289" t="s">
        <v>1788</v>
      </c>
      <c r="AE289" t="s">
        <v>2056</v>
      </c>
      <c r="AF289">
        <v>14</v>
      </c>
      <c r="AH289" t="s">
        <v>2220</v>
      </c>
      <c r="AI289" t="s">
        <v>233</v>
      </c>
      <c r="AJ289" t="s">
        <v>233</v>
      </c>
      <c r="AL289" t="s">
        <v>2235</v>
      </c>
      <c r="AN289">
        <v>0</v>
      </c>
      <c r="AO289">
        <v>168</v>
      </c>
      <c r="AP289">
        <v>1</v>
      </c>
      <c r="AR289" t="s">
        <v>2526</v>
      </c>
      <c r="AS289" t="s">
        <v>2945</v>
      </c>
      <c r="AT289">
        <v>21</v>
      </c>
      <c r="AU289" t="s">
        <v>3106</v>
      </c>
      <c r="AV289">
        <v>1</v>
      </c>
      <c r="AW289">
        <v>0</v>
      </c>
      <c r="AX289">
        <v>74.08</v>
      </c>
      <c r="BB289" t="s">
        <v>3123</v>
      </c>
      <c r="BC289" t="s">
        <v>3130</v>
      </c>
      <c r="BD289">
        <v>9252</v>
      </c>
      <c r="BH289" t="s">
        <v>3163</v>
      </c>
      <c r="BK289" t="s">
        <v>3196</v>
      </c>
      <c r="BL289" t="s">
        <v>206</v>
      </c>
      <c r="BM289" t="s">
        <v>311</v>
      </c>
    </row>
    <row r="290" spans="1:65">
      <c r="A290" s="1">
        <f>HYPERLINK("https://lsnyc.legalserver.org/matter/dynamic-profile/view/1906795","19-1906795")</f>
        <v>0</v>
      </c>
      <c r="B290" t="s">
        <v>65</v>
      </c>
      <c r="C290" t="s">
        <v>129</v>
      </c>
      <c r="D290" t="s">
        <v>170</v>
      </c>
      <c r="E290" t="s">
        <v>171</v>
      </c>
      <c r="G290" t="s">
        <v>172</v>
      </c>
      <c r="H290" t="s">
        <v>221</v>
      </c>
      <c r="I290" t="s">
        <v>172</v>
      </c>
      <c r="J290" t="s">
        <v>231</v>
      </c>
      <c r="K290" t="s">
        <v>172</v>
      </c>
      <c r="L290" t="s">
        <v>280</v>
      </c>
      <c r="M290" t="s">
        <v>232</v>
      </c>
      <c r="N290" t="s">
        <v>312</v>
      </c>
      <c r="O290" t="s">
        <v>313</v>
      </c>
      <c r="P290" t="s">
        <v>315</v>
      </c>
      <c r="Q290" t="s">
        <v>321</v>
      </c>
      <c r="T290" t="s">
        <v>588</v>
      </c>
      <c r="U290" t="s">
        <v>965</v>
      </c>
      <c r="V290" t="s">
        <v>212</v>
      </c>
      <c r="X290" t="s">
        <v>1112</v>
      </c>
      <c r="Y290" t="s">
        <v>1392</v>
      </c>
      <c r="Z290" t="s">
        <v>1699</v>
      </c>
      <c r="AA290" t="s">
        <v>1755</v>
      </c>
      <c r="AB290" t="s">
        <v>1786</v>
      </c>
      <c r="AC290">
        <v>10462</v>
      </c>
      <c r="AE290" t="s">
        <v>2057</v>
      </c>
      <c r="AF290">
        <v>0</v>
      </c>
      <c r="AH290" t="s">
        <v>2221</v>
      </c>
      <c r="AI290" t="s">
        <v>233</v>
      </c>
      <c r="AJ290" t="s">
        <v>233</v>
      </c>
      <c r="AL290" t="s">
        <v>2230</v>
      </c>
      <c r="AN290">
        <v>0</v>
      </c>
      <c r="AO290">
        <v>0</v>
      </c>
      <c r="AP290">
        <v>7.6</v>
      </c>
      <c r="AR290" t="s">
        <v>2527</v>
      </c>
      <c r="AS290" t="s">
        <v>2946</v>
      </c>
      <c r="AT290">
        <v>0</v>
      </c>
      <c r="AU290" t="s">
        <v>3109</v>
      </c>
      <c r="AV290">
        <v>1</v>
      </c>
      <c r="AW290">
        <v>0</v>
      </c>
      <c r="AX290">
        <v>17.58</v>
      </c>
      <c r="BC290" t="s">
        <v>3130</v>
      </c>
      <c r="BD290">
        <v>2196</v>
      </c>
      <c r="BH290" t="s">
        <v>3168</v>
      </c>
      <c r="BK290" t="s">
        <v>3194</v>
      </c>
      <c r="BL290" t="s">
        <v>1108</v>
      </c>
      <c r="BM290" t="s">
        <v>312</v>
      </c>
    </row>
    <row r="291" spans="1:65">
      <c r="A291" s="1">
        <f>HYPERLINK("https://lsnyc.legalserver.org/matter/dynamic-profile/view/1906048","19-1906048")</f>
        <v>0</v>
      </c>
      <c r="B291" t="s">
        <v>65</v>
      </c>
      <c r="C291" t="s">
        <v>129</v>
      </c>
      <c r="D291" t="s">
        <v>170</v>
      </c>
      <c r="E291" t="s">
        <v>171</v>
      </c>
      <c r="G291" t="s">
        <v>172</v>
      </c>
      <c r="H291" t="s">
        <v>221</v>
      </c>
      <c r="I291" t="s">
        <v>172</v>
      </c>
      <c r="J291" t="s">
        <v>231</v>
      </c>
      <c r="K291" t="s">
        <v>172</v>
      </c>
      <c r="M291" t="s">
        <v>232</v>
      </c>
      <c r="N291" t="s">
        <v>311</v>
      </c>
      <c r="O291" t="s">
        <v>172</v>
      </c>
      <c r="P291" t="s">
        <v>316</v>
      </c>
      <c r="Q291" t="s">
        <v>321</v>
      </c>
      <c r="T291" t="s">
        <v>589</v>
      </c>
      <c r="U291" t="s">
        <v>966</v>
      </c>
      <c r="V291" t="s">
        <v>175</v>
      </c>
      <c r="X291" t="s">
        <v>1112</v>
      </c>
      <c r="Y291" t="s">
        <v>1393</v>
      </c>
      <c r="Z291" t="s">
        <v>1643</v>
      </c>
      <c r="AA291" t="s">
        <v>1755</v>
      </c>
      <c r="AB291" t="s">
        <v>1786</v>
      </c>
      <c r="AC291">
        <v>10452</v>
      </c>
      <c r="AD291" t="s">
        <v>1788</v>
      </c>
      <c r="AE291" t="s">
        <v>2058</v>
      </c>
      <c r="AF291">
        <v>40</v>
      </c>
      <c r="AH291" t="s">
        <v>2220</v>
      </c>
      <c r="AI291" t="s">
        <v>233</v>
      </c>
      <c r="AJ291" t="s">
        <v>233</v>
      </c>
      <c r="AL291" t="s">
        <v>2230</v>
      </c>
      <c r="AM291" t="s">
        <v>2237</v>
      </c>
      <c r="AN291">
        <v>0</v>
      </c>
      <c r="AO291">
        <v>983</v>
      </c>
      <c r="AP291">
        <v>7.2</v>
      </c>
      <c r="AR291" t="s">
        <v>2528</v>
      </c>
      <c r="AS291" t="s">
        <v>2947</v>
      </c>
      <c r="AT291">
        <v>68</v>
      </c>
      <c r="AU291" t="s">
        <v>3106</v>
      </c>
      <c r="AV291">
        <v>1</v>
      </c>
      <c r="AW291">
        <v>0</v>
      </c>
      <c r="AX291">
        <v>124.9</v>
      </c>
      <c r="BB291" t="s">
        <v>252</v>
      </c>
      <c r="BC291" t="s">
        <v>3130</v>
      </c>
      <c r="BD291">
        <v>15600</v>
      </c>
      <c r="BH291" t="s">
        <v>121</v>
      </c>
      <c r="BK291" t="s">
        <v>3251</v>
      </c>
      <c r="BL291" t="s">
        <v>192</v>
      </c>
      <c r="BM291" t="s">
        <v>311</v>
      </c>
    </row>
    <row r="292" spans="1:65">
      <c r="A292" s="1">
        <f>HYPERLINK("https://lsnyc.legalserver.org/matter/dynamic-profile/view/1908753","19-1908753")</f>
        <v>0</v>
      </c>
      <c r="B292" t="s">
        <v>65</v>
      </c>
      <c r="C292" t="s">
        <v>129</v>
      </c>
      <c r="D292" t="s">
        <v>170</v>
      </c>
      <c r="E292" t="s">
        <v>171</v>
      </c>
      <c r="G292" t="s">
        <v>172</v>
      </c>
      <c r="H292" t="s">
        <v>221</v>
      </c>
      <c r="I292" t="s">
        <v>172</v>
      </c>
      <c r="J292" t="s">
        <v>231</v>
      </c>
      <c r="K292" t="s">
        <v>172</v>
      </c>
      <c r="M292" t="s">
        <v>232</v>
      </c>
      <c r="N292" t="s">
        <v>311</v>
      </c>
      <c r="O292" t="s">
        <v>172</v>
      </c>
      <c r="P292" t="s">
        <v>316</v>
      </c>
      <c r="Q292" t="s">
        <v>321</v>
      </c>
      <c r="T292" t="s">
        <v>374</v>
      </c>
      <c r="U292" t="s">
        <v>967</v>
      </c>
      <c r="V292" t="s">
        <v>194</v>
      </c>
      <c r="X292" t="s">
        <v>1112</v>
      </c>
      <c r="Y292" t="s">
        <v>1394</v>
      </c>
      <c r="Z292" t="s">
        <v>1700</v>
      </c>
      <c r="AA292" t="s">
        <v>1755</v>
      </c>
      <c r="AB292" t="s">
        <v>1786</v>
      </c>
      <c r="AC292">
        <v>10468</v>
      </c>
      <c r="AD292" t="s">
        <v>1787</v>
      </c>
      <c r="AE292" t="s">
        <v>2059</v>
      </c>
      <c r="AF292">
        <v>4</v>
      </c>
      <c r="AH292" t="s">
        <v>2221</v>
      </c>
      <c r="AI292" t="s">
        <v>233</v>
      </c>
      <c r="AJ292" t="s">
        <v>233</v>
      </c>
      <c r="AL292" t="s">
        <v>2230</v>
      </c>
      <c r="AM292" t="s">
        <v>2236</v>
      </c>
      <c r="AN292">
        <v>0</v>
      </c>
      <c r="AO292">
        <v>276.76</v>
      </c>
      <c r="AP292">
        <v>1</v>
      </c>
      <c r="AR292" t="s">
        <v>2529</v>
      </c>
      <c r="AS292" t="s">
        <v>2948</v>
      </c>
      <c r="AT292">
        <v>43</v>
      </c>
      <c r="AU292" t="s">
        <v>3106</v>
      </c>
      <c r="AV292">
        <v>1</v>
      </c>
      <c r="AW292">
        <v>0</v>
      </c>
      <c r="AX292">
        <v>74.08</v>
      </c>
      <c r="BB292" t="s">
        <v>3129</v>
      </c>
      <c r="BC292" t="s">
        <v>3130</v>
      </c>
      <c r="BD292">
        <v>9252</v>
      </c>
      <c r="BH292" t="s">
        <v>121</v>
      </c>
      <c r="BK292" t="s">
        <v>3193</v>
      </c>
      <c r="BL292" t="s">
        <v>1108</v>
      </c>
      <c r="BM292" t="s">
        <v>311</v>
      </c>
    </row>
    <row r="293" spans="1:65">
      <c r="A293" s="1">
        <f>HYPERLINK("https://lsnyc.legalserver.org/matter/dynamic-profile/view/1908768","19-1908768")</f>
        <v>0</v>
      </c>
      <c r="B293" t="s">
        <v>65</v>
      </c>
      <c r="C293" t="s">
        <v>129</v>
      </c>
      <c r="D293" t="s">
        <v>170</v>
      </c>
      <c r="E293" t="s">
        <v>171</v>
      </c>
      <c r="G293" t="s">
        <v>172</v>
      </c>
      <c r="H293" t="s">
        <v>221</v>
      </c>
      <c r="I293" t="s">
        <v>172</v>
      </c>
      <c r="J293" t="s">
        <v>231</v>
      </c>
      <c r="K293" t="s">
        <v>172</v>
      </c>
      <c r="L293">
        <v>9933753</v>
      </c>
      <c r="M293" t="s">
        <v>232</v>
      </c>
      <c r="N293" t="s">
        <v>311</v>
      </c>
      <c r="O293" t="s">
        <v>172</v>
      </c>
      <c r="P293" t="s">
        <v>316</v>
      </c>
      <c r="Q293" t="s">
        <v>321</v>
      </c>
      <c r="T293" t="s">
        <v>590</v>
      </c>
      <c r="U293" t="s">
        <v>903</v>
      </c>
      <c r="V293" t="s">
        <v>194</v>
      </c>
      <c r="X293" t="s">
        <v>1112</v>
      </c>
      <c r="Y293" t="s">
        <v>1395</v>
      </c>
      <c r="AA293" t="s">
        <v>1755</v>
      </c>
      <c r="AB293" t="s">
        <v>1786</v>
      </c>
      <c r="AC293">
        <v>10462</v>
      </c>
      <c r="AD293" t="s">
        <v>1790</v>
      </c>
      <c r="AE293" t="s">
        <v>2060</v>
      </c>
      <c r="AF293">
        <v>12</v>
      </c>
      <c r="AH293" t="s">
        <v>2220</v>
      </c>
      <c r="AI293" t="s">
        <v>233</v>
      </c>
      <c r="AJ293" t="s">
        <v>233</v>
      </c>
      <c r="AL293" t="s">
        <v>2230</v>
      </c>
      <c r="AM293" t="s">
        <v>2236</v>
      </c>
      <c r="AN293">
        <v>0</v>
      </c>
      <c r="AO293">
        <v>868.51</v>
      </c>
      <c r="AP293">
        <v>1</v>
      </c>
      <c r="AR293" t="s">
        <v>2530</v>
      </c>
      <c r="AS293" t="s">
        <v>2949</v>
      </c>
      <c r="AT293">
        <v>100</v>
      </c>
      <c r="AU293" t="s">
        <v>3106</v>
      </c>
      <c r="AV293">
        <v>1</v>
      </c>
      <c r="AW293">
        <v>2</v>
      </c>
      <c r="AX293">
        <v>97.05</v>
      </c>
      <c r="BC293" t="s">
        <v>3130</v>
      </c>
      <c r="BD293">
        <v>20700</v>
      </c>
      <c r="BH293" t="s">
        <v>121</v>
      </c>
      <c r="BK293" t="s">
        <v>3252</v>
      </c>
      <c r="BL293" t="s">
        <v>1108</v>
      </c>
      <c r="BM293" t="s">
        <v>311</v>
      </c>
    </row>
    <row r="294" spans="1:65">
      <c r="A294" s="1">
        <f>HYPERLINK("https://lsnyc.legalserver.org/matter/dynamic-profile/view/1907915","19-1907915")</f>
        <v>0</v>
      </c>
      <c r="B294" t="s">
        <v>65</v>
      </c>
      <c r="C294" t="s">
        <v>130</v>
      </c>
      <c r="D294" t="s">
        <v>170</v>
      </c>
      <c r="E294" t="s">
        <v>171</v>
      </c>
      <c r="G294" t="s">
        <v>172</v>
      </c>
      <c r="H294" t="s">
        <v>220</v>
      </c>
      <c r="I294" t="s">
        <v>172</v>
      </c>
      <c r="J294" t="s">
        <v>231</v>
      </c>
      <c r="K294" t="s">
        <v>172</v>
      </c>
      <c r="M294" t="s">
        <v>232</v>
      </c>
      <c r="N294" t="s">
        <v>311</v>
      </c>
      <c r="O294" t="s">
        <v>172</v>
      </c>
      <c r="P294" t="s">
        <v>314</v>
      </c>
      <c r="Q294" t="s">
        <v>321</v>
      </c>
      <c r="T294" t="s">
        <v>591</v>
      </c>
      <c r="U294" t="s">
        <v>968</v>
      </c>
      <c r="V294" t="s">
        <v>192</v>
      </c>
      <c r="X294" t="s">
        <v>1112</v>
      </c>
      <c r="Y294" t="s">
        <v>1396</v>
      </c>
      <c r="Z294" t="s">
        <v>1569</v>
      </c>
      <c r="AA294" t="s">
        <v>1755</v>
      </c>
      <c r="AB294" t="s">
        <v>1786</v>
      </c>
      <c r="AC294">
        <v>10452</v>
      </c>
      <c r="AD294" t="s">
        <v>1796</v>
      </c>
      <c r="AE294" t="s">
        <v>2061</v>
      </c>
      <c r="AF294">
        <v>2</v>
      </c>
      <c r="AH294" t="s">
        <v>2220</v>
      </c>
      <c r="AI294" t="s">
        <v>233</v>
      </c>
      <c r="AJ294" t="s">
        <v>231</v>
      </c>
      <c r="AL294" t="s">
        <v>2230</v>
      </c>
      <c r="AN294">
        <v>0</v>
      </c>
      <c r="AO294">
        <v>1200</v>
      </c>
      <c r="AP294">
        <v>3</v>
      </c>
      <c r="AR294" t="s">
        <v>2531</v>
      </c>
      <c r="AS294" t="s">
        <v>2950</v>
      </c>
      <c r="AT294">
        <v>0</v>
      </c>
      <c r="AU294" t="s">
        <v>3106</v>
      </c>
      <c r="AV294">
        <v>1</v>
      </c>
      <c r="AW294">
        <v>0</v>
      </c>
      <c r="AX294">
        <v>76.86</v>
      </c>
      <c r="BC294" t="s">
        <v>3130</v>
      </c>
      <c r="BD294">
        <v>9600</v>
      </c>
      <c r="BH294" t="s">
        <v>3164</v>
      </c>
      <c r="BK294" t="s">
        <v>3196</v>
      </c>
      <c r="BL294" t="s">
        <v>192</v>
      </c>
      <c r="BM294" t="s">
        <v>311</v>
      </c>
    </row>
    <row r="295" spans="1:65">
      <c r="A295" s="1">
        <f>HYPERLINK("https://lsnyc.legalserver.org/matter/dynamic-profile/view/1905571","19-1905571")</f>
        <v>0</v>
      </c>
      <c r="B295" t="s">
        <v>65</v>
      </c>
      <c r="C295" t="s">
        <v>113</v>
      </c>
      <c r="D295" t="s">
        <v>170</v>
      </c>
      <c r="E295" t="s">
        <v>171</v>
      </c>
      <c r="G295" t="s">
        <v>172</v>
      </c>
      <c r="H295" t="s">
        <v>220</v>
      </c>
      <c r="I295" t="s">
        <v>230</v>
      </c>
      <c r="J295" t="s">
        <v>233</v>
      </c>
      <c r="K295" t="s">
        <v>172</v>
      </c>
      <c r="L295">
        <v>396724180</v>
      </c>
      <c r="M295" t="s">
        <v>232</v>
      </c>
      <c r="N295" t="s">
        <v>312</v>
      </c>
      <c r="O295" t="s">
        <v>172</v>
      </c>
      <c r="P295" t="s">
        <v>316</v>
      </c>
      <c r="Q295" t="s">
        <v>321</v>
      </c>
      <c r="T295" t="s">
        <v>587</v>
      </c>
      <c r="U295" t="s">
        <v>964</v>
      </c>
      <c r="V295" t="s">
        <v>214</v>
      </c>
      <c r="X295" t="s">
        <v>1112</v>
      </c>
      <c r="Y295" t="s">
        <v>1391</v>
      </c>
      <c r="Z295" t="s">
        <v>1637</v>
      </c>
      <c r="AA295" t="s">
        <v>1755</v>
      </c>
      <c r="AB295" t="s">
        <v>1786</v>
      </c>
      <c r="AC295">
        <v>10460</v>
      </c>
      <c r="AD295" t="s">
        <v>1790</v>
      </c>
      <c r="AE295" t="s">
        <v>2056</v>
      </c>
      <c r="AF295">
        <v>14</v>
      </c>
      <c r="AH295" t="s">
        <v>2220</v>
      </c>
      <c r="AI295" t="s">
        <v>233</v>
      </c>
      <c r="AL295" t="s">
        <v>2230</v>
      </c>
      <c r="AM295" t="s">
        <v>2236</v>
      </c>
      <c r="AN295">
        <v>0</v>
      </c>
      <c r="AO295">
        <v>168</v>
      </c>
      <c r="AP295">
        <v>40.65</v>
      </c>
      <c r="AR295" t="s">
        <v>2526</v>
      </c>
      <c r="AS295" t="s">
        <v>2945</v>
      </c>
      <c r="AT295">
        <v>0</v>
      </c>
      <c r="AU295" t="s">
        <v>3106</v>
      </c>
      <c r="AV295">
        <v>1</v>
      </c>
      <c r="AW295">
        <v>0</v>
      </c>
      <c r="AX295">
        <v>74.08</v>
      </c>
      <c r="BB295" t="s">
        <v>3123</v>
      </c>
      <c r="BC295" t="s">
        <v>3130</v>
      </c>
      <c r="BD295">
        <v>9252</v>
      </c>
      <c r="BG295" t="s">
        <v>3152</v>
      </c>
      <c r="BH295" t="s">
        <v>3160</v>
      </c>
      <c r="BK295" t="s">
        <v>3196</v>
      </c>
      <c r="BL295" t="s">
        <v>1109</v>
      </c>
      <c r="BM295" t="s">
        <v>312</v>
      </c>
    </row>
    <row r="296" spans="1:65">
      <c r="A296" s="1">
        <f>HYPERLINK("https://lsnyc.legalserver.org/matter/dynamic-profile/view/1908533","19-1908533")</f>
        <v>0</v>
      </c>
      <c r="B296" t="s">
        <v>65</v>
      </c>
      <c r="C296" t="s">
        <v>129</v>
      </c>
      <c r="D296" t="s">
        <v>170</v>
      </c>
      <c r="E296" t="s">
        <v>171</v>
      </c>
      <c r="G296" t="s">
        <v>172</v>
      </c>
      <c r="H296" t="s">
        <v>221</v>
      </c>
      <c r="I296" t="s">
        <v>172</v>
      </c>
      <c r="J296" t="s">
        <v>231</v>
      </c>
      <c r="K296" t="s">
        <v>172</v>
      </c>
      <c r="M296" t="s">
        <v>232</v>
      </c>
      <c r="N296" t="s">
        <v>311</v>
      </c>
      <c r="O296" t="s">
        <v>172</v>
      </c>
      <c r="P296" t="s">
        <v>316</v>
      </c>
      <c r="Q296" t="s">
        <v>321</v>
      </c>
      <c r="T296" t="s">
        <v>592</v>
      </c>
      <c r="U296" t="s">
        <v>969</v>
      </c>
      <c r="V296" t="s">
        <v>202</v>
      </c>
      <c r="X296" t="s">
        <v>1112</v>
      </c>
      <c r="Y296" t="s">
        <v>1397</v>
      </c>
      <c r="Z296">
        <v>33</v>
      </c>
      <c r="AA296" t="s">
        <v>1755</v>
      </c>
      <c r="AB296" t="s">
        <v>1786</v>
      </c>
      <c r="AC296">
        <v>10467</v>
      </c>
      <c r="AD296" t="s">
        <v>1787</v>
      </c>
      <c r="AE296" t="s">
        <v>2062</v>
      </c>
      <c r="AF296">
        <v>3</v>
      </c>
      <c r="AH296" t="s">
        <v>2221</v>
      </c>
      <c r="AI296" t="s">
        <v>233</v>
      </c>
      <c r="AJ296" t="s">
        <v>233</v>
      </c>
      <c r="AL296" t="s">
        <v>2230</v>
      </c>
      <c r="AM296" t="s">
        <v>2239</v>
      </c>
      <c r="AN296">
        <v>0</v>
      </c>
      <c r="AO296">
        <v>1555.7</v>
      </c>
      <c r="AP296">
        <v>2.45</v>
      </c>
      <c r="AR296" t="s">
        <v>2532</v>
      </c>
      <c r="AS296" t="s">
        <v>2951</v>
      </c>
      <c r="AT296">
        <v>29</v>
      </c>
      <c r="AU296" t="s">
        <v>3106</v>
      </c>
      <c r="AV296">
        <v>1</v>
      </c>
      <c r="AW296">
        <v>1</v>
      </c>
      <c r="AX296">
        <v>162.98</v>
      </c>
      <c r="BC296" t="s">
        <v>3130</v>
      </c>
      <c r="BD296">
        <v>27560</v>
      </c>
      <c r="BH296" t="s">
        <v>121</v>
      </c>
      <c r="BK296" t="s">
        <v>3198</v>
      </c>
      <c r="BL296" t="s">
        <v>1107</v>
      </c>
      <c r="BM296" t="s">
        <v>311</v>
      </c>
    </row>
    <row r="297" spans="1:65">
      <c r="A297" s="1">
        <f>HYPERLINK("https://lsnyc.legalserver.org/matter/dynamic-profile/view/1907125","19-1907125")</f>
        <v>0</v>
      </c>
      <c r="B297" t="s">
        <v>65</v>
      </c>
      <c r="C297" t="s">
        <v>118</v>
      </c>
      <c r="D297" t="s">
        <v>170</v>
      </c>
      <c r="E297" t="s">
        <v>171</v>
      </c>
      <c r="G297" t="s">
        <v>172</v>
      </c>
      <c r="H297" t="s">
        <v>221</v>
      </c>
      <c r="I297" t="s">
        <v>172</v>
      </c>
      <c r="J297" t="s">
        <v>231</v>
      </c>
      <c r="K297" t="s">
        <v>172</v>
      </c>
      <c r="M297" t="s">
        <v>232</v>
      </c>
      <c r="N297" t="s">
        <v>311</v>
      </c>
      <c r="O297" t="s">
        <v>172</v>
      </c>
      <c r="P297" t="s">
        <v>316</v>
      </c>
      <c r="Q297" t="s">
        <v>321</v>
      </c>
      <c r="T297" t="s">
        <v>593</v>
      </c>
      <c r="U297" t="s">
        <v>970</v>
      </c>
      <c r="V297" t="s">
        <v>184</v>
      </c>
      <c r="X297" t="s">
        <v>1112</v>
      </c>
      <c r="Y297" t="s">
        <v>1398</v>
      </c>
      <c r="Z297" t="s">
        <v>1618</v>
      </c>
      <c r="AA297" t="s">
        <v>1755</v>
      </c>
      <c r="AB297" t="s">
        <v>1786</v>
      </c>
      <c r="AC297">
        <v>10457</v>
      </c>
      <c r="AE297" t="s">
        <v>2063</v>
      </c>
      <c r="AF297">
        <v>3</v>
      </c>
      <c r="AH297" t="s">
        <v>2221</v>
      </c>
      <c r="AI297" t="s">
        <v>233</v>
      </c>
      <c r="AJ297" t="s">
        <v>233</v>
      </c>
      <c r="AL297" t="s">
        <v>2230</v>
      </c>
      <c r="AN297">
        <v>0</v>
      </c>
      <c r="AO297">
        <v>0</v>
      </c>
      <c r="AP297">
        <v>8</v>
      </c>
      <c r="AR297" t="s">
        <v>2533</v>
      </c>
      <c r="AS297" t="s">
        <v>2952</v>
      </c>
      <c r="AT297">
        <v>33</v>
      </c>
      <c r="AU297" t="s">
        <v>3106</v>
      </c>
      <c r="AV297">
        <v>1</v>
      </c>
      <c r="AW297">
        <v>0</v>
      </c>
      <c r="AX297">
        <v>104.08</v>
      </c>
      <c r="BC297" t="s">
        <v>3130</v>
      </c>
      <c r="BD297">
        <v>13000</v>
      </c>
      <c r="BH297" t="s">
        <v>125</v>
      </c>
      <c r="BK297" t="s">
        <v>3198</v>
      </c>
      <c r="BL297" t="s">
        <v>202</v>
      </c>
      <c r="BM297" t="s">
        <v>311</v>
      </c>
    </row>
    <row r="298" spans="1:65">
      <c r="A298" s="1">
        <f>HYPERLINK("https://lsnyc.legalserver.org/matter/dynamic-profile/view/1903739","19-1903739")</f>
        <v>0</v>
      </c>
      <c r="B298" t="s">
        <v>65</v>
      </c>
      <c r="C298" t="s">
        <v>128</v>
      </c>
      <c r="D298" t="s">
        <v>170</v>
      </c>
      <c r="E298" t="s">
        <v>172</v>
      </c>
      <c r="F298" t="s">
        <v>200</v>
      </c>
      <c r="G298" t="s">
        <v>172</v>
      </c>
      <c r="H298" t="s">
        <v>220</v>
      </c>
      <c r="I298" t="s">
        <v>172</v>
      </c>
      <c r="J298" t="s">
        <v>231</v>
      </c>
      <c r="K298" t="s">
        <v>172</v>
      </c>
      <c r="L298" t="s">
        <v>281</v>
      </c>
      <c r="M298" t="s">
        <v>232</v>
      </c>
      <c r="N298" t="s">
        <v>311</v>
      </c>
      <c r="O298" t="s">
        <v>172</v>
      </c>
      <c r="P298" t="s">
        <v>318</v>
      </c>
      <c r="Q298" t="s">
        <v>322</v>
      </c>
      <c r="T298" t="s">
        <v>594</v>
      </c>
      <c r="U298" t="s">
        <v>799</v>
      </c>
      <c r="V298" t="s">
        <v>200</v>
      </c>
      <c r="W298" t="s">
        <v>201</v>
      </c>
      <c r="X298" t="s">
        <v>1113</v>
      </c>
      <c r="Y298" t="s">
        <v>1399</v>
      </c>
      <c r="Z298" t="s">
        <v>1701</v>
      </c>
      <c r="AA298" t="s">
        <v>1755</v>
      </c>
      <c r="AB298" t="s">
        <v>1786</v>
      </c>
      <c r="AC298">
        <v>10460</v>
      </c>
      <c r="AD298" t="s">
        <v>1793</v>
      </c>
      <c r="AE298" t="s">
        <v>2064</v>
      </c>
      <c r="AF298">
        <v>4</v>
      </c>
      <c r="AG298" t="s">
        <v>2217</v>
      </c>
      <c r="AH298" t="s">
        <v>2220</v>
      </c>
      <c r="AI298" t="s">
        <v>233</v>
      </c>
      <c r="AJ298" t="s">
        <v>233</v>
      </c>
      <c r="AL298" t="s">
        <v>2230</v>
      </c>
      <c r="AM298" t="s">
        <v>2241</v>
      </c>
      <c r="AN298">
        <v>0</v>
      </c>
      <c r="AO298">
        <v>1700</v>
      </c>
      <c r="AP298">
        <v>3.1</v>
      </c>
      <c r="AQ298" t="s">
        <v>2242</v>
      </c>
      <c r="AR298" t="s">
        <v>2534</v>
      </c>
      <c r="AS298" t="s">
        <v>2953</v>
      </c>
      <c r="AT298">
        <v>169</v>
      </c>
      <c r="AU298" t="s">
        <v>3116</v>
      </c>
      <c r="AV298">
        <v>1</v>
      </c>
      <c r="AW298">
        <v>2</v>
      </c>
      <c r="AX298">
        <v>23.65</v>
      </c>
      <c r="BB298" t="s">
        <v>3123</v>
      </c>
      <c r="BC298" t="s">
        <v>3130</v>
      </c>
      <c r="BD298">
        <v>5044</v>
      </c>
      <c r="BH298" t="s">
        <v>3159</v>
      </c>
      <c r="BK298" t="s">
        <v>3194</v>
      </c>
      <c r="BL298" t="s">
        <v>201</v>
      </c>
      <c r="BM298" t="s">
        <v>311</v>
      </c>
    </row>
    <row r="299" spans="1:65">
      <c r="A299" s="1">
        <f>HYPERLINK("https://lsnyc.legalserver.org/matter/dynamic-profile/view/1907866","19-1907866")</f>
        <v>0</v>
      </c>
      <c r="B299" t="s">
        <v>65</v>
      </c>
      <c r="C299" t="s">
        <v>128</v>
      </c>
      <c r="D299" t="s">
        <v>170</v>
      </c>
      <c r="E299" t="s">
        <v>171</v>
      </c>
      <c r="G299" t="s">
        <v>219</v>
      </c>
      <c r="I299" t="s">
        <v>172</v>
      </c>
      <c r="J299" t="s">
        <v>231</v>
      </c>
      <c r="K299" t="s">
        <v>172</v>
      </c>
      <c r="L299" t="s">
        <v>282</v>
      </c>
      <c r="M299" t="s">
        <v>232</v>
      </c>
      <c r="N299" t="s">
        <v>311</v>
      </c>
      <c r="O299" t="s">
        <v>313</v>
      </c>
      <c r="P299" t="s">
        <v>315</v>
      </c>
      <c r="Q299" t="s">
        <v>321</v>
      </c>
      <c r="T299" t="s">
        <v>575</v>
      </c>
      <c r="U299" t="s">
        <v>971</v>
      </c>
      <c r="V299" t="s">
        <v>202</v>
      </c>
      <c r="X299" t="s">
        <v>1112</v>
      </c>
      <c r="Y299" t="s">
        <v>1400</v>
      </c>
      <c r="Z299">
        <v>1</v>
      </c>
      <c r="AA299" t="s">
        <v>1755</v>
      </c>
      <c r="AB299" t="s">
        <v>1786</v>
      </c>
      <c r="AC299">
        <v>10458</v>
      </c>
      <c r="AD299" t="s">
        <v>1788</v>
      </c>
      <c r="AE299" t="s">
        <v>2065</v>
      </c>
      <c r="AF299">
        <v>12</v>
      </c>
      <c r="AH299" t="s">
        <v>2220</v>
      </c>
      <c r="AI299" t="s">
        <v>233</v>
      </c>
      <c r="AL299" t="s">
        <v>2232</v>
      </c>
      <c r="AN299">
        <v>0</v>
      </c>
      <c r="AO299">
        <v>1092</v>
      </c>
      <c r="AP299">
        <v>1</v>
      </c>
      <c r="AR299" t="s">
        <v>2535</v>
      </c>
      <c r="AS299" t="s">
        <v>2954</v>
      </c>
      <c r="AT299">
        <v>23</v>
      </c>
      <c r="AU299" t="s">
        <v>3109</v>
      </c>
      <c r="AV299">
        <v>2</v>
      </c>
      <c r="AW299">
        <v>1</v>
      </c>
      <c r="AX299">
        <v>49.92</v>
      </c>
      <c r="BB299" t="s">
        <v>3124</v>
      </c>
      <c r="BC299" t="s">
        <v>3130</v>
      </c>
      <c r="BD299">
        <v>10648</v>
      </c>
      <c r="BH299" t="s">
        <v>3159</v>
      </c>
      <c r="BK299" t="s">
        <v>3211</v>
      </c>
      <c r="BL299" t="s">
        <v>1108</v>
      </c>
      <c r="BM299" t="s">
        <v>311</v>
      </c>
    </row>
    <row r="300" spans="1:65">
      <c r="A300" s="1">
        <f>HYPERLINK("https://lsnyc.legalserver.org/matter/dynamic-profile/view/1904114","19-1904114")</f>
        <v>0</v>
      </c>
      <c r="B300" t="s">
        <v>65</v>
      </c>
      <c r="C300" t="s">
        <v>128</v>
      </c>
      <c r="D300" t="s">
        <v>170</v>
      </c>
      <c r="E300" t="s">
        <v>172</v>
      </c>
      <c r="F300" t="s">
        <v>201</v>
      </c>
      <c r="G300" t="s">
        <v>172</v>
      </c>
      <c r="H300" t="s">
        <v>227</v>
      </c>
      <c r="I300" t="s">
        <v>172</v>
      </c>
      <c r="J300" t="s">
        <v>231</v>
      </c>
      <c r="K300" t="s">
        <v>172</v>
      </c>
      <c r="M300" t="s">
        <v>232</v>
      </c>
      <c r="N300" t="s">
        <v>311</v>
      </c>
      <c r="O300" t="s">
        <v>172</v>
      </c>
      <c r="P300" t="s">
        <v>314</v>
      </c>
      <c r="Q300" t="s">
        <v>322</v>
      </c>
      <c r="T300" t="s">
        <v>595</v>
      </c>
      <c r="U300" t="s">
        <v>900</v>
      </c>
      <c r="V300" t="s">
        <v>201</v>
      </c>
      <c r="W300" t="s">
        <v>201</v>
      </c>
      <c r="X300" t="s">
        <v>1113</v>
      </c>
      <c r="Y300" t="s">
        <v>1401</v>
      </c>
      <c r="Z300" t="s">
        <v>1702</v>
      </c>
      <c r="AA300" t="s">
        <v>1755</v>
      </c>
      <c r="AB300" t="s">
        <v>1786</v>
      </c>
      <c r="AC300">
        <v>10467</v>
      </c>
      <c r="AD300" t="s">
        <v>1794</v>
      </c>
      <c r="AE300" t="s">
        <v>293</v>
      </c>
      <c r="AF300">
        <v>3</v>
      </c>
      <c r="AG300" t="s">
        <v>2214</v>
      </c>
      <c r="AH300" t="s">
        <v>2220</v>
      </c>
      <c r="AI300" t="s">
        <v>233</v>
      </c>
      <c r="AJ300" t="s">
        <v>233</v>
      </c>
      <c r="AL300" t="s">
        <v>2230</v>
      </c>
      <c r="AM300" t="s">
        <v>2236</v>
      </c>
      <c r="AN300">
        <v>0</v>
      </c>
      <c r="AO300">
        <v>970</v>
      </c>
      <c r="AP300">
        <v>0.5</v>
      </c>
      <c r="AQ300" t="s">
        <v>2242</v>
      </c>
      <c r="AR300" t="s">
        <v>2536</v>
      </c>
      <c r="AS300" t="s">
        <v>2955</v>
      </c>
      <c r="AT300">
        <v>84</v>
      </c>
      <c r="AU300" t="s">
        <v>3106</v>
      </c>
      <c r="AV300">
        <v>1</v>
      </c>
      <c r="AW300">
        <v>0</v>
      </c>
      <c r="AX300">
        <v>124.9</v>
      </c>
      <c r="BB300" t="s">
        <v>252</v>
      </c>
      <c r="BC300" t="s">
        <v>3130</v>
      </c>
      <c r="BD300">
        <v>15600</v>
      </c>
      <c r="BH300" t="s">
        <v>128</v>
      </c>
      <c r="BK300" t="s">
        <v>3198</v>
      </c>
      <c r="BL300" t="s">
        <v>201</v>
      </c>
      <c r="BM300" t="s">
        <v>311</v>
      </c>
    </row>
    <row r="301" spans="1:65">
      <c r="A301" s="1">
        <f>HYPERLINK("https://lsnyc.legalserver.org/matter/dynamic-profile/view/1905501","19-1905501")</f>
        <v>0</v>
      </c>
      <c r="B301" t="s">
        <v>65</v>
      </c>
      <c r="C301" t="s">
        <v>129</v>
      </c>
      <c r="D301" t="s">
        <v>170</v>
      </c>
      <c r="E301" t="s">
        <v>171</v>
      </c>
      <c r="G301" t="s">
        <v>172</v>
      </c>
      <c r="H301" t="s">
        <v>221</v>
      </c>
      <c r="I301" t="s">
        <v>172</v>
      </c>
      <c r="J301" t="s">
        <v>231</v>
      </c>
      <c r="K301" t="s">
        <v>172</v>
      </c>
      <c r="M301" t="s">
        <v>232</v>
      </c>
      <c r="N301" t="s">
        <v>311</v>
      </c>
      <c r="O301" t="s">
        <v>313</v>
      </c>
      <c r="P301" t="s">
        <v>315</v>
      </c>
      <c r="Q301" t="s">
        <v>321</v>
      </c>
      <c r="T301" t="s">
        <v>596</v>
      </c>
      <c r="U301" t="s">
        <v>972</v>
      </c>
      <c r="V301" t="s">
        <v>217</v>
      </c>
      <c r="X301" t="s">
        <v>1112</v>
      </c>
      <c r="Y301" t="s">
        <v>1402</v>
      </c>
      <c r="Z301" t="s">
        <v>1703</v>
      </c>
      <c r="AA301" t="s">
        <v>1755</v>
      </c>
      <c r="AB301" t="s">
        <v>1786</v>
      </c>
      <c r="AC301">
        <v>10460</v>
      </c>
      <c r="AD301" t="s">
        <v>1790</v>
      </c>
      <c r="AE301" t="s">
        <v>2066</v>
      </c>
      <c r="AF301">
        <v>4</v>
      </c>
      <c r="AH301" t="s">
        <v>2220</v>
      </c>
      <c r="AI301" t="s">
        <v>233</v>
      </c>
      <c r="AJ301" t="s">
        <v>233</v>
      </c>
      <c r="AL301" t="s">
        <v>2230</v>
      </c>
      <c r="AM301" t="s">
        <v>2237</v>
      </c>
      <c r="AN301">
        <v>0</v>
      </c>
      <c r="AO301">
        <v>710</v>
      </c>
      <c r="AP301">
        <v>0.7</v>
      </c>
      <c r="AR301" t="s">
        <v>2537</v>
      </c>
      <c r="AS301" t="s">
        <v>2956</v>
      </c>
      <c r="AT301">
        <v>163</v>
      </c>
      <c r="AU301" t="s">
        <v>3115</v>
      </c>
      <c r="AV301">
        <v>1</v>
      </c>
      <c r="AW301">
        <v>2</v>
      </c>
      <c r="AX301">
        <v>17.44</v>
      </c>
      <c r="BC301" t="s">
        <v>3130</v>
      </c>
      <c r="BD301">
        <v>3720</v>
      </c>
      <c r="BH301" t="s">
        <v>3160</v>
      </c>
      <c r="BK301" t="s">
        <v>3194</v>
      </c>
      <c r="BL301" t="s">
        <v>195</v>
      </c>
      <c r="BM301" t="s">
        <v>311</v>
      </c>
    </row>
    <row r="302" spans="1:65">
      <c r="A302" s="1">
        <f>HYPERLINK("https://lsnyc.legalserver.org/matter/dynamic-profile/view/1907342","19-1907342")</f>
        <v>0</v>
      </c>
      <c r="B302" t="s">
        <v>66</v>
      </c>
      <c r="C302" t="s">
        <v>131</v>
      </c>
      <c r="D302" t="s">
        <v>170</v>
      </c>
      <c r="E302" t="s">
        <v>171</v>
      </c>
      <c r="G302" t="s">
        <v>172</v>
      </c>
      <c r="H302" t="s">
        <v>220</v>
      </c>
      <c r="I302" t="s">
        <v>172</v>
      </c>
      <c r="J302" t="s">
        <v>231</v>
      </c>
      <c r="K302" t="s">
        <v>172</v>
      </c>
      <c r="M302" t="s">
        <v>232</v>
      </c>
      <c r="N302" t="s">
        <v>311</v>
      </c>
      <c r="O302" t="s">
        <v>313</v>
      </c>
      <c r="P302" t="s">
        <v>315</v>
      </c>
      <c r="Q302" t="s">
        <v>321</v>
      </c>
      <c r="T302" t="s">
        <v>597</v>
      </c>
      <c r="U302" t="s">
        <v>973</v>
      </c>
      <c r="V302" t="s">
        <v>1099</v>
      </c>
      <c r="X302" t="s">
        <v>1112</v>
      </c>
      <c r="Y302" t="s">
        <v>1403</v>
      </c>
      <c r="Z302">
        <v>69</v>
      </c>
      <c r="AA302" t="s">
        <v>1756</v>
      </c>
      <c r="AB302" t="s">
        <v>1786</v>
      </c>
      <c r="AC302">
        <v>10027</v>
      </c>
      <c r="AD302" t="s">
        <v>1790</v>
      </c>
      <c r="AE302" t="s">
        <v>2067</v>
      </c>
      <c r="AF302">
        <v>5</v>
      </c>
      <c r="AH302" t="s">
        <v>2222</v>
      </c>
      <c r="AI302" t="s">
        <v>233</v>
      </c>
      <c r="AL302" t="s">
        <v>2230</v>
      </c>
      <c r="AN302">
        <v>0</v>
      </c>
      <c r="AO302">
        <v>864.74</v>
      </c>
      <c r="AP302">
        <v>2.9</v>
      </c>
      <c r="AR302" t="s">
        <v>2538</v>
      </c>
      <c r="AS302" t="s">
        <v>2957</v>
      </c>
      <c r="AT302">
        <v>0</v>
      </c>
      <c r="AU302" t="s">
        <v>3106</v>
      </c>
      <c r="AV302">
        <v>1</v>
      </c>
      <c r="AW302">
        <v>0</v>
      </c>
      <c r="AX302">
        <v>0</v>
      </c>
      <c r="BB302" t="s">
        <v>252</v>
      </c>
      <c r="BD302">
        <v>0</v>
      </c>
      <c r="BH302" t="s">
        <v>3172</v>
      </c>
      <c r="BK302" t="s">
        <v>3210</v>
      </c>
      <c r="BL302" t="s">
        <v>1107</v>
      </c>
      <c r="BM302" t="s">
        <v>311</v>
      </c>
    </row>
    <row r="303" spans="1:65">
      <c r="A303" s="1">
        <f>HYPERLINK("https://lsnyc.legalserver.org/matter/dynamic-profile/view/1907363","19-1907363")</f>
        <v>0</v>
      </c>
      <c r="B303" t="s">
        <v>66</v>
      </c>
      <c r="C303" t="s">
        <v>132</v>
      </c>
      <c r="D303" t="s">
        <v>170</v>
      </c>
      <c r="E303" t="s">
        <v>171</v>
      </c>
      <c r="G303" t="s">
        <v>172</v>
      </c>
      <c r="H303" t="s">
        <v>220</v>
      </c>
      <c r="I303" t="s">
        <v>172</v>
      </c>
      <c r="J303" t="s">
        <v>231</v>
      </c>
      <c r="K303" t="s">
        <v>172</v>
      </c>
      <c r="M303" t="s">
        <v>232</v>
      </c>
      <c r="N303" t="s">
        <v>311</v>
      </c>
      <c r="O303" t="s">
        <v>313</v>
      </c>
      <c r="Q303" t="s">
        <v>321</v>
      </c>
      <c r="T303" t="s">
        <v>598</v>
      </c>
      <c r="U303" t="s">
        <v>974</v>
      </c>
      <c r="V303" t="s">
        <v>1099</v>
      </c>
      <c r="X303" t="s">
        <v>1112</v>
      </c>
      <c r="Y303" t="s">
        <v>1404</v>
      </c>
      <c r="Z303" t="s">
        <v>1704</v>
      </c>
      <c r="AA303" t="s">
        <v>1756</v>
      </c>
      <c r="AB303" t="s">
        <v>1786</v>
      </c>
      <c r="AC303">
        <v>10027</v>
      </c>
      <c r="AD303" t="s">
        <v>1787</v>
      </c>
      <c r="AF303">
        <v>1</v>
      </c>
      <c r="AH303" t="s">
        <v>2222</v>
      </c>
      <c r="AI303" t="s">
        <v>233</v>
      </c>
      <c r="AJ303" t="s">
        <v>233</v>
      </c>
      <c r="AL303" t="s">
        <v>2230</v>
      </c>
      <c r="AM303" t="s">
        <v>2236</v>
      </c>
      <c r="AN303">
        <v>0</v>
      </c>
      <c r="AO303">
        <v>2450</v>
      </c>
      <c r="AP303">
        <v>5.5</v>
      </c>
      <c r="AR303" t="s">
        <v>2539</v>
      </c>
      <c r="AS303" t="s">
        <v>2958</v>
      </c>
      <c r="AT303">
        <v>0</v>
      </c>
      <c r="AU303" t="s">
        <v>3106</v>
      </c>
      <c r="AV303">
        <v>1</v>
      </c>
      <c r="AW303">
        <v>0</v>
      </c>
      <c r="AX303">
        <v>160.13</v>
      </c>
      <c r="BB303" t="s">
        <v>252</v>
      </c>
      <c r="BC303" t="s">
        <v>3130</v>
      </c>
      <c r="BD303">
        <v>20000</v>
      </c>
      <c r="BH303" t="s">
        <v>3172</v>
      </c>
      <c r="BK303" t="s">
        <v>3198</v>
      </c>
      <c r="BL303" t="s">
        <v>1098</v>
      </c>
      <c r="BM303" t="s">
        <v>311</v>
      </c>
    </row>
    <row r="304" spans="1:65">
      <c r="A304" s="1">
        <f>HYPERLINK("https://lsnyc.legalserver.org/matter/dynamic-profile/view/1907348","19-1907348")</f>
        <v>0</v>
      </c>
      <c r="B304" t="s">
        <v>66</v>
      </c>
      <c r="C304" t="s">
        <v>132</v>
      </c>
      <c r="D304" t="s">
        <v>170</v>
      </c>
      <c r="E304" t="s">
        <v>171</v>
      </c>
      <c r="G304" t="s">
        <v>172</v>
      </c>
      <c r="H304" t="s">
        <v>220</v>
      </c>
      <c r="I304" t="s">
        <v>172</v>
      </c>
      <c r="J304" t="s">
        <v>231</v>
      </c>
      <c r="K304" t="s">
        <v>172</v>
      </c>
      <c r="M304" t="s">
        <v>232</v>
      </c>
      <c r="N304" t="s">
        <v>311</v>
      </c>
      <c r="O304" t="s">
        <v>172</v>
      </c>
      <c r="P304" t="s">
        <v>316</v>
      </c>
      <c r="Q304" t="s">
        <v>321</v>
      </c>
      <c r="T304" t="s">
        <v>599</v>
      </c>
      <c r="U304" t="s">
        <v>975</v>
      </c>
      <c r="V304" t="s">
        <v>1099</v>
      </c>
      <c r="X304" t="s">
        <v>1112</v>
      </c>
      <c r="Y304" t="s">
        <v>1405</v>
      </c>
      <c r="Z304" t="s">
        <v>1705</v>
      </c>
      <c r="AA304" t="s">
        <v>1756</v>
      </c>
      <c r="AB304" t="s">
        <v>1786</v>
      </c>
      <c r="AC304">
        <v>10025</v>
      </c>
      <c r="AD304" t="s">
        <v>1790</v>
      </c>
      <c r="AE304" t="s">
        <v>2068</v>
      </c>
      <c r="AF304">
        <v>30</v>
      </c>
      <c r="AH304" t="s">
        <v>2222</v>
      </c>
      <c r="AI304" t="s">
        <v>233</v>
      </c>
      <c r="AJ304" t="s">
        <v>233</v>
      </c>
      <c r="AL304" t="s">
        <v>2230</v>
      </c>
      <c r="AM304" t="s">
        <v>2240</v>
      </c>
      <c r="AN304">
        <v>0</v>
      </c>
      <c r="AO304">
        <v>2500</v>
      </c>
      <c r="AP304">
        <v>15.5</v>
      </c>
      <c r="AR304" t="s">
        <v>2540</v>
      </c>
      <c r="AS304" t="s">
        <v>2959</v>
      </c>
      <c r="AT304">
        <v>0</v>
      </c>
      <c r="AU304" t="s">
        <v>3115</v>
      </c>
      <c r="AV304">
        <v>1</v>
      </c>
      <c r="AW304">
        <v>0</v>
      </c>
      <c r="AX304">
        <v>62.45</v>
      </c>
      <c r="BB304" t="s">
        <v>3123</v>
      </c>
      <c r="BC304" t="s">
        <v>3130</v>
      </c>
      <c r="BD304">
        <v>7800</v>
      </c>
      <c r="BH304" t="s">
        <v>3172</v>
      </c>
      <c r="BK304" t="s">
        <v>3214</v>
      </c>
      <c r="BL304" t="s">
        <v>215</v>
      </c>
      <c r="BM304" t="s">
        <v>311</v>
      </c>
    </row>
    <row r="305" spans="1:65">
      <c r="A305" s="1">
        <f>HYPERLINK("https://lsnyc.legalserver.org/matter/dynamic-profile/view/1908210","19-1908210")</f>
        <v>0</v>
      </c>
      <c r="B305" t="s">
        <v>66</v>
      </c>
      <c r="C305" t="s">
        <v>133</v>
      </c>
      <c r="D305" t="s">
        <v>170</v>
      </c>
      <c r="E305" t="s">
        <v>171</v>
      </c>
      <c r="G305" t="s">
        <v>172</v>
      </c>
      <c r="H305" t="s">
        <v>221</v>
      </c>
      <c r="I305" t="s">
        <v>230</v>
      </c>
      <c r="J305" t="s">
        <v>232</v>
      </c>
      <c r="K305" t="s">
        <v>234</v>
      </c>
      <c r="M305" t="s">
        <v>232</v>
      </c>
      <c r="O305" t="s">
        <v>313</v>
      </c>
      <c r="Q305" t="s">
        <v>321</v>
      </c>
      <c r="T305" t="s">
        <v>600</v>
      </c>
      <c r="U305" t="s">
        <v>976</v>
      </c>
      <c r="V305" t="s">
        <v>1100</v>
      </c>
      <c r="X305" t="s">
        <v>1112</v>
      </c>
      <c r="Y305" t="s">
        <v>1406</v>
      </c>
      <c r="Z305" t="s">
        <v>1585</v>
      </c>
      <c r="AA305" t="s">
        <v>1756</v>
      </c>
      <c r="AB305" t="s">
        <v>1786</v>
      </c>
      <c r="AC305">
        <v>10026</v>
      </c>
      <c r="AE305" t="s">
        <v>2069</v>
      </c>
      <c r="AF305">
        <v>20</v>
      </c>
      <c r="AH305" t="s">
        <v>2223</v>
      </c>
      <c r="AI305" t="s">
        <v>233</v>
      </c>
      <c r="AL305" t="s">
        <v>2232</v>
      </c>
      <c r="AN305">
        <v>0</v>
      </c>
      <c r="AO305">
        <v>380</v>
      </c>
      <c r="AP305">
        <v>0</v>
      </c>
      <c r="AR305" t="s">
        <v>2541</v>
      </c>
      <c r="AS305" t="s">
        <v>2960</v>
      </c>
      <c r="AT305">
        <v>0</v>
      </c>
      <c r="AV305">
        <v>1</v>
      </c>
      <c r="AW305">
        <v>0</v>
      </c>
      <c r="AX305">
        <v>13.26</v>
      </c>
      <c r="BC305" t="s">
        <v>3130</v>
      </c>
      <c r="BD305">
        <v>1656</v>
      </c>
      <c r="BH305" t="s">
        <v>3173</v>
      </c>
      <c r="BK305" t="s">
        <v>3194</v>
      </c>
    </row>
    <row r="306" spans="1:65">
      <c r="A306" s="1">
        <f>HYPERLINK("https://lsnyc.legalserver.org/matter/dynamic-profile/view/1905004","19-1905004")</f>
        <v>0</v>
      </c>
      <c r="B306" t="s">
        <v>66</v>
      </c>
      <c r="C306" t="s">
        <v>133</v>
      </c>
      <c r="D306" t="s">
        <v>170</v>
      </c>
      <c r="E306" t="s">
        <v>171</v>
      </c>
      <c r="G306" t="s">
        <v>219</v>
      </c>
      <c r="I306" t="s">
        <v>230</v>
      </c>
      <c r="J306" t="s">
        <v>232</v>
      </c>
      <c r="K306" t="s">
        <v>234</v>
      </c>
      <c r="M306" t="s">
        <v>232</v>
      </c>
      <c r="O306" t="s">
        <v>313</v>
      </c>
      <c r="P306" t="s">
        <v>315</v>
      </c>
      <c r="Q306" t="s">
        <v>321</v>
      </c>
      <c r="T306" t="s">
        <v>601</v>
      </c>
      <c r="U306" t="s">
        <v>977</v>
      </c>
      <c r="V306" t="s">
        <v>187</v>
      </c>
      <c r="X306" t="s">
        <v>1112</v>
      </c>
      <c r="Y306" t="s">
        <v>1407</v>
      </c>
      <c r="Z306" t="s">
        <v>1706</v>
      </c>
      <c r="AA306" t="s">
        <v>1756</v>
      </c>
      <c r="AB306" t="s">
        <v>1786</v>
      </c>
      <c r="AC306">
        <v>10039</v>
      </c>
      <c r="AF306">
        <v>0</v>
      </c>
      <c r="AH306" t="s">
        <v>2222</v>
      </c>
      <c r="AI306" t="s">
        <v>233</v>
      </c>
      <c r="AJ306" t="s">
        <v>233</v>
      </c>
      <c r="AL306" t="s">
        <v>2231</v>
      </c>
      <c r="AN306">
        <v>0</v>
      </c>
      <c r="AO306">
        <v>0</v>
      </c>
      <c r="AP306">
        <v>4.5</v>
      </c>
      <c r="AR306" t="s">
        <v>2542</v>
      </c>
      <c r="AS306" t="s">
        <v>2961</v>
      </c>
      <c r="AT306">
        <v>0</v>
      </c>
      <c r="AV306">
        <v>2</v>
      </c>
      <c r="AW306">
        <v>2</v>
      </c>
      <c r="AX306">
        <v>77.45</v>
      </c>
      <c r="BC306" t="s">
        <v>3130</v>
      </c>
      <c r="BD306">
        <v>19944</v>
      </c>
      <c r="BH306" t="s">
        <v>3174</v>
      </c>
      <c r="BK306" t="s">
        <v>3253</v>
      </c>
      <c r="BL306" t="s">
        <v>183</v>
      </c>
    </row>
    <row r="307" spans="1:65">
      <c r="A307" s="1">
        <f>HYPERLINK("https://lsnyc.legalserver.org/matter/dynamic-profile/view/1906883","19-1906883")</f>
        <v>0</v>
      </c>
      <c r="B307" t="s">
        <v>66</v>
      </c>
      <c r="C307" t="s">
        <v>132</v>
      </c>
      <c r="D307" t="s">
        <v>170</v>
      </c>
      <c r="E307" t="s">
        <v>171</v>
      </c>
      <c r="G307" t="s">
        <v>172</v>
      </c>
      <c r="H307" t="s">
        <v>221</v>
      </c>
      <c r="I307" t="s">
        <v>172</v>
      </c>
      <c r="J307" t="s">
        <v>231</v>
      </c>
      <c r="K307" t="s">
        <v>172</v>
      </c>
      <c r="L307" t="s">
        <v>283</v>
      </c>
      <c r="M307" t="s">
        <v>232</v>
      </c>
      <c r="N307" t="s">
        <v>312</v>
      </c>
      <c r="O307" t="s">
        <v>313</v>
      </c>
      <c r="P307" t="s">
        <v>315</v>
      </c>
      <c r="Q307" t="s">
        <v>321</v>
      </c>
      <c r="T307" t="s">
        <v>348</v>
      </c>
      <c r="U307" t="s">
        <v>978</v>
      </c>
      <c r="V307" t="s">
        <v>212</v>
      </c>
      <c r="X307" t="s">
        <v>1112</v>
      </c>
      <c r="Y307" t="s">
        <v>1408</v>
      </c>
      <c r="Z307" t="s">
        <v>1684</v>
      </c>
      <c r="AA307" t="s">
        <v>1756</v>
      </c>
      <c r="AB307" t="s">
        <v>1786</v>
      </c>
      <c r="AC307">
        <v>10002</v>
      </c>
      <c r="AD307" t="s">
        <v>1787</v>
      </c>
      <c r="AE307" t="s">
        <v>2070</v>
      </c>
      <c r="AF307">
        <v>4</v>
      </c>
      <c r="AH307" t="s">
        <v>2223</v>
      </c>
      <c r="AI307" t="s">
        <v>233</v>
      </c>
      <c r="AJ307" t="s">
        <v>233</v>
      </c>
      <c r="AL307" t="s">
        <v>2231</v>
      </c>
      <c r="AM307" t="s">
        <v>2241</v>
      </c>
      <c r="AN307">
        <v>0</v>
      </c>
      <c r="AO307">
        <v>634</v>
      </c>
      <c r="AP307">
        <v>10</v>
      </c>
      <c r="AR307" t="s">
        <v>2543</v>
      </c>
      <c r="AS307" t="s">
        <v>2962</v>
      </c>
      <c r="AT307">
        <v>0</v>
      </c>
      <c r="AU307" t="s">
        <v>3107</v>
      </c>
      <c r="AV307">
        <v>1</v>
      </c>
      <c r="AW307">
        <v>0</v>
      </c>
      <c r="AX307">
        <v>9.369999999999999</v>
      </c>
      <c r="BB307" t="s">
        <v>252</v>
      </c>
      <c r="BC307" t="s">
        <v>3130</v>
      </c>
      <c r="BD307">
        <v>1170</v>
      </c>
      <c r="BH307" t="s">
        <v>3172</v>
      </c>
      <c r="BK307" t="s">
        <v>3254</v>
      </c>
      <c r="BL307" t="s">
        <v>185</v>
      </c>
      <c r="BM307" t="s">
        <v>312</v>
      </c>
    </row>
    <row r="308" spans="1:65">
      <c r="A308" s="1">
        <f>HYPERLINK("https://lsnyc.legalserver.org/matter/dynamic-profile/view/1904928","19-1904928")</f>
        <v>0</v>
      </c>
      <c r="B308" t="s">
        <v>66</v>
      </c>
      <c r="C308" t="s">
        <v>133</v>
      </c>
      <c r="D308" t="s">
        <v>170</v>
      </c>
      <c r="E308" t="s">
        <v>171</v>
      </c>
      <c r="G308" t="s">
        <v>172</v>
      </c>
      <c r="H308" t="s">
        <v>220</v>
      </c>
      <c r="I308" t="s">
        <v>230</v>
      </c>
      <c r="J308" t="s">
        <v>232</v>
      </c>
      <c r="K308" t="s">
        <v>234</v>
      </c>
      <c r="M308" t="s">
        <v>232</v>
      </c>
      <c r="O308" t="s">
        <v>172</v>
      </c>
      <c r="P308" t="s">
        <v>316</v>
      </c>
      <c r="Q308" t="s">
        <v>321</v>
      </c>
      <c r="T308" t="s">
        <v>602</v>
      </c>
      <c r="U308" t="s">
        <v>979</v>
      </c>
      <c r="V308" t="s">
        <v>187</v>
      </c>
      <c r="X308" t="s">
        <v>1112</v>
      </c>
      <c r="Y308" t="s">
        <v>1409</v>
      </c>
      <c r="Z308" t="s">
        <v>1659</v>
      </c>
      <c r="AA308" t="s">
        <v>1756</v>
      </c>
      <c r="AB308" t="s">
        <v>1786</v>
      </c>
      <c r="AC308">
        <v>10014</v>
      </c>
      <c r="AD308" t="s">
        <v>1790</v>
      </c>
      <c r="AE308" t="s">
        <v>2071</v>
      </c>
      <c r="AF308">
        <v>3</v>
      </c>
      <c r="AH308" t="s">
        <v>2222</v>
      </c>
      <c r="AI308" t="s">
        <v>233</v>
      </c>
      <c r="AJ308" t="s">
        <v>233</v>
      </c>
      <c r="AL308" t="s">
        <v>2231</v>
      </c>
      <c r="AN308">
        <v>0</v>
      </c>
      <c r="AO308">
        <v>1000</v>
      </c>
      <c r="AP308">
        <v>1</v>
      </c>
      <c r="AR308" t="s">
        <v>2544</v>
      </c>
      <c r="AS308" t="s">
        <v>2963</v>
      </c>
      <c r="AT308">
        <v>0</v>
      </c>
      <c r="AU308" t="s">
        <v>3108</v>
      </c>
      <c r="AV308">
        <v>1</v>
      </c>
      <c r="AW308">
        <v>0</v>
      </c>
      <c r="AX308">
        <v>155.64</v>
      </c>
      <c r="BB308" t="s">
        <v>252</v>
      </c>
      <c r="BC308" t="s">
        <v>3130</v>
      </c>
      <c r="BD308">
        <v>19440</v>
      </c>
      <c r="BH308" t="s">
        <v>3174</v>
      </c>
      <c r="BK308" t="s">
        <v>3246</v>
      </c>
      <c r="BL308" t="s">
        <v>196</v>
      </c>
    </row>
    <row r="309" spans="1:65">
      <c r="A309" s="1">
        <f>HYPERLINK("https://lsnyc.legalserver.org/matter/dynamic-profile/view/1907010","19-1907010")</f>
        <v>0</v>
      </c>
      <c r="B309" t="s">
        <v>66</v>
      </c>
      <c r="C309" t="s">
        <v>134</v>
      </c>
      <c r="D309" t="s">
        <v>170</v>
      </c>
      <c r="E309" t="s">
        <v>172</v>
      </c>
      <c r="F309" t="s">
        <v>183</v>
      </c>
      <c r="G309" t="s">
        <v>172</v>
      </c>
      <c r="H309" t="s">
        <v>220</v>
      </c>
      <c r="I309" t="s">
        <v>172</v>
      </c>
      <c r="J309" t="s">
        <v>231</v>
      </c>
      <c r="K309" t="s">
        <v>172</v>
      </c>
      <c r="M309" t="s">
        <v>232</v>
      </c>
      <c r="N309" t="s">
        <v>311</v>
      </c>
      <c r="O309" t="s">
        <v>313</v>
      </c>
      <c r="P309" t="s">
        <v>315</v>
      </c>
      <c r="Q309" t="s">
        <v>321</v>
      </c>
      <c r="T309" t="s">
        <v>603</v>
      </c>
      <c r="U309" t="s">
        <v>980</v>
      </c>
      <c r="V309" t="s">
        <v>183</v>
      </c>
      <c r="X309" t="s">
        <v>1112</v>
      </c>
      <c r="Y309" t="s">
        <v>1410</v>
      </c>
      <c r="Z309" t="s">
        <v>1576</v>
      </c>
      <c r="AA309" t="s">
        <v>1756</v>
      </c>
      <c r="AB309" t="s">
        <v>1786</v>
      </c>
      <c r="AC309">
        <v>10021</v>
      </c>
      <c r="AD309" t="s">
        <v>1791</v>
      </c>
      <c r="AE309" t="s">
        <v>2072</v>
      </c>
      <c r="AF309">
        <v>3</v>
      </c>
      <c r="AH309" t="s">
        <v>2223</v>
      </c>
      <c r="AI309" t="s">
        <v>233</v>
      </c>
      <c r="AJ309" t="s">
        <v>233</v>
      </c>
      <c r="AL309" t="s">
        <v>2230</v>
      </c>
      <c r="AN309">
        <v>0</v>
      </c>
      <c r="AO309">
        <v>1950</v>
      </c>
      <c r="AP309">
        <v>2.2</v>
      </c>
      <c r="AR309" t="s">
        <v>2545</v>
      </c>
      <c r="AS309" t="s">
        <v>2964</v>
      </c>
      <c r="AT309">
        <v>0</v>
      </c>
      <c r="AU309" t="s">
        <v>3106</v>
      </c>
      <c r="AV309">
        <v>1</v>
      </c>
      <c r="AW309">
        <v>0</v>
      </c>
      <c r="AX309">
        <v>0</v>
      </c>
      <c r="BB309" t="s">
        <v>252</v>
      </c>
      <c r="BC309" t="s">
        <v>3130</v>
      </c>
      <c r="BD309">
        <v>0</v>
      </c>
      <c r="BH309" t="s">
        <v>3175</v>
      </c>
      <c r="BK309" t="s">
        <v>3220</v>
      </c>
      <c r="BL309" t="s">
        <v>1110</v>
      </c>
      <c r="BM309" t="s">
        <v>311</v>
      </c>
    </row>
    <row r="310" spans="1:65">
      <c r="A310" s="1">
        <f>HYPERLINK("https://lsnyc.legalserver.org/matter/dynamic-profile/view/1904402","19-1904402")</f>
        <v>0</v>
      </c>
      <c r="B310" t="s">
        <v>66</v>
      </c>
      <c r="C310" t="s">
        <v>131</v>
      </c>
      <c r="D310" t="s">
        <v>170</v>
      </c>
      <c r="E310" t="s">
        <v>172</v>
      </c>
      <c r="F310" t="s">
        <v>174</v>
      </c>
      <c r="G310" t="s">
        <v>172</v>
      </c>
      <c r="H310" t="s">
        <v>221</v>
      </c>
      <c r="I310" t="s">
        <v>172</v>
      </c>
      <c r="J310" t="s">
        <v>231</v>
      </c>
      <c r="K310" t="s">
        <v>172</v>
      </c>
      <c r="M310" t="s">
        <v>232</v>
      </c>
      <c r="N310" t="s">
        <v>311</v>
      </c>
      <c r="O310" t="s">
        <v>172</v>
      </c>
      <c r="P310" t="s">
        <v>314</v>
      </c>
      <c r="Q310" t="s">
        <v>322</v>
      </c>
      <c r="T310" t="s">
        <v>604</v>
      </c>
      <c r="U310" t="s">
        <v>784</v>
      </c>
      <c r="V310" t="s">
        <v>174</v>
      </c>
      <c r="W310" t="s">
        <v>198</v>
      </c>
      <c r="X310" t="s">
        <v>1113</v>
      </c>
      <c r="Y310" t="s">
        <v>1411</v>
      </c>
      <c r="Z310" t="s">
        <v>1575</v>
      </c>
      <c r="AA310" t="s">
        <v>1756</v>
      </c>
      <c r="AB310" t="s">
        <v>1786</v>
      </c>
      <c r="AC310">
        <v>10031</v>
      </c>
      <c r="AD310" t="s">
        <v>1790</v>
      </c>
      <c r="AE310" t="s">
        <v>2073</v>
      </c>
      <c r="AF310">
        <v>15</v>
      </c>
      <c r="AG310" t="s">
        <v>2214</v>
      </c>
      <c r="AH310" t="s">
        <v>2222</v>
      </c>
      <c r="AI310" t="s">
        <v>233</v>
      </c>
      <c r="AJ310" t="s">
        <v>233</v>
      </c>
      <c r="AL310" t="s">
        <v>2235</v>
      </c>
      <c r="AM310" t="s">
        <v>2236</v>
      </c>
      <c r="AN310">
        <v>0</v>
      </c>
      <c r="AO310">
        <v>538</v>
      </c>
      <c r="AP310">
        <v>0.8</v>
      </c>
      <c r="AQ310" t="s">
        <v>2242</v>
      </c>
      <c r="AR310" t="s">
        <v>2546</v>
      </c>
      <c r="AS310" t="s">
        <v>2965</v>
      </c>
      <c r="AT310">
        <v>36</v>
      </c>
      <c r="AU310" t="s">
        <v>3115</v>
      </c>
      <c r="AV310">
        <v>1</v>
      </c>
      <c r="AW310">
        <v>0</v>
      </c>
      <c r="AX310">
        <v>307.45</v>
      </c>
      <c r="BB310" t="s">
        <v>3123</v>
      </c>
      <c r="BC310" t="s">
        <v>3130</v>
      </c>
      <c r="BD310">
        <v>38400</v>
      </c>
      <c r="BH310" t="s">
        <v>3172</v>
      </c>
      <c r="BK310" t="s">
        <v>3198</v>
      </c>
      <c r="BL310" t="s">
        <v>174</v>
      </c>
      <c r="BM310" t="s">
        <v>311</v>
      </c>
    </row>
    <row r="311" spans="1:65">
      <c r="A311" s="1">
        <f>HYPERLINK("https://lsnyc.legalserver.org/matter/dynamic-profile/view/1904940","19-1904940")</f>
        <v>0</v>
      </c>
      <c r="B311" t="s">
        <v>66</v>
      </c>
      <c r="C311" t="s">
        <v>133</v>
      </c>
      <c r="D311" t="s">
        <v>170</v>
      </c>
      <c r="E311" t="s">
        <v>171</v>
      </c>
      <c r="G311" t="s">
        <v>219</v>
      </c>
      <c r="I311" t="s">
        <v>230</v>
      </c>
      <c r="J311" t="s">
        <v>232</v>
      </c>
      <c r="K311" t="s">
        <v>234</v>
      </c>
      <c r="M311" t="s">
        <v>232</v>
      </c>
      <c r="O311" t="s">
        <v>313</v>
      </c>
      <c r="Q311" t="s">
        <v>321</v>
      </c>
      <c r="T311" t="s">
        <v>605</v>
      </c>
      <c r="U311" t="s">
        <v>797</v>
      </c>
      <c r="V311" t="s">
        <v>187</v>
      </c>
      <c r="X311" t="s">
        <v>1112</v>
      </c>
      <c r="Y311" t="s">
        <v>1412</v>
      </c>
      <c r="AA311" t="s">
        <v>1756</v>
      </c>
      <c r="AB311" t="s">
        <v>1786</v>
      </c>
      <c r="AC311">
        <v>10026</v>
      </c>
      <c r="AF311">
        <v>0</v>
      </c>
      <c r="AH311" t="s">
        <v>2222</v>
      </c>
      <c r="AI311" t="s">
        <v>233</v>
      </c>
      <c r="AL311" t="s">
        <v>2231</v>
      </c>
      <c r="AN311">
        <v>0</v>
      </c>
      <c r="AO311">
        <v>0</v>
      </c>
      <c r="AP311">
        <v>4</v>
      </c>
      <c r="AR311" t="s">
        <v>2547</v>
      </c>
      <c r="AS311" t="s">
        <v>2966</v>
      </c>
      <c r="AT311">
        <v>0</v>
      </c>
      <c r="AV311">
        <v>3</v>
      </c>
      <c r="AW311">
        <v>0</v>
      </c>
      <c r="AX311">
        <v>84.39</v>
      </c>
      <c r="BC311" t="s">
        <v>3130</v>
      </c>
      <c r="BD311">
        <v>18000</v>
      </c>
      <c r="BH311" t="s">
        <v>3174</v>
      </c>
      <c r="BK311" t="s">
        <v>3236</v>
      </c>
      <c r="BL311" t="s">
        <v>206</v>
      </c>
    </row>
    <row r="312" spans="1:65">
      <c r="A312" s="1">
        <f>HYPERLINK("https://lsnyc.legalserver.org/matter/dynamic-profile/view/1904641","19-1904641")</f>
        <v>0</v>
      </c>
      <c r="B312" t="s">
        <v>66</v>
      </c>
      <c r="C312" t="s">
        <v>134</v>
      </c>
      <c r="D312" t="s">
        <v>170</v>
      </c>
      <c r="E312" t="s">
        <v>172</v>
      </c>
      <c r="F312" t="s">
        <v>198</v>
      </c>
      <c r="G312" t="s">
        <v>172</v>
      </c>
      <c r="H312" t="s">
        <v>221</v>
      </c>
      <c r="I312" t="s">
        <v>172</v>
      </c>
      <c r="J312" t="s">
        <v>231</v>
      </c>
      <c r="K312" t="s">
        <v>172</v>
      </c>
      <c r="M312" t="s">
        <v>232</v>
      </c>
      <c r="N312" t="s">
        <v>311</v>
      </c>
      <c r="O312" t="s">
        <v>313</v>
      </c>
      <c r="P312" t="s">
        <v>315</v>
      </c>
      <c r="Q312" t="s">
        <v>321</v>
      </c>
      <c r="T312" t="s">
        <v>606</v>
      </c>
      <c r="U312" t="s">
        <v>732</v>
      </c>
      <c r="V312" t="s">
        <v>198</v>
      </c>
      <c r="X312" t="s">
        <v>1112</v>
      </c>
      <c r="Y312" t="s">
        <v>1413</v>
      </c>
      <c r="Z312" t="s">
        <v>1579</v>
      </c>
      <c r="AA312" t="s">
        <v>1756</v>
      </c>
      <c r="AB312" t="s">
        <v>1786</v>
      </c>
      <c r="AC312">
        <v>10033</v>
      </c>
      <c r="AD312" t="s">
        <v>1791</v>
      </c>
      <c r="AE312" t="s">
        <v>2074</v>
      </c>
      <c r="AF312">
        <v>10</v>
      </c>
      <c r="AH312" t="s">
        <v>2223</v>
      </c>
      <c r="AI312" t="s">
        <v>233</v>
      </c>
      <c r="AJ312" t="s">
        <v>233</v>
      </c>
      <c r="AL312" t="s">
        <v>2230</v>
      </c>
      <c r="AN312">
        <v>0</v>
      </c>
      <c r="AO312">
        <v>775</v>
      </c>
      <c r="AP312">
        <v>2.1</v>
      </c>
      <c r="AR312" t="s">
        <v>2548</v>
      </c>
      <c r="AS312" t="s">
        <v>2967</v>
      </c>
      <c r="AT312">
        <v>0</v>
      </c>
      <c r="AU312" t="s">
        <v>3107</v>
      </c>
      <c r="AV312">
        <v>1</v>
      </c>
      <c r="AW312">
        <v>0</v>
      </c>
      <c r="AX312">
        <v>240.19</v>
      </c>
      <c r="BB312" t="s">
        <v>252</v>
      </c>
      <c r="BC312" t="s">
        <v>3130</v>
      </c>
      <c r="BD312">
        <v>30000</v>
      </c>
      <c r="BH312" t="s">
        <v>3175</v>
      </c>
      <c r="BK312" t="s">
        <v>3198</v>
      </c>
      <c r="BL312" t="s">
        <v>1103</v>
      </c>
      <c r="BM312" t="s">
        <v>311</v>
      </c>
    </row>
    <row r="313" spans="1:65">
      <c r="A313" s="1">
        <f>HYPERLINK("https://lsnyc.legalserver.org/matter/dynamic-profile/view/1907061","19-1907061")</f>
        <v>0</v>
      </c>
      <c r="B313" t="s">
        <v>66</v>
      </c>
      <c r="C313" t="s">
        <v>134</v>
      </c>
      <c r="D313" t="s">
        <v>170</v>
      </c>
      <c r="E313" t="s">
        <v>172</v>
      </c>
      <c r="F313" t="s">
        <v>183</v>
      </c>
      <c r="G313" t="s">
        <v>172</v>
      </c>
      <c r="H313" t="s">
        <v>220</v>
      </c>
      <c r="I313" t="s">
        <v>172</v>
      </c>
      <c r="J313" t="s">
        <v>231</v>
      </c>
      <c r="K313" t="s">
        <v>172</v>
      </c>
      <c r="M313" t="s">
        <v>232</v>
      </c>
      <c r="N313" t="s">
        <v>312</v>
      </c>
      <c r="O313" t="s">
        <v>313</v>
      </c>
      <c r="P313" t="s">
        <v>315</v>
      </c>
      <c r="Q313" t="s">
        <v>321</v>
      </c>
      <c r="T313" t="s">
        <v>607</v>
      </c>
      <c r="U313" t="s">
        <v>981</v>
      </c>
      <c r="V313" t="s">
        <v>183</v>
      </c>
      <c r="X313" t="s">
        <v>1112</v>
      </c>
      <c r="Y313" t="s">
        <v>1414</v>
      </c>
      <c r="Z313" t="s">
        <v>1707</v>
      </c>
      <c r="AA313" t="s">
        <v>1756</v>
      </c>
      <c r="AB313" t="s">
        <v>1786</v>
      </c>
      <c r="AC313">
        <v>10030</v>
      </c>
      <c r="AD313" t="s">
        <v>1787</v>
      </c>
      <c r="AE313" t="s">
        <v>2075</v>
      </c>
      <c r="AF313">
        <v>45</v>
      </c>
      <c r="AH313" t="s">
        <v>2223</v>
      </c>
      <c r="AI313" t="s">
        <v>233</v>
      </c>
      <c r="AJ313" t="s">
        <v>233</v>
      </c>
      <c r="AL313" t="s">
        <v>2230</v>
      </c>
      <c r="AM313" t="s">
        <v>2236</v>
      </c>
      <c r="AN313">
        <v>0</v>
      </c>
      <c r="AO313">
        <v>829</v>
      </c>
      <c r="AP313">
        <v>1</v>
      </c>
      <c r="AR313" t="s">
        <v>2549</v>
      </c>
      <c r="AS313" t="s">
        <v>2968</v>
      </c>
      <c r="AT313">
        <v>240</v>
      </c>
      <c r="AU313" t="s">
        <v>3106</v>
      </c>
      <c r="AV313">
        <v>1</v>
      </c>
      <c r="AW313">
        <v>0</v>
      </c>
      <c r="AX313">
        <v>166.53</v>
      </c>
      <c r="BB313" t="s">
        <v>3123</v>
      </c>
      <c r="BC313" t="s">
        <v>3130</v>
      </c>
      <c r="BD313">
        <v>20800</v>
      </c>
      <c r="BH313" t="s">
        <v>3175</v>
      </c>
      <c r="BK313" t="s">
        <v>3198</v>
      </c>
      <c r="BL313" t="s">
        <v>183</v>
      </c>
      <c r="BM313" t="s">
        <v>312</v>
      </c>
    </row>
    <row r="314" spans="1:65">
      <c r="A314" s="1">
        <f>HYPERLINK("https://lsnyc.legalserver.org/matter/dynamic-profile/view/1907899","19-1907899")</f>
        <v>0</v>
      </c>
      <c r="B314" t="s">
        <v>66</v>
      </c>
      <c r="C314" t="s">
        <v>134</v>
      </c>
      <c r="D314" t="s">
        <v>170</v>
      </c>
      <c r="E314" t="s">
        <v>172</v>
      </c>
      <c r="F314" t="s">
        <v>202</v>
      </c>
      <c r="G314" t="s">
        <v>172</v>
      </c>
      <c r="H314" t="s">
        <v>221</v>
      </c>
      <c r="I314" t="s">
        <v>172</v>
      </c>
      <c r="J314" t="s">
        <v>231</v>
      </c>
      <c r="K314" t="s">
        <v>172</v>
      </c>
      <c r="M314" t="s">
        <v>232</v>
      </c>
      <c r="N314" t="s">
        <v>311</v>
      </c>
      <c r="O314" t="s">
        <v>313</v>
      </c>
      <c r="P314" t="s">
        <v>315</v>
      </c>
      <c r="Q314" t="s">
        <v>321</v>
      </c>
      <c r="T314" t="s">
        <v>608</v>
      </c>
      <c r="U314" t="s">
        <v>982</v>
      </c>
      <c r="V314" t="s">
        <v>202</v>
      </c>
      <c r="X314" t="s">
        <v>1112</v>
      </c>
      <c r="Y314" t="s">
        <v>1415</v>
      </c>
      <c r="Z314" t="s">
        <v>1708</v>
      </c>
      <c r="AA314" t="s">
        <v>1756</v>
      </c>
      <c r="AB314" t="s">
        <v>1786</v>
      </c>
      <c r="AC314">
        <v>10128</v>
      </c>
      <c r="AD314" t="s">
        <v>1787</v>
      </c>
      <c r="AE314" t="s">
        <v>2076</v>
      </c>
      <c r="AF314">
        <v>6</v>
      </c>
      <c r="AH314" t="s">
        <v>2223</v>
      </c>
      <c r="AI314" t="s">
        <v>233</v>
      </c>
      <c r="AJ314" t="s">
        <v>233</v>
      </c>
      <c r="AL314" t="s">
        <v>2230</v>
      </c>
      <c r="AM314" t="s">
        <v>2239</v>
      </c>
      <c r="AN314">
        <v>0</v>
      </c>
      <c r="AO314">
        <v>2111</v>
      </c>
      <c r="AP314">
        <v>5.9</v>
      </c>
      <c r="AR314" t="s">
        <v>2550</v>
      </c>
      <c r="AS314" t="s">
        <v>2969</v>
      </c>
      <c r="AT314">
        <v>0</v>
      </c>
      <c r="AU314" t="s">
        <v>3108</v>
      </c>
      <c r="AV314">
        <v>1</v>
      </c>
      <c r="AW314">
        <v>1</v>
      </c>
      <c r="AX314">
        <v>195.15</v>
      </c>
      <c r="BB314" t="s">
        <v>3123</v>
      </c>
      <c r="BC314" t="s">
        <v>3130</v>
      </c>
      <c r="BD314">
        <v>33000</v>
      </c>
      <c r="BH314" t="s">
        <v>3172</v>
      </c>
      <c r="BK314" t="s">
        <v>3255</v>
      </c>
      <c r="BL314" t="s">
        <v>3275</v>
      </c>
      <c r="BM314" t="s">
        <v>311</v>
      </c>
    </row>
    <row r="315" spans="1:65">
      <c r="A315" s="1">
        <f>HYPERLINK("https://lsnyc.legalserver.org/matter/dynamic-profile/view/1907054","19-1907054")</f>
        <v>0</v>
      </c>
      <c r="B315" t="s">
        <v>66</v>
      </c>
      <c r="C315" t="s">
        <v>134</v>
      </c>
      <c r="D315" t="s">
        <v>170</v>
      </c>
      <c r="E315" t="s">
        <v>172</v>
      </c>
      <c r="F315" t="s">
        <v>183</v>
      </c>
      <c r="G315" t="s">
        <v>172</v>
      </c>
      <c r="H315" t="s">
        <v>225</v>
      </c>
      <c r="I315" t="s">
        <v>172</v>
      </c>
      <c r="J315" t="s">
        <v>231</v>
      </c>
      <c r="K315" t="s">
        <v>172</v>
      </c>
      <c r="M315" t="s">
        <v>232</v>
      </c>
      <c r="N315" t="s">
        <v>311</v>
      </c>
      <c r="O315" t="s">
        <v>313</v>
      </c>
      <c r="P315" t="s">
        <v>315</v>
      </c>
      <c r="Q315" t="s">
        <v>321</v>
      </c>
      <c r="T315" t="s">
        <v>609</v>
      </c>
      <c r="U315" t="s">
        <v>983</v>
      </c>
      <c r="V315" t="s">
        <v>183</v>
      </c>
      <c r="X315" t="s">
        <v>1112</v>
      </c>
      <c r="Y315" t="s">
        <v>1416</v>
      </c>
      <c r="Z315" t="s">
        <v>1663</v>
      </c>
      <c r="AA315" t="s">
        <v>1756</v>
      </c>
      <c r="AB315" t="s">
        <v>1786</v>
      </c>
      <c r="AC315">
        <v>10037</v>
      </c>
      <c r="AD315" t="s">
        <v>1791</v>
      </c>
      <c r="AE315" t="s">
        <v>2077</v>
      </c>
      <c r="AF315">
        <v>23</v>
      </c>
      <c r="AH315" t="s">
        <v>2223</v>
      </c>
      <c r="AI315" t="s">
        <v>233</v>
      </c>
      <c r="AJ315" t="s">
        <v>233</v>
      </c>
      <c r="AL315" t="s">
        <v>2231</v>
      </c>
      <c r="AM315" t="s">
        <v>2236</v>
      </c>
      <c r="AN315">
        <v>0</v>
      </c>
      <c r="AO315">
        <v>822</v>
      </c>
      <c r="AP315">
        <v>1</v>
      </c>
      <c r="AR315" t="s">
        <v>2551</v>
      </c>
      <c r="AS315" t="s">
        <v>2970</v>
      </c>
      <c r="AT315">
        <v>0</v>
      </c>
      <c r="AU315" t="s">
        <v>3111</v>
      </c>
      <c r="AV315">
        <v>2</v>
      </c>
      <c r="AW315">
        <v>0</v>
      </c>
      <c r="AX315">
        <v>120.85</v>
      </c>
      <c r="BB315" t="s">
        <v>252</v>
      </c>
      <c r="BC315" t="s">
        <v>3130</v>
      </c>
      <c r="BD315">
        <v>20436</v>
      </c>
      <c r="BH315" t="s">
        <v>3176</v>
      </c>
      <c r="BK315" t="s">
        <v>3236</v>
      </c>
      <c r="BL315" t="s">
        <v>183</v>
      </c>
      <c r="BM315" t="s">
        <v>311</v>
      </c>
    </row>
    <row r="316" spans="1:65">
      <c r="A316" s="1">
        <f>HYPERLINK("https://lsnyc.legalserver.org/matter/dynamic-profile/view/1907013","19-1907013")</f>
        <v>0</v>
      </c>
      <c r="B316" t="s">
        <v>66</v>
      </c>
      <c r="C316" t="s">
        <v>134</v>
      </c>
      <c r="D316" t="s">
        <v>170</v>
      </c>
      <c r="E316" t="s">
        <v>172</v>
      </c>
      <c r="F316" t="s">
        <v>183</v>
      </c>
      <c r="G316" t="s">
        <v>172</v>
      </c>
      <c r="H316" t="s">
        <v>220</v>
      </c>
      <c r="I316" t="s">
        <v>172</v>
      </c>
      <c r="J316" t="s">
        <v>231</v>
      </c>
      <c r="K316" t="s">
        <v>172</v>
      </c>
      <c r="M316" t="s">
        <v>232</v>
      </c>
      <c r="N316" t="s">
        <v>311</v>
      </c>
      <c r="O316" t="s">
        <v>313</v>
      </c>
      <c r="P316" t="s">
        <v>315</v>
      </c>
      <c r="Q316" t="s">
        <v>321</v>
      </c>
      <c r="T316" t="s">
        <v>610</v>
      </c>
      <c r="U316" t="s">
        <v>984</v>
      </c>
      <c r="V316" t="s">
        <v>183</v>
      </c>
      <c r="X316" t="s">
        <v>1112</v>
      </c>
      <c r="Y316" t="s">
        <v>1417</v>
      </c>
      <c r="Z316" t="s">
        <v>1709</v>
      </c>
      <c r="AA316" t="s">
        <v>1756</v>
      </c>
      <c r="AB316" t="s">
        <v>1786</v>
      </c>
      <c r="AC316">
        <v>10001</v>
      </c>
      <c r="AD316" t="s">
        <v>1787</v>
      </c>
      <c r="AE316" t="s">
        <v>2078</v>
      </c>
      <c r="AF316">
        <v>4</v>
      </c>
      <c r="AH316" t="s">
        <v>2223</v>
      </c>
      <c r="AI316" t="s">
        <v>233</v>
      </c>
      <c r="AJ316" t="s">
        <v>233</v>
      </c>
      <c r="AL316" t="s">
        <v>2231</v>
      </c>
      <c r="AM316" t="s">
        <v>2236</v>
      </c>
      <c r="AN316">
        <v>0</v>
      </c>
      <c r="AO316">
        <v>356</v>
      </c>
      <c r="AP316">
        <v>1.4</v>
      </c>
      <c r="AR316" t="s">
        <v>2530</v>
      </c>
      <c r="AS316" t="s">
        <v>2971</v>
      </c>
      <c r="AT316">
        <v>0</v>
      </c>
      <c r="AU316" t="s">
        <v>3111</v>
      </c>
      <c r="AV316">
        <v>1</v>
      </c>
      <c r="AW316">
        <v>0</v>
      </c>
      <c r="AX316">
        <v>18.73</v>
      </c>
      <c r="BB316" t="s">
        <v>252</v>
      </c>
      <c r="BC316" t="s">
        <v>3130</v>
      </c>
      <c r="BD316">
        <v>2340</v>
      </c>
      <c r="BH316" t="s">
        <v>3176</v>
      </c>
      <c r="BK316" t="s">
        <v>3194</v>
      </c>
      <c r="BL316" t="s">
        <v>194</v>
      </c>
      <c r="BM316" t="s">
        <v>311</v>
      </c>
    </row>
    <row r="317" spans="1:65">
      <c r="A317" s="1">
        <f>HYPERLINK("https://lsnyc.legalserver.org/matter/dynamic-profile/view/1906330","19-1906330")</f>
        <v>0</v>
      </c>
      <c r="B317" t="s">
        <v>66</v>
      </c>
      <c r="C317" t="s">
        <v>134</v>
      </c>
      <c r="D317" t="s">
        <v>170</v>
      </c>
      <c r="E317" t="s">
        <v>171</v>
      </c>
      <c r="G317" t="s">
        <v>172</v>
      </c>
      <c r="H317" t="s">
        <v>221</v>
      </c>
      <c r="I317" t="s">
        <v>172</v>
      </c>
      <c r="J317" t="s">
        <v>231</v>
      </c>
      <c r="K317" t="s">
        <v>172</v>
      </c>
      <c r="M317" t="s">
        <v>232</v>
      </c>
      <c r="N317" t="s">
        <v>311</v>
      </c>
      <c r="O317" t="s">
        <v>313</v>
      </c>
      <c r="P317" t="s">
        <v>315</v>
      </c>
      <c r="Q317" t="s">
        <v>321</v>
      </c>
      <c r="T317" t="s">
        <v>399</v>
      </c>
      <c r="U317" t="s">
        <v>855</v>
      </c>
      <c r="V317" t="s">
        <v>195</v>
      </c>
      <c r="X317" t="s">
        <v>1112</v>
      </c>
      <c r="Y317" t="s">
        <v>1418</v>
      </c>
      <c r="Z317" t="s">
        <v>1710</v>
      </c>
      <c r="AA317" t="s">
        <v>1756</v>
      </c>
      <c r="AB317" t="s">
        <v>1786</v>
      </c>
      <c r="AC317">
        <v>10026</v>
      </c>
      <c r="AD317" t="s">
        <v>1790</v>
      </c>
      <c r="AE317" t="s">
        <v>2079</v>
      </c>
      <c r="AF317">
        <v>7</v>
      </c>
      <c r="AH317" t="s">
        <v>2223</v>
      </c>
      <c r="AI317" t="s">
        <v>233</v>
      </c>
      <c r="AJ317" t="s">
        <v>233</v>
      </c>
      <c r="AL317" t="s">
        <v>2230</v>
      </c>
      <c r="AN317">
        <v>0</v>
      </c>
      <c r="AO317">
        <v>1747.93</v>
      </c>
      <c r="AP317">
        <v>6.3</v>
      </c>
      <c r="AR317" t="s">
        <v>2552</v>
      </c>
      <c r="AS317" t="s">
        <v>2972</v>
      </c>
      <c r="AT317">
        <v>72</v>
      </c>
      <c r="AU317" t="s">
        <v>3109</v>
      </c>
      <c r="AV317">
        <v>1</v>
      </c>
      <c r="AW317">
        <v>0</v>
      </c>
      <c r="AX317">
        <v>80.06</v>
      </c>
      <c r="BB317" t="s">
        <v>252</v>
      </c>
      <c r="BC317" t="s">
        <v>3130</v>
      </c>
      <c r="BD317">
        <v>10000</v>
      </c>
      <c r="BH317" t="s">
        <v>3172</v>
      </c>
      <c r="BK317" t="s">
        <v>3214</v>
      </c>
      <c r="BL317" t="s">
        <v>207</v>
      </c>
      <c r="BM317" t="s">
        <v>311</v>
      </c>
    </row>
    <row r="318" spans="1:65">
      <c r="A318" s="1">
        <f>HYPERLINK("https://lsnyc.legalserver.org/matter/dynamic-profile/view/1906993","19-1906993")</f>
        <v>0</v>
      </c>
      <c r="B318" t="s">
        <v>66</v>
      </c>
      <c r="C318" t="s">
        <v>134</v>
      </c>
      <c r="D318" t="s">
        <v>170</v>
      </c>
      <c r="E318" t="s">
        <v>172</v>
      </c>
      <c r="F318" t="s">
        <v>183</v>
      </c>
      <c r="G318" t="s">
        <v>172</v>
      </c>
      <c r="H318" t="s">
        <v>220</v>
      </c>
      <c r="I318" t="s">
        <v>172</v>
      </c>
      <c r="J318" t="s">
        <v>231</v>
      </c>
      <c r="K318" t="s">
        <v>172</v>
      </c>
      <c r="M318" t="s">
        <v>232</v>
      </c>
      <c r="N318" t="s">
        <v>311</v>
      </c>
      <c r="O318" t="s">
        <v>313</v>
      </c>
      <c r="P318" t="s">
        <v>315</v>
      </c>
      <c r="Q318" t="s">
        <v>321</v>
      </c>
      <c r="T318" t="s">
        <v>525</v>
      </c>
      <c r="U318" t="s">
        <v>951</v>
      </c>
      <c r="V318" t="s">
        <v>183</v>
      </c>
      <c r="X318" t="s">
        <v>1112</v>
      </c>
      <c r="Y318" t="s">
        <v>1419</v>
      </c>
      <c r="Z318" t="s">
        <v>1711</v>
      </c>
      <c r="AA318" t="s">
        <v>1756</v>
      </c>
      <c r="AB318" t="s">
        <v>1786</v>
      </c>
      <c r="AC318">
        <v>10033</v>
      </c>
      <c r="AD318" t="s">
        <v>1787</v>
      </c>
      <c r="AE318" t="s">
        <v>2080</v>
      </c>
      <c r="AF318">
        <v>7</v>
      </c>
      <c r="AH318" t="s">
        <v>2223</v>
      </c>
      <c r="AI318" t="s">
        <v>233</v>
      </c>
      <c r="AJ318" t="s">
        <v>233</v>
      </c>
      <c r="AL318" t="s">
        <v>2230</v>
      </c>
      <c r="AN318">
        <v>0</v>
      </c>
      <c r="AO318">
        <v>1050</v>
      </c>
      <c r="AP318">
        <v>2.15</v>
      </c>
      <c r="AR318" t="s">
        <v>2553</v>
      </c>
      <c r="AS318" t="s">
        <v>2973</v>
      </c>
      <c r="AT318">
        <v>0</v>
      </c>
      <c r="AU318" t="s">
        <v>3106</v>
      </c>
      <c r="AV318">
        <v>2</v>
      </c>
      <c r="AW318">
        <v>0</v>
      </c>
      <c r="AX318">
        <v>107.87</v>
      </c>
      <c r="BB318" t="s">
        <v>252</v>
      </c>
      <c r="BC318" t="s">
        <v>3131</v>
      </c>
      <c r="BD318">
        <v>18240</v>
      </c>
      <c r="BH318" t="s">
        <v>3175</v>
      </c>
      <c r="BK318" t="s">
        <v>3246</v>
      </c>
      <c r="BL318" t="s">
        <v>207</v>
      </c>
      <c r="BM318" t="s">
        <v>311</v>
      </c>
    </row>
    <row r="319" spans="1:65">
      <c r="A319" s="1">
        <f>HYPERLINK("https://lsnyc.legalserver.org/matter/dynamic-profile/view/1908205","19-1908205")</f>
        <v>0</v>
      </c>
      <c r="B319" t="s">
        <v>66</v>
      </c>
      <c r="C319" t="s">
        <v>133</v>
      </c>
      <c r="D319" t="s">
        <v>170</v>
      </c>
      <c r="E319" t="s">
        <v>171</v>
      </c>
      <c r="G319" t="s">
        <v>172</v>
      </c>
      <c r="H319" t="s">
        <v>221</v>
      </c>
      <c r="I319" t="s">
        <v>230</v>
      </c>
      <c r="J319" t="s">
        <v>232</v>
      </c>
      <c r="K319" t="s">
        <v>234</v>
      </c>
      <c r="M319" t="s">
        <v>232</v>
      </c>
      <c r="O319" t="s">
        <v>313</v>
      </c>
      <c r="Q319" t="s">
        <v>321</v>
      </c>
      <c r="T319" t="s">
        <v>611</v>
      </c>
      <c r="U319" t="s">
        <v>985</v>
      </c>
      <c r="V319" t="s">
        <v>1100</v>
      </c>
      <c r="X319" t="s">
        <v>1112</v>
      </c>
      <c r="Y319" t="s">
        <v>1420</v>
      </c>
      <c r="Z319" t="s">
        <v>1581</v>
      </c>
      <c r="AA319" t="s">
        <v>1756</v>
      </c>
      <c r="AB319" t="s">
        <v>1786</v>
      </c>
      <c r="AC319">
        <v>10026</v>
      </c>
      <c r="AE319" t="s">
        <v>2081</v>
      </c>
      <c r="AF319">
        <v>1</v>
      </c>
      <c r="AH319" t="s">
        <v>2223</v>
      </c>
      <c r="AI319" t="s">
        <v>233</v>
      </c>
      <c r="AL319" t="s">
        <v>2232</v>
      </c>
      <c r="AN319">
        <v>0</v>
      </c>
      <c r="AO319">
        <v>1350</v>
      </c>
      <c r="AP319">
        <v>0</v>
      </c>
      <c r="AR319" t="s">
        <v>2554</v>
      </c>
      <c r="AS319" t="s">
        <v>2974</v>
      </c>
      <c r="AT319">
        <v>0</v>
      </c>
      <c r="AV319">
        <v>1</v>
      </c>
      <c r="AW319">
        <v>0</v>
      </c>
      <c r="AX319">
        <v>0</v>
      </c>
      <c r="BC319" t="s">
        <v>3130</v>
      </c>
      <c r="BD319">
        <v>0</v>
      </c>
      <c r="BH319" t="s">
        <v>3173</v>
      </c>
      <c r="BK319" t="s">
        <v>3210</v>
      </c>
    </row>
    <row r="320" spans="1:65">
      <c r="A320" s="1">
        <f>HYPERLINK("https://lsnyc.legalserver.org/matter/dynamic-profile/view/1905335","19-1905335")</f>
        <v>0</v>
      </c>
      <c r="B320" t="s">
        <v>66</v>
      </c>
      <c r="C320" t="s">
        <v>132</v>
      </c>
      <c r="D320" t="s">
        <v>170</v>
      </c>
      <c r="E320" t="s">
        <v>171</v>
      </c>
      <c r="G320" t="s">
        <v>219</v>
      </c>
      <c r="I320" t="s">
        <v>230</v>
      </c>
      <c r="J320" t="s">
        <v>233</v>
      </c>
      <c r="K320" t="s">
        <v>234</v>
      </c>
      <c r="M320" t="s">
        <v>232</v>
      </c>
      <c r="O320" t="s">
        <v>172</v>
      </c>
      <c r="P320" t="s">
        <v>320</v>
      </c>
      <c r="Q320" t="s">
        <v>321</v>
      </c>
      <c r="T320" t="s">
        <v>612</v>
      </c>
      <c r="U320" t="s">
        <v>986</v>
      </c>
      <c r="V320" t="s">
        <v>217</v>
      </c>
      <c r="X320" t="s">
        <v>1112</v>
      </c>
      <c r="Y320" t="s">
        <v>1421</v>
      </c>
      <c r="Z320">
        <v>1</v>
      </c>
      <c r="AA320" t="s">
        <v>1756</v>
      </c>
      <c r="AB320" t="s">
        <v>1786</v>
      </c>
      <c r="AC320">
        <v>10031</v>
      </c>
      <c r="AD320" t="s">
        <v>1788</v>
      </c>
      <c r="AE320" t="s">
        <v>2082</v>
      </c>
      <c r="AF320">
        <v>30</v>
      </c>
      <c r="AH320" t="s">
        <v>2223</v>
      </c>
      <c r="AI320" t="s">
        <v>233</v>
      </c>
      <c r="AJ320" t="s">
        <v>233</v>
      </c>
      <c r="AL320" t="s">
        <v>2230</v>
      </c>
      <c r="AN320">
        <v>0</v>
      </c>
      <c r="AO320">
        <v>300</v>
      </c>
      <c r="AP320">
        <v>14.5</v>
      </c>
      <c r="AR320" t="s">
        <v>2555</v>
      </c>
      <c r="AS320" t="s">
        <v>2975</v>
      </c>
      <c r="AT320">
        <v>0</v>
      </c>
      <c r="AU320" t="s">
        <v>3109</v>
      </c>
      <c r="AV320">
        <v>1</v>
      </c>
      <c r="AW320">
        <v>0</v>
      </c>
      <c r="AX320">
        <v>72.06</v>
      </c>
      <c r="BB320" t="s">
        <v>252</v>
      </c>
      <c r="BC320" t="s">
        <v>3130</v>
      </c>
      <c r="BD320">
        <v>9000</v>
      </c>
      <c r="BH320" t="s">
        <v>3172</v>
      </c>
      <c r="BK320" t="s">
        <v>3196</v>
      </c>
      <c r="BL320" t="s">
        <v>3274</v>
      </c>
    </row>
    <row r="321" spans="1:65">
      <c r="A321" s="1">
        <f>HYPERLINK("https://lsnyc.legalserver.org/matter/dynamic-profile/view/1905071","19-1905071")</f>
        <v>0</v>
      </c>
      <c r="B321" t="s">
        <v>66</v>
      </c>
      <c r="C321" t="s">
        <v>135</v>
      </c>
      <c r="D321" t="s">
        <v>170</v>
      </c>
      <c r="E321" t="s">
        <v>172</v>
      </c>
      <c r="F321" t="s">
        <v>203</v>
      </c>
      <c r="G321" t="s">
        <v>172</v>
      </c>
      <c r="H321" t="s">
        <v>220</v>
      </c>
      <c r="I321" t="s">
        <v>172</v>
      </c>
      <c r="J321" t="s">
        <v>231</v>
      </c>
      <c r="K321" t="s">
        <v>172</v>
      </c>
      <c r="M321" t="s">
        <v>232</v>
      </c>
      <c r="N321" t="s">
        <v>311</v>
      </c>
      <c r="O321" t="s">
        <v>172</v>
      </c>
      <c r="P321" t="s">
        <v>314</v>
      </c>
      <c r="Q321" t="s">
        <v>322</v>
      </c>
      <c r="T321" t="s">
        <v>535</v>
      </c>
      <c r="U321" t="s">
        <v>904</v>
      </c>
      <c r="V321" t="s">
        <v>203</v>
      </c>
      <c r="W321" t="s">
        <v>196</v>
      </c>
      <c r="X321" t="s">
        <v>1113</v>
      </c>
      <c r="Y321" t="s">
        <v>1422</v>
      </c>
      <c r="Z321">
        <v>46</v>
      </c>
      <c r="AA321" t="s">
        <v>1756</v>
      </c>
      <c r="AB321" t="s">
        <v>1786</v>
      </c>
      <c r="AC321">
        <v>10031</v>
      </c>
      <c r="AD321" t="s">
        <v>1790</v>
      </c>
      <c r="AE321" t="s">
        <v>2083</v>
      </c>
      <c r="AF321">
        <v>1</v>
      </c>
      <c r="AG321" t="s">
        <v>2214</v>
      </c>
      <c r="AH321" t="s">
        <v>2222</v>
      </c>
      <c r="AI321" t="s">
        <v>233</v>
      </c>
      <c r="AJ321" t="s">
        <v>233</v>
      </c>
      <c r="AL321" t="s">
        <v>2230</v>
      </c>
      <c r="AM321" t="s">
        <v>2236</v>
      </c>
      <c r="AN321">
        <v>0</v>
      </c>
      <c r="AO321">
        <v>1000</v>
      </c>
      <c r="AP321">
        <v>1</v>
      </c>
      <c r="AQ321" t="s">
        <v>2242</v>
      </c>
      <c r="AR321" t="s">
        <v>2556</v>
      </c>
      <c r="AT321">
        <v>47</v>
      </c>
      <c r="AU321" t="s">
        <v>3109</v>
      </c>
      <c r="AV321">
        <v>2</v>
      </c>
      <c r="AW321">
        <v>0</v>
      </c>
      <c r="AX321">
        <v>107.63</v>
      </c>
      <c r="BB321" t="s">
        <v>252</v>
      </c>
      <c r="BC321" t="s">
        <v>3131</v>
      </c>
      <c r="BD321">
        <v>18200</v>
      </c>
      <c r="BH321" t="s">
        <v>3172</v>
      </c>
      <c r="BK321" t="s">
        <v>3214</v>
      </c>
      <c r="BL321" t="s">
        <v>203</v>
      </c>
      <c r="BM321" t="s">
        <v>311</v>
      </c>
    </row>
    <row r="322" spans="1:65">
      <c r="A322" s="1">
        <f>HYPERLINK("https://lsnyc.legalserver.org/matter/dynamic-profile/view/1907000","19-1907000")</f>
        <v>0</v>
      </c>
      <c r="B322" t="s">
        <v>66</v>
      </c>
      <c r="C322" t="s">
        <v>136</v>
      </c>
      <c r="D322" t="s">
        <v>170</v>
      </c>
      <c r="E322" t="s">
        <v>172</v>
      </c>
      <c r="F322" t="s">
        <v>183</v>
      </c>
      <c r="G322" t="s">
        <v>172</v>
      </c>
      <c r="H322" t="s">
        <v>221</v>
      </c>
      <c r="I322" t="s">
        <v>172</v>
      </c>
      <c r="J322" t="s">
        <v>231</v>
      </c>
      <c r="K322" t="s">
        <v>172</v>
      </c>
      <c r="M322" t="s">
        <v>232</v>
      </c>
      <c r="N322" t="s">
        <v>311</v>
      </c>
      <c r="O322" t="s">
        <v>313</v>
      </c>
      <c r="P322" t="s">
        <v>315</v>
      </c>
      <c r="Q322" t="s">
        <v>321</v>
      </c>
      <c r="T322" t="s">
        <v>613</v>
      </c>
      <c r="U322" t="s">
        <v>987</v>
      </c>
      <c r="V322" t="s">
        <v>183</v>
      </c>
      <c r="X322" t="s">
        <v>1112</v>
      </c>
      <c r="Y322" t="s">
        <v>1423</v>
      </c>
      <c r="Z322" t="s">
        <v>1712</v>
      </c>
      <c r="AA322" t="s">
        <v>1756</v>
      </c>
      <c r="AB322" t="s">
        <v>1786</v>
      </c>
      <c r="AC322">
        <v>10036</v>
      </c>
      <c r="AD322" t="s">
        <v>1787</v>
      </c>
      <c r="AE322" t="s">
        <v>2084</v>
      </c>
      <c r="AF322">
        <v>8</v>
      </c>
      <c r="AH322" t="s">
        <v>2223</v>
      </c>
      <c r="AI322" t="s">
        <v>233</v>
      </c>
      <c r="AJ322" t="s">
        <v>233</v>
      </c>
      <c r="AL322" t="s">
        <v>2230</v>
      </c>
      <c r="AM322" t="s">
        <v>2236</v>
      </c>
      <c r="AN322">
        <v>0</v>
      </c>
      <c r="AO322">
        <v>503</v>
      </c>
      <c r="AP322">
        <v>2.2</v>
      </c>
      <c r="AR322" t="s">
        <v>2557</v>
      </c>
      <c r="AS322" t="s">
        <v>2976</v>
      </c>
      <c r="AT322">
        <v>683</v>
      </c>
      <c r="AU322" t="s">
        <v>3112</v>
      </c>
      <c r="AV322">
        <v>1</v>
      </c>
      <c r="AW322">
        <v>0</v>
      </c>
      <c r="AX322">
        <v>122.79</v>
      </c>
      <c r="BB322" t="s">
        <v>252</v>
      </c>
      <c r="BC322" t="s">
        <v>3130</v>
      </c>
      <c r="BD322">
        <v>15336</v>
      </c>
      <c r="BH322" t="s">
        <v>3176</v>
      </c>
      <c r="BK322" t="s">
        <v>3215</v>
      </c>
      <c r="BL322" t="s">
        <v>191</v>
      </c>
      <c r="BM322" t="s">
        <v>311</v>
      </c>
    </row>
    <row r="323" spans="1:65">
      <c r="A323" s="1">
        <f>HYPERLINK("https://lsnyc.legalserver.org/matter/dynamic-profile/view/1906932","19-1906932")</f>
        <v>0</v>
      </c>
      <c r="B323" t="s">
        <v>66</v>
      </c>
      <c r="C323" t="s">
        <v>137</v>
      </c>
      <c r="D323" t="s">
        <v>170</v>
      </c>
      <c r="E323" t="s">
        <v>171</v>
      </c>
      <c r="G323" t="s">
        <v>172</v>
      </c>
      <c r="H323" t="s">
        <v>226</v>
      </c>
      <c r="I323" t="s">
        <v>172</v>
      </c>
      <c r="J323" t="s">
        <v>231</v>
      </c>
      <c r="K323" t="s">
        <v>172</v>
      </c>
      <c r="M323" t="s">
        <v>232</v>
      </c>
      <c r="N323" t="s">
        <v>311</v>
      </c>
      <c r="O323" t="s">
        <v>172</v>
      </c>
      <c r="P323" t="s">
        <v>316</v>
      </c>
      <c r="Q323" t="s">
        <v>321</v>
      </c>
      <c r="T323" t="s">
        <v>614</v>
      </c>
      <c r="U323" t="s">
        <v>988</v>
      </c>
      <c r="V323" t="s">
        <v>199</v>
      </c>
      <c r="X323" t="s">
        <v>1112</v>
      </c>
      <c r="Y323" t="s">
        <v>1424</v>
      </c>
      <c r="Z323" t="s">
        <v>1566</v>
      </c>
      <c r="AA323" t="s">
        <v>1756</v>
      </c>
      <c r="AB323" t="s">
        <v>1786</v>
      </c>
      <c r="AC323">
        <v>10029</v>
      </c>
      <c r="AD323" t="s">
        <v>1799</v>
      </c>
      <c r="AF323">
        <v>10</v>
      </c>
      <c r="AH323" t="s">
        <v>2223</v>
      </c>
      <c r="AI323" t="s">
        <v>233</v>
      </c>
      <c r="AJ323" t="s">
        <v>233</v>
      </c>
      <c r="AL323" t="s">
        <v>2230</v>
      </c>
      <c r="AN323">
        <v>0</v>
      </c>
      <c r="AO323">
        <v>1123.25</v>
      </c>
      <c r="AP323">
        <v>11.1</v>
      </c>
      <c r="AR323" t="s">
        <v>2558</v>
      </c>
      <c r="AS323" t="s">
        <v>2977</v>
      </c>
      <c r="AT323">
        <v>0</v>
      </c>
      <c r="AU323" t="s">
        <v>3105</v>
      </c>
      <c r="AV323">
        <v>1</v>
      </c>
      <c r="AW323">
        <v>0</v>
      </c>
      <c r="AX323">
        <v>32.09</v>
      </c>
      <c r="BB323" t="s">
        <v>252</v>
      </c>
      <c r="BC323" t="s">
        <v>3137</v>
      </c>
      <c r="BD323">
        <v>4008</v>
      </c>
      <c r="BH323" t="s">
        <v>3172</v>
      </c>
      <c r="BK323" t="s">
        <v>3209</v>
      </c>
      <c r="BL323" t="s">
        <v>1109</v>
      </c>
      <c r="BM323" t="s">
        <v>311</v>
      </c>
    </row>
    <row r="324" spans="1:65">
      <c r="A324" s="1">
        <f>HYPERLINK("https://lsnyc.legalserver.org/matter/dynamic-profile/view/1906279","19-1906279")</f>
        <v>0</v>
      </c>
      <c r="B324" t="s">
        <v>66</v>
      </c>
      <c r="C324" t="s">
        <v>138</v>
      </c>
      <c r="D324" t="s">
        <v>170</v>
      </c>
      <c r="E324" t="s">
        <v>172</v>
      </c>
      <c r="F324" t="s">
        <v>195</v>
      </c>
      <c r="G324" t="s">
        <v>172</v>
      </c>
      <c r="H324" t="s">
        <v>220</v>
      </c>
      <c r="I324" t="s">
        <v>172</v>
      </c>
      <c r="J324" t="s">
        <v>231</v>
      </c>
      <c r="K324" t="s">
        <v>172</v>
      </c>
      <c r="M324" t="s">
        <v>232</v>
      </c>
      <c r="N324" t="s">
        <v>311</v>
      </c>
      <c r="O324" t="s">
        <v>172</v>
      </c>
      <c r="P324" t="s">
        <v>314</v>
      </c>
      <c r="Q324" t="s">
        <v>322</v>
      </c>
      <c r="T324" t="s">
        <v>525</v>
      </c>
      <c r="U324" t="s">
        <v>900</v>
      </c>
      <c r="V324" t="s">
        <v>195</v>
      </c>
      <c r="W324" t="s">
        <v>191</v>
      </c>
      <c r="X324" t="s">
        <v>1113</v>
      </c>
      <c r="Y324" t="s">
        <v>1425</v>
      </c>
      <c r="Z324" t="s">
        <v>1579</v>
      </c>
      <c r="AA324" t="s">
        <v>1756</v>
      </c>
      <c r="AB324" t="s">
        <v>1786</v>
      </c>
      <c r="AC324">
        <v>10026</v>
      </c>
      <c r="AD324" t="s">
        <v>1790</v>
      </c>
      <c r="AE324" t="s">
        <v>2085</v>
      </c>
      <c r="AF324">
        <v>4</v>
      </c>
      <c r="AG324" t="s">
        <v>2214</v>
      </c>
      <c r="AH324" t="s">
        <v>2222</v>
      </c>
      <c r="AI324" t="s">
        <v>233</v>
      </c>
      <c r="AJ324" t="s">
        <v>233</v>
      </c>
      <c r="AL324" t="s">
        <v>2230</v>
      </c>
      <c r="AM324" t="s">
        <v>2236</v>
      </c>
      <c r="AN324">
        <v>0</v>
      </c>
      <c r="AO324">
        <v>0</v>
      </c>
      <c r="AP324">
        <v>3.75</v>
      </c>
      <c r="AQ324" t="s">
        <v>2242</v>
      </c>
      <c r="AR324" t="s">
        <v>2559</v>
      </c>
      <c r="AS324" t="s">
        <v>2978</v>
      </c>
      <c r="AT324">
        <v>47</v>
      </c>
      <c r="AU324" t="s">
        <v>3109</v>
      </c>
      <c r="AV324">
        <v>2</v>
      </c>
      <c r="AW324">
        <v>1</v>
      </c>
      <c r="AX324">
        <v>39.01</v>
      </c>
      <c r="BB324" t="s">
        <v>252</v>
      </c>
      <c r="BC324" t="s">
        <v>3130</v>
      </c>
      <c r="BD324">
        <v>8320</v>
      </c>
      <c r="BH324" t="s">
        <v>3172</v>
      </c>
      <c r="BK324" t="s">
        <v>3241</v>
      </c>
      <c r="BL324" t="s">
        <v>193</v>
      </c>
      <c r="BM324" t="s">
        <v>311</v>
      </c>
    </row>
    <row r="325" spans="1:65">
      <c r="A325" s="1">
        <f>HYPERLINK("https://lsnyc.legalserver.org/matter/dynamic-profile/view/1904168","19-1904168")</f>
        <v>0</v>
      </c>
      <c r="B325" t="s">
        <v>66</v>
      </c>
      <c r="C325" t="s">
        <v>138</v>
      </c>
      <c r="D325" t="s">
        <v>170</v>
      </c>
      <c r="E325" t="s">
        <v>171</v>
      </c>
      <c r="G325" t="s">
        <v>172</v>
      </c>
      <c r="H325" t="s">
        <v>220</v>
      </c>
      <c r="I325" t="s">
        <v>230</v>
      </c>
      <c r="J325" t="s">
        <v>232</v>
      </c>
      <c r="K325" t="s">
        <v>234</v>
      </c>
      <c r="M325" t="s">
        <v>232</v>
      </c>
      <c r="O325" t="s">
        <v>172</v>
      </c>
      <c r="P325" t="s">
        <v>314</v>
      </c>
      <c r="Q325" t="s">
        <v>321</v>
      </c>
      <c r="T325" t="s">
        <v>615</v>
      </c>
      <c r="U325" t="s">
        <v>855</v>
      </c>
      <c r="V325" t="s">
        <v>201</v>
      </c>
      <c r="X325" t="s">
        <v>1112</v>
      </c>
      <c r="Y325" t="s">
        <v>1426</v>
      </c>
      <c r="Z325" t="s">
        <v>1672</v>
      </c>
      <c r="AA325" t="s">
        <v>1756</v>
      </c>
      <c r="AB325" t="s">
        <v>1786</v>
      </c>
      <c r="AC325">
        <v>10031</v>
      </c>
      <c r="AE325" t="s">
        <v>2086</v>
      </c>
      <c r="AF325">
        <v>1</v>
      </c>
      <c r="AH325" t="s">
        <v>2222</v>
      </c>
      <c r="AI325" t="s">
        <v>233</v>
      </c>
      <c r="AJ325" t="s">
        <v>233</v>
      </c>
      <c r="AL325" t="s">
        <v>2230</v>
      </c>
      <c r="AM325" t="s">
        <v>2236</v>
      </c>
      <c r="AN325">
        <v>0</v>
      </c>
      <c r="AO325">
        <v>500</v>
      </c>
      <c r="AP325">
        <v>1.25</v>
      </c>
      <c r="AR325" t="s">
        <v>2560</v>
      </c>
      <c r="AS325" t="s">
        <v>2979</v>
      </c>
      <c r="AT325">
        <v>0</v>
      </c>
      <c r="AV325">
        <v>2</v>
      </c>
      <c r="AW325">
        <v>1</v>
      </c>
      <c r="AX325">
        <v>170.65</v>
      </c>
      <c r="BC325" t="s">
        <v>3130</v>
      </c>
      <c r="BD325">
        <v>36400</v>
      </c>
      <c r="BH325" t="s">
        <v>3177</v>
      </c>
      <c r="BK325" t="s">
        <v>3198</v>
      </c>
      <c r="BL325" t="s">
        <v>3275</v>
      </c>
    </row>
    <row r="326" spans="1:65">
      <c r="A326" s="1">
        <f>HYPERLINK("https://lsnyc.legalserver.org/matter/dynamic-profile/view/1904619","19-1904619")</f>
        <v>0</v>
      </c>
      <c r="B326" t="s">
        <v>66</v>
      </c>
      <c r="C326" t="s">
        <v>138</v>
      </c>
      <c r="D326" t="s">
        <v>170</v>
      </c>
      <c r="E326" t="s">
        <v>172</v>
      </c>
      <c r="F326" t="s">
        <v>198</v>
      </c>
      <c r="G326" t="s">
        <v>172</v>
      </c>
      <c r="H326" t="s">
        <v>220</v>
      </c>
      <c r="I326" t="s">
        <v>172</v>
      </c>
      <c r="J326" t="s">
        <v>231</v>
      </c>
      <c r="K326" t="s">
        <v>172</v>
      </c>
      <c r="M326" t="s">
        <v>232</v>
      </c>
      <c r="N326" t="s">
        <v>311</v>
      </c>
      <c r="O326" t="s">
        <v>172</v>
      </c>
      <c r="P326" t="s">
        <v>314</v>
      </c>
      <c r="Q326" t="s">
        <v>322</v>
      </c>
      <c r="T326" t="s">
        <v>616</v>
      </c>
      <c r="U326" t="s">
        <v>989</v>
      </c>
      <c r="V326" t="s">
        <v>198</v>
      </c>
      <c r="W326" t="s">
        <v>193</v>
      </c>
      <c r="X326" t="s">
        <v>1113</v>
      </c>
      <c r="Y326" t="s">
        <v>1427</v>
      </c>
      <c r="Z326" t="s">
        <v>1713</v>
      </c>
      <c r="AA326" t="s">
        <v>1756</v>
      </c>
      <c r="AB326" t="s">
        <v>1786</v>
      </c>
      <c r="AC326">
        <v>10029</v>
      </c>
      <c r="AD326" t="s">
        <v>1787</v>
      </c>
      <c r="AE326" t="s">
        <v>2087</v>
      </c>
      <c r="AF326">
        <v>2</v>
      </c>
      <c r="AG326" t="s">
        <v>2214</v>
      </c>
      <c r="AH326" t="s">
        <v>2223</v>
      </c>
      <c r="AI326" t="s">
        <v>233</v>
      </c>
      <c r="AJ326" t="s">
        <v>233</v>
      </c>
      <c r="AL326" t="s">
        <v>2231</v>
      </c>
      <c r="AM326" t="s">
        <v>2236</v>
      </c>
      <c r="AN326">
        <v>0</v>
      </c>
      <c r="AO326">
        <v>268</v>
      </c>
      <c r="AP326">
        <v>1</v>
      </c>
      <c r="AQ326" t="s">
        <v>2242</v>
      </c>
      <c r="AR326" t="s">
        <v>2561</v>
      </c>
      <c r="AS326" t="s">
        <v>2980</v>
      </c>
      <c r="AT326">
        <v>595</v>
      </c>
      <c r="AU326" t="s">
        <v>3111</v>
      </c>
      <c r="AV326">
        <v>1</v>
      </c>
      <c r="AW326">
        <v>0</v>
      </c>
      <c r="AX326">
        <v>160.54</v>
      </c>
      <c r="BB326" t="s">
        <v>252</v>
      </c>
      <c r="BC326" t="s">
        <v>3130</v>
      </c>
      <c r="BD326">
        <v>20052</v>
      </c>
      <c r="BH326" t="s">
        <v>3176</v>
      </c>
      <c r="BK326" t="s">
        <v>3215</v>
      </c>
      <c r="BL326" t="s">
        <v>204</v>
      </c>
      <c r="BM326" t="s">
        <v>311</v>
      </c>
    </row>
    <row r="327" spans="1:65">
      <c r="A327" s="1">
        <f>HYPERLINK("https://lsnyc.legalserver.org/matter/dynamic-profile/view/1904166","19-1904166")</f>
        <v>0</v>
      </c>
      <c r="B327" t="s">
        <v>66</v>
      </c>
      <c r="C327" t="s">
        <v>137</v>
      </c>
      <c r="D327" t="s">
        <v>170</v>
      </c>
      <c r="E327" t="s">
        <v>172</v>
      </c>
      <c r="F327" t="s">
        <v>201</v>
      </c>
      <c r="G327" t="s">
        <v>172</v>
      </c>
      <c r="H327" t="s">
        <v>221</v>
      </c>
      <c r="I327" t="s">
        <v>172</v>
      </c>
      <c r="J327" t="s">
        <v>231</v>
      </c>
      <c r="K327" t="s">
        <v>172</v>
      </c>
      <c r="M327" t="s">
        <v>232</v>
      </c>
      <c r="N327" t="s">
        <v>311</v>
      </c>
      <c r="O327" t="s">
        <v>172</v>
      </c>
      <c r="P327" t="s">
        <v>314</v>
      </c>
      <c r="Q327" t="s">
        <v>322</v>
      </c>
      <c r="T327" t="s">
        <v>617</v>
      </c>
      <c r="U327" t="s">
        <v>990</v>
      </c>
      <c r="V327" t="s">
        <v>201</v>
      </c>
      <c r="W327" t="s">
        <v>190</v>
      </c>
      <c r="X327" t="s">
        <v>1113</v>
      </c>
      <c r="Y327" t="s">
        <v>1428</v>
      </c>
      <c r="Z327" t="s">
        <v>1579</v>
      </c>
      <c r="AA327" t="s">
        <v>1756</v>
      </c>
      <c r="AB327" t="s">
        <v>1786</v>
      </c>
      <c r="AC327">
        <v>10026</v>
      </c>
      <c r="AE327" t="s">
        <v>2088</v>
      </c>
      <c r="AF327">
        <v>5</v>
      </c>
      <c r="AG327" t="s">
        <v>2214</v>
      </c>
      <c r="AH327" t="s">
        <v>2222</v>
      </c>
      <c r="AI327" t="s">
        <v>233</v>
      </c>
      <c r="AJ327" t="s">
        <v>233</v>
      </c>
      <c r="AL327" t="s">
        <v>2230</v>
      </c>
      <c r="AN327">
        <v>0</v>
      </c>
      <c r="AO327">
        <v>800</v>
      </c>
      <c r="AP327">
        <v>1</v>
      </c>
      <c r="AQ327" t="s">
        <v>2242</v>
      </c>
      <c r="AR327" t="s">
        <v>2562</v>
      </c>
      <c r="AS327" t="s">
        <v>2981</v>
      </c>
      <c r="AT327">
        <v>21</v>
      </c>
      <c r="AU327" t="s">
        <v>3110</v>
      </c>
      <c r="AV327">
        <v>1</v>
      </c>
      <c r="AW327">
        <v>0</v>
      </c>
      <c r="AX327">
        <v>0</v>
      </c>
      <c r="BC327" t="s">
        <v>3130</v>
      </c>
      <c r="BD327">
        <v>0</v>
      </c>
      <c r="BH327" t="s">
        <v>3173</v>
      </c>
      <c r="BK327" t="s">
        <v>3220</v>
      </c>
      <c r="BL327" t="s">
        <v>201</v>
      </c>
      <c r="BM327" t="s">
        <v>311</v>
      </c>
    </row>
    <row r="328" spans="1:65">
      <c r="A328" s="1">
        <f>HYPERLINK("https://lsnyc.legalserver.org/matter/dynamic-profile/view/1907062","19-1907062")</f>
        <v>0</v>
      </c>
      <c r="B328" t="s">
        <v>66</v>
      </c>
      <c r="C328" t="s">
        <v>139</v>
      </c>
      <c r="D328" t="s">
        <v>170</v>
      </c>
      <c r="E328" t="s">
        <v>172</v>
      </c>
      <c r="F328" t="s">
        <v>183</v>
      </c>
      <c r="G328" t="s">
        <v>172</v>
      </c>
      <c r="H328" t="s">
        <v>220</v>
      </c>
      <c r="I328" t="s">
        <v>172</v>
      </c>
      <c r="J328" t="s">
        <v>231</v>
      </c>
      <c r="K328" t="s">
        <v>172</v>
      </c>
      <c r="M328" t="s">
        <v>232</v>
      </c>
      <c r="N328" t="s">
        <v>311</v>
      </c>
      <c r="O328" t="s">
        <v>313</v>
      </c>
      <c r="P328" t="s">
        <v>315</v>
      </c>
      <c r="Q328" t="s">
        <v>321</v>
      </c>
      <c r="T328" t="s">
        <v>618</v>
      </c>
      <c r="U328" t="s">
        <v>974</v>
      </c>
      <c r="V328" t="s">
        <v>183</v>
      </c>
      <c r="X328" t="s">
        <v>1112</v>
      </c>
      <c r="Y328" t="s">
        <v>1429</v>
      </c>
      <c r="Z328">
        <v>1024</v>
      </c>
      <c r="AA328" t="s">
        <v>1756</v>
      </c>
      <c r="AB328" t="s">
        <v>1786</v>
      </c>
      <c r="AC328">
        <v>10001</v>
      </c>
      <c r="AD328" t="s">
        <v>1791</v>
      </c>
      <c r="AE328" t="s">
        <v>2089</v>
      </c>
      <c r="AF328">
        <v>1</v>
      </c>
      <c r="AH328" t="s">
        <v>2223</v>
      </c>
      <c r="AI328" t="s">
        <v>233</v>
      </c>
      <c r="AJ328" t="s">
        <v>233</v>
      </c>
      <c r="AL328" t="s">
        <v>2230</v>
      </c>
      <c r="AN328">
        <v>0</v>
      </c>
      <c r="AO328">
        <v>1200</v>
      </c>
      <c r="AP328">
        <v>0</v>
      </c>
      <c r="AR328" t="s">
        <v>2563</v>
      </c>
      <c r="AS328" t="s">
        <v>2982</v>
      </c>
      <c r="AT328">
        <v>0</v>
      </c>
      <c r="AU328" t="s">
        <v>3109</v>
      </c>
      <c r="AV328">
        <v>1</v>
      </c>
      <c r="AW328">
        <v>0</v>
      </c>
      <c r="AX328">
        <v>280.22</v>
      </c>
      <c r="BB328" t="s">
        <v>252</v>
      </c>
      <c r="BC328" t="s">
        <v>3130</v>
      </c>
      <c r="BD328">
        <v>35000</v>
      </c>
      <c r="BH328" t="s">
        <v>3176</v>
      </c>
      <c r="BK328" t="s">
        <v>3198</v>
      </c>
      <c r="BM328" t="s">
        <v>311</v>
      </c>
    </row>
    <row r="329" spans="1:65">
      <c r="A329" s="1">
        <f>HYPERLINK("https://lsnyc.legalserver.org/matter/dynamic-profile/view/1908033","19-1908033")</f>
        <v>0</v>
      </c>
      <c r="B329" t="s">
        <v>66</v>
      </c>
      <c r="C329" t="s">
        <v>140</v>
      </c>
      <c r="D329" t="s">
        <v>170</v>
      </c>
      <c r="E329" t="s">
        <v>171</v>
      </c>
      <c r="G329" t="s">
        <v>172</v>
      </c>
      <c r="H329" t="s">
        <v>221</v>
      </c>
      <c r="I329" t="s">
        <v>172</v>
      </c>
      <c r="J329" t="s">
        <v>231</v>
      </c>
      <c r="K329" t="s">
        <v>172</v>
      </c>
      <c r="M329" t="s">
        <v>232</v>
      </c>
      <c r="N329" t="s">
        <v>311</v>
      </c>
      <c r="O329" t="s">
        <v>313</v>
      </c>
      <c r="P329" t="s">
        <v>315</v>
      </c>
      <c r="Q329" t="s">
        <v>321</v>
      </c>
      <c r="T329" t="s">
        <v>380</v>
      </c>
      <c r="U329" t="s">
        <v>904</v>
      </c>
      <c r="V329" t="s">
        <v>1098</v>
      </c>
      <c r="X329" t="s">
        <v>1112</v>
      </c>
      <c r="Y329" t="s">
        <v>1430</v>
      </c>
      <c r="Z329" t="s">
        <v>1714</v>
      </c>
      <c r="AA329" t="s">
        <v>1756</v>
      </c>
      <c r="AB329" t="s">
        <v>1786</v>
      </c>
      <c r="AC329">
        <v>10034</v>
      </c>
      <c r="AD329" t="s">
        <v>1787</v>
      </c>
      <c r="AE329" t="s">
        <v>2090</v>
      </c>
      <c r="AF329">
        <v>9</v>
      </c>
      <c r="AH329" t="s">
        <v>2223</v>
      </c>
      <c r="AI329" t="s">
        <v>233</v>
      </c>
      <c r="AJ329" t="s">
        <v>233</v>
      </c>
      <c r="AL329" t="s">
        <v>2231</v>
      </c>
      <c r="AM329" t="s">
        <v>2237</v>
      </c>
      <c r="AN329">
        <v>0</v>
      </c>
      <c r="AO329">
        <v>1201.76</v>
      </c>
      <c r="AP329">
        <v>1.5</v>
      </c>
      <c r="AR329" t="s">
        <v>2564</v>
      </c>
      <c r="AS329" t="s">
        <v>2983</v>
      </c>
      <c r="AT329">
        <v>0</v>
      </c>
      <c r="AU329" t="s">
        <v>3106</v>
      </c>
      <c r="AV329">
        <v>2</v>
      </c>
      <c r="AW329">
        <v>1</v>
      </c>
      <c r="AX329">
        <v>126.13</v>
      </c>
      <c r="BB329" t="s">
        <v>1793</v>
      </c>
      <c r="BC329" t="s">
        <v>3130</v>
      </c>
      <c r="BD329">
        <v>26904</v>
      </c>
      <c r="BH329" t="s">
        <v>3172</v>
      </c>
      <c r="BK329" t="s">
        <v>3215</v>
      </c>
      <c r="BL329" t="s">
        <v>1098</v>
      </c>
      <c r="BM329" t="s">
        <v>311</v>
      </c>
    </row>
    <row r="330" spans="1:65">
      <c r="A330" s="1">
        <f>HYPERLINK("https://lsnyc.legalserver.org/matter/dynamic-profile/view/1907050","19-1907050")</f>
        <v>0</v>
      </c>
      <c r="B330" t="s">
        <v>66</v>
      </c>
      <c r="C330" t="s">
        <v>139</v>
      </c>
      <c r="D330" t="s">
        <v>170</v>
      </c>
      <c r="E330" t="s">
        <v>172</v>
      </c>
      <c r="F330" t="s">
        <v>183</v>
      </c>
      <c r="G330" t="s">
        <v>172</v>
      </c>
      <c r="H330" t="s">
        <v>221</v>
      </c>
      <c r="I330" t="s">
        <v>172</v>
      </c>
      <c r="J330" t="s">
        <v>231</v>
      </c>
      <c r="K330" t="s">
        <v>172</v>
      </c>
      <c r="L330" t="s">
        <v>284</v>
      </c>
      <c r="M330" t="s">
        <v>232</v>
      </c>
      <c r="N330" t="s">
        <v>312</v>
      </c>
      <c r="O330" t="s">
        <v>313</v>
      </c>
      <c r="P330" t="s">
        <v>315</v>
      </c>
      <c r="Q330" t="s">
        <v>321</v>
      </c>
      <c r="T330" t="s">
        <v>619</v>
      </c>
      <c r="U330" t="s">
        <v>991</v>
      </c>
      <c r="V330" t="s">
        <v>183</v>
      </c>
      <c r="X330" t="s">
        <v>1112</v>
      </c>
      <c r="Y330" t="s">
        <v>1431</v>
      </c>
      <c r="Z330" t="s">
        <v>1715</v>
      </c>
      <c r="AA330" t="s">
        <v>1756</v>
      </c>
      <c r="AB330" t="s">
        <v>1786</v>
      </c>
      <c r="AC330">
        <v>10035</v>
      </c>
      <c r="AD330" t="s">
        <v>1791</v>
      </c>
      <c r="AE330" t="s">
        <v>2091</v>
      </c>
      <c r="AF330">
        <v>20</v>
      </c>
      <c r="AH330" t="s">
        <v>2223</v>
      </c>
      <c r="AI330" t="s">
        <v>233</v>
      </c>
      <c r="AJ330" t="s">
        <v>233</v>
      </c>
      <c r="AL330" t="s">
        <v>2230</v>
      </c>
      <c r="AN330">
        <v>0</v>
      </c>
      <c r="AO330">
        <v>3257</v>
      </c>
      <c r="AP330">
        <v>0</v>
      </c>
      <c r="AR330" t="s">
        <v>2565</v>
      </c>
      <c r="AS330" t="s">
        <v>2984</v>
      </c>
      <c r="AT330">
        <v>0</v>
      </c>
      <c r="AU330" t="s">
        <v>3116</v>
      </c>
      <c r="AV330">
        <v>2</v>
      </c>
      <c r="AW330">
        <v>0</v>
      </c>
      <c r="AX330">
        <v>131.87</v>
      </c>
      <c r="BB330" t="s">
        <v>3123</v>
      </c>
      <c r="BC330" t="s">
        <v>3130</v>
      </c>
      <c r="BD330">
        <v>22300</v>
      </c>
      <c r="BH330" t="s">
        <v>3175</v>
      </c>
      <c r="BK330" t="s">
        <v>3256</v>
      </c>
      <c r="BM330" t="s">
        <v>312</v>
      </c>
    </row>
    <row r="331" spans="1:65">
      <c r="A331" s="1">
        <f>HYPERLINK("https://lsnyc.legalserver.org/matter/dynamic-profile/view/1904925","19-1904925")</f>
        <v>0</v>
      </c>
      <c r="B331" t="s">
        <v>66</v>
      </c>
      <c r="C331" t="s">
        <v>139</v>
      </c>
      <c r="D331" t="s">
        <v>170</v>
      </c>
      <c r="E331" t="s">
        <v>171</v>
      </c>
      <c r="G331" t="s">
        <v>172</v>
      </c>
      <c r="H331" t="s">
        <v>221</v>
      </c>
      <c r="I331" t="s">
        <v>172</v>
      </c>
      <c r="J331" t="s">
        <v>231</v>
      </c>
      <c r="K331" t="s">
        <v>172</v>
      </c>
      <c r="M331" t="s">
        <v>232</v>
      </c>
      <c r="N331" t="s">
        <v>311</v>
      </c>
      <c r="O331" t="s">
        <v>172</v>
      </c>
      <c r="P331" t="s">
        <v>316</v>
      </c>
      <c r="Q331" t="s">
        <v>321</v>
      </c>
      <c r="T331" t="s">
        <v>620</v>
      </c>
      <c r="U331" t="s">
        <v>992</v>
      </c>
      <c r="V331" t="s">
        <v>187</v>
      </c>
      <c r="X331" t="s">
        <v>1112</v>
      </c>
      <c r="Y331" t="s">
        <v>1432</v>
      </c>
      <c r="Z331" t="s">
        <v>1660</v>
      </c>
      <c r="AA331" t="s">
        <v>1756</v>
      </c>
      <c r="AB331" t="s">
        <v>1786</v>
      </c>
      <c r="AC331">
        <v>10027</v>
      </c>
      <c r="AD331" t="s">
        <v>1790</v>
      </c>
      <c r="AE331" t="s">
        <v>2092</v>
      </c>
      <c r="AF331">
        <v>30</v>
      </c>
      <c r="AH331" t="s">
        <v>2222</v>
      </c>
      <c r="AI331" t="s">
        <v>233</v>
      </c>
      <c r="AJ331" t="s">
        <v>233</v>
      </c>
      <c r="AL331" t="s">
        <v>2231</v>
      </c>
      <c r="AN331">
        <v>0</v>
      </c>
      <c r="AO331">
        <v>448</v>
      </c>
      <c r="AP331">
        <v>0.4</v>
      </c>
      <c r="AR331" t="s">
        <v>2566</v>
      </c>
      <c r="AS331" t="s">
        <v>2985</v>
      </c>
      <c r="AT331">
        <v>0</v>
      </c>
      <c r="AU331" t="s">
        <v>3107</v>
      </c>
      <c r="AV331">
        <v>1</v>
      </c>
      <c r="AW331">
        <v>0</v>
      </c>
      <c r="AX331">
        <v>187.35</v>
      </c>
      <c r="BD331">
        <v>23400</v>
      </c>
      <c r="BH331" t="s">
        <v>3178</v>
      </c>
      <c r="BK331" t="s">
        <v>3198</v>
      </c>
      <c r="BL331" t="s">
        <v>208</v>
      </c>
      <c r="BM331" t="s">
        <v>311</v>
      </c>
    </row>
    <row r="332" spans="1:65">
      <c r="A332" s="1">
        <f>HYPERLINK("https://lsnyc.legalserver.org/matter/dynamic-profile/view/1906826","19-1906826")</f>
        <v>0</v>
      </c>
      <c r="B332" t="s">
        <v>66</v>
      </c>
      <c r="C332" t="s">
        <v>136</v>
      </c>
      <c r="D332" t="s">
        <v>170</v>
      </c>
      <c r="E332" t="s">
        <v>171</v>
      </c>
      <c r="G332" t="s">
        <v>172</v>
      </c>
      <c r="H332" t="s">
        <v>221</v>
      </c>
      <c r="I332" t="s">
        <v>172</v>
      </c>
      <c r="J332" t="s">
        <v>231</v>
      </c>
      <c r="K332" t="s">
        <v>172</v>
      </c>
      <c r="M332" t="s">
        <v>232</v>
      </c>
      <c r="N332" t="s">
        <v>311</v>
      </c>
      <c r="O332" t="s">
        <v>313</v>
      </c>
      <c r="P332" t="s">
        <v>315</v>
      </c>
      <c r="Q332" t="s">
        <v>321</v>
      </c>
      <c r="T332" t="s">
        <v>621</v>
      </c>
      <c r="U332" t="s">
        <v>993</v>
      </c>
      <c r="V332" t="s">
        <v>212</v>
      </c>
      <c r="X332" t="s">
        <v>1112</v>
      </c>
      <c r="Y332" t="s">
        <v>1433</v>
      </c>
      <c r="Z332" t="s">
        <v>1716</v>
      </c>
      <c r="AA332" t="s">
        <v>1756</v>
      </c>
      <c r="AB332" t="s">
        <v>1786</v>
      </c>
      <c r="AC332">
        <v>10031</v>
      </c>
      <c r="AD332" t="s">
        <v>1790</v>
      </c>
      <c r="AE332" t="s">
        <v>2093</v>
      </c>
      <c r="AF332">
        <v>15</v>
      </c>
      <c r="AH332" t="s">
        <v>2223</v>
      </c>
      <c r="AI332" t="s">
        <v>233</v>
      </c>
      <c r="AJ332" t="s">
        <v>233</v>
      </c>
      <c r="AL332" t="s">
        <v>2230</v>
      </c>
      <c r="AN332">
        <v>0</v>
      </c>
      <c r="AO332">
        <v>1400</v>
      </c>
      <c r="AP332">
        <v>0.5</v>
      </c>
      <c r="AR332" t="s">
        <v>2567</v>
      </c>
      <c r="AS332" t="s">
        <v>2986</v>
      </c>
      <c r="AT332">
        <v>0</v>
      </c>
      <c r="AU332" t="s">
        <v>3106</v>
      </c>
      <c r="AV332">
        <v>2</v>
      </c>
      <c r="AW332">
        <v>0</v>
      </c>
      <c r="AX332">
        <v>827.91</v>
      </c>
      <c r="BB332" t="s">
        <v>252</v>
      </c>
      <c r="BC332" t="s">
        <v>3130</v>
      </c>
      <c r="BD332">
        <v>140000</v>
      </c>
      <c r="BH332" t="s">
        <v>3172</v>
      </c>
      <c r="BK332" t="s">
        <v>3198</v>
      </c>
      <c r="BL332" t="s">
        <v>212</v>
      </c>
      <c r="BM332" t="s">
        <v>311</v>
      </c>
    </row>
    <row r="333" spans="1:65">
      <c r="A333" s="1">
        <f>HYPERLINK("https://lsnyc.legalserver.org/matter/dynamic-profile/view/1904908","19-1904908")</f>
        <v>0</v>
      </c>
      <c r="B333" t="s">
        <v>66</v>
      </c>
      <c r="C333" t="s">
        <v>141</v>
      </c>
      <c r="D333" t="s">
        <v>170</v>
      </c>
      <c r="E333" t="s">
        <v>171</v>
      </c>
      <c r="G333" t="s">
        <v>172</v>
      </c>
      <c r="H333" t="s">
        <v>221</v>
      </c>
      <c r="I333" t="s">
        <v>172</v>
      </c>
      <c r="J333" t="s">
        <v>231</v>
      </c>
      <c r="K333" t="s">
        <v>172</v>
      </c>
      <c r="M333" t="s">
        <v>232</v>
      </c>
      <c r="N333" t="s">
        <v>311</v>
      </c>
      <c r="O333" t="s">
        <v>313</v>
      </c>
      <c r="Q333" t="s">
        <v>321</v>
      </c>
      <c r="T333" t="s">
        <v>622</v>
      </c>
      <c r="U333" t="s">
        <v>968</v>
      </c>
      <c r="V333" t="s">
        <v>187</v>
      </c>
      <c r="X333" t="s">
        <v>1112</v>
      </c>
      <c r="Y333" t="s">
        <v>1434</v>
      </c>
      <c r="Z333" t="s">
        <v>1717</v>
      </c>
      <c r="AA333" t="s">
        <v>1756</v>
      </c>
      <c r="AB333" t="s">
        <v>1786</v>
      </c>
      <c r="AC333">
        <v>10027</v>
      </c>
      <c r="AD333" t="s">
        <v>1790</v>
      </c>
      <c r="AF333">
        <v>11</v>
      </c>
      <c r="AH333" t="s">
        <v>2222</v>
      </c>
      <c r="AI333" t="s">
        <v>233</v>
      </c>
      <c r="AJ333" t="s">
        <v>233</v>
      </c>
      <c r="AL333" t="s">
        <v>2231</v>
      </c>
      <c r="AN333">
        <v>0</v>
      </c>
      <c r="AO333">
        <v>986</v>
      </c>
      <c r="AP333">
        <v>2.6</v>
      </c>
      <c r="AR333" t="s">
        <v>2568</v>
      </c>
      <c r="AS333" t="s">
        <v>2987</v>
      </c>
      <c r="AT333">
        <v>0</v>
      </c>
      <c r="AU333" t="s">
        <v>3107</v>
      </c>
      <c r="AV333">
        <v>4</v>
      </c>
      <c r="AW333">
        <v>0</v>
      </c>
      <c r="AX333">
        <v>54.37</v>
      </c>
      <c r="BD333">
        <v>14000</v>
      </c>
      <c r="BH333" t="s">
        <v>3178</v>
      </c>
      <c r="BK333" t="s">
        <v>3257</v>
      </c>
      <c r="BL333" t="s">
        <v>184</v>
      </c>
      <c r="BM333" t="s">
        <v>311</v>
      </c>
    </row>
    <row r="334" spans="1:65">
      <c r="A334" s="1">
        <f>HYPERLINK("https://lsnyc.legalserver.org/matter/dynamic-profile/view/1905015","19-1905015")</f>
        <v>0</v>
      </c>
      <c r="B334" t="s">
        <v>66</v>
      </c>
      <c r="C334" t="s">
        <v>141</v>
      </c>
      <c r="D334" t="s">
        <v>170</v>
      </c>
      <c r="E334" t="s">
        <v>171</v>
      </c>
      <c r="G334" t="s">
        <v>172</v>
      </c>
      <c r="H334" t="s">
        <v>221</v>
      </c>
      <c r="I334" t="s">
        <v>230</v>
      </c>
      <c r="J334" t="s">
        <v>232</v>
      </c>
      <c r="K334" t="s">
        <v>234</v>
      </c>
      <c r="M334" t="s">
        <v>232</v>
      </c>
      <c r="O334" t="s">
        <v>313</v>
      </c>
      <c r="Q334" t="s">
        <v>321</v>
      </c>
      <c r="T334" t="s">
        <v>623</v>
      </c>
      <c r="U334" t="s">
        <v>994</v>
      </c>
      <c r="V334" t="s">
        <v>187</v>
      </c>
      <c r="X334" t="s">
        <v>1112</v>
      </c>
      <c r="Y334" t="s">
        <v>1435</v>
      </c>
      <c r="Z334" t="s">
        <v>1718</v>
      </c>
      <c r="AA334" t="s">
        <v>1756</v>
      </c>
      <c r="AB334" t="s">
        <v>1786</v>
      </c>
      <c r="AC334">
        <v>10027</v>
      </c>
      <c r="AE334" t="s">
        <v>2094</v>
      </c>
      <c r="AF334">
        <v>0</v>
      </c>
      <c r="AH334" t="s">
        <v>2222</v>
      </c>
      <c r="AI334" t="s">
        <v>233</v>
      </c>
      <c r="AL334" t="s">
        <v>2231</v>
      </c>
      <c r="AN334">
        <v>0</v>
      </c>
      <c r="AO334">
        <v>0</v>
      </c>
      <c r="AP334">
        <v>2.9</v>
      </c>
      <c r="AR334" t="s">
        <v>2569</v>
      </c>
      <c r="AS334" t="s">
        <v>2988</v>
      </c>
      <c r="AT334">
        <v>0</v>
      </c>
      <c r="AV334">
        <v>1</v>
      </c>
      <c r="AW334">
        <v>0</v>
      </c>
      <c r="AX334">
        <v>0</v>
      </c>
      <c r="BC334" t="s">
        <v>3130</v>
      </c>
      <c r="BD334">
        <v>0</v>
      </c>
      <c r="BH334" t="s">
        <v>3174</v>
      </c>
      <c r="BK334" t="s">
        <v>3210</v>
      </c>
      <c r="BL334" t="s">
        <v>202</v>
      </c>
    </row>
    <row r="335" spans="1:65">
      <c r="A335" s="1">
        <f>HYPERLINK("https://lsnyc.legalserver.org/matter/dynamic-profile/view/1904482","19-1904482")</f>
        <v>0</v>
      </c>
      <c r="B335" t="s">
        <v>66</v>
      </c>
      <c r="C335" t="s">
        <v>142</v>
      </c>
      <c r="D335" t="s">
        <v>170</v>
      </c>
      <c r="E335" t="s">
        <v>171</v>
      </c>
      <c r="G335" t="s">
        <v>172</v>
      </c>
      <c r="H335" t="s">
        <v>222</v>
      </c>
      <c r="I335" t="s">
        <v>230</v>
      </c>
      <c r="J335" t="s">
        <v>232</v>
      </c>
      <c r="K335" t="s">
        <v>234</v>
      </c>
      <c r="M335" t="s">
        <v>232</v>
      </c>
      <c r="O335" t="s">
        <v>313</v>
      </c>
      <c r="P335" t="s">
        <v>315</v>
      </c>
      <c r="Q335" t="s">
        <v>321</v>
      </c>
      <c r="T335" t="s">
        <v>624</v>
      </c>
      <c r="U335" t="s">
        <v>995</v>
      </c>
      <c r="V335" t="s">
        <v>176</v>
      </c>
      <c r="X335" t="s">
        <v>1112</v>
      </c>
      <c r="Y335" t="s">
        <v>1436</v>
      </c>
      <c r="Z335" t="s">
        <v>1719</v>
      </c>
      <c r="AA335" t="s">
        <v>1756</v>
      </c>
      <c r="AB335" t="s">
        <v>1786</v>
      </c>
      <c r="AC335">
        <v>10002</v>
      </c>
      <c r="AD335" t="s">
        <v>1791</v>
      </c>
      <c r="AF335">
        <v>51</v>
      </c>
      <c r="AH335" t="s">
        <v>2223</v>
      </c>
      <c r="AI335" t="s">
        <v>233</v>
      </c>
      <c r="AJ335" t="s">
        <v>233</v>
      </c>
      <c r="AL335" t="s">
        <v>2231</v>
      </c>
      <c r="AN335">
        <v>0</v>
      </c>
      <c r="AO335">
        <v>197.3</v>
      </c>
      <c r="AP335">
        <v>1.75</v>
      </c>
      <c r="AR335" t="s">
        <v>2570</v>
      </c>
      <c r="AS335" t="s">
        <v>2989</v>
      </c>
      <c r="AT335">
        <v>2391</v>
      </c>
      <c r="AV335">
        <v>1</v>
      </c>
      <c r="AW335">
        <v>0</v>
      </c>
      <c r="AX335">
        <v>74.08</v>
      </c>
      <c r="BC335" t="s">
        <v>3131</v>
      </c>
      <c r="BD335">
        <v>9252</v>
      </c>
      <c r="BH335" t="s">
        <v>3179</v>
      </c>
      <c r="BK335" t="s">
        <v>3258</v>
      </c>
      <c r="BL335" t="s">
        <v>191</v>
      </c>
    </row>
    <row r="336" spans="1:65">
      <c r="A336" s="1">
        <f>HYPERLINK("https://lsnyc.legalserver.org/matter/dynamic-profile/view/1907237","19-1907237")</f>
        <v>0</v>
      </c>
      <c r="B336" t="s">
        <v>66</v>
      </c>
      <c r="C336" t="s">
        <v>143</v>
      </c>
      <c r="D336" t="s">
        <v>170</v>
      </c>
      <c r="E336" t="s">
        <v>171</v>
      </c>
      <c r="G336" t="s">
        <v>172</v>
      </c>
      <c r="H336" t="s">
        <v>221</v>
      </c>
      <c r="I336" t="s">
        <v>172</v>
      </c>
      <c r="J336" t="s">
        <v>231</v>
      </c>
      <c r="K336" t="s">
        <v>172</v>
      </c>
      <c r="M336" t="s">
        <v>232</v>
      </c>
      <c r="N336" t="s">
        <v>311</v>
      </c>
      <c r="O336" t="s">
        <v>313</v>
      </c>
      <c r="P336" t="s">
        <v>315</v>
      </c>
      <c r="Q336" t="s">
        <v>321</v>
      </c>
      <c r="T336" t="s">
        <v>625</v>
      </c>
      <c r="U336" t="s">
        <v>996</v>
      </c>
      <c r="V336" t="s">
        <v>193</v>
      </c>
      <c r="X336" t="s">
        <v>1112</v>
      </c>
      <c r="Y336" t="s">
        <v>1437</v>
      </c>
      <c r="Z336" t="s">
        <v>1720</v>
      </c>
      <c r="AA336" t="s">
        <v>1756</v>
      </c>
      <c r="AB336" t="s">
        <v>1786</v>
      </c>
      <c r="AC336">
        <v>10027</v>
      </c>
      <c r="AD336" t="s">
        <v>1797</v>
      </c>
      <c r="AE336" t="s">
        <v>2095</v>
      </c>
      <c r="AF336">
        <v>12</v>
      </c>
      <c r="AH336" t="s">
        <v>2223</v>
      </c>
      <c r="AI336" t="s">
        <v>233</v>
      </c>
      <c r="AJ336" t="s">
        <v>233</v>
      </c>
      <c r="AL336" t="s">
        <v>2231</v>
      </c>
      <c r="AN336">
        <v>0</v>
      </c>
      <c r="AO336">
        <v>1270</v>
      </c>
      <c r="AP336">
        <v>3.25</v>
      </c>
      <c r="AR336" t="s">
        <v>2571</v>
      </c>
      <c r="AS336" t="s">
        <v>2990</v>
      </c>
      <c r="AT336">
        <v>0</v>
      </c>
      <c r="AU336" t="s">
        <v>3107</v>
      </c>
      <c r="AV336">
        <v>1</v>
      </c>
      <c r="AW336">
        <v>1</v>
      </c>
      <c r="AX336">
        <v>289.77</v>
      </c>
      <c r="BB336" t="s">
        <v>252</v>
      </c>
      <c r="BC336" t="s">
        <v>3130</v>
      </c>
      <c r="BD336">
        <v>49000</v>
      </c>
      <c r="BH336" t="s">
        <v>3175</v>
      </c>
      <c r="BK336" t="s">
        <v>3198</v>
      </c>
      <c r="BL336" t="s">
        <v>213</v>
      </c>
      <c r="BM336" t="s">
        <v>311</v>
      </c>
    </row>
    <row r="337" spans="1:65">
      <c r="A337" s="1">
        <f>HYPERLINK("https://lsnyc.legalserver.org/matter/dynamic-profile/view/1906992","19-1906992")</f>
        <v>0</v>
      </c>
      <c r="B337" t="s">
        <v>66</v>
      </c>
      <c r="C337" t="s">
        <v>144</v>
      </c>
      <c r="D337" t="s">
        <v>170</v>
      </c>
      <c r="E337" t="s">
        <v>172</v>
      </c>
      <c r="F337" t="s">
        <v>183</v>
      </c>
      <c r="G337" t="s">
        <v>172</v>
      </c>
      <c r="H337" t="s">
        <v>220</v>
      </c>
      <c r="I337" t="s">
        <v>172</v>
      </c>
      <c r="J337" t="s">
        <v>231</v>
      </c>
      <c r="K337" t="s">
        <v>172</v>
      </c>
      <c r="M337" t="s">
        <v>232</v>
      </c>
      <c r="N337" t="s">
        <v>311</v>
      </c>
      <c r="O337" t="s">
        <v>313</v>
      </c>
      <c r="P337" t="s">
        <v>315</v>
      </c>
      <c r="Q337" t="s">
        <v>322</v>
      </c>
      <c r="T337" t="s">
        <v>626</v>
      </c>
      <c r="U337" t="s">
        <v>997</v>
      </c>
      <c r="V337" t="s">
        <v>183</v>
      </c>
      <c r="W337" t="s">
        <v>1109</v>
      </c>
      <c r="X337" t="s">
        <v>1113</v>
      </c>
      <c r="Y337" t="s">
        <v>1438</v>
      </c>
      <c r="Z337">
        <v>2</v>
      </c>
      <c r="AA337" t="s">
        <v>1756</v>
      </c>
      <c r="AB337" t="s">
        <v>1786</v>
      </c>
      <c r="AC337">
        <v>10033</v>
      </c>
      <c r="AD337" t="s">
        <v>1787</v>
      </c>
      <c r="AE337" t="s">
        <v>2096</v>
      </c>
      <c r="AF337">
        <v>1</v>
      </c>
      <c r="AG337" t="s">
        <v>2214</v>
      </c>
      <c r="AH337" t="s">
        <v>2223</v>
      </c>
      <c r="AI337" t="s">
        <v>233</v>
      </c>
      <c r="AJ337" t="s">
        <v>233</v>
      </c>
      <c r="AL337" t="s">
        <v>2230</v>
      </c>
      <c r="AM337" t="s">
        <v>2236</v>
      </c>
      <c r="AN337">
        <v>0</v>
      </c>
      <c r="AO337">
        <v>1500</v>
      </c>
      <c r="AP337">
        <v>0.5</v>
      </c>
      <c r="AQ337" t="s">
        <v>2242</v>
      </c>
      <c r="AR337" t="s">
        <v>2572</v>
      </c>
      <c r="AS337" t="s">
        <v>2991</v>
      </c>
      <c r="AT337">
        <v>3</v>
      </c>
      <c r="AU337" t="s">
        <v>3109</v>
      </c>
      <c r="AV337">
        <v>3</v>
      </c>
      <c r="AW337">
        <v>1</v>
      </c>
      <c r="AX337">
        <v>100.96</v>
      </c>
      <c r="BB337" t="s">
        <v>252</v>
      </c>
      <c r="BC337" t="s">
        <v>3131</v>
      </c>
      <c r="BD337">
        <v>25998</v>
      </c>
      <c r="BH337" t="s">
        <v>3176</v>
      </c>
      <c r="BK337" t="s">
        <v>3255</v>
      </c>
      <c r="BL337" t="s">
        <v>1109</v>
      </c>
      <c r="BM337" t="s">
        <v>311</v>
      </c>
    </row>
    <row r="338" spans="1:65">
      <c r="A338" s="1">
        <f>HYPERLINK("https://lsnyc.legalserver.org/matter/dynamic-profile/view/1908225","19-1908225")</f>
        <v>0</v>
      </c>
      <c r="B338" t="s">
        <v>66</v>
      </c>
      <c r="C338" t="s">
        <v>140</v>
      </c>
      <c r="D338" t="s">
        <v>170</v>
      </c>
      <c r="E338" t="s">
        <v>171</v>
      </c>
      <c r="G338" t="s">
        <v>219</v>
      </c>
      <c r="I338" t="s">
        <v>230</v>
      </c>
      <c r="J338" t="s">
        <v>232</v>
      </c>
      <c r="K338" t="s">
        <v>234</v>
      </c>
      <c r="M338" t="s">
        <v>232</v>
      </c>
      <c r="O338" t="s">
        <v>313</v>
      </c>
      <c r="Q338" t="s">
        <v>321</v>
      </c>
      <c r="T338" t="s">
        <v>627</v>
      </c>
      <c r="U338" t="s">
        <v>813</v>
      </c>
      <c r="V338" t="s">
        <v>1100</v>
      </c>
      <c r="X338" t="s">
        <v>1112</v>
      </c>
      <c r="Y338" t="s">
        <v>1439</v>
      </c>
      <c r="Z338">
        <v>31</v>
      </c>
      <c r="AA338" t="s">
        <v>1756</v>
      </c>
      <c r="AB338" t="s">
        <v>1786</v>
      </c>
      <c r="AC338">
        <v>10031</v>
      </c>
      <c r="AE338" t="s">
        <v>2097</v>
      </c>
      <c r="AF338">
        <v>22</v>
      </c>
      <c r="AH338" t="s">
        <v>2223</v>
      </c>
      <c r="AI338" t="s">
        <v>233</v>
      </c>
      <c r="AL338" t="s">
        <v>2230</v>
      </c>
      <c r="AN338">
        <v>0</v>
      </c>
      <c r="AO338">
        <v>1279</v>
      </c>
      <c r="AP338">
        <v>0</v>
      </c>
      <c r="AR338" t="s">
        <v>2573</v>
      </c>
      <c r="AS338" t="s">
        <v>2992</v>
      </c>
      <c r="AT338">
        <v>0</v>
      </c>
      <c r="AV338">
        <v>1</v>
      </c>
      <c r="AW338">
        <v>1</v>
      </c>
      <c r="AX338">
        <v>0</v>
      </c>
      <c r="BC338" t="s">
        <v>3130</v>
      </c>
      <c r="BD338">
        <v>0</v>
      </c>
      <c r="BH338" t="s">
        <v>3173</v>
      </c>
      <c r="BK338" t="s">
        <v>3220</v>
      </c>
    </row>
    <row r="339" spans="1:65">
      <c r="A339" s="1">
        <f>HYPERLINK("https://lsnyc.legalserver.org/matter/dynamic-profile/view/1908214","19-1908214")</f>
        <v>0</v>
      </c>
      <c r="B339" t="s">
        <v>66</v>
      </c>
      <c r="C339" t="s">
        <v>140</v>
      </c>
      <c r="D339" t="s">
        <v>170</v>
      </c>
      <c r="E339" t="s">
        <v>171</v>
      </c>
      <c r="G339" t="s">
        <v>172</v>
      </c>
      <c r="H339" t="s">
        <v>221</v>
      </c>
      <c r="I339" t="s">
        <v>230</v>
      </c>
      <c r="J339" t="s">
        <v>232</v>
      </c>
      <c r="K339" t="s">
        <v>234</v>
      </c>
      <c r="M339" t="s">
        <v>232</v>
      </c>
      <c r="O339" t="s">
        <v>172</v>
      </c>
      <c r="P339" t="s">
        <v>316</v>
      </c>
      <c r="Q339" t="s">
        <v>321</v>
      </c>
      <c r="T339" t="s">
        <v>628</v>
      </c>
      <c r="U339" t="s">
        <v>998</v>
      </c>
      <c r="V339" t="s">
        <v>1100</v>
      </c>
      <c r="X339" t="s">
        <v>1112</v>
      </c>
      <c r="Y339" t="s">
        <v>1440</v>
      </c>
      <c r="Z339" t="s">
        <v>1655</v>
      </c>
      <c r="AA339" t="s">
        <v>1756</v>
      </c>
      <c r="AB339" t="s">
        <v>1786</v>
      </c>
      <c r="AC339">
        <v>10027</v>
      </c>
      <c r="AE339" t="s">
        <v>2098</v>
      </c>
      <c r="AF339">
        <v>9</v>
      </c>
      <c r="AH339" t="s">
        <v>2223</v>
      </c>
      <c r="AI339" t="s">
        <v>233</v>
      </c>
      <c r="AJ339" t="s">
        <v>233</v>
      </c>
      <c r="AL339" t="s">
        <v>2230</v>
      </c>
      <c r="AN339">
        <v>0</v>
      </c>
      <c r="AO339">
        <v>962</v>
      </c>
      <c r="AP339">
        <v>3.5</v>
      </c>
      <c r="AR339" t="s">
        <v>2574</v>
      </c>
      <c r="AS339" t="s">
        <v>2993</v>
      </c>
      <c r="AT339">
        <v>0</v>
      </c>
      <c r="AV339">
        <v>1</v>
      </c>
      <c r="AW339">
        <v>4</v>
      </c>
      <c r="AX339">
        <v>15.67</v>
      </c>
      <c r="BC339" t="s">
        <v>3130</v>
      </c>
      <c r="BD339">
        <v>4728</v>
      </c>
      <c r="BH339" t="s">
        <v>3173</v>
      </c>
      <c r="BK339" t="s">
        <v>3259</v>
      </c>
      <c r="BL339" t="s">
        <v>1111</v>
      </c>
    </row>
    <row r="340" spans="1:65">
      <c r="A340" s="1">
        <f>HYPERLINK("https://lsnyc.legalserver.org/matter/dynamic-profile/view/1907898","19-1907898")</f>
        <v>0</v>
      </c>
      <c r="B340" t="s">
        <v>66</v>
      </c>
      <c r="C340" t="s">
        <v>140</v>
      </c>
      <c r="D340" t="s">
        <v>170</v>
      </c>
      <c r="E340" t="s">
        <v>172</v>
      </c>
      <c r="F340" t="s">
        <v>202</v>
      </c>
      <c r="G340" t="s">
        <v>172</v>
      </c>
      <c r="H340" t="s">
        <v>221</v>
      </c>
      <c r="I340" t="s">
        <v>172</v>
      </c>
      <c r="J340" t="s">
        <v>231</v>
      </c>
      <c r="K340" t="s">
        <v>172</v>
      </c>
      <c r="M340" t="s">
        <v>232</v>
      </c>
      <c r="N340" t="s">
        <v>311</v>
      </c>
      <c r="O340" t="s">
        <v>313</v>
      </c>
      <c r="P340" t="s">
        <v>315</v>
      </c>
      <c r="Q340" t="s">
        <v>321</v>
      </c>
      <c r="T340" t="s">
        <v>629</v>
      </c>
      <c r="U340" t="s">
        <v>999</v>
      </c>
      <c r="V340" t="s">
        <v>202</v>
      </c>
      <c r="X340" t="s">
        <v>1112</v>
      </c>
      <c r="Y340" t="s">
        <v>1441</v>
      </c>
      <c r="Z340" t="s">
        <v>1721</v>
      </c>
      <c r="AA340" t="s">
        <v>1756</v>
      </c>
      <c r="AB340" t="s">
        <v>1786</v>
      </c>
      <c r="AC340">
        <v>10025</v>
      </c>
      <c r="AD340" t="s">
        <v>1787</v>
      </c>
      <c r="AE340" t="s">
        <v>2099</v>
      </c>
      <c r="AF340">
        <v>4</v>
      </c>
      <c r="AH340" t="s">
        <v>2222</v>
      </c>
      <c r="AI340" t="s">
        <v>233</v>
      </c>
      <c r="AJ340" t="s">
        <v>233</v>
      </c>
      <c r="AL340" t="s">
        <v>2230</v>
      </c>
      <c r="AN340">
        <v>0</v>
      </c>
      <c r="AO340">
        <v>998</v>
      </c>
      <c r="AP340">
        <v>4.5</v>
      </c>
      <c r="AR340" t="s">
        <v>2575</v>
      </c>
      <c r="AS340" t="s">
        <v>2994</v>
      </c>
      <c r="AT340">
        <v>0</v>
      </c>
      <c r="AU340" t="s">
        <v>3109</v>
      </c>
      <c r="AV340">
        <v>3</v>
      </c>
      <c r="AW340">
        <v>1</v>
      </c>
      <c r="AX340">
        <v>41.94</v>
      </c>
      <c r="BB340" t="s">
        <v>252</v>
      </c>
      <c r="BC340" t="s">
        <v>3130</v>
      </c>
      <c r="BD340">
        <v>10800</v>
      </c>
      <c r="BH340" t="s">
        <v>3175</v>
      </c>
      <c r="BK340" t="s">
        <v>3207</v>
      </c>
      <c r="BL340" t="s">
        <v>192</v>
      </c>
      <c r="BM340" t="s">
        <v>311</v>
      </c>
    </row>
    <row r="341" spans="1:65">
      <c r="A341" s="1">
        <f>HYPERLINK("https://lsnyc.legalserver.org/matter/dynamic-profile/view/1907028","19-1907028")</f>
        <v>0</v>
      </c>
      <c r="B341" t="s">
        <v>66</v>
      </c>
      <c r="C341" t="s">
        <v>139</v>
      </c>
      <c r="D341" t="s">
        <v>170</v>
      </c>
      <c r="E341" t="s">
        <v>172</v>
      </c>
      <c r="F341" t="s">
        <v>183</v>
      </c>
      <c r="G341" t="s">
        <v>172</v>
      </c>
      <c r="H341" t="s">
        <v>221</v>
      </c>
      <c r="I341" t="s">
        <v>172</v>
      </c>
      <c r="J341" t="s">
        <v>231</v>
      </c>
      <c r="K341" t="s">
        <v>172</v>
      </c>
      <c r="L341" t="s">
        <v>285</v>
      </c>
      <c r="M341" t="s">
        <v>232</v>
      </c>
      <c r="N341" t="s">
        <v>312</v>
      </c>
      <c r="O341" t="s">
        <v>172</v>
      </c>
      <c r="P341" t="s">
        <v>314</v>
      </c>
      <c r="Q341" t="s">
        <v>322</v>
      </c>
      <c r="T341" t="s">
        <v>630</v>
      </c>
      <c r="U341" t="s">
        <v>1000</v>
      </c>
      <c r="V341" t="s">
        <v>183</v>
      </c>
      <c r="W341" t="s">
        <v>213</v>
      </c>
      <c r="X341" t="s">
        <v>1113</v>
      </c>
      <c r="Y341" t="s">
        <v>1442</v>
      </c>
      <c r="Z341">
        <v>1</v>
      </c>
      <c r="AA341" t="s">
        <v>1756</v>
      </c>
      <c r="AB341" t="s">
        <v>1786</v>
      </c>
      <c r="AC341">
        <v>10035</v>
      </c>
      <c r="AD341" t="s">
        <v>1791</v>
      </c>
      <c r="AE341" t="s">
        <v>2100</v>
      </c>
      <c r="AF341">
        <v>10</v>
      </c>
      <c r="AG341" t="s">
        <v>2214</v>
      </c>
      <c r="AH341" t="s">
        <v>2223</v>
      </c>
      <c r="AI341" t="s">
        <v>233</v>
      </c>
      <c r="AJ341" t="s">
        <v>233</v>
      </c>
      <c r="AL341" t="s">
        <v>2235</v>
      </c>
      <c r="AN341">
        <v>0</v>
      </c>
      <c r="AO341">
        <v>612</v>
      </c>
      <c r="AP341">
        <v>0.2</v>
      </c>
      <c r="AQ341" t="s">
        <v>2242</v>
      </c>
      <c r="AR341" t="s">
        <v>2576</v>
      </c>
      <c r="AS341" t="s">
        <v>2995</v>
      </c>
      <c r="AT341">
        <v>0</v>
      </c>
      <c r="AU341" t="s">
        <v>3118</v>
      </c>
      <c r="AV341">
        <v>2</v>
      </c>
      <c r="AW341">
        <v>0</v>
      </c>
      <c r="AX341">
        <v>15.07</v>
      </c>
      <c r="BB341" t="s">
        <v>1793</v>
      </c>
      <c r="BC341" t="s">
        <v>3130</v>
      </c>
      <c r="BD341">
        <v>2548</v>
      </c>
      <c r="BH341" t="s">
        <v>3175</v>
      </c>
      <c r="BK341" t="s">
        <v>3254</v>
      </c>
      <c r="BL341" t="s">
        <v>213</v>
      </c>
      <c r="BM341" t="s">
        <v>312</v>
      </c>
    </row>
    <row r="342" spans="1:65">
      <c r="A342" s="1">
        <f>HYPERLINK("https://lsnyc.legalserver.org/matter/dynamic-profile/view/1903989","19-1903989")</f>
        <v>0</v>
      </c>
      <c r="B342" t="s">
        <v>66</v>
      </c>
      <c r="C342" t="s">
        <v>145</v>
      </c>
      <c r="D342" t="s">
        <v>170</v>
      </c>
      <c r="E342" t="s">
        <v>171</v>
      </c>
      <c r="G342" t="s">
        <v>172</v>
      </c>
      <c r="H342" t="s">
        <v>221</v>
      </c>
      <c r="I342" t="s">
        <v>230</v>
      </c>
      <c r="J342" t="s">
        <v>232</v>
      </c>
      <c r="K342" t="s">
        <v>234</v>
      </c>
      <c r="M342" t="s">
        <v>232</v>
      </c>
      <c r="O342" t="s">
        <v>172</v>
      </c>
      <c r="P342" t="s">
        <v>316</v>
      </c>
      <c r="Q342" t="s">
        <v>321</v>
      </c>
      <c r="T342" t="s">
        <v>631</v>
      </c>
      <c r="U342" t="s">
        <v>1001</v>
      </c>
      <c r="V342" t="s">
        <v>1104</v>
      </c>
      <c r="X342" t="s">
        <v>1112</v>
      </c>
      <c r="Y342" t="s">
        <v>1443</v>
      </c>
      <c r="Z342" t="s">
        <v>1644</v>
      </c>
      <c r="AA342" t="s">
        <v>1756</v>
      </c>
      <c r="AB342" t="s">
        <v>1786</v>
      </c>
      <c r="AC342">
        <v>10025</v>
      </c>
      <c r="AD342" t="s">
        <v>1790</v>
      </c>
      <c r="AE342" t="s">
        <v>2101</v>
      </c>
      <c r="AF342">
        <v>20</v>
      </c>
      <c r="AH342" t="s">
        <v>2223</v>
      </c>
      <c r="AI342" t="s">
        <v>233</v>
      </c>
      <c r="AJ342" t="s">
        <v>233</v>
      </c>
      <c r="AL342" t="s">
        <v>2230</v>
      </c>
      <c r="AN342">
        <v>0</v>
      </c>
      <c r="AO342">
        <v>2045.07</v>
      </c>
      <c r="AP342">
        <v>4.7</v>
      </c>
      <c r="AR342" t="s">
        <v>2577</v>
      </c>
      <c r="AS342" t="s">
        <v>2996</v>
      </c>
      <c r="AT342">
        <v>181</v>
      </c>
      <c r="AU342" t="s">
        <v>3106</v>
      </c>
      <c r="AV342">
        <v>1</v>
      </c>
      <c r="AW342">
        <v>0</v>
      </c>
      <c r="AX342">
        <v>149.88</v>
      </c>
      <c r="BC342" t="s">
        <v>3130</v>
      </c>
      <c r="BD342">
        <v>18720</v>
      </c>
      <c r="BH342" t="s">
        <v>3173</v>
      </c>
      <c r="BK342" t="s">
        <v>3198</v>
      </c>
      <c r="BL342" t="s">
        <v>1111</v>
      </c>
    </row>
    <row r="343" spans="1:65">
      <c r="A343" s="1">
        <f>HYPERLINK("https://lsnyc.legalserver.org/matter/dynamic-profile/view/1906324","19-1906324")</f>
        <v>0</v>
      </c>
      <c r="B343" t="s">
        <v>66</v>
      </c>
      <c r="C343" t="s">
        <v>138</v>
      </c>
      <c r="D343" t="s">
        <v>170</v>
      </c>
      <c r="E343" t="s">
        <v>171</v>
      </c>
      <c r="G343" t="s">
        <v>172</v>
      </c>
      <c r="H343" t="s">
        <v>221</v>
      </c>
      <c r="I343" t="s">
        <v>230</v>
      </c>
      <c r="J343" t="s">
        <v>232</v>
      </c>
      <c r="K343" t="s">
        <v>234</v>
      </c>
      <c r="M343" t="s">
        <v>232</v>
      </c>
      <c r="O343" t="s">
        <v>172</v>
      </c>
      <c r="P343" t="s">
        <v>316</v>
      </c>
      <c r="Q343" t="s">
        <v>321</v>
      </c>
      <c r="T343" t="s">
        <v>343</v>
      </c>
      <c r="U343" t="s">
        <v>1002</v>
      </c>
      <c r="V343" t="s">
        <v>195</v>
      </c>
      <c r="X343" t="s">
        <v>1112</v>
      </c>
      <c r="Y343" t="s">
        <v>1444</v>
      </c>
      <c r="Z343" t="s">
        <v>1598</v>
      </c>
      <c r="AA343" t="s">
        <v>1756</v>
      </c>
      <c r="AB343" t="s">
        <v>1786</v>
      </c>
      <c r="AC343">
        <v>10027</v>
      </c>
      <c r="AD343" t="s">
        <v>1790</v>
      </c>
      <c r="AE343" t="s">
        <v>2102</v>
      </c>
      <c r="AF343">
        <v>0</v>
      </c>
      <c r="AH343" t="s">
        <v>2223</v>
      </c>
      <c r="AI343" t="s">
        <v>233</v>
      </c>
      <c r="AJ343" t="s">
        <v>233</v>
      </c>
      <c r="AL343" t="s">
        <v>2231</v>
      </c>
      <c r="AN343">
        <v>0</v>
      </c>
      <c r="AO343">
        <v>728.4</v>
      </c>
      <c r="AP343">
        <v>4.5</v>
      </c>
      <c r="AR343" t="s">
        <v>2578</v>
      </c>
      <c r="AS343" t="s">
        <v>2997</v>
      </c>
      <c r="AT343">
        <v>0</v>
      </c>
      <c r="AV343">
        <v>1</v>
      </c>
      <c r="AW343">
        <v>2</v>
      </c>
      <c r="AX343">
        <v>84.39</v>
      </c>
      <c r="BC343" t="s">
        <v>3130</v>
      </c>
      <c r="BD343">
        <v>18000</v>
      </c>
      <c r="BH343" t="s">
        <v>3173</v>
      </c>
      <c r="BK343" t="s">
        <v>3196</v>
      </c>
      <c r="BL343" t="s">
        <v>3274</v>
      </c>
    </row>
    <row r="344" spans="1:65">
      <c r="A344" s="1">
        <f>HYPERLINK("https://lsnyc.legalserver.org/matter/dynamic-profile/view/1904147","19-1904147")</f>
        <v>0</v>
      </c>
      <c r="B344" t="s">
        <v>66</v>
      </c>
      <c r="C344" t="s">
        <v>138</v>
      </c>
      <c r="D344" t="s">
        <v>170</v>
      </c>
      <c r="E344" t="s">
        <v>171</v>
      </c>
      <c r="G344" t="s">
        <v>172</v>
      </c>
      <c r="H344" t="s">
        <v>221</v>
      </c>
      <c r="I344" t="s">
        <v>230</v>
      </c>
      <c r="J344" t="s">
        <v>232</v>
      </c>
      <c r="K344" t="s">
        <v>234</v>
      </c>
      <c r="M344" t="s">
        <v>232</v>
      </c>
      <c r="O344" t="s">
        <v>172</v>
      </c>
      <c r="P344" t="s">
        <v>316</v>
      </c>
      <c r="Q344" t="s">
        <v>321</v>
      </c>
      <c r="T344" t="s">
        <v>632</v>
      </c>
      <c r="U344" t="s">
        <v>1003</v>
      </c>
      <c r="V344" t="s">
        <v>201</v>
      </c>
      <c r="X344" t="s">
        <v>1112</v>
      </c>
      <c r="Y344" t="s">
        <v>1445</v>
      </c>
      <c r="Z344" t="s">
        <v>1602</v>
      </c>
      <c r="AA344" t="s">
        <v>1756</v>
      </c>
      <c r="AB344" t="s">
        <v>1786</v>
      </c>
      <c r="AC344">
        <v>10026</v>
      </c>
      <c r="AE344" t="s">
        <v>2103</v>
      </c>
      <c r="AF344">
        <v>4</v>
      </c>
      <c r="AH344" t="s">
        <v>2222</v>
      </c>
      <c r="AI344" t="s">
        <v>233</v>
      </c>
      <c r="AJ344" t="s">
        <v>233</v>
      </c>
      <c r="AL344" t="s">
        <v>2230</v>
      </c>
      <c r="AN344">
        <v>0</v>
      </c>
      <c r="AO344">
        <v>247</v>
      </c>
      <c r="AP344">
        <v>3</v>
      </c>
      <c r="AR344" t="s">
        <v>2579</v>
      </c>
      <c r="AS344" t="s">
        <v>2998</v>
      </c>
      <c r="AT344">
        <v>0</v>
      </c>
      <c r="AV344">
        <v>1</v>
      </c>
      <c r="AW344">
        <v>0</v>
      </c>
      <c r="AX344">
        <v>78.01000000000001</v>
      </c>
      <c r="BC344" t="s">
        <v>3130</v>
      </c>
      <c r="BD344">
        <v>9744</v>
      </c>
      <c r="BH344" t="s">
        <v>3177</v>
      </c>
      <c r="BK344" t="s">
        <v>3222</v>
      </c>
      <c r="BL344" t="s">
        <v>1109</v>
      </c>
    </row>
    <row r="345" spans="1:65">
      <c r="A345" s="1">
        <f>HYPERLINK("https://lsnyc.legalserver.org/matter/dynamic-profile/view/1908041","19-1908041")</f>
        <v>0</v>
      </c>
      <c r="B345" t="s">
        <v>66</v>
      </c>
      <c r="C345" t="s">
        <v>136</v>
      </c>
      <c r="D345" t="s">
        <v>170</v>
      </c>
      <c r="E345" t="s">
        <v>171</v>
      </c>
      <c r="G345" t="s">
        <v>172</v>
      </c>
      <c r="H345" t="s">
        <v>221</v>
      </c>
      <c r="I345" t="s">
        <v>172</v>
      </c>
      <c r="J345" t="s">
        <v>231</v>
      </c>
      <c r="K345" t="s">
        <v>172</v>
      </c>
      <c r="M345" t="s">
        <v>232</v>
      </c>
      <c r="N345" t="s">
        <v>311</v>
      </c>
      <c r="O345" t="s">
        <v>172</v>
      </c>
      <c r="P345" t="s">
        <v>314</v>
      </c>
      <c r="Q345" t="s">
        <v>321</v>
      </c>
      <c r="T345" t="s">
        <v>633</v>
      </c>
      <c r="U345" t="s">
        <v>811</v>
      </c>
      <c r="V345" t="s">
        <v>1098</v>
      </c>
      <c r="X345" t="s">
        <v>1112</v>
      </c>
      <c r="Y345" t="s">
        <v>1446</v>
      </c>
      <c r="Z345">
        <v>6</v>
      </c>
      <c r="AA345" t="s">
        <v>1756</v>
      </c>
      <c r="AB345" t="s">
        <v>1786</v>
      </c>
      <c r="AC345">
        <v>10009</v>
      </c>
      <c r="AD345" t="s">
        <v>1787</v>
      </c>
      <c r="AE345" t="s">
        <v>2104</v>
      </c>
      <c r="AF345">
        <v>30</v>
      </c>
      <c r="AH345" t="s">
        <v>2223</v>
      </c>
      <c r="AI345" t="s">
        <v>233</v>
      </c>
      <c r="AJ345" t="s">
        <v>233</v>
      </c>
      <c r="AL345" t="s">
        <v>2230</v>
      </c>
      <c r="AM345" t="s">
        <v>2239</v>
      </c>
      <c r="AN345">
        <v>0</v>
      </c>
      <c r="AO345">
        <v>0</v>
      </c>
      <c r="AP345">
        <v>1</v>
      </c>
      <c r="AR345" t="s">
        <v>2580</v>
      </c>
      <c r="AS345" t="s">
        <v>2999</v>
      </c>
      <c r="AT345">
        <v>0</v>
      </c>
      <c r="AU345" t="s">
        <v>3110</v>
      </c>
      <c r="AV345">
        <v>3</v>
      </c>
      <c r="AW345">
        <v>0</v>
      </c>
      <c r="AX345">
        <v>129.92</v>
      </c>
      <c r="BB345" t="s">
        <v>252</v>
      </c>
      <c r="BC345" t="s">
        <v>3130</v>
      </c>
      <c r="BD345">
        <v>27711</v>
      </c>
      <c r="BH345" t="s">
        <v>3172</v>
      </c>
      <c r="BK345" t="s">
        <v>3198</v>
      </c>
      <c r="BL345" t="s">
        <v>1098</v>
      </c>
      <c r="BM345" t="s">
        <v>311</v>
      </c>
    </row>
    <row r="346" spans="1:65">
      <c r="A346" s="1">
        <f>HYPERLINK("https://lsnyc.legalserver.org/matter/dynamic-profile/view/1907032","19-1907032")</f>
        <v>0</v>
      </c>
      <c r="B346" t="s">
        <v>66</v>
      </c>
      <c r="C346" t="s">
        <v>136</v>
      </c>
      <c r="D346" t="s">
        <v>170</v>
      </c>
      <c r="E346" t="s">
        <v>172</v>
      </c>
      <c r="F346" t="s">
        <v>183</v>
      </c>
      <c r="G346" t="s">
        <v>172</v>
      </c>
      <c r="H346" t="s">
        <v>221</v>
      </c>
      <c r="I346" t="s">
        <v>172</v>
      </c>
      <c r="J346" t="s">
        <v>231</v>
      </c>
      <c r="K346" t="s">
        <v>172</v>
      </c>
      <c r="M346" t="s">
        <v>232</v>
      </c>
      <c r="N346" t="s">
        <v>311</v>
      </c>
      <c r="O346" t="s">
        <v>313</v>
      </c>
      <c r="P346" t="s">
        <v>315</v>
      </c>
      <c r="Q346" t="s">
        <v>321</v>
      </c>
      <c r="T346" t="s">
        <v>634</v>
      </c>
      <c r="U346" t="s">
        <v>699</v>
      </c>
      <c r="V346" t="s">
        <v>183</v>
      </c>
      <c r="X346" t="s">
        <v>1112</v>
      </c>
      <c r="Y346" t="s">
        <v>1447</v>
      </c>
      <c r="Z346" t="s">
        <v>1652</v>
      </c>
      <c r="AA346" t="s">
        <v>1756</v>
      </c>
      <c r="AB346" t="s">
        <v>1786</v>
      </c>
      <c r="AC346">
        <v>10009</v>
      </c>
      <c r="AD346" t="s">
        <v>1787</v>
      </c>
      <c r="AE346" t="s">
        <v>2105</v>
      </c>
      <c r="AF346">
        <v>1</v>
      </c>
      <c r="AH346" t="s">
        <v>2223</v>
      </c>
      <c r="AI346" t="s">
        <v>233</v>
      </c>
      <c r="AJ346" t="s">
        <v>233</v>
      </c>
      <c r="AL346" t="s">
        <v>2231</v>
      </c>
      <c r="AM346" t="s">
        <v>2236</v>
      </c>
      <c r="AN346">
        <v>0</v>
      </c>
      <c r="AO346">
        <v>342</v>
      </c>
      <c r="AP346">
        <v>0</v>
      </c>
      <c r="AR346" t="s">
        <v>2581</v>
      </c>
      <c r="AS346" t="s">
        <v>3000</v>
      </c>
      <c r="AT346">
        <v>0</v>
      </c>
      <c r="AU346" t="s">
        <v>3111</v>
      </c>
      <c r="AV346">
        <v>1</v>
      </c>
      <c r="AW346">
        <v>2</v>
      </c>
      <c r="AX346">
        <v>19.14</v>
      </c>
      <c r="BB346" t="s">
        <v>252</v>
      </c>
      <c r="BC346" t="s">
        <v>3130</v>
      </c>
      <c r="BD346">
        <v>4082</v>
      </c>
      <c r="BH346" t="s">
        <v>3176</v>
      </c>
      <c r="BK346" t="s">
        <v>3259</v>
      </c>
      <c r="BM346" t="s">
        <v>311</v>
      </c>
    </row>
    <row r="347" spans="1:65">
      <c r="A347" s="1">
        <f>HYPERLINK("https://lsnyc.legalserver.org/matter/dynamic-profile/view/1904457","19-1904457")</f>
        <v>0</v>
      </c>
      <c r="B347" t="s">
        <v>66</v>
      </c>
      <c r="C347" t="s">
        <v>146</v>
      </c>
      <c r="D347" t="s">
        <v>170</v>
      </c>
      <c r="E347" t="s">
        <v>172</v>
      </c>
      <c r="F347" t="s">
        <v>174</v>
      </c>
      <c r="G347" t="s">
        <v>172</v>
      </c>
      <c r="H347" t="s">
        <v>221</v>
      </c>
      <c r="I347" t="s">
        <v>172</v>
      </c>
      <c r="J347" t="s">
        <v>231</v>
      </c>
      <c r="K347" t="s">
        <v>172</v>
      </c>
      <c r="L347" t="s">
        <v>286</v>
      </c>
      <c r="M347" t="s">
        <v>232</v>
      </c>
      <c r="N347" t="s">
        <v>312</v>
      </c>
      <c r="O347" t="s">
        <v>313</v>
      </c>
      <c r="P347" t="s">
        <v>315</v>
      </c>
      <c r="Q347" t="s">
        <v>321</v>
      </c>
      <c r="T347" t="s">
        <v>635</v>
      </c>
      <c r="U347" t="s">
        <v>1004</v>
      </c>
      <c r="V347" t="s">
        <v>174</v>
      </c>
      <c r="X347" t="s">
        <v>1112</v>
      </c>
      <c r="Y347" t="s">
        <v>1448</v>
      </c>
      <c r="Z347" t="s">
        <v>1722</v>
      </c>
      <c r="AA347" t="s">
        <v>1756</v>
      </c>
      <c r="AB347" t="s">
        <v>1786</v>
      </c>
      <c r="AC347">
        <v>10025</v>
      </c>
      <c r="AD347" t="s">
        <v>1787</v>
      </c>
      <c r="AE347" t="s">
        <v>2106</v>
      </c>
      <c r="AF347">
        <v>35</v>
      </c>
      <c r="AH347" t="s">
        <v>2222</v>
      </c>
      <c r="AI347" t="s">
        <v>233</v>
      </c>
      <c r="AJ347" t="s">
        <v>233</v>
      </c>
      <c r="AL347" t="s">
        <v>2230</v>
      </c>
      <c r="AN347">
        <v>0</v>
      </c>
      <c r="AO347">
        <v>0</v>
      </c>
      <c r="AP347">
        <v>1.2</v>
      </c>
      <c r="AR347" t="s">
        <v>2582</v>
      </c>
      <c r="AS347" t="s">
        <v>3001</v>
      </c>
      <c r="AT347">
        <v>1</v>
      </c>
      <c r="AU347" t="s">
        <v>3109</v>
      </c>
      <c r="AV347">
        <v>1</v>
      </c>
      <c r="AW347">
        <v>0</v>
      </c>
      <c r="AX347">
        <v>84.06999999999999</v>
      </c>
      <c r="BB347" t="s">
        <v>252</v>
      </c>
      <c r="BC347" t="s">
        <v>3130</v>
      </c>
      <c r="BD347">
        <v>10500</v>
      </c>
      <c r="BH347" t="s">
        <v>3172</v>
      </c>
      <c r="BK347" t="s">
        <v>3193</v>
      </c>
      <c r="BL347" t="s">
        <v>174</v>
      </c>
      <c r="BM347" t="s">
        <v>312</v>
      </c>
    </row>
    <row r="348" spans="1:65">
      <c r="A348" s="1">
        <f>HYPERLINK("https://lsnyc.legalserver.org/matter/dynamic-profile/view/1905967","19-1905967")</f>
        <v>0</v>
      </c>
      <c r="B348" t="s">
        <v>66</v>
      </c>
      <c r="C348" t="s">
        <v>146</v>
      </c>
      <c r="D348" t="s">
        <v>170</v>
      </c>
      <c r="E348" t="s">
        <v>172</v>
      </c>
      <c r="F348" t="s">
        <v>204</v>
      </c>
      <c r="G348" t="s">
        <v>172</v>
      </c>
      <c r="H348" t="s">
        <v>225</v>
      </c>
      <c r="I348" t="s">
        <v>172</v>
      </c>
      <c r="J348" t="s">
        <v>231</v>
      </c>
      <c r="K348" t="s">
        <v>172</v>
      </c>
      <c r="M348" t="s">
        <v>232</v>
      </c>
      <c r="N348" t="s">
        <v>311</v>
      </c>
      <c r="O348" t="s">
        <v>313</v>
      </c>
      <c r="P348" t="s">
        <v>315</v>
      </c>
      <c r="Q348" t="s">
        <v>321</v>
      </c>
      <c r="T348" t="s">
        <v>633</v>
      </c>
      <c r="U348" t="s">
        <v>833</v>
      </c>
      <c r="V348" t="s">
        <v>204</v>
      </c>
      <c r="X348" t="s">
        <v>1112</v>
      </c>
      <c r="Y348" t="s">
        <v>1449</v>
      </c>
      <c r="Z348" t="s">
        <v>1723</v>
      </c>
      <c r="AA348" t="s">
        <v>1756</v>
      </c>
      <c r="AB348" t="s">
        <v>1786</v>
      </c>
      <c r="AC348">
        <v>10030</v>
      </c>
      <c r="AD348" t="s">
        <v>1794</v>
      </c>
      <c r="AE348" t="s">
        <v>2107</v>
      </c>
      <c r="AF348">
        <v>21</v>
      </c>
      <c r="AH348" t="s">
        <v>2223</v>
      </c>
      <c r="AI348" t="s">
        <v>233</v>
      </c>
      <c r="AJ348" t="s">
        <v>231</v>
      </c>
      <c r="AL348" t="s">
        <v>2231</v>
      </c>
      <c r="AN348">
        <v>0</v>
      </c>
      <c r="AO348">
        <v>240.6</v>
      </c>
      <c r="AP348">
        <v>1</v>
      </c>
      <c r="AR348" t="s">
        <v>2583</v>
      </c>
      <c r="AS348" t="s">
        <v>3002</v>
      </c>
      <c r="AT348">
        <v>245</v>
      </c>
      <c r="AU348" t="s">
        <v>3107</v>
      </c>
      <c r="AV348">
        <v>1</v>
      </c>
      <c r="AW348">
        <v>0</v>
      </c>
      <c r="AX348">
        <v>72.06</v>
      </c>
      <c r="BB348" t="s">
        <v>252</v>
      </c>
      <c r="BC348" t="s">
        <v>3130</v>
      </c>
      <c r="BD348">
        <v>9000</v>
      </c>
      <c r="BH348" t="s">
        <v>3172</v>
      </c>
      <c r="BK348" t="s">
        <v>3193</v>
      </c>
      <c r="BL348" t="s">
        <v>204</v>
      </c>
      <c r="BM348" t="s">
        <v>311</v>
      </c>
    </row>
    <row r="349" spans="1:65">
      <c r="A349" s="1">
        <f>HYPERLINK("https://lsnyc.legalserver.org/matter/dynamic-profile/view/1906916","19-1906916")</f>
        <v>0</v>
      </c>
      <c r="B349" t="s">
        <v>66</v>
      </c>
      <c r="C349" t="s">
        <v>137</v>
      </c>
      <c r="D349" t="s">
        <v>170</v>
      </c>
      <c r="E349" t="s">
        <v>171</v>
      </c>
      <c r="G349" t="s">
        <v>172</v>
      </c>
      <c r="H349" t="s">
        <v>225</v>
      </c>
      <c r="I349" t="s">
        <v>172</v>
      </c>
      <c r="J349" t="s">
        <v>231</v>
      </c>
      <c r="K349" t="s">
        <v>172</v>
      </c>
      <c r="M349" t="s">
        <v>232</v>
      </c>
      <c r="N349" t="s">
        <v>311</v>
      </c>
      <c r="O349" t="s">
        <v>172</v>
      </c>
      <c r="P349" t="s">
        <v>319</v>
      </c>
      <c r="Q349" t="s">
        <v>321</v>
      </c>
      <c r="T349" t="s">
        <v>636</v>
      </c>
      <c r="U349" t="s">
        <v>1005</v>
      </c>
      <c r="V349" t="s">
        <v>199</v>
      </c>
      <c r="X349" t="s">
        <v>1112</v>
      </c>
      <c r="Y349" t="s">
        <v>1450</v>
      </c>
      <c r="Z349" t="s">
        <v>1724</v>
      </c>
      <c r="AA349" t="s">
        <v>1756</v>
      </c>
      <c r="AB349" t="s">
        <v>1786</v>
      </c>
      <c r="AC349">
        <v>10038</v>
      </c>
      <c r="AD349" t="s">
        <v>1799</v>
      </c>
      <c r="AE349" t="s">
        <v>2108</v>
      </c>
      <c r="AF349">
        <v>20</v>
      </c>
      <c r="AH349" t="s">
        <v>2223</v>
      </c>
      <c r="AI349" t="s">
        <v>233</v>
      </c>
      <c r="AJ349" t="s">
        <v>233</v>
      </c>
      <c r="AL349" t="s">
        <v>2231</v>
      </c>
      <c r="AN349">
        <v>0</v>
      </c>
      <c r="AO349">
        <v>350</v>
      </c>
      <c r="AP349">
        <v>15.9</v>
      </c>
      <c r="AR349" t="s">
        <v>2584</v>
      </c>
      <c r="AT349">
        <v>0</v>
      </c>
      <c r="AU349" t="s">
        <v>3107</v>
      </c>
      <c r="AV349">
        <v>2</v>
      </c>
      <c r="AW349">
        <v>0</v>
      </c>
      <c r="AX349">
        <v>70.95999999999999</v>
      </c>
      <c r="BB349" t="s">
        <v>252</v>
      </c>
      <c r="BC349" t="s">
        <v>3137</v>
      </c>
      <c r="BD349">
        <v>12000</v>
      </c>
      <c r="BH349" t="s">
        <v>3172</v>
      </c>
      <c r="BK349" t="s">
        <v>3196</v>
      </c>
      <c r="BL349" t="s">
        <v>3274</v>
      </c>
      <c r="BM349" t="s">
        <v>311</v>
      </c>
    </row>
    <row r="350" spans="1:65">
      <c r="A350" s="1">
        <f>HYPERLINK("https://lsnyc.legalserver.org/matter/dynamic-profile/view/1905976","19-1905976")</f>
        <v>0</v>
      </c>
      <c r="B350" t="s">
        <v>66</v>
      </c>
      <c r="C350" t="s">
        <v>139</v>
      </c>
      <c r="D350" t="s">
        <v>170</v>
      </c>
      <c r="E350" t="s">
        <v>172</v>
      </c>
      <c r="F350" t="s">
        <v>204</v>
      </c>
      <c r="G350" t="s">
        <v>172</v>
      </c>
      <c r="H350" t="s">
        <v>220</v>
      </c>
      <c r="I350" t="s">
        <v>172</v>
      </c>
      <c r="J350" t="s">
        <v>231</v>
      </c>
      <c r="K350" t="s">
        <v>172</v>
      </c>
      <c r="L350" t="s">
        <v>287</v>
      </c>
      <c r="M350" t="s">
        <v>232</v>
      </c>
      <c r="N350" t="s">
        <v>312</v>
      </c>
      <c r="O350" t="s">
        <v>313</v>
      </c>
      <c r="P350" t="s">
        <v>315</v>
      </c>
      <c r="Q350" t="s">
        <v>321</v>
      </c>
      <c r="T350" t="s">
        <v>637</v>
      </c>
      <c r="U350" t="s">
        <v>1006</v>
      </c>
      <c r="V350" t="s">
        <v>204</v>
      </c>
      <c r="X350" t="s">
        <v>1112</v>
      </c>
      <c r="Y350" t="s">
        <v>1451</v>
      </c>
      <c r="Z350" t="s">
        <v>1643</v>
      </c>
      <c r="AA350" t="s">
        <v>1756</v>
      </c>
      <c r="AB350" t="s">
        <v>1786</v>
      </c>
      <c r="AC350">
        <v>10035</v>
      </c>
      <c r="AD350" t="s">
        <v>1791</v>
      </c>
      <c r="AE350" t="s">
        <v>2109</v>
      </c>
      <c r="AF350">
        <v>7</v>
      </c>
      <c r="AH350" t="s">
        <v>2223</v>
      </c>
      <c r="AI350" t="s">
        <v>233</v>
      </c>
      <c r="AJ350" t="s">
        <v>233</v>
      </c>
      <c r="AL350" t="s">
        <v>2231</v>
      </c>
      <c r="AN350">
        <v>0</v>
      </c>
      <c r="AO350">
        <v>214</v>
      </c>
      <c r="AP350">
        <v>0.9</v>
      </c>
      <c r="AR350" t="s">
        <v>2585</v>
      </c>
      <c r="AS350" t="s">
        <v>3003</v>
      </c>
      <c r="AT350">
        <v>36</v>
      </c>
      <c r="AU350" t="s">
        <v>3107</v>
      </c>
      <c r="AV350">
        <v>1</v>
      </c>
      <c r="AW350">
        <v>0</v>
      </c>
      <c r="AX350">
        <v>62.45</v>
      </c>
      <c r="BB350" t="s">
        <v>252</v>
      </c>
      <c r="BC350" t="s">
        <v>3130</v>
      </c>
      <c r="BD350">
        <v>7800</v>
      </c>
      <c r="BH350" t="s">
        <v>3175</v>
      </c>
      <c r="BK350" t="s">
        <v>3198</v>
      </c>
      <c r="BL350" t="s">
        <v>197</v>
      </c>
      <c r="BM350" t="s">
        <v>312</v>
      </c>
    </row>
    <row r="351" spans="1:65">
      <c r="A351" s="1">
        <f>HYPERLINK("https://lsnyc.legalserver.org/matter/dynamic-profile/view/1908461","19-1908461")</f>
        <v>0</v>
      </c>
      <c r="B351" t="s">
        <v>67</v>
      </c>
      <c r="C351" t="s">
        <v>147</v>
      </c>
      <c r="D351" t="s">
        <v>170</v>
      </c>
      <c r="E351" t="s">
        <v>171</v>
      </c>
      <c r="G351" t="s">
        <v>172</v>
      </c>
      <c r="H351" t="s">
        <v>220</v>
      </c>
      <c r="I351" t="s">
        <v>172</v>
      </c>
      <c r="J351" t="s">
        <v>231</v>
      </c>
      <c r="K351" t="s">
        <v>172</v>
      </c>
      <c r="M351" t="s">
        <v>232</v>
      </c>
      <c r="N351" t="s">
        <v>311</v>
      </c>
      <c r="O351" t="s">
        <v>313</v>
      </c>
      <c r="P351" t="s">
        <v>315</v>
      </c>
      <c r="Q351" t="s">
        <v>321</v>
      </c>
      <c r="T351" t="s">
        <v>638</v>
      </c>
      <c r="U351" t="s">
        <v>1007</v>
      </c>
      <c r="V351" t="s">
        <v>213</v>
      </c>
      <c r="X351" t="s">
        <v>1112</v>
      </c>
      <c r="Y351" t="s">
        <v>1452</v>
      </c>
      <c r="AA351" t="s">
        <v>1757</v>
      </c>
      <c r="AB351" t="s">
        <v>1786</v>
      </c>
      <c r="AC351">
        <v>11433</v>
      </c>
      <c r="AD351" t="s">
        <v>1790</v>
      </c>
      <c r="AE351" t="s">
        <v>2110</v>
      </c>
      <c r="AF351">
        <v>2</v>
      </c>
      <c r="AH351" t="s">
        <v>2224</v>
      </c>
      <c r="AI351" t="s">
        <v>233</v>
      </c>
      <c r="AL351" t="s">
        <v>2230</v>
      </c>
      <c r="AN351">
        <v>0</v>
      </c>
      <c r="AO351">
        <v>0</v>
      </c>
      <c r="AP351">
        <v>0.52</v>
      </c>
      <c r="AR351" t="s">
        <v>2586</v>
      </c>
      <c r="AS351" t="s">
        <v>3004</v>
      </c>
      <c r="AT351">
        <v>0</v>
      </c>
      <c r="AV351">
        <v>1</v>
      </c>
      <c r="AW351">
        <v>0</v>
      </c>
      <c r="AX351">
        <v>104.08</v>
      </c>
      <c r="BC351" t="s">
        <v>3130</v>
      </c>
      <c r="BD351">
        <v>13000</v>
      </c>
      <c r="BH351" t="s">
        <v>3180</v>
      </c>
      <c r="BK351" t="s">
        <v>1793</v>
      </c>
      <c r="BL351" t="s">
        <v>1107</v>
      </c>
      <c r="BM351" t="s">
        <v>311</v>
      </c>
    </row>
    <row r="352" spans="1:65">
      <c r="A352" s="1">
        <f>HYPERLINK("https://lsnyc.legalserver.org/matter/dynamic-profile/view/1905903","19-1905903")</f>
        <v>0</v>
      </c>
      <c r="B352" t="s">
        <v>67</v>
      </c>
      <c r="C352" t="s">
        <v>148</v>
      </c>
      <c r="D352" t="s">
        <v>170</v>
      </c>
      <c r="E352" t="s">
        <v>171</v>
      </c>
      <c r="G352" t="s">
        <v>172</v>
      </c>
      <c r="H352" t="s">
        <v>220</v>
      </c>
      <c r="I352" t="s">
        <v>172</v>
      </c>
      <c r="J352" t="s">
        <v>231</v>
      </c>
      <c r="K352" t="s">
        <v>172</v>
      </c>
      <c r="M352" t="s">
        <v>232</v>
      </c>
      <c r="N352" t="s">
        <v>311</v>
      </c>
      <c r="O352" t="s">
        <v>172</v>
      </c>
      <c r="P352" t="s">
        <v>316</v>
      </c>
      <c r="Q352" t="s">
        <v>321</v>
      </c>
      <c r="T352" t="s">
        <v>394</v>
      </c>
      <c r="U352" t="s">
        <v>961</v>
      </c>
      <c r="V352" t="s">
        <v>211</v>
      </c>
      <c r="X352" t="s">
        <v>1112</v>
      </c>
      <c r="Y352" t="s">
        <v>1453</v>
      </c>
      <c r="Z352">
        <v>1</v>
      </c>
      <c r="AA352" t="s">
        <v>1757</v>
      </c>
      <c r="AB352" t="s">
        <v>1786</v>
      </c>
      <c r="AC352">
        <v>11433</v>
      </c>
      <c r="AD352" t="s">
        <v>1787</v>
      </c>
      <c r="AE352" t="s">
        <v>2111</v>
      </c>
      <c r="AF352">
        <v>25</v>
      </c>
      <c r="AH352" t="s">
        <v>2224</v>
      </c>
      <c r="AI352" t="s">
        <v>233</v>
      </c>
      <c r="AL352" t="s">
        <v>2230</v>
      </c>
      <c r="AN352">
        <v>0</v>
      </c>
      <c r="AO352">
        <v>1200</v>
      </c>
      <c r="AP352">
        <v>1.1</v>
      </c>
      <c r="AR352" t="s">
        <v>2587</v>
      </c>
      <c r="AS352" t="s">
        <v>3005</v>
      </c>
      <c r="AT352">
        <v>2</v>
      </c>
      <c r="AU352" t="s">
        <v>3108</v>
      </c>
      <c r="AV352">
        <v>3</v>
      </c>
      <c r="AW352">
        <v>0</v>
      </c>
      <c r="AX352">
        <v>1195.5</v>
      </c>
      <c r="BB352" t="s">
        <v>252</v>
      </c>
      <c r="BD352">
        <v>255000</v>
      </c>
      <c r="BH352" t="s">
        <v>159</v>
      </c>
      <c r="BK352" t="s">
        <v>3198</v>
      </c>
      <c r="BL352" t="s">
        <v>1109</v>
      </c>
      <c r="BM352" t="s">
        <v>311</v>
      </c>
    </row>
    <row r="353" spans="1:65">
      <c r="A353" s="1">
        <f>HYPERLINK("https://lsnyc.legalserver.org/matter/dynamic-profile/view/1904254","19-1904254")</f>
        <v>0</v>
      </c>
      <c r="B353" t="s">
        <v>67</v>
      </c>
      <c r="C353" t="s">
        <v>147</v>
      </c>
      <c r="D353" t="s">
        <v>170</v>
      </c>
      <c r="E353" t="s">
        <v>173</v>
      </c>
      <c r="F353" t="s">
        <v>205</v>
      </c>
      <c r="G353" t="s">
        <v>172</v>
      </c>
      <c r="H353" t="s">
        <v>221</v>
      </c>
      <c r="I353" t="s">
        <v>172</v>
      </c>
      <c r="J353" t="s">
        <v>231</v>
      </c>
      <c r="K353" t="s">
        <v>172</v>
      </c>
      <c r="M353" t="s">
        <v>232</v>
      </c>
      <c r="N353" t="s">
        <v>311</v>
      </c>
      <c r="O353" t="s">
        <v>172</v>
      </c>
      <c r="P353" t="s">
        <v>316</v>
      </c>
      <c r="Q353" t="s">
        <v>172</v>
      </c>
      <c r="R353" t="s">
        <v>324</v>
      </c>
      <c r="S353" t="s">
        <v>336</v>
      </c>
      <c r="T353" t="s">
        <v>639</v>
      </c>
      <c r="U353" t="s">
        <v>1008</v>
      </c>
      <c r="V353" t="s">
        <v>1101</v>
      </c>
      <c r="X353" t="s">
        <v>1112</v>
      </c>
      <c r="Y353" t="s">
        <v>1454</v>
      </c>
      <c r="Z353" t="s">
        <v>1627</v>
      </c>
      <c r="AA353" t="s">
        <v>1758</v>
      </c>
      <c r="AB353" t="s">
        <v>1786</v>
      </c>
      <c r="AC353">
        <v>11373</v>
      </c>
      <c r="AD353" t="s">
        <v>1790</v>
      </c>
      <c r="AE353" t="s">
        <v>2112</v>
      </c>
      <c r="AF353">
        <v>23</v>
      </c>
      <c r="AH353" t="s">
        <v>2224</v>
      </c>
      <c r="AI353" t="s">
        <v>233</v>
      </c>
      <c r="AJ353" t="s">
        <v>233</v>
      </c>
      <c r="AL353" t="s">
        <v>2230</v>
      </c>
      <c r="AN353">
        <v>0</v>
      </c>
      <c r="AO353">
        <v>1079.8</v>
      </c>
      <c r="AP353">
        <v>0.75</v>
      </c>
      <c r="AR353" t="s">
        <v>2588</v>
      </c>
      <c r="AT353">
        <v>0</v>
      </c>
      <c r="AU353" t="s">
        <v>3106</v>
      </c>
      <c r="AV353">
        <v>2</v>
      </c>
      <c r="AW353">
        <v>1</v>
      </c>
      <c r="AX353">
        <v>73.14</v>
      </c>
      <c r="BB353" t="s">
        <v>252</v>
      </c>
      <c r="BC353" t="s">
        <v>3131</v>
      </c>
      <c r="BD353">
        <v>15600</v>
      </c>
      <c r="BH353" t="s">
        <v>3180</v>
      </c>
      <c r="BJ353" t="s">
        <v>3189</v>
      </c>
      <c r="BK353" t="s">
        <v>3198</v>
      </c>
      <c r="BL353" t="s">
        <v>1099</v>
      </c>
      <c r="BM353" t="s">
        <v>311</v>
      </c>
    </row>
    <row r="354" spans="1:65">
      <c r="A354" s="1">
        <f>HYPERLINK("https://lsnyc.legalserver.org/matter/dynamic-profile/view/1908551","19-1908551")</f>
        <v>0</v>
      </c>
      <c r="B354" t="s">
        <v>67</v>
      </c>
      <c r="C354" t="s">
        <v>147</v>
      </c>
      <c r="D354" t="s">
        <v>170</v>
      </c>
      <c r="E354" t="s">
        <v>171</v>
      </c>
      <c r="G354" t="s">
        <v>172</v>
      </c>
      <c r="H354" t="s">
        <v>220</v>
      </c>
      <c r="I354" t="s">
        <v>172</v>
      </c>
      <c r="J354" t="s">
        <v>231</v>
      </c>
      <c r="K354" t="s">
        <v>172</v>
      </c>
      <c r="M354" t="s">
        <v>232</v>
      </c>
      <c r="N354" t="s">
        <v>311</v>
      </c>
      <c r="O354" t="s">
        <v>313</v>
      </c>
      <c r="P354" t="s">
        <v>315</v>
      </c>
      <c r="Q354" t="s">
        <v>321</v>
      </c>
      <c r="T354" t="s">
        <v>640</v>
      </c>
      <c r="U354" t="s">
        <v>1009</v>
      </c>
      <c r="V354" t="s">
        <v>213</v>
      </c>
      <c r="X354" t="s">
        <v>1112</v>
      </c>
      <c r="Y354" t="s">
        <v>1455</v>
      </c>
      <c r="Z354" t="s">
        <v>1602</v>
      </c>
      <c r="AA354" t="s">
        <v>1758</v>
      </c>
      <c r="AB354" t="s">
        <v>1786</v>
      </c>
      <c r="AC354">
        <v>11373</v>
      </c>
      <c r="AD354" t="s">
        <v>1790</v>
      </c>
      <c r="AE354" t="s">
        <v>2113</v>
      </c>
      <c r="AF354">
        <v>8</v>
      </c>
      <c r="AH354" t="s">
        <v>2224</v>
      </c>
      <c r="AI354" t="s">
        <v>233</v>
      </c>
      <c r="AL354" t="s">
        <v>2230</v>
      </c>
      <c r="AN354">
        <v>0</v>
      </c>
      <c r="AO354">
        <v>1950</v>
      </c>
      <c r="AP354">
        <v>0.6</v>
      </c>
      <c r="AR354" t="s">
        <v>2589</v>
      </c>
      <c r="AS354" t="s">
        <v>3006</v>
      </c>
      <c r="AT354">
        <v>0</v>
      </c>
      <c r="AV354">
        <v>2</v>
      </c>
      <c r="AW354">
        <v>1</v>
      </c>
      <c r="AX354">
        <v>92.64</v>
      </c>
      <c r="BC354" t="s">
        <v>3130</v>
      </c>
      <c r="BD354">
        <v>19760</v>
      </c>
      <c r="BH354" t="s">
        <v>3180</v>
      </c>
      <c r="BK354" t="s">
        <v>3198</v>
      </c>
      <c r="BL354" t="s">
        <v>1107</v>
      </c>
      <c r="BM354" t="s">
        <v>311</v>
      </c>
    </row>
    <row r="355" spans="1:65">
      <c r="A355" s="1">
        <f>HYPERLINK("https://lsnyc.legalserver.org/matter/dynamic-profile/view/1908449","19-1908449")</f>
        <v>0</v>
      </c>
      <c r="B355" t="s">
        <v>67</v>
      </c>
      <c r="C355" t="s">
        <v>148</v>
      </c>
      <c r="D355" t="s">
        <v>170</v>
      </c>
      <c r="E355" t="s">
        <v>171</v>
      </c>
      <c r="G355" t="s">
        <v>172</v>
      </c>
      <c r="H355" t="s">
        <v>220</v>
      </c>
      <c r="I355" t="s">
        <v>172</v>
      </c>
      <c r="J355" t="s">
        <v>231</v>
      </c>
      <c r="K355" t="s">
        <v>172</v>
      </c>
      <c r="L355" t="s">
        <v>288</v>
      </c>
      <c r="M355" t="s">
        <v>232</v>
      </c>
      <c r="N355" t="s">
        <v>311</v>
      </c>
      <c r="O355" t="s">
        <v>172</v>
      </c>
      <c r="P355" t="s">
        <v>316</v>
      </c>
      <c r="Q355" t="s">
        <v>321</v>
      </c>
      <c r="T355" t="s">
        <v>641</v>
      </c>
      <c r="U355" t="s">
        <v>861</v>
      </c>
      <c r="V355" t="s">
        <v>213</v>
      </c>
      <c r="X355" t="s">
        <v>1112</v>
      </c>
      <c r="Y355" t="s">
        <v>1456</v>
      </c>
      <c r="Z355">
        <v>1</v>
      </c>
      <c r="AA355" t="s">
        <v>1757</v>
      </c>
      <c r="AB355" t="s">
        <v>1786</v>
      </c>
      <c r="AC355">
        <v>11434</v>
      </c>
      <c r="AD355" t="s">
        <v>1790</v>
      </c>
      <c r="AE355" t="s">
        <v>2114</v>
      </c>
      <c r="AF355">
        <v>1</v>
      </c>
      <c r="AH355" t="s">
        <v>2224</v>
      </c>
      <c r="AI355" t="s">
        <v>233</v>
      </c>
      <c r="AJ355" t="s">
        <v>233</v>
      </c>
      <c r="AL355" t="s">
        <v>2230</v>
      </c>
      <c r="AN355">
        <v>0</v>
      </c>
      <c r="AO355">
        <v>1515</v>
      </c>
      <c r="AP355">
        <v>1</v>
      </c>
      <c r="AR355" t="s">
        <v>2590</v>
      </c>
      <c r="AS355" t="s">
        <v>3007</v>
      </c>
      <c r="AT355">
        <v>3</v>
      </c>
      <c r="AV355">
        <v>1</v>
      </c>
      <c r="AW355">
        <v>3</v>
      </c>
      <c r="AX355">
        <v>23.3</v>
      </c>
      <c r="BB355" t="s">
        <v>3125</v>
      </c>
      <c r="BC355" t="s">
        <v>3130</v>
      </c>
      <c r="BD355">
        <v>6000</v>
      </c>
      <c r="BH355" t="s">
        <v>3180</v>
      </c>
      <c r="BK355" t="s">
        <v>3248</v>
      </c>
      <c r="BL355" t="s">
        <v>213</v>
      </c>
      <c r="BM355" t="s">
        <v>311</v>
      </c>
    </row>
    <row r="356" spans="1:65">
      <c r="A356" s="1">
        <f>HYPERLINK("https://lsnyc.legalserver.org/matter/dynamic-profile/view/1906556","19-1906556")</f>
        <v>0</v>
      </c>
      <c r="B356" t="s">
        <v>67</v>
      </c>
      <c r="C356" t="s">
        <v>148</v>
      </c>
      <c r="D356" t="s">
        <v>170</v>
      </c>
      <c r="E356" t="s">
        <v>171</v>
      </c>
      <c r="G356" t="s">
        <v>172</v>
      </c>
      <c r="H356" t="s">
        <v>221</v>
      </c>
      <c r="I356" t="s">
        <v>172</v>
      </c>
      <c r="J356" t="s">
        <v>231</v>
      </c>
      <c r="K356" t="s">
        <v>172</v>
      </c>
      <c r="M356" t="s">
        <v>232</v>
      </c>
      <c r="N356" t="s">
        <v>311</v>
      </c>
      <c r="O356" t="s">
        <v>172</v>
      </c>
      <c r="P356" t="s">
        <v>316</v>
      </c>
      <c r="Q356" t="s">
        <v>321</v>
      </c>
      <c r="T356" t="s">
        <v>471</v>
      </c>
      <c r="U356" t="s">
        <v>1010</v>
      </c>
      <c r="V356" t="s">
        <v>1097</v>
      </c>
      <c r="X356" t="s">
        <v>1112</v>
      </c>
      <c r="Y356" t="s">
        <v>1457</v>
      </c>
      <c r="Z356">
        <v>309</v>
      </c>
      <c r="AA356" t="s">
        <v>1757</v>
      </c>
      <c r="AB356" t="s">
        <v>1786</v>
      </c>
      <c r="AC356">
        <v>11436</v>
      </c>
      <c r="AD356" t="s">
        <v>1787</v>
      </c>
      <c r="AE356" t="s">
        <v>2115</v>
      </c>
      <c r="AF356">
        <v>34</v>
      </c>
      <c r="AH356" t="s">
        <v>2225</v>
      </c>
      <c r="AI356" t="s">
        <v>233</v>
      </c>
      <c r="AJ356" t="s">
        <v>231</v>
      </c>
      <c r="AL356" t="s">
        <v>2230</v>
      </c>
      <c r="AN356">
        <v>0</v>
      </c>
      <c r="AO356">
        <v>350</v>
      </c>
      <c r="AP356">
        <v>5.8</v>
      </c>
      <c r="AR356" t="s">
        <v>2591</v>
      </c>
      <c r="AS356" t="s">
        <v>3008</v>
      </c>
      <c r="AT356">
        <v>100</v>
      </c>
      <c r="AU356" t="s">
        <v>3115</v>
      </c>
      <c r="AV356">
        <v>1</v>
      </c>
      <c r="AW356">
        <v>0</v>
      </c>
      <c r="AX356">
        <v>91.27</v>
      </c>
      <c r="BB356" t="s">
        <v>3123</v>
      </c>
      <c r="BC356" t="s">
        <v>3130</v>
      </c>
      <c r="BD356">
        <v>11400</v>
      </c>
      <c r="BH356" t="s">
        <v>3180</v>
      </c>
      <c r="BK356" t="s">
        <v>3246</v>
      </c>
      <c r="BL356" t="s">
        <v>194</v>
      </c>
      <c r="BM356" t="s">
        <v>311</v>
      </c>
    </row>
    <row r="357" spans="1:65">
      <c r="A357" s="1">
        <f>HYPERLINK("https://lsnyc.legalserver.org/matter/dynamic-profile/view/1907621","19-1907621")</f>
        <v>0</v>
      </c>
      <c r="B357" t="s">
        <v>67</v>
      </c>
      <c r="C357" t="s">
        <v>148</v>
      </c>
      <c r="D357" t="s">
        <v>170</v>
      </c>
      <c r="E357" t="s">
        <v>171</v>
      </c>
      <c r="G357" t="s">
        <v>172</v>
      </c>
      <c r="H357" t="s">
        <v>220</v>
      </c>
      <c r="I357" t="s">
        <v>172</v>
      </c>
      <c r="J357" t="s">
        <v>231</v>
      </c>
      <c r="K357" t="s">
        <v>172</v>
      </c>
      <c r="M357" t="s">
        <v>232</v>
      </c>
      <c r="N357" t="s">
        <v>311</v>
      </c>
      <c r="O357" t="s">
        <v>172</v>
      </c>
      <c r="P357" t="s">
        <v>320</v>
      </c>
      <c r="Q357" t="s">
        <v>321</v>
      </c>
      <c r="T357" t="s">
        <v>642</v>
      </c>
      <c r="U357" t="s">
        <v>1011</v>
      </c>
      <c r="V357" t="s">
        <v>210</v>
      </c>
      <c r="X357" t="s">
        <v>1112</v>
      </c>
      <c r="Y357" t="s">
        <v>1458</v>
      </c>
      <c r="Z357" t="s">
        <v>1578</v>
      </c>
      <c r="AA357" t="s">
        <v>1758</v>
      </c>
      <c r="AB357" t="s">
        <v>1786</v>
      </c>
      <c r="AC357">
        <v>11373</v>
      </c>
      <c r="AD357" t="s">
        <v>1787</v>
      </c>
      <c r="AE357" t="s">
        <v>2116</v>
      </c>
      <c r="AF357">
        <v>1</v>
      </c>
      <c r="AH357" t="s">
        <v>2224</v>
      </c>
      <c r="AI357" t="s">
        <v>233</v>
      </c>
      <c r="AJ357" t="s">
        <v>233</v>
      </c>
      <c r="AL357" t="s">
        <v>2230</v>
      </c>
      <c r="AN357">
        <v>0</v>
      </c>
      <c r="AO357">
        <v>1800</v>
      </c>
      <c r="AP357">
        <v>1.1</v>
      </c>
      <c r="AR357" t="s">
        <v>2592</v>
      </c>
      <c r="AS357" t="s">
        <v>3009</v>
      </c>
      <c r="AT357">
        <v>2</v>
      </c>
      <c r="AV357">
        <v>1</v>
      </c>
      <c r="AW357">
        <v>0</v>
      </c>
      <c r="AX357">
        <v>49.13</v>
      </c>
      <c r="BB357" t="s">
        <v>252</v>
      </c>
      <c r="BC357" t="s">
        <v>3131</v>
      </c>
      <c r="BD357">
        <v>6136</v>
      </c>
      <c r="BH357" t="s">
        <v>3180</v>
      </c>
      <c r="BK357" t="s">
        <v>3241</v>
      </c>
      <c r="BL357" t="s">
        <v>202</v>
      </c>
      <c r="BM357" t="s">
        <v>311</v>
      </c>
    </row>
    <row r="358" spans="1:65">
      <c r="A358" s="1">
        <f>HYPERLINK("https://lsnyc.legalserver.org/matter/dynamic-profile/view/1907263","19-1907263")</f>
        <v>0</v>
      </c>
      <c r="B358" t="s">
        <v>67</v>
      </c>
      <c r="C358" t="s">
        <v>148</v>
      </c>
      <c r="D358" t="s">
        <v>170</v>
      </c>
      <c r="E358" t="s">
        <v>172</v>
      </c>
      <c r="F358" t="s">
        <v>193</v>
      </c>
      <c r="G358" t="s">
        <v>172</v>
      </c>
      <c r="H358" t="s">
        <v>220</v>
      </c>
      <c r="I358" t="s">
        <v>172</v>
      </c>
      <c r="J358" t="s">
        <v>231</v>
      </c>
      <c r="K358" t="s">
        <v>172</v>
      </c>
      <c r="M358" t="s">
        <v>232</v>
      </c>
      <c r="N358" t="s">
        <v>311</v>
      </c>
      <c r="O358" t="s">
        <v>313</v>
      </c>
      <c r="P358" t="s">
        <v>315</v>
      </c>
      <c r="Q358" t="s">
        <v>321</v>
      </c>
      <c r="T358" t="s">
        <v>374</v>
      </c>
      <c r="U358" t="s">
        <v>1012</v>
      </c>
      <c r="V358" t="s">
        <v>193</v>
      </c>
      <c r="X358" t="s">
        <v>1112</v>
      </c>
      <c r="Y358" t="s">
        <v>1459</v>
      </c>
      <c r="Z358" t="s">
        <v>1571</v>
      </c>
      <c r="AA358" t="s">
        <v>1759</v>
      </c>
      <c r="AB358" t="s">
        <v>1786</v>
      </c>
      <c r="AC358">
        <v>11416</v>
      </c>
      <c r="AD358" t="s">
        <v>1787</v>
      </c>
      <c r="AE358" t="s">
        <v>2117</v>
      </c>
      <c r="AF358">
        <v>12</v>
      </c>
      <c r="AH358" t="s">
        <v>2225</v>
      </c>
      <c r="AI358" t="s">
        <v>233</v>
      </c>
      <c r="AJ358" t="s">
        <v>233</v>
      </c>
      <c r="AL358" t="s">
        <v>2230</v>
      </c>
      <c r="AN358">
        <v>0</v>
      </c>
      <c r="AO358">
        <v>2700</v>
      </c>
      <c r="AP358">
        <v>4.3</v>
      </c>
      <c r="AR358" t="s">
        <v>2593</v>
      </c>
      <c r="AS358" t="s">
        <v>3010</v>
      </c>
      <c r="AT358">
        <v>5</v>
      </c>
      <c r="AU358" t="s">
        <v>3109</v>
      </c>
      <c r="AV358">
        <v>2</v>
      </c>
      <c r="AW358">
        <v>2</v>
      </c>
      <c r="AX358">
        <v>85.44</v>
      </c>
      <c r="BB358" t="s">
        <v>252</v>
      </c>
      <c r="BC358" t="s">
        <v>3130</v>
      </c>
      <c r="BD358">
        <v>22000</v>
      </c>
      <c r="BH358" t="s">
        <v>3181</v>
      </c>
      <c r="BK358" t="s">
        <v>3198</v>
      </c>
      <c r="BL358" t="s">
        <v>3275</v>
      </c>
      <c r="BM358" t="s">
        <v>311</v>
      </c>
    </row>
    <row r="359" spans="1:65">
      <c r="A359" s="1">
        <f>HYPERLINK("https://lsnyc.legalserver.org/matter/dynamic-profile/view/1904967","19-1904967")</f>
        <v>0</v>
      </c>
      <c r="B359" t="s">
        <v>67</v>
      </c>
      <c r="C359" t="s">
        <v>148</v>
      </c>
      <c r="D359" t="s">
        <v>170</v>
      </c>
      <c r="E359" t="s">
        <v>172</v>
      </c>
      <c r="F359" t="s">
        <v>179</v>
      </c>
      <c r="G359" t="s">
        <v>172</v>
      </c>
      <c r="H359" t="s">
        <v>221</v>
      </c>
      <c r="I359" t="s">
        <v>172</v>
      </c>
      <c r="J359" t="s">
        <v>231</v>
      </c>
      <c r="K359" t="s">
        <v>234</v>
      </c>
      <c r="M359" t="s">
        <v>232</v>
      </c>
      <c r="O359" t="s">
        <v>172</v>
      </c>
      <c r="P359" t="s">
        <v>316</v>
      </c>
      <c r="Q359" t="s">
        <v>321</v>
      </c>
      <c r="T359" t="s">
        <v>643</v>
      </c>
      <c r="U359" t="s">
        <v>1013</v>
      </c>
      <c r="V359" t="s">
        <v>187</v>
      </c>
      <c r="X359" t="s">
        <v>1112</v>
      </c>
      <c r="Y359" t="s">
        <v>1460</v>
      </c>
      <c r="Z359" t="s">
        <v>1725</v>
      </c>
      <c r="AA359" t="s">
        <v>1757</v>
      </c>
      <c r="AB359" t="s">
        <v>1786</v>
      </c>
      <c r="AC359">
        <v>11434</v>
      </c>
      <c r="AD359" t="s">
        <v>1787</v>
      </c>
      <c r="AE359" t="s">
        <v>2118</v>
      </c>
      <c r="AF359">
        <v>37</v>
      </c>
      <c r="AH359" t="s">
        <v>2224</v>
      </c>
      <c r="AI359" t="s">
        <v>233</v>
      </c>
      <c r="AJ359" t="s">
        <v>233</v>
      </c>
      <c r="AL359" t="s">
        <v>2230</v>
      </c>
      <c r="AM359" t="s">
        <v>2236</v>
      </c>
      <c r="AN359">
        <v>0</v>
      </c>
      <c r="AO359">
        <v>1466.85</v>
      </c>
      <c r="AP359">
        <v>17.7</v>
      </c>
      <c r="AR359" t="s">
        <v>2594</v>
      </c>
      <c r="AS359" t="s">
        <v>3011</v>
      </c>
      <c r="AT359">
        <v>273</v>
      </c>
      <c r="AU359" t="s">
        <v>3105</v>
      </c>
      <c r="AV359">
        <v>1</v>
      </c>
      <c r="AW359">
        <v>0</v>
      </c>
      <c r="AX359">
        <v>192.15</v>
      </c>
      <c r="BB359" t="s">
        <v>252</v>
      </c>
      <c r="BC359" t="s">
        <v>3130</v>
      </c>
      <c r="BD359">
        <v>24000</v>
      </c>
      <c r="BH359" t="s">
        <v>3182</v>
      </c>
      <c r="BK359" t="s">
        <v>3196</v>
      </c>
      <c r="BL359" t="s">
        <v>1099</v>
      </c>
    </row>
    <row r="360" spans="1:65">
      <c r="A360" s="1">
        <f>HYPERLINK("https://lsnyc.legalserver.org/matter/dynamic-profile/view/1903932","19-1903932")</f>
        <v>0</v>
      </c>
      <c r="B360" t="s">
        <v>67</v>
      </c>
      <c r="C360" t="s">
        <v>149</v>
      </c>
      <c r="D360" t="s">
        <v>170</v>
      </c>
      <c r="E360" t="s">
        <v>171</v>
      </c>
      <c r="G360" t="s">
        <v>172</v>
      </c>
      <c r="H360" t="s">
        <v>221</v>
      </c>
      <c r="I360" t="s">
        <v>172</v>
      </c>
      <c r="J360" t="s">
        <v>231</v>
      </c>
      <c r="K360" t="s">
        <v>172</v>
      </c>
      <c r="M360" t="s">
        <v>232</v>
      </c>
      <c r="N360" t="s">
        <v>311</v>
      </c>
      <c r="O360" t="s">
        <v>172</v>
      </c>
      <c r="P360" t="s">
        <v>314</v>
      </c>
      <c r="Q360" t="s">
        <v>321</v>
      </c>
      <c r="T360" t="s">
        <v>644</v>
      </c>
      <c r="U360" t="s">
        <v>1014</v>
      </c>
      <c r="V360" t="s">
        <v>186</v>
      </c>
      <c r="X360" t="s">
        <v>1112</v>
      </c>
      <c r="Y360" t="s">
        <v>1461</v>
      </c>
      <c r="Z360" t="s">
        <v>1683</v>
      </c>
      <c r="AA360" t="s">
        <v>1760</v>
      </c>
      <c r="AB360" t="s">
        <v>1786</v>
      </c>
      <c r="AC360">
        <v>11367</v>
      </c>
      <c r="AE360" t="s">
        <v>2119</v>
      </c>
      <c r="AF360">
        <v>2</v>
      </c>
      <c r="AH360" t="s">
        <v>2225</v>
      </c>
      <c r="AI360" t="s">
        <v>233</v>
      </c>
      <c r="AJ360" t="s">
        <v>233</v>
      </c>
      <c r="AL360" t="s">
        <v>2230</v>
      </c>
      <c r="AM360" t="s">
        <v>2239</v>
      </c>
      <c r="AN360">
        <v>0</v>
      </c>
      <c r="AO360">
        <v>2000</v>
      </c>
      <c r="AP360">
        <v>1.93</v>
      </c>
      <c r="AR360" t="s">
        <v>2595</v>
      </c>
      <c r="AS360" t="s">
        <v>3012</v>
      </c>
      <c r="AT360">
        <v>16</v>
      </c>
      <c r="AU360" t="s">
        <v>3106</v>
      </c>
      <c r="AV360">
        <v>2</v>
      </c>
      <c r="AW360">
        <v>1</v>
      </c>
      <c r="AX360">
        <v>60.95</v>
      </c>
      <c r="BC360" t="s">
        <v>3131</v>
      </c>
      <c r="BD360">
        <v>13000</v>
      </c>
      <c r="BH360" t="s">
        <v>149</v>
      </c>
      <c r="BK360" t="s">
        <v>3198</v>
      </c>
      <c r="BL360" t="s">
        <v>1098</v>
      </c>
      <c r="BM360" t="s">
        <v>311</v>
      </c>
    </row>
    <row r="361" spans="1:65">
      <c r="A361" s="1">
        <f>HYPERLINK("https://lsnyc.legalserver.org/matter/dynamic-profile/view/1907924","19-1907924")</f>
        <v>0</v>
      </c>
      <c r="B361" t="s">
        <v>67</v>
      </c>
      <c r="C361" t="s">
        <v>149</v>
      </c>
      <c r="D361" t="s">
        <v>170</v>
      </c>
      <c r="E361" t="s">
        <v>172</v>
      </c>
      <c r="F361" t="s">
        <v>192</v>
      </c>
      <c r="G361" t="s">
        <v>172</v>
      </c>
      <c r="H361" t="s">
        <v>220</v>
      </c>
      <c r="I361" t="s">
        <v>172</v>
      </c>
      <c r="J361" t="s">
        <v>231</v>
      </c>
      <c r="K361" t="s">
        <v>172</v>
      </c>
      <c r="L361" t="s">
        <v>289</v>
      </c>
      <c r="M361" t="s">
        <v>232</v>
      </c>
      <c r="N361" t="s">
        <v>311</v>
      </c>
      <c r="O361" t="s">
        <v>313</v>
      </c>
      <c r="P361" t="s">
        <v>315</v>
      </c>
      <c r="Q361" t="s">
        <v>321</v>
      </c>
      <c r="T361" t="s">
        <v>645</v>
      </c>
      <c r="U361" t="s">
        <v>1015</v>
      </c>
      <c r="V361" t="s">
        <v>192</v>
      </c>
      <c r="X361" t="s">
        <v>1112</v>
      </c>
      <c r="Y361" t="s">
        <v>1462</v>
      </c>
      <c r="Z361">
        <v>2</v>
      </c>
      <c r="AA361" t="s">
        <v>1757</v>
      </c>
      <c r="AB361" t="s">
        <v>1786</v>
      </c>
      <c r="AC361">
        <v>11433</v>
      </c>
      <c r="AD361" t="s">
        <v>1787</v>
      </c>
      <c r="AE361" t="s">
        <v>2120</v>
      </c>
      <c r="AF361">
        <v>3</v>
      </c>
      <c r="AH361" t="s">
        <v>2224</v>
      </c>
      <c r="AI361" t="s">
        <v>233</v>
      </c>
      <c r="AJ361" t="s">
        <v>233</v>
      </c>
      <c r="AL361" t="s">
        <v>2230</v>
      </c>
      <c r="AN361">
        <v>0</v>
      </c>
      <c r="AO361">
        <v>1956</v>
      </c>
      <c r="AP361">
        <v>1.9</v>
      </c>
      <c r="AR361" t="s">
        <v>2596</v>
      </c>
      <c r="AS361" t="s">
        <v>3013</v>
      </c>
      <c r="AT361">
        <v>2</v>
      </c>
      <c r="AU361" t="s">
        <v>3109</v>
      </c>
      <c r="AV361">
        <v>2</v>
      </c>
      <c r="AW361">
        <v>3</v>
      </c>
      <c r="AX361">
        <v>26.37</v>
      </c>
      <c r="BB361" t="s">
        <v>3124</v>
      </c>
      <c r="BC361" t="s">
        <v>3130</v>
      </c>
      <c r="BD361">
        <v>7956</v>
      </c>
      <c r="BH361" t="s">
        <v>3181</v>
      </c>
      <c r="BK361" t="s">
        <v>3260</v>
      </c>
      <c r="BL361" t="s">
        <v>194</v>
      </c>
      <c r="BM361" t="s">
        <v>311</v>
      </c>
    </row>
    <row r="362" spans="1:65">
      <c r="A362" s="1">
        <f>HYPERLINK("https://lsnyc.legalserver.org/matter/dynamic-profile/view/1907327","19-1907327")</f>
        <v>0</v>
      </c>
      <c r="B362" t="s">
        <v>67</v>
      </c>
      <c r="C362" t="s">
        <v>149</v>
      </c>
      <c r="D362" t="s">
        <v>170</v>
      </c>
      <c r="E362" t="s">
        <v>171</v>
      </c>
      <c r="G362" t="s">
        <v>172</v>
      </c>
      <c r="H362" t="s">
        <v>221</v>
      </c>
      <c r="I362" t="s">
        <v>172</v>
      </c>
      <c r="J362" t="s">
        <v>231</v>
      </c>
      <c r="K362" t="s">
        <v>172</v>
      </c>
      <c r="M362" t="s">
        <v>232</v>
      </c>
      <c r="N362" t="s">
        <v>311</v>
      </c>
      <c r="O362" t="s">
        <v>172</v>
      </c>
      <c r="P362" t="s">
        <v>314</v>
      </c>
      <c r="Q362" t="s">
        <v>321</v>
      </c>
      <c r="T362" t="s">
        <v>525</v>
      </c>
      <c r="U362" t="s">
        <v>898</v>
      </c>
      <c r="V362" t="s">
        <v>193</v>
      </c>
      <c r="X362" t="s">
        <v>1112</v>
      </c>
      <c r="Y362" t="s">
        <v>1463</v>
      </c>
      <c r="Z362" t="s">
        <v>1669</v>
      </c>
      <c r="AA362" t="s">
        <v>1761</v>
      </c>
      <c r="AB362" t="s">
        <v>1786</v>
      </c>
      <c r="AC362">
        <v>11106</v>
      </c>
      <c r="AD362" t="s">
        <v>1787</v>
      </c>
      <c r="AE362" t="s">
        <v>2121</v>
      </c>
      <c r="AF362">
        <v>20</v>
      </c>
      <c r="AH362" t="s">
        <v>2225</v>
      </c>
      <c r="AI362" t="s">
        <v>233</v>
      </c>
      <c r="AJ362" t="s">
        <v>233</v>
      </c>
      <c r="AL362" t="s">
        <v>2231</v>
      </c>
      <c r="AN362">
        <v>0</v>
      </c>
      <c r="AO362">
        <v>560</v>
      </c>
      <c r="AP362">
        <v>2.43</v>
      </c>
      <c r="AR362" t="s">
        <v>2597</v>
      </c>
      <c r="AS362" t="s">
        <v>3014</v>
      </c>
      <c r="AT362">
        <v>48</v>
      </c>
      <c r="AU362" t="s">
        <v>3111</v>
      </c>
      <c r="AV362">
        <v>2</v>
      </c>
      <c r="AW362">
        <v>0</v>
      </c>
      <c r="AX362">
        <v>107.63</v>
      </c>
      <c r="BB362" t="s">
        <v>252</v>
      </c>
      <c r="BC362" t="s">
        <v>3130</v>
      </c>
      <c r="BD362">
        <v>18200</v>
      </c>
      <c r="BH362" t="s">
        <v>3180</v>
      </c>
      <c r="BK362" t="s">
        <v>3198</v>
      </c>
      <c r="BL362" t="s">
        <v>185</v>
      </c>
      <c r="BM362" t="s">
        <v>311</v>
      </c>
    </row>
    <row r="363" spans="1:65">
      <c r="A363" s="1">
        <f>HYPERLINK("https://lsnyc.legalserver.org/matter/dynamic-profile/view/1903921","19-1903921")</f>
        <v>0</v>
      </c>
      <c r="B363" t="s">
        <v>67</v>
      </c>
      <c r="C363" t="s">
        <v>149</v>
      </c>
      <c r="D363" t="s">
        <v>170</v>
      </c>
      <c r="E363" t="s">
        <v>171</v>
      </c>
      <c r="G363" t="s">
        <v>172</v>
      </c>
      <c r="H363" t="s">
        <v>220</v>
      </c>
      <c r="I363" t="s">
        <v>172</v>
      </c>
      <c r="J363" t="s">
        <v>231</v>
      </c>
      <c r="K363" t="s">
        <v>172</v>
      </c>
      <c r="M363" t="s">
        <v>232</v>
      </c>
      <c r="N363" t="s">
        <v>311</v>
      </c>
      <c r="O363" t="s">
        <v>172</v>
      </c>
      <c r="P363" t="s">
        <v>314</v>
      </c>
      <c r="Q363" t="s">
        <v>321</v>
      </c>
      <c r="T363" t="s">
        <v>646</v>
      </c>
      <c r="U363" t="s">
        <v>1016</v>
      </c>
      <c r="V363" t="s">
        <v>186</v>
      </c>
      <c r="X363" t="s">
        <v>1112</v>
      </c>
      <c r="Y363" t="s">
        <v>1464</v>
      </c>
      <c r="Z363" t="s">
        <v>1563</v>
      </c>
      <c r="AA363" t="s">
        <v>1759</v>
      </c>
      <c r="AB363" t="s">
        <v>1786</v>
      </c>
      <c r="AC363">
        <v>11416</v>
      </c>
      <c r="AE363" t="s">
        <v>2122</v>
      </c>
      <c r="AF363">
        <v>2</v>
      </c>
      <c r="AH363" t="s">
        <v>2225</v>
      </c>
      <c r="AI363" t="s">
        <v>233</v>
      </c>
      <c r="AJ363" t="s">
        <v>233</v>
      </c>
      <c r="AL363" t="s">
        <v>2230</v>
      </c>
      <c r="AM363" t="s">
        <v>2236</v>
      </c>
      <c r="AN363">
        <v>0</v>
      </c>
      <c r="AO363">
        <v>2110</v>
      </c>
      <c r="AP363">
        <v>1.15</v>
      </c>
      <c r="AR363" t="s">
        <v>2598</v>
      </c>
      <c r="AS363" t="s">
        <v>3015</v>
      </c>
      <c r="AT363">
        <v>3</v>
      </c>
      <c r="AU363" t="s">
        <v>3108</v>
      </c>
      <c r="AV363">
        <v>1</v>
      </c>
      <c r="AW363">
        <v>3</v>
      </c>
      <c r="AX363">
        <v>84.01000000000001</v>
      </c>
      <c r="BB363" t="s">
        <v>3123</v>
      </c>
      <c r="BC363" t="s">
        <v>3130</v>
      </c>
      <c r="BD363">
        <v>21632</v>
      </c>
      <c r="BH363" t="s">
        <v>149</v>
      </c>
      <c r="BK363" t="s">
        <v>3198</v>
      </c>
      <c r="BL363" t="s">
        <v>197</v>
      </c>
      <c r="BM363" t="s">
        <v>311</v>
      </c>
    </row>
    <row r="364" spans="1:65">
      <c r="A364" s="1">
        <f>HYPERLINK("https://lsnyc.legalserver.org/matter/dynamic-profile/view/1908346","19-1908346")</f>
        <v>0</v>
      </c>
      <c r="B364" t="s">
        <v>67</v>
      </c>
      <c r="C364" t="s">
        <v>149</v>
      </c>
      <c r="D364" t="s">
        <v>170</v>
      </c>
      <c r="E364" t="s">
        <v>172</v>
      </c>
      <c r="F364" t="s">
        <v>185</v>
      </c>
      <c r="G364" t="s">
        <v>172</v>
      </c>
      <c r="H364" t="s">
        <v>220</v>
      </c>
      <c r="I364" t="s">
        <v>172</v>
      </c>
      <c r="J364" t="s">
        <v>231</v>
      </c>
      <c r="K364" t="s">
        <v>172</v>
      </c>
      <c r="L364" t="s">
        <v>290</v>
      </c>
      <c r="M364" t="s">
        <v>232</v>
      </c>
      <c r="N364" t="s">
        <v>311</v>
      </c>
      <c r="O364" t="s">
        <v>313</v>
      </c>
      <c r="P364" t="s">
        <v>315</v>
      </c>
      <c r="Q364" t="s">
        <v>321</v>
      </c>
      <c r="T364" t="s">
        <v>647</v>
      </c>
      <c r="U364" t="s">
        <v>1017</v>
      </c>
      <c r="V364" t="s">
        <v>194</v>
      </c>
      <c r="X364" t="s">
        <v>1112</v>
      </c>
      <c r="Y364" t="s">
        <v>1465</v>
      </c>
      <c r="Z364" t="s">
        <v>1563</v>
      </c>
      <c r="AA364" t="s">
        <v>1759</v>
      </c>
      <c r="AB364" t="s">
        <v>1786</v>
      </c>
      <c r="AC364">
        <v>11417</v>
      </c>
      <c r="AD364" t="s">
        <v>1787</v>
      </c>
      <c r="AE364" t="s">
        <v>2123</v>
      </c>
      <c r="AF364">
        <v>0</v>
      </c>
      <c r="AH364" t="s">
        <v>2225</v>
      </c>
      <c r="AI364" t="s">
        <v>233</v>
      </c>
      <c r="AJ364" t="s">
        <v>233</v>
      </c>
      <c r="AL364" t="s">
        <v>2230</v>
      </c>
      <c r="AN364">
        <v>0</v>
      </c>
      <c r="AO364">
        <v>2150</v>
      </c>
      <c r="AP364">
        <v>0.5</v>
      </c>
      <c r="AR364" t="s">
        <v>2599</v>
      </c>
      <c r="AT364">
        <v>2</v>
      </c>
      <c r="AU364" t="s">
        <v>3108</v>
      </c>
      <c r="AV364">
        <v>1</v>
      </c>
      <c r="AW364">
        <v>1</v>
      </c>
      <c r="AX364">
        <v>0</v>
      </c>
      <c r="BC364" t="s">
        <v>3130</v>
      </c>
      <c r="BD364">
        <v>0</v>
      </c>
      <c r="BH364" t="s">
        <v>3180</v>
      </c>
      <c r="BK364" t="s">
        <v>3220</v>
      </c>
      <c r="BL364" t="s">
        <v>194</v>
      </c>
      <c r="BM364" t="s">
        <v>311</v>
      </c>
    </row>
    <row r="365" spans="1:65">
      <c r="A365" s="1">
        <f>HYPERLINK("https://lsnyc.legalserver.org/matter/dynamic-profile/view/1903867","19-1903867")</f>
        <v>0</v>
      </c>
      <c r="B365" t="s">
        <v>67</v>
      </c>
      <c r="C365" t="s">
        <v>147</v>
      </c>
      <c r="D365" t="s">
        <v>170</v>
      </c>
      <c r="E365" t="s">
        <v>171</v>
      </c>
      <c r="G365" t="s">
        <v>172</v>
      </c>
      <c r="H365" t="s">
        <v>221</v>
      </c>
      <c r="I365" t="s">
        <v>172</v>
      </c>
      <c r="J365" t="s">
        <v>231</v>
      </c>
      <c r="K365" t="s">
        <v>172</v>
      </c>
      <c r="L365" t="s">
        <v>252</v>
      </c>
      <c r="M365" t="s">
        <v>232</v>
      </c>
      <c r="N365" t="s">
        <v>311</v>
      </c>
      <c r="O365" t="s">
        <v>172</v>
      </c>
      <c r="P365" t="s">
        <v>316</v>
      </c>
      <c r="Q365" t="s">
        <v>321</v>
      </c>
      <c r="T365" t="s">
        <v>648</v>
      </c>
      <c r="U365" t="s">
        <v>1018</v>
      </c>
      <c r="V365" t="s">
        <v>186</v>
      </c>
      <c r="X365" t="s">
        <v>1112</v>
      </c>
      <c r="Y365" t="s">
        <v>1466</v>
      </c>
      <c r="Z365">
        <v>14027</v>
      </c>
      <c r="AA365" t="s">
        <v>1762</v>
      </c>
      <c r="AB365" t="s">
        <v>1786</v>
      </c>
      <c r="AC365">
        <v>11413</v>
      </c>
      <c r="AD365" t="s">
        <v>1794</v>
      </c>
      <c r="AE365" t="s">
        <v>2124</v>
      </c>
      <c r="AF365">
        <v>35</v>
      </c>
      <c r="AH365" t="s">
        <v>2225</v>
      </c>
      <c r="AI365" t="s">
        <v>233</v>
      </c>
      <c r="AJ365" t="s">
        <v>233</v>
      </c>
      <c r="AL365" t="s">
        <v>2230</v>
      </c>
      <c r="AM365" t="s">
        <v>2236</v>
      </c>
      <c r="AN365">
        <v>0</v>
      </c>
      <c r="AO365">
        <v>1281</v>
      </c>
      <c r="AP365">
        <v>15.5</v>
      </c>
      <c r="AR365" t="s">
        <v>2600</v>
      </c>
      <c r="AS365" t="s">
        <v>3016</v>
      </c>
      <c r="AT365">
        <v>56</v>
      </c>
      <c r="AU365" t="s">
        <v>3106</v>
      </c>
      <c r="AV365">
        <v>3</v>
      </c>
      <c r="AW365">
        <v>2</v>
      </c>
      <c r="AX365">
        <v>149.15</v>
      </c>
      <c r="BB365" t="s">
        <v>252</v>
      </c>
      <c r="BC365" t="s">
        <v>3130</v>
      </c>
      <c r="BD365">
        <v>45000</v>
      </c>
      <c r="BH365" t="s">
        <v>3180</v>
      </c>
      <c r="BK365" t="s">
        <v>3198</v>
      </c>
      <c r="BL365" t="s">
        <v>1097</v>
      </c>
      <c r="BM365" t="s">
        <v>311</v>
      </c>
    </row>
    <row r="366" spans="1:65">
      <c r="A366" s="1">
        <f>HYPERLINK("https://lsnyc.legalserver.org/matter/dynamic-profile/view/1907613","19-1907613")</f>
        <v>0</v>
      </c>
      <c r="B366" t="s">
        <v>67</v>
      </c>
      <c r="C366" t="s">
        <v>147</v>
      </c>
      <c r="D366" t="s">
        <v>170</v>
      </c>
      <c r="E366" t="s">
        <v>171</v>
      </c>
      <c r="G366" t="s">
        <v>172</v>
      </c>
      <c r="H366" t="s">
        <v>220</v>
      </c>
      <c r="I366" t="s">
        <v>172</v>
      </c>
      <c r="J366" t="s">
        <v>231</v>
      </c>
      <c r="K366" t="s">
        <v>172</v>
      </c>
      <c r="M366" t="s">
        <v>232</v>
      </c>
      <c r="N366" t="s">
        <v>311</v>
      </c>
      <c r="O366" t="s">
        <v>172</v>
      </c>
      <c r="P366" t="s">
        <v>316</v>
      </c>
      <c r="Q366" t="s">
        <v>321</v>
      </c>
      <c r="T366" t="s">
        <v>649</v>
      </c>
      <c r="U366" t="s">
        <v>1019</v>
      </c>
      <c r="V366" t="s">
        <v>210</v>
      </c>
      <c r="X366" t="s">
        <v>1112</v>
      </c>
      <c r="Y366" t="s">
        <v>1467</v>
      </c>
      <c r="Z366" t="s">
        <v>1563</v>
      </c>
      <c r="AA366" t="s">
        <v>1757</v>
      </c>
      <c r="AB366" t="s">
        <v>1786</v>
      </c>
      <c r="AC366">
        <v>11433</v>
      </c>
      <c r="AD366" t="s">
        <v>1787</v>
      </c>
      <c r="AE366" t="s">
        <v>2125</v>
      </c>
      <c r="AF366">
        <v>7</v>
      </c>
      <c r="AH366" t="s">
        <v>2224</v>
      </c>
      <c r="AI366" t="s">
        <v>233</v>
      </c>
      <c r="AJ366" t="s">
        <v>233</v>
      </c>
      <c r="AL366" t="s">
        <v>2230</v>
      </c>
      <c r="AN366">
        <v>0</v>
      </c>
      <c r="AO366">
        <v>1500</v>
      </c>
      <c r="AP366">
        <v>1.03</v>
      </c>
      <c r="AR366" t="s">
        <v>2601</v>
      </c>
      <c r="AS366" t="s">
        <v>3017</v>
      </c>
      <c r="AT366">
        <v>3</v>
      </c>
      <c r="AU366" t="s">
        <v>3106</v>
      </c>
      <c r="AV366">
        <v>2</v>
      </c>
      <c r="AW366">
        <v>3</v>
      </c>
      <c r="AX366">
        <v>66.29000000000001</v>
      </c>
      <c r="BB366" t="s">
        <v>252</v>
      </c>
      <c r="BC366" t="s">
        <v>3130</v>
      </c>
      <c r="BD366">
        <v>20000</v>
      </c>
      <c r="BH366" t="s">
        <v>3180</v>
      </c>
      <c r="BK366" t="s">
        <v>3198</v>
      </c>
      <c r="BL366" t="s">
        <v>3275</v>
      </c>
      <c r="BM366" t="s">
        <v>311</v>
      </c>
    </row>
    <row r="367" spans="1:65">
      <c r="A367" s="1">
        <f>HYPERLINK("https://lsnyc.legalserver.org/matter/dynamic-profile/view/1908642","19-1908642")</f>
        <v>0</v>
      </c>
      <c r="B367" t="s">
        <v>67</v>
      </c>
      <c r="C367" t="s">
        <v>150</v>
      </c>
      <c r="D367" t="s">
        <v>170</v>
      </c>
      <c r="E367" t="s">
        <v>172</v>
      </c>
      <c r="F367" t="s">
        <v>206</v>
      </c>
      <c r="G367" t="s">
        <v>172</v>
      </c>
      <c r="H367" t="s">
        <v>221</v>
      </c>
      <c r="I367" t="s">
        <v>172</v>
      </c>
      <c r="J367" t="s">
        <v>231</v>
      </c>
      <c r="K367" t="s">
        <v>172</v>
      </c>
      <c r="M367" t="s">
        <v>232</v>
      </c>
      <c r="N367" t="s">
        <v>311</v>
      </c>
      <c r="O367" t="s">
        <v>313</v>
      </c>
      <c r="P367" t="s">
        <v>315</v>
      </c>
      <c r="Q367" t="s">
        <v>321</v>
      </c>
      <c r="T367" t="s">
        <v>650</v>
      </c>
      <c r="U367" t="s">
        <v>1020</v>
      </c>
      <c r="V367" t="s">
        <v>206</v>
      </c>
      <c r="X367" t="s">
        <v>1112</v>
      </c>
      <c r="Y367" t="s">
        <v>1468</v>
      </c>
      <c r="Z367" t="s">
        <v>1726</v>
      </c>
      <c r="AA367" t="s">
        <v>1763</v>
      </c>
      <c r="AB367" t="s">
        <v>1786</v>
      </c>
      <c r="AC367">
        <v>11368</v>
      </c>
      <c r="AD367" t="s">
        <v>1787</v>
      </c>
      <c r="AE367" t="s">
        <v>2126</v>
      </c>
      <c r="AF367">
        <v>0</v>
      </c>
      <c r="AH367" t="s">
        <v>2225</v>
      </c>
      <c r="AI367" t="s">
        <v>233</v>
      </c>
      <c r="AJ367" t="s">
        <v>233</v>
      </c>
      <c r="AL367" t="s">
        <v>2230</v>
      </c>
      <c r="AN367">
        <v>0</v>
      </c>
      <c r="AO367">
        <v>1450</v>
      </c>
      <c r="AP367">
        <v>1.3</v>
      </c>
      <c r="AR367" t="s">
        <v>2374</v>
      </c>
      <c r="AS367" t="s">
        <v>3018</v>
      </c>
      <c r="AT367">
        <v>0</v>
      </c>
      <c r="AU367" t="s">
        <v>3109</v>
      </c>
      <c r="AV367">
        <v>2</v>
      </c>
      <c r="AW367">
        <v>2</v>
      </c>
      <c r="AX367">
        <v>0</v>
      </c>
      <c r="BB367" t="s">
        <v>252</v>
      </c>
      <c r="BC367" t="s">
        <v>3130</v>
      </c>
      <c r="BD367">
        <v>0</v>
      </c>
      <c r="BH367" t="s">
        <v>3181</v>
      </c>
      <c r="BK367" t="s">
        <v>3210</v>
      </c>
      <c r="BL367" t="s">
        <v>206</v>
      </c>
      <c r="BM367" t="s">
        <v>311</v>
      </c>
    </row>
    <row r="368" spans="1:65">
      <c r="A368" s="1">
        <f>HYPERLINK("https://lsnyc.legalserver.org/matter/dynamic-profile/view/1905978","19-1905978")</f>
        <v>0</v>
      </c>
      <c r="B368" t="s">
        <v>67</v>
      </c>
      <c r="C368" t="s">
        <v>151</v>
      </c>
      <c r="D368" t="s">
        <v>170</v>
      </c>
      <c r="E368" t="s">
        <v>171</v>
      </c>
      <c r="G368" t="s">
        <v>172</v>
      </c>
      <c r="H368" t="s">
        <v>221</v>
      </c>
      <c r="I368" t="s">
        <v>172</v>
      </c>
      <c r="J368" t="s">
        <v>231</v>
      </c>
      <c r="K368" t="s">
        <v>172</v>
      </c>
      <c r="M368" t="s">
        <v>232</v>
      </c>
      <c r="N368" t="s">
        <v>311</v>
      </c>
      <c r="O368" t="s">
        <v>172</v>
      </c>
      <c r="P368" t="s">
        <v>316</v>
      </c>
      <c r="Q368" t="s">
        <v>321</v>
      </c>
      <c r="T368" t="s">
        <v>651</v>
      </c>
      <c r="U368" t="s">
        <v>1021</v>
      </c>
      <c r="V368" t="s">
        <v>204</v>
      </c>
      <c r="X368" t="s">
        <v>1112</v>
      </c>
      <c r="Y368" t="s">
        <v>1469</v>
      </c>
      <c r="Z368">
        <v>311</v>
      </c>
      <c r="AA368" t="s">
        <v>1757</v>
      </c>
      <c r="AB368" t="s">
        <v>1786</v>
      </c>
      <c r="AC368">
        <v>11434</v>
      </c>
      <c r="AD368" t="s">
        <v>1790</v>
      </c>
      <c r="AE368" t="s">
        <v>2127</v>
      </c>
      <c r="AF368">
        <v>47</v>
      </c>
      <c r="AH368" t="s">
        <v>2224</v>
      </c>
      <c r="AI368" t="s">
        <v>233</v>
      </c>
      <c r="AJ368" t="s">
        <v>233</v>
      </c>
      <c r="AL368" t="s">
        <v>2231</v>
      </c>
      <c r="AM368" t="s">
        <v>2237</v>
      </c>
      <c r="AN368">
        <v>0</v>
      </c>
      <c r="AO368">
        <v>150</v>
      </c>
      <c r="AP368">
        <v>9.050000000000001</v>
      </c>
      <c r="AR368" t="s">
        <v>2602</v>
      </c>
      <c r="AS368" t="s">
        <v>3019</v>
      </c>
      <c r="AT368">
        <v>1</v>
      </c>
      <c r="AU368" t="s">
        <v>3107</v>
      </c>
      <c r="AV368">
        <v>1</v>
      </c>
      <c r="AW368">
        <v>0</v>
      </c>
      <c r="AX368">
        <v>108.25</v>
      </c>
      <c r="BB368" t="s">
        <v>252</v>
      </c>
      <c r="BC368" t="s">
        <v>3130</v>
      </c>
      <c r="BD368">
        <v>13520</v>
      </c>
      <c r="BH368" t="s">
        <v>151</v>
      </c>
      <c r="BK368" t="s">
        <v>3198</v>
      </c>
      <c r="BL368" t="s">
        <v>3274</v>
      </c>
      <c r="BM368" t="s">
        <v>311</v>
      </c>
    </row>
    <row r="369" spans="1:65">
      <c r="A369" s="1">
        <f>HYPERLINK("https://lsnyc.legalserver.org/matter/dynamic-profile/view/1908517","19-1908517")</f>
        <v>0</v>
      </c>
      <c r="B369" t="s">
        <v>67</v>
      </c>
      <c r="C369" t="s">
        <v>152</v>
      </c>
      <c r="D369" t="s">
        <v>170</v>
      </c>
      <c r="E369" t="s">
        <v>171</v>
      </c>
      <c r="G369" t="s">
        <v>172</v>
      </c>
      <c r="H369" t="s">
        <v>221</v>
      </c>
      <c r="I369" t="s">
        <v>172</v>
      </c>
      <c r="J369" t="s">
        <v>231</v>
      </c>
      <c r="K369" t="s">
        <v>172</v>
      </c>
      <c r="L369" t="s">
        <v>291</v>
      </c>
      <c r="M369" t="s">
        <v>232</v>
      </c>
      <c r="N369" t="s">
        <v>311</v>
      </c>
      <c r="O369" t="s">
        <v>172</v>
      </c>
      <c r="P369" t="s">
        <v>314</v>
      </c>
      <c r="Q369" t="s">
        <v>321</v>
      </c>
      <c r="T369" t="s">
        <v>652</v>
      </c>
      <c r="U369" t="s">
        <v>1022</v>
      </c>
      <c r="V369" t="s">
        <v>213</v>
      </c>
      <c r="X369" t="s">
        <v>1112</v>
      </c>
      <c r="Y369" t="s">
        <v>1470</v>
      </c>
      <c r="Z369" t="s">
        <v>1727</v>
      </c>
      <c r="AA369" t="s">
        <v>1764</v>
      </c>
      <c r="AB369" t="s">
        <v>1786</v>
      </c>
      <c r="AC369">
        <v>11377</v>
      </c>
      <c r="AD369" t="s">
        <v>1787</v>
      </c>
      <c r="AE369" t="s">
        <v>2128</v>
      </c>
      <c r="AF369">
        <v>10</v>
      </c>
      <c r="AH369" t="s">
        <v>2225</v>
      </c>
      <c r="AI369" t="s">
        <v>233</v>
      </c>
      <c r="AJ369" t="s">
        <v>233</v>
      </c>
      <c r="AL369" t="s">
        <v>2230</v>
      </c>
      <c r="AM369" t="s">
        <v>2236</v>
      </c>
      <c r="AN369">
        <v>0</v>
      </c>
      <c r="AO369">
        <v>1399</v>
      </c>
      <c r="AP369">
        <v>1.45</v>
      </c>
      <c r="AR369" t="s">
        <v>2603</v>
      </c>
      <c r="AS369" t="s">
        <v>3020</v>
      </c>
      <c r="AT369">
        <v>6</v>
      </c>
      <c r="AU369" t="s">
        <v>3106</v>
      </c>
      <c r="AV369">
        <v>2</v>
      </c>
      <c r="AW369">
        <v>0</v>
      </c>
      <c r="AX369">
        <v>97.76000000000001</v>
      </c>
      <c r="BB369" t="s">
        <v>3122</v>
      </c>
      <c r="BC369" t="s">
        <v>3131</v>
      </c>
      <c r="BD369">
        <v>16532</v>
      </c>
      <c r="BH369" t="s">
        <v>3181</v>
      </c>
      <c r="BK369" t="s">
        <v>3221</v>
      </c>
      <c r="BL369" t="s">
        <v>207</v>
      </c>
      <c r="BM369" t="s">
        <v>311</v>
      </c>
    </row>
    <row r="370" spans="1:65">
      <c r="A370" s="1">
        <f>HYPERLINK("https://lsnyc.legalserver.org/matter/dynamic-profile/view/1907937","19-1907937")</f>
        <v>0</v>
      </c>
      <c r="B370" t="s">
        <v>67</v>
      </c>
      <c r="C370" t="s">
        <v>152</v>
      </c>
      <c r="D370" t="s">
        <v>170</v>
      </c>
      <c r="E370" t="s">
        <v>171</v>
      </c>
      <c r="G370" t="s">
        <v>172</v>
      </c>
      <c r="H370" t="s">
        <v>220</v>
      </c>
      <c r="I370" t="s">
        <v>172</v>
      </c>
      <c r="J370" t="s">
        <v>231</v>
      </c>
      <c r="K370" t="s">
        <v>172</v>
      </c>
      <c r="L370" t="s">
        <v>292</v>
      </c>
      <c r="M370" t="s">
        <v>232</v>
      </c>
      <c r="N370" t="s">
        <v>311</v>
      </c>
      <c r="O370" t="s">
        <v>313</v>
      </c>
      <c r="P370" t="s">
        <v>315</v>
      </c>
      <c r="Q370" t="s">
        <v>321</v>
      </c>
      <c r="T370" t="s">
        <v>653</v>
      </c>
      <c r="U370" t="s">
        <v>903</v>
      </c>
      <c r="V370" t="s">
        <v>192</v>
      </c>
      <c r="X370" t="s">
        <v>1112</v>
      </c>
      <c r="Y370" t="s">
        <v>1471</v>
      </c>
      <c r="Z370">
        <v>2</v>
      </c>
      <c r="AA370" t="s">
        <v>1759</v>
      </c>
      <c r="AB370" t="s">
        <v>1786</v>
      </c>
      <c r="AC370">
        <v>11417</v>
      </c>
      <c r="AD370" t="s">
        <v>1787</v>
      </c>
      <c r="AE370" t="s">
        <v>2129</v>
      </c>
      <c r="AF370">
        <v>29</v>
      </c>
      <c r="AH370" t="s">
        <v>2225</v>
      </c>
      <c r="AI370" t="s">
        <v>233</v>
      </c>
      <c r="AJ370" t="s">
        <v>233</v>
      </c>
      <c r="AL370" t="s">
        <v>2230</v>
      </c>
      <c r="AM370" t="s">
        <v>2236</v>
      </c>
      <c r="AN370">
        <v>0</v>
      </c>
      <c r="AO370">
        <v>650</v>
      </c>
      <c r="AP370">
        <v>1</v>
      </c>
      <c r="AR370" t="s">
        <v>2604</v>
      </c>
      <c r="AS370" t="s">
        <v>3021</v>
      </c>
      <c r="AT370">
        <v>3</v>
      </c>
      <c r="AU370" t="s">
        <v>3108</v>
      </c>
      <c r="AV370">
        <v>1</v>
      </c>
      <c r="AW370">
        <v>0</v>
      </c>
      <c r="AX370">
        <v>76.29000000000001</v>
      </c>
      <c r="BB370" t="s">
        <v>252</v>
      </c>
      <c r="BC370" t="s">
        <v>3130</v>
      </c>
      <c r="BD370">
        <v>9528</v>
      </c>
      <c r="BH370" t="s">
        <v>3181</v>
      </c>
      <c r="BK370" t="s">
        <v>3196</v>
      </c>
      <c r="BL370" t="s">
        <v>1110</v>
      </c>
      <c r="BM370" t="s">
        <v>311</v>
      </c>
    </row>
    <row r="371" spans="1:65">
      <c r="A371" s="1">
        <f>HYPERLINK("https://lsnyc.legalserver.org/matter/dynamic-profile/view/1903920","19-1903920")</f>
        <v>0</v>
      </c>
      <c r="B371" t="s">
        <v>67</v>
      </c>
      <c r="C371" t="s">
        <v>152</v>
      </c>
      <c r="D371" t="s">
        <v>170</v>
      </c>
      <c r="E371" t="s">
        <v>172</v>
      </c>
      <c r="F371" t="s">
        <v>207</v>
      </c>
      <c r="G371" t="s">
        <v>172</v>
      </c>
      <c r="H371" t="s">
        <v>221</v>
      </c>
      <c r="I371" t="s">
        <v>172</v>
      </c>
      <c r="J371" t="s">
        <v>231</v>
      </c>
      <c r="K371" t="s">
        <v>172</v>
      </c>
      <c r="M371" t="s">
        <v>232</v>
      </c>
      <c r="N371" t="s">
        <v>311</v>
      </c>
      <c r="O371" t="s">
        <v>172</v>
      </c>
      <c r="P371" t="s">
        <v>314</v>
      </c>
      <c r="Q371" t="s">
        <v>322</v>
      </c>
      <c r="T371" t="s">
        <v>654</v>
      </c>
      <c r="U371" t="s">
        <v>1023</v>
      </c>
      <c r="V371" t="s">
        <v>186</v>
      </c>
      <c r="W371" t="s">
        <v>207</v>
      </c>
      <c r="X371" t="s">
        <v>1113</v>
      </c>
      <c r="Y371" t="s">
        <v>1472</v>
      </c>
      <c r="Z371" t="s">
        <v>1680</v>
      </c>
      <c r="AA371" t="s">
        <v>1758</v>
      </c>
      <c r="AB371" t="s">
        <v>1786</v>
      </c>
      <c r="AC371">
        <v>11373</v>
      </c>
      <c r="AD371" t="s">
        <v>1787</v>
      </c>
      <c r="AE371" t="s">
        <v>2130</v>
      </c>
      <c r="AF371">
        <v>23</v>
      </c>
      <c r="AG371" t="s">
        <v>2214</v>
      </c>
      <c r="AH371" t="s">
        <v>2224</v>
      </c>
      <c r="AI371" t="s">
        <v>233</v>
      </c>
      <c r="AJ371" t="s">
        <v>231</v>
      </c>
      <c r="AL371" t="s">
        <v>2230</v>
      </c>
      <c r="AM371" t="s">
        <v>2236</v>
      </c>
      <c r="AN371">
        <v>0</v>
      </c>
      <c r="AO371">
        <v>890</v>
      </c>
      <c r="AP371">
        <v>2.85</v>
      </c>
      <c r="AQ371" t="s">
        <v>2242</v>
      </c>
      <c r="AR371" t="s">
        <v>2605</v>
      </c>
      <c r="AS371" t="s">
        <v>3022</v>
      </c>
      <c r="AT371">
        <v>100</v>
      </c>
      <c r="AU371" t="s">
        <v>3117</v>
      </c>
      <c r="AV371">
        <v>2</v>
      </c>
      <c r="AW371">
        <v>0</v>
      </c>
      <c r="AX371">
        <v>0</v>
      </c>
      <c r="BB371" t="s">
        <v>252</v>
      </c>
      <c r="BC371" t="s">
        <v>3130</v>
      </c>
      <c r="BD371">
        <v>0</v>
      </c>
      <c r="BH371" t="s">
        <v>3180</v>
      </c>
      <c r="BK371" t="s">
        <v>3220</v>
      </c>
      <c r="BL371" t="s">
        <v>207</v>
      </c>
      <c r="BM371" t="s">
        <v>311</v>
      </c>
    </row>
    <row r="372" spans="1:65">
      <c r="A372" s="1">
        <f>HYPERLINK("https://lsnyc.legalserver.org/matter/dynamic-profile/view/1906724","19-1906724")</f>
        <v>0</v>
      </c>
      <c r="B372" t="s">
        <v>67</v>
      </c>
      <c r="C372" t="s">
        <v>152</v>
      </c>
      <c r="D372" t="s">
        <v>170</v>
      </c>
      <c r="E372" t="s">
        <v>172</v>
      </c>
      <c r="F372" t="s">
        <v>208</v>
      </c>
      <c r="G372" t="s">
        <v>172</v>
      </c>
      <c r="H372" t="s">
        <v>220</v>
      </c>
      <c r="I372" t="s">
        <v>172</v>
      </c>
      <c r="J372" t="s">
        <v>231</v>
      </c>
      <c r="K372" t="s">
        <v>172</v>
      </c>
      <c r="L372" t="s">
        <v>293</v>
      </c>
      <c r="M372" t="s">
        <v>232</v>
      </c>
      <c r="N372" t="s">
        <v>311</v>
      </c>
      <c r="O372" t="s">
        <v>172</v>
      </c>
      <c r="P372" t="s">
        <v>314</v>
      </c>
      <c r="Q372" t="s">
        <v>323</v>
      </c>
      <c r="S372" t="s">
        <v>331</v>
      </c>
      <c r="T372" t="s">
        <v>655</v>
      </c>
      <c r="U372" t="s">
        <v>1024</v>
      </c>
      <c r="V372" t="s">
        <v>208</v>
      </c>
      <c r="W372" t="s">
        <v>208</v>
      </c>
      <c r="X372" t="s">
        <v>1113</v>
      </c>
      <c r="Y372" t="s">
        <v>1473</v>
      </c>
      <c r="AA372" t="s">
        <v>1765</v>
      </c>
      <c r="AB372" t="s">
        <v>1786</v>
      </c>
      <c r="AC372">
        <v>11411</v>
      </c>
      <c r="AD372" t="s">
        <v>1788</v>
      </c>
      <c r="AE372" t="s">
        <v>2131</v>
      </c>
      <c r="AF372">
        <v>28</v>
      </c>
      <c r="AG372" t="s">
        <v>2214</v>
      </c>
      <c r="AH372" t="s">
        <v>2225</v>
      </c>
      <c r="AI372" t="s">
        <v>233</v>
      </c>
      <c r="AJ372" t="s">
        <v>231</v>
      </c>
      <c r="AL372" t="s">
        <v>2230</v>
      </c>
      <c r="AM372" t="s">
        <v>2241</v>
      </c>
      <c r="AN372">
        <v>0</v>
      </c>
      <c r="AO372">
        <v>0</v>
      </c>
      <c r="AP372">
        <v>4.6</v>
      </c>
      <c r="AQ372" t="s">
        <v>2242</v>
      </c>
      <c r="AR372" t="s">
        <v>2606</v>
      </c>
      <c r="AS372" t="s">
        <v>3023</v>
      </c>
      <c r="AT372">
        <v>1</v>
      </c>
      <c r="AU372" t="s">
        <v>3108</v>
      </c>
      <c r="AV372">
        <v>2</v>
      </c>
      <c r="AW372">
        <v>0</v>
      </c>
      <c r="AX372">
        <v>44.71</v>
      </c>
      <c r="BB372" t="s">
        <v>252</v>
      </c>
      <c r="BC372" t="s">
        <v>3130</v>
      </c>
      <c r="BD372">
        <v>7560</v>
      </c>
      <c r="BH372" t="s">
        <v>159</v>
      </c>
      <c r="BK372" t="s">
        <v>3207</v>
      </c>
      <c r="BL372" t="s">
        <v>208</v>
      </c>
      <c r="BM372" t="s">
        <v>311</v>
      </c>
    </row>
    <row r="373" spans="1:65">
      <c r="A373" s="1">
        <f>HYPERLINK("https://lsnyc.legalserver.org/matter/dynamic-profile/view/1904194","19-1904194")</f>
        <v>0</v>
      </c>
      <c r="B373" t="s">
        <v>67</v>
      </c>
      <c r="C373" t="s">
        <v>152</v>
      </c>
      <c r="D373" t="s">
        <v>170</v>
      </c>
      <c r="E373" t="s">
        <v>172</v>
      </c>
      <c r="F373" t="s">
        <v>201</v>
      </c>
      <c r="G373" t="s">
        <v>172</v>
      </c>
      <c r="H373" t="s">
        <v>221</v>
      </c>
      <c r="I373" t="s">
        <v>172</v>
      </c>
      <c r="J373" t="s">
        <v>231</v>
      </c>
      <c r="K373" t="s">
        <v>172</v>
      </c>
      <c r="L373" t="s">
        <v>293</v>
      </c>
      <c r="M373" t="s">
        <v>232</v>
      </c>
      <c r="N373" t="s">
        <v>311</v>
      </c>
      <c r="O373" t="s">
        <v>172</v>
      </c>
      <c r="P373" t="s">
        <v>314</v>
      </c>
      <c r="Q373" t="s">
        <v>322</v>
      </c>
      <c r="T373" t="s">
        <v>656</v>
      </c>
      <c r="U373" t="s">
        <v>1025</v>
      </c>
      <c r="V373" t="s">
        <v>201</v>
      </c>
      <c r="W373" t="s">
        <v>193</v>
      </c>
      <c r="X373" t="s">
        <v>1113</v>
      </c>
      <c r="Y373" t="s">
        <v>1474</v>
      </c>
      <c r="Z373" t="s">
        <v>1728</v>
      </c>
      <c r="AA373" t="s">
        <v>1761</v>
      </c>
      <c r="AB373" t="s">
        <v>1786</v>
      </c>
      <c r="AC373">
        <v>11106</v>
      </c>
      <c r="AD373" t="s">
        <v>1793</v>
      </c>
      <c r="AE373" t="s">
        <v>2132</v>
      </c>
      <c r="AF373">
        <v>1</v>
      </c>
      <c r="AG373" t="s">
        <v>2214</v>
      </c>
      <c r="AH373" t="s">
        <v>2225</v>
      </c>
      <c r="AI373" t="s">
        <v>233</v>
      </c>
      <c r="AJ373" t="s">
        <v>233</v>
      </c>
      <c r="AL373" t="s">
        <v>2230</v>
      </c>
      <c r="AM373" t="s">
        <v>2236</v>
      </c>
      <c r="AN373">
        <v>0</v>
      </c>
      <c r="AO373">
        <v>2500</v>
      </c>
      <c r="AP373">
        <v>1.1</v>
      </c>
      <c r="AQ373" t="s">
        <v>2242</v>
      </c>
      <c r="AR373" t="s">
        <v>2607</v>
      </c>
      <c r="AS373" t="s">
        <v>3024</v>
      </c>
      <c r="AT373">
        <v>3</v>
      </c>
      <c r="AU373" t="s">
        <v>3108</v>
      </c>
      <c r="AV373">
        <v>2</v>
      </c>
      <c r="AW373">
        <v>2</v>
      </c>
      <c r="AX373">
        <v>0</v>
      </c>
      <c r="BB373" t="s">
        <v>252</v>
      </c>
      <c r="BC373" t="s">
        <v>3130</v>
      </c>
      <c r="BD373">
        <v>0</v>
      </c>
      <c r="BH373" t="s">
        <v>153</v>
      </c>
      <c r="BK373" t="s">
        <v>3210</v>
      </c>
      <c r="BL373" t="s">
        <v>193</v>
      </c>
      <c r="BM373" t="s">
        <v>311</v>
      </c>
    </row>
    <row r="374" spans="1:65">
      <c r="A374" s="1">
        <f>HYPERLINK("https://lsnyc.legalserver.org/matter/dynamic-profile/view/1905222","19-1905222")</f>
        <v>0</v>
      </c>
      <c r="B374" t="s">
        <v>67</v>
      </c>
      <c r="C374" t="s">
        <v>153</v>
      </c>
      <c r="D374" t="s">
        <v>170</v>
      </c>
      <c r="E374" t="s">
        <v>172</v>
      </c>
      <c r="F374" t="s">
        <v>196</v>
      </c>
      <c r="G374" t="s">
        <v>172</v>
      </c>
      <c r="H374" t="s">
        <v>220</v>
      </c>
      <c r="I374" t="s">
        <v>172</v>
      </c>
      <c r="J374" t="s">
        <v>231</v>
      </c>
      <c r="K374" t="s">
        <v>172</v>
      </c>
      <c r="M374" t="s">
        <v>232</v>
      </c>
      <c r="N374" t="s">
        <v>311</v>
      </c>
      <c r="O374" t="s">
        <v>172</v>
      </c>
      <c r="P374" t="s">
        <v>314</v>
      </c>
      <c r="Q374" t="s">
        <v>322</v>
      </c>
      <c r="T374" t="s">
        <v>657</v>
      </c>
      <c r="U374" t="s">
        <v>1026</v>
      </c>
      <c r="V374" t="s">
        <v>196</v>
      </c>
      <c r="W374" t="s">
        <v>1103</v>
      </c>
      <c r="X374" t="s">
        <v>1113</v>
      </c>
      <c r="Y374" t="s">
        <v>1475</v>
      </c>
      <c r="Z374" t="s">
        <v>1627</v>
      </c>
      <c r="AA374" t="s">
        <v>1766</v>
      </c>
      <c r="AB374" t="s">
        <v>1786</v>
      </c>
      <c r="AC374">
        <v>11693</v>
      </c>
      <c r="AD374" t="s">
        <v>1787</v>
      </c>
      <c r="AE374" t="s">
        <v>2133</v>
      </c>
      <c r="AF374">
        <v>20</v>
      </c>
      <c r="AG374" t="s">
        <v>2214</v>
      </c>
      <c r="AH374" t="s">
        <v>2225</v>
      </c>
      <c r="AI374" t="s">
        <v>233</v>
      </c>
      <c r="AJ374" t="s">
        <v>233</v>
      </c>
      <c r="AL374" t="s">
        <v>2231</v>
      </c>
      <c r="AM374" t="s">
        <v>2236</v>
      </c>
      <c r="AN374">
        <v>0</v>
      </c>
      <c r="AO374">
        <v>108</v>
      </c>
      <c r="AP374">
        <v>1.95</v>
      </c>
      <c r="AQ374" t="s">
        <v>2242</v>
      </c>
      <c r="AR374" t="s">
        <v>2608</v>
      </c>
      <c r="AS374" t="s">
        <v>3025</v>
      </c>
      <c r="AT374">
        <v>42</v>
      </c>
      <c r="AU374" t="s">
        <v>3107</v>
      </c>
      <c r="AV374">
        <v>1</v>
      </c>
      <c r="AW374">
        <v>0</v>
      </c>
      <c r="AX374">
        <v>100.08</v>
      </c>
      <c r="BB374" t="s">
        <v>252</v>
      </c>
      <c r="BC374" t="s">
        <v>3130</v>
      </c>
      <c r="BD374">
        <v>12500</v>
      </c>
      <c r="BH374" t="s">
        <v>3181</v>
      </c>
      <c r="BK374" t="s">
        <v>3198</v>
      </c>
      <c r="BL374" t="s">
        <v>214</v>
      </c>
      <c r="BM374" t="s">
        <v>311</v>
      </c>
    </row>
    <row r="375" spans="1:65">
      <c r="A375" s="1">
        <f>HYPERLINK("https://lsnyc.legalserver.org/matter/dynamic-profile/view/1904946","19-1904946")</f>
        <v>0</v>
      </c>
      <c r="B375" t="s">
        <v>67</v>
      </c>
      <c r="C375" t="s">
        <v>153</v>
      </c>
      <c r="D375" t="s">
        <v>170</v>
      </c>
      <c r="E375" t="s">
        <v>172</v>
      </c>
      <c r="F375" t="s">
        <v>187</v>
      </c>
      <c r="G375" t="s">
        <v>172</v>
      </c>
      <c r="H375" t="s">
        <v>220</v>
      </c>
      <c r="I375" t="s">
        <v>172</v>
      </c>
      <c r="J375" t="s">
        <v>231</v>
      </c>
      <c r="K375" t="s">
        <v>172</v>
      </c>
      <c r="M375" t="s">
        <v>232</v>
      </c>
      <c r="N375" t="s">
        <v>311</v>
      </c>
      <c r="O375" t="s">
        <v>172</v>
      </c>
      <c r="P375" t="s">
        <v>314</v>
      </c>
      <c r="Q375" t="s">
        <v>322</v>
      </c>
      <c r="T375" t="s">
        <v>658</v>
      </c>
      <c r="U375" t="s">
        <v>1027</v>
      </c>
      <c r="V375" t="s">
        <v>187</v>
      </c>
      <c r="W375" t="s">
        <v>217</v>
      </c>
      <c r="X375" t="s">
        <v>1113</v>
      </c>
      <c r="Y375" t="s">
        <v>1476</v>
      </c>
      <c r="Z375" t="s">
        <v>1729</v>
      </c>
      <c r="AA375" t="s">
        <v>1757</v>
      </c>
      <c r="AB375" t="s">
        <v>1786</v>
      </c>
      <c r="AC375">
        <v>11434</v>
      </c>
      <c r="AD375" t="s">
        <v>1787</v>
      </c>
      <c r="AE375" t="s">
        <v>2134</v>
      </c>
      <c r="AF375">
        <v>15</v>
      </c>
      <c r="AG375" t="s">
        <v>2214</v>
      </c>
      <c r="AH375" t="s">
        <v>2224</v>
      </c>
      <c r="AI375" t="s">
        <v>233</v>
      </c>
      <c r="AJ375" t="s">
        <v>233</v>
      </c>
      <c r="AL375" t="s">
        <v>2231</v>
      </c>
      <c r="AM375" t="s">
        <v>2241</v>
      </c>
      <c r="AN375">
        <v>0</v>
      </c>
      <c r="AO375">
        <v>1049</v>
      </c>
      <c r="AP375">
        <v>2.15</v>
      </c>
      <c r="AQ375" t="s">
        <v>2242</v>
      </c>
      <c r="AR375" t="s">
        <v>2609</v>
      </c>
      <c r="AS375" t="s">
        <v>3026</v>
      </c>
      <c r="AT375">
        <v>5860</v>
      </c>
      <c r="AU375" t="s">
        <v>3105</v>
      </c>
      <c r="AV375">
        <v>1</v>
      </c>
      <c r="AW375">
        <v>1</v>
      </c>
      <c r="AX375">
        <v>0</v>
      </c>
      <c r="BB375" t="s">
        <v>3122</v>
      </c>
      <c r="BC375" t="s">
        <v>3130</v>
      </c>
      <c r="BD375">
        <v>0</v>
      </c>
      <c r="BH375" t="s">
        <v>3181</v>
      </c>
      <c r="BK375" t="s">
        <v>3210</v>
      </c>
      <c r="BL375" t="s">
        <v>208</v>
      </c>
      <c r="BM375" t="s">
        <v>311</v>
      </c>
    </row>
    <row r="376" spans="1:65">
      <c r="A376" s="1">
        <f>HYPERLINK("https://lsnyc.legalserver.org/matter/dynamic-profile/view/1907993","19-1907993")</f>
        <v>0</v>
      </c>
      <c r="B376" t="s">
        <v>67</v>
      </c>
      <c r="C376" t="s">
        <v>154</v>
      </c>
      <c r="D376" t="s">
        <v>170</v>
      </c>
      <c r="E376" t="s">
        <v>171</v>
      </c>
      <c r="G376" t="s">
        <v>172</v>
      </c>
      <c r="H376" t="s">
        <v>220</v>
      </c>
      <c r="I376" t="s">
        <v>172</v>
      </c>
      <c r="J376" t="s">
        <v>231</v>
      </c>
      <c r="K376" t="s">
        <v>172</v>
      </c>
      <c r="M376" t="s">
        <v>231</v>
      </c>
      <c r="N376" t="s">
        <v>311</v>
      </c>
      <c r="O376" t="s">
        <v>313</v>
      </c>
      <c r="P376" t="s">
        <v>315</v>
      </c>
      <c r="Q376" t="s">
        <v>321</v>
      </c>
      <c r="T376" t="s">
        <v>659</v>
      </c>
      <c r="U376" t="s">
        <v>1028</v>
      </c>
      <c r="V376" t="s">
        <v>192</v>
      </c>
      <c r="X376" t="s">
        <v>1112</v>
      </c>
      <c r="Y376" t="s">
        <v>1477</v>
      </c>
      <c r="Z376" t="s">
        <v>1578</v>
      </c>
      <c r="AA376" t="s">
        <v>1757</v>
      </c>
      <c r="AB376" t="s">
        <v>1786</v>
      </c>
      <c r="AC376">
        <v>11436</v>
      </c>
      <c r="AD376" t="s">
        <v>1787</v>
      </c>
      <c r="AE376" t="s">
        <v>2135</v>
      </c>
      <c r="AF376">
        <v>56</v>
      </c>
      <c r="AH376" t="s">
        <v>2225</v>
      </c>
      <c r="AI376" t="s">
        <v>233</v>
      </c>
      <c r="AJ376" t="s">
        <v>233</v>
      </c>
      <c r="AL376" t="s">
        <v>2230</v>
      </c>
      <c r="AN376">
        <v>0</v>
      </c>
      <c r="AO376">
        <v>0</v>
      </c>
      <c r="AP376">
        <v>0.7</v>
      </c>
      <c r="AR376" t="s">
        <v>2610</v>
      </c>
      <c r="AS376" t="s">
        <v>3027</v>
      </c>
      <c r="AT376">
        <v>2</v>
      </c>
      <c r="AV376">
        <v>2</v>
      </c>
      <c r="AW376">
        <v>1</v>
      </c>
      <c r="AX376">
        <v>129.4</v>
      </c>
      <c r="BB376" t="s">
        <v>252</v>
      </c>
      <c r="BC376" t="s">
        <v>3130</v>
      </c>
      <c r="BD376">
        <v>27600</v>
      </c>
      <c r="BH376" t="s">
        <v>3180</v>
      </c>
      <c r="BK376" t="s">
        <v>3234</v>
      </c>
      <c r="BL376" t="s">
        <v>1107</v>
      </c>
      <c r="BM376" t="s">
        <v>311</v>
      </c>
    </row>
    <row r="377" spans="1:65">
      <c r="A377" s="1">
        <f>HYPERLINK("https://lsnyc.legalserver.org/matter/dynamic-profile/view/1908093","19-1908093")</f>
        <v>0</v>
      </c>
      <c r="B377" t="s">
        <v>67</v>
      </c>
      <c r="C377" t="s">
        <v>154</v>
      </c>
      <c r="D377" t="s">
        <v>170</v>
      </c>
      <c r="E377" t="s">
        <v>171</v>
      </c>
      <c r="G377" t="s">
        <v>172</v>
      </c>
      <c r="H377" t="s">
        <v>220</v>
      </c>
      <c r="I377" t="s">
        <v>230</v>
      </c>
      <c r="J377" t="s">
        <v>232</v>
      </c>
      <c r="K377" t="s">
        <v>234</v>
      </c>
      <c r="M377" t="s">
        <v>232</v>
      </c>
      <c r="O377" t="s">
        <v>313</v>
      </c>
      <c r="Q377" t="s">
        <v>321</v>
      </c>
      <c r="T377" t="s">
        <v>660</v>
      </c>
      <c r="U377" t="s">
        <v>1029</v>
      </c>
      <c r="V377" t="s">
        <v>1098</v>
      </c>
      <c r="X377" t="s">
        <v>1112</v>
      </c>
      <c r="Y377" t="s">
        <v>1478</v>
      </c>
      <c r="Z377" t="s">
        <v>1730</v>
      </c>
      <c r="AA377" t="s">
        <v>1757</v>
      </c>
      <c r="AB377" t="s">
        <v>1786</v>
      </c>
      <c r="AC377">
        <v>11435</v>
      </c>
      <c r="AE377" t="s">
        <v>2136</v>
      </c>
      <c r="AF377">
        <v>22</v>
      </c>
      <c r="AH377" t="s">
        <v>2225</v>
      </c>
      <c r="AI377" t="s">
        <v>233</v>
      </c>
      <c r="AJ377" t="s">
        <v>233</v>
      </c>
      <c r="AL377" t="s">
        <v>2230</v>
      </c>
      <c r="AN377">
        <v>0</v>
      </c>
      <c r="AO377">
        <v>1450</v>
      </c>
      <c r="AP377">
        <v>0.33</v>
      </c>
      <c r="AR377" t="s">
        <v>2611</v>
      </c>
      <c r="AS377" t="s">
        <v>3028</v>
      </c>
      <c r="AT377">
        <v>2</v>
      </c>
      <c r="AU377" t="s">
        <v>3108</v>
      </c>
      <c r="AV377">
        <v>3</v>
      </c>
      <c r="AW377">
        <v>0</v>
      </c>
      <c r="AX377">
        <v>78.76000000000001</v>
      </c>
      <c r="BB377" t="s">
        <v>3123</v>
      </c>
      <c r="BC377" t="s">
        <v>3130</v>
      </c>
      <c r="BD377">
        <v>16800</v>
      </c>
      <c r="BH377" t="s">
        <v>3180</v>
      </c>
      <c r="BK377" t="s">
        <v>3212</v>
      </c>
      <c r="BL377" t="s">
        <v>1098</v>
      </c>
    </row>
    <row r="378" spans="1:65">
      <c r="A378" s="1">
        <f>HYPERLINK("https://lsnyc.legalserver.org/matter/dynamic-profile/view/1907540","19-1907540")</f>
        <v>0</v>
      </c>
      <c r="B378" t="s">
        <v>67</v>
      </c>
      <c r="C378" t="s">
        <v>155</v>
      </c>
      <c r="D378" t="s">
        <v>170</v>
      </c>
      <c r="E378" t="s">
        <v>171</v>
      </c>
      <c r="G378" t="s">
        <v>172</v>
      </c>
      <c r="H378" t="s">
        <v>220</v>
      </c>
      <c r="I378" t="s">
        <v>230</v>
      </c>
      <c r="J378" t="s">
        <v>232</v>
      </c>
      <c r="K378" t="s">
        <v>234</v>
      </c>
      <c r="M378" t="s">
        <v>232</v>
      </c>
      <c r="O378" t="s">
        <v>313</v>
      </c>
      <c r="P378" t="s">
        <v>315</v>
      </c>
      <c r="Q378" t="s">
        <v>321</v>
      </c>
      <c r="T378" t="s">
        <v>661</v>
      </c>
      <c r="U378" t="s">
        <v>865</v>
      </c>
      <c r="V378" t="s">
        <v>210</v>
      </c>
      <c r="X378" t="s">
        <v>1112</v>
      </c>
      <c r="Y378" t="s">
        <v>1479</v>
      </c>
      <c r="Z378">
        <v>207</v>
      </c>
      <c r="AA378" t="s">
        <v>1755</v>
      </c>
      <c r="AB378" t="s">
        <v>1786</v>
      </c>
      <c r="AC378">
        <v>10456</v>
      </c>
      <c r="AF378">
        <v>3</v>
      </c>
      <c r="AH378" t="s">
        <v>2225</v>
      </c>
      <c r="AI378" t="s">
        <v>233</v>
      </c>
      <c r="AL378" t="s">
        <v>2231</v>
      </c>
      <c r="AN378">
        <v>0</v>
      </c>
      <c r="AO378">
        <v>1127</v>
      </c>
      <c r="AP378">
        <v>1.48</v>
      </c>
      <c r="AR378" t="s">
        <v>2612</v>
      </c>
      <c r="AS378" t="s">
        <v>3029</v>
      </c>
      <c r="AT378">
        <v>43</v>
      </c>
      <c r="AU378" t="s">
        <v>3115</v>
      </c>
      <c r="AV378">
        <v>1</v>
      </c>
      <c r="AW378">
        <v>0</v>
      </c>
      <c r="AX378">
        <v>93.67</v>
      </c>
      <c r="BB378" t="s">
        <v>3123</v>
      </c>
      <c r="BC378" t="s">
        <v>3130</v>
      </c>
      <c r="BD378">
        <v>11700</v>
      </c>
      <c r="BH378" t="s">
        <v>3180</v>
      </c>
      <c r="BK378" t="s">
        <v>3207</v>
      </c>
      <c r="BL378" t="s">
        <v>210</v>
      </c>
    </row>
    <row r="379" spans="1:65">
      <c r="A379" s="1">
        <f>HYPERLINK("https://lsnyc.legalserver.org/matter/dynamic-profile/view/1908473","19-1908473")</f>
        <v>0</v>
      </c>
      <c r="B379" t="s">
        <v>67</v>
      </c>
      <c r="C379" t="s">
        <v>156</v>
      </c>
      <c r="D379" t="s">
        <v>170</v>
      </c>
      <c r="E379" t="s">
        <v>171</v>
      </c>
      <c r="G379" t="s">
        <v>172</v>
      </c>
      <c r="H379" t="s">
        <v>220</v>
      </c>
      <c r="I379" t="s">
        <v>172</v>
      </c>
      <c r="J379" t="s">
        <v>231</v>
      </c>
      <c r="K379" t="s">
        <v>172</v>
      </c>
      <c r="M379" t="s">
        <v>232</v>
      </c>
      <c r="N379" t="s">
        <v>311</v>
      </c>
      <c r="O379" t="s">
        <v>313</v>
      </c>
      <c r="P379" t="s">
        <v>315</v>
      </c>
      <c r="Q379" t="s">
        <v>321</v>
      </c>
      <c r="T379" t="s">
        <v>662</v>
      </c>
      <c r="U379" t="s">
        <v>432</v>
      </c>
      <c r="V379" t="s">
        <v>213</v>
      </c>
      <c r="X379" t="s">
        <v>1112</v>
      </c>
      <c r="Y379" t="s">
        <v>1480</v>
      </c>
      <c r="Z379">
        <v>1</v>
      </c>
      <c r="AA379" t="s">
        <v>1757</v>
      </c>
      <c r="AB379" t="s">
        <v>1786</v>
      </c>
      <c r="AC379">
        <v>11434</v>
      </c>
      <c r="AD379" t="s">
        <v>1790</v>
      </c>
      <c r="AE379" t="s">
        <v>2137</v>
      </c>
      <c r="AF379">
        <v>2</v>
      </c>
      <c r="AH379" t="s">
        <v>2224</v>
      </c>
      <c r="AI379" t="s">
        <v>233</v>
      </c>
      <c r="AJ379" t="s">
        <v>233</v>
      </c>
      <c r="AL379" t="s">
        <v>2230</v>
      </c>
      <c r="AN379">
        <v>0</v>
      </c>
      <c r="AO379">
        <v>800</v>
      </c>
      <c r="AP379">
        <v>2.51</v>
      </c>
      <c r="AR379" t="s">
        <v>2613</v>
      </c>
      <c r="AT379">
        <v>8</v>
      </c>
      <c r="AV379">
        <v>1</v>
      </c>
      <c r="AW379">
        <v>0</v>
      </c>
      <c r="AX379">
        <v>0</v>
      </c>
      <c r="BB379" t="s">
        <v>3123</v>
      </c>
      <c r="BC379" t="s">
        <v>3130</v>
      </c>
      <c r="BD379">
        <v>0</v>
      </c>
      <c r="BH379" t="s">
        <v>3180</v>
      </c>
      <c r="BK379" t="s">
        <v>3210</v>
      </c>
      <c r="BL379" t="s">
        <v>3275</v>
      </c>
      <c r="BM379" t="s">
        <v>311</v>
      </c>
    </row>
    <row r="380" spans="1:65">
      <c r="A380" s="1">
        <f>HYPERLINK("https://lsnyc.legalserver.org/matter/dynamic-profile/view/1908400","19-1908400")</f>
        <v>0</v>
      </c>
      <c r="B380" t="s">
        <v>67</v>
      </c>
      <c r="C380" t="s">
        <v>156</v>
      </c>
      <c r="D380" t="s">
        <v>170</v>
      </c>
      <c r="E380" t="s">
        <v>171</v>
      </c>
      <c r="G380" t="s">
        <v>172</v>
      </c>
      <c r="H380" t="s">
        <v>220</v>
      </c>
      <c r="I380" t="s">
        <v>172</v>
      </c>
      <c r="J380" t="s">
        <v>231</v>
      </c>
      <c r="K380" t="s">
        <v>172</v>
      </c>
      <c r="L380">
        <v>9181731</v>
      </c>
      <c r="M380" t="s">
        <v>232</v>
      </c>
      <c r="N380" t="s">
        <v>311</v>
      </c>
      <c r="O380" t="s">
        <v>313</v>
      </c>
      <c r="P380" t="s">
        <v>315</v>
      </c>
      <c r="Q380" t="s">
        <v>321</v>
      </c>
      <c r="T380" t="s">
        <v>663</v>
      </c>
      <c r="U380" t="s">
        <v>1030</v>
      </c>
      <c r="V380" t="s">
        <v>194</v>
      </c>
      <c r="X380" t="s">
        <v>1112</v>
      </c>
      <c r="Y380" t="s">
        <v>1481</v>
      </c>
      <c r="Z380" t="s">
        <v>1563</v>
      </c>
      <c r="AA380" t="s">
        <v>1757</v>
      </c>
      <c r="AB380" t="s">
        <v>1786</v>
      </c>
      <c r="AC380">
        <v>11433</v>
      </c>
      <c r="AD380" t="s">
        <v>1790</v>
      </c>
      <c r="AE380" t="s">
        <v>2138</v>
      </c>
      <c r="AF380">
        <v>1</v>
      </c>
      <c r="AH380" t="s">
        <v>2224</v>
      </c>
      <c r="AI380" t="s">
        <v>233</v>
      </c>
      <c r="AJ380" t="s">
        <v>233</v>
      </c>
      <c r="AL380" t="s">
        <v>2230</v>
      </c>
      <c r="AN380">
        <v>0</v>
      </c>
      <c r="AO380">
        <v>1956</v>
      </c>
      <c r="AP380">
        <v>3.73</v>
      </c>
      <c r="AR380" t="s">
        <v>2614</v>
      </c>
      <c r="AS380" t="s">
        <v>3030</v>
      </c>
      <c r="AT380">
        <v>3</v>
      </c>
      <c r="AU380" t="s">
        <v>3108</v>
      </c>
      <c r="AV380">
        <v>1</v>
      </c>
      <c r="AW380">
        <v>5</v>
      </c>
      <c r="AX380">
        <v>43.75</v>
      </c>
      <c r="BB380" t="s">
        <v>3125</v>
      </c>
      <c r="BC380" t="s">
        <v>3130</v>
      </c>
      <c r="BD380">
        <v>15132</v>
      </c>
      <c r="BH380" t="s">
        <v>3180</v>
      </c>
      <c r="BK380" t="s">
        <v>3261</v>
      </c>
      <c r="BL380" t="s">
        <v>3274</v>
      </c>
      <c r="BM380" t="s">
        <v>311</v>
      </c>
    </row>
    <row r="381" spans="1:65">
      <c r="A381" s="1">
        <f>HYPERLINK("https://lsnyc.legalserver.org/matter/dynamic-profile/view/1907047","19-1907047")</f>
        <v>0</v>
      </c>
      <c r="B381" t="s">
        <v>67</v>
      </c>
      <c r="C381" t="s">
        <v>156</v>
      </c>
      <c r="D381" t="s">
        <v>170</v>
      </c>
      <c r="E381" t="s">
        <v>171</v>
      </c>
      <c r="G381" t="s">
        <v>172</v>
      </c>
      <c r="H381" t="s">
        <v>221</v>
      </c>
      <c r="I381" t="s">
        <v>172</v>
      </c>
      <c r="J381" t="s">
        <v>231</v>
      </c>
      <c r="K381" t="s">
        <v>172</v>
      </c>
      <c r="M381" t="s">
        <v>232</v>
      </c>
      <c r="N381" t="s">
        <v>311</v>
      </c>
      <c r="O381" t="s">
        <v>172</v>
      </c>
      <c r="P381" t="s">
        <v>316</v>
      </c>
      <c r="Q381" t="s">
        <v>321</v>
      </c>
      <c r="T381" t="s">
        <v>664</v>
      </c>
      <c r="U381" t="s">
        <v>1031</v>
      </c>
      <c r="V381" t="s">
        <v>183</v>
      </c>
      <c r="X381" t="s">
        <v>1112</v>
      </c>
      <c r="Y381" t="s">
        <v>1482</v>
      </c>
      <c r="Z381" t="s">
        <v>1731</v>
      </c>
      <c r="AA381" t="s">
        <v>1757</v>
      </c>
      <c r="AB381" t="s">
        <v>1786</v>
      </c>
      <c r="AC381">
        <v>11434</v>
      </c>
      <c r="AD381" t="s">
        <v>1790</v>
      </c>
      <c r="AE381" t="s">
        <v>2139</v>
      </c>
      <c r="AF381">
        <v>21</v>
      </c>
      <c r="AH381" t="s">
        <v>2224</v>
      </c>
      <c r="AI381" t="s">
        <v>233</v>
      </c>
      <c r="AL381" t="s">
        <v>2230</v>
      </c>
      <c r="AN381">
        <v>0</v>
      </c>
      <c r="AO381">
        <v>1126</v>
      </c>
      <c r="AP381">
        <v>13.3</v>
      </c>
      <c r="AR381" t="s">
        <v>2615</v>
      </c>
      <c r="AS381" t="s">
        <v>3031</v>
      </c>
      <c r="AT381">
        <v>0</v>
      </c>
      <c r="AU381" t="s">
        <v>3105</v>
      </c>
      <c r="AV381">
        <v>3</v>
      </c>
      <c r="AW381">
        <v>1</v>
      </c>
      <c r="AX381">
        <v>223.69</v>
      </c>
      <c r="AY381" t="s">
        <v>3119</v>
      </c>
      <c r="AZ381" t="s">
        <v>3121</v>
      </c>
      <c r="BC381" t="s">
        <v>3130</v>
      </c>
      <c r="BD381">
        <v>57600</v>
      </c>
      <c r="BH381" t="s">
        <v>3180</v>
      </c>
      <c r="BK381" t="s">
        <v>3198</v>
      </c>
      <c r="BL381" t="s">
        <v>207</v>
      </c>
      <c r="BM381" t="s">
        <v>311</v>
      </c>
    </row>
    <row r="382" spans="1:65">
      <c r="A382" s="1">
        <f>HYPERLINK("https://lsnyc.legalserver.org/matter/dynamic-profile/view/1906358","19-1906358")</f>
        <v>0</v>
      </c>
      <c r="B382" t="s">
        <v>67</v>
      </c>
      <c r="C382" t="s">
        <v>151</v>
      </c>
      <c r="D382" t="s">
        <v>170</v>
      </c>
      <c r="E382" t="s">
        <v>171</v>
      </c>
      <c r="G382" t="s">
        <v>172</v>
      </c>
      <c r="H382" t="s">
        <v>221</v>
      </c>
      <c r="I382" t="s">
        <v>172</v>
      </c>
      <c r="J382" t="s">
        <v>231</v>
      </c>
      <c r="K382" t="s">
        <v>172</v>
      </c>
      <c r="L382" t="s">
        <v>294</v>
      </c>
      <c r="M382" t="s">
        <v>232</v>
      </c>
      <c r="N382" t="s">
        <v>311</v>
      </c>
      <c r="O382" t="s">
        <v>172</v>
      </c>
      <c r="P382" t="s">
        <v>316</v>
      </c>
      <c r="Q382" t="s">
        <v>321</v>
      </c>
      <c r="T382" t="s">
        <v>665</v>
      </c>
      <c r="U382" t="s">
        <v>1032</v>
      </c>
      <c r="V382" t="s">
        <v>178</v>
      </c>
      <c r="X382" t="s">
        <v>1112</v>
      </c>
      <c r="Y382" t="s">
        <v>1483</v>
      </c>
      <c r="Z382" t="s">
        <v>1588</v>
      </c>
      <c r="AA382" t="s">
        <v>1767</v>
      </c>
      <c r="AB382" t="s">
        <v>1786</v>
      </c>
      <c r="AC382">
        <v>11361</v>
      </c>
      <c r="AD382" t="s">
        <v>1787</v>
      </c>
      <c r="AE382" t="s">
        <v>2140</v>
      </c>
      <c r="AF382">
        <v>5</v>
      </c>
      <c r="AH382" t="s">
        <v>2225</v>
      </c>
      <c r="AI382" t="s">
        <v>233</v>
      </c>
      <c r="AJ382" t="s">
        <v>233</v>
      </c>
      <c r="AL382" t="s">
        <v>2230</v>
      </c>
      <c r="AM382" t="s">
        <v>2237</v>
      </c>
      <c r="AN382">
        <v>0</v>
      </c>
      <c r="AO382">
        <v>1878</v>
      </c>
      <c r="AP382">
        <v>18</v>
      </c>
      <c r="AR382" t="s">
        <v>2616</v>
      </c>
      <c r="AS382" t="s">
        <v>3032</v>
      </c>
      <c r="AT382">
        <v>19</v>
      </c>
      <c r="AU382" t="s">
        <v>3106</v>
      </c>
      <c r="AV382">
        <v>1</v>
      </c>
      <c r="AW382">
        <v>2</v>
      </c>
      <c r="AX382">
        <v>101.27</v>
      </c>
      <c r="BB382" t="s">
        <v>252</v>
      </c>
      <c r="BC382" t="s">
        <v>3130</v>
      </c>
      <c r="BD382">
        <v>21600</v>
      </c>
      <c r="BH382" t="s">
        <v>3181</v>
      </c>
      <c r="BK382" t="s">
        <v>3262</v>
      </c>
      <c r="BL382" t="s">
        <v>207</v>
      </c>
      <c r="BM382" t="s">
        <v>311</v>
      </c>
    </row>
    <row r="383" spans="1:65">
      <c r="A383" s="1">
        <f>HYPERLINK("https://lsnyc.legalserver.org/matter/dynamic-profile/view/1906175","19-1906175")</f>
        <v>0</v>
      </c>
      <c r="B383" t="s">
        <v>67</v>
      </c>
      <c r="C383" t="s">
        <v>151</v>
      </c>
      <c r="D383" t="s">
        <v>170</v>
      </c>
      <c r="E383" t="s">
        <v>172</v>
      </c>
      <c r="F383" t="s">
        <v>209</v>
      </c>
      <c r="G383" t="s">
        <v>172</v>
      </c>
      <c r="H383" t="s">
        <v>220</v>
      </c>
      <c r="I383" t="s">
        <v>172</v>
      </c>
      <c r="J383" t="s">
        <v>231</v>
      </c>
      <c r="K383" t="s">
        <v>172</v>
      </c>
      <c r="M383" t="s">
        <v>232</v>
      </c>
      <c r="N383" t="s">
        <v>311</v>
      </c>
      <c r="O383" t="s">
        <v>172</v>
      </c>
      <c r="P383" t="s">
        <v>314</v>
      </c>
      <c r="Q383" t="s">
        <v>322</v>
      </c>
      <c r="T383" t="s">
        <v>666</v>
      </c>
      <c r="U383" t="s">
        <v>933</v>
      </c>
      <c r="V383" t="s">
        <v>209</v>
      </c>
      <c r="W383" t="s">
        <v>197</v>
      </c>
      <c r="X383" t="s">
        <v>1113</v>
      </c>
      <c r="Y383" t="s">
        <v>1484</v>
      </c>
      <c r="Z383" t="s">
        <v>1732</v>
      </c>
      <c r="AA383" t="s">
        <v>1768</v>
      </c>
      <c r="AB383" t="s">
        <v>1786</v>
      </c>
      <c r="AC383">
        <v>11378</v>
      </c>
      <c r="AD383" t="s">
        <v>1787</v>
      </c>
      <c r="AE383" t="s">
        <v>2141</v>
      </c>
      <c r="AF383">
        <v>-1</v>
      </c>
      <c r="AG383" t="s">
        <v>2214</v>
      </c>
      <c r="AH383" t="s">
        <v>2225</v>
      </c>
      <c r="AI383" t="s">
        <v>233</v>
      </c>
      <c r="AJ383" t="s">
        <v>233</v>
      </c>
      <c r="AL383" t="s">
        <v>2230</v>
      </c>
      <c r="AM383" t="s">
        <v>2236</v>
      </c>
      <c r="AN383">
        <v>0</v>
      </c>
      <c r="AO383">
        <v>1500</v>
      </c>
      <c r="AP383">
        <v>1.7</v>
      </c>
      <c r="AQ383" t="s">
        <v>2242</v>
      </c>
      <c r="AR383" t="s">
        <v>2617</v>
      </c>
      <c r="AS383" t="s">
        <v>3033</v>
      </c>
      <c r="AT383">
        <v>2</v>
      </c>
      <c r="AU383" t="s">
        <v>3108</v>
      </c>
      <c r="AV383">
        <v>2</v>
      </c>
      <c r="AW383">
        <v>1</v>
      </c>
      <c r="AX383">
        <v>0</v>
      </c>
      <c r="BB383" t="s">
        <v>252</v>
      </c>
      <c r="BC383" t="s">
        <v>3130</v>
      </c>
      <c r="BD383">
        <v>0</v>
      </c>
      <c r="BH383" t="s">
        <v>3181</v>
      </c>
      <c r="BK383" t="s">
        <v>3210</v>
      </c>
      <c r="BL383" t="s">
        <v>197</v>
      </c>
      <c r="BM383" t="s">
        <v>311</v>
      </c>
    </row>
    <row r="384" spans="1:65">
      <c r="A384" s="1">
        <f>HYPERLINK("https://lsnyc.legalserver.org/matter/dynamic-profile/view/1905207","19-1905207")</f>
        <v>0</v>
      </c>
      <c r="B384" t="s">
        <v>67</v>
      </c>
      <c r="C384" t="s">
        <v>151</v>
      </c>
      <c r="D384" t="s">
        <v>170</v>
      </c>
      <c r="E384" t="s">
        <v>172</v>
      </c>
      <c r="F384" t="s">
        <v>196</v>
      </c>
      <c r="G384" t="s">
        <v>172</v>
      </c>
      <c r="H384" t="s">
        <v>220</v>
      </c>
      <c r="I384" t="s">
        <v>172</v>
      </c>
      <c r="J384" t="s">
        <v>231</v>
      </c>
      <c r="K384" t="s">
        <v>172</v>
      </c>
      <c r="M384" t="s">
        <v>232</v>
      </c>
      <c r="N384" t="s">
        <v>311</v>
      </c>
      <c r="O384" t="s">
        <v>172</v>
      </c>
      <c r="P384" t="s">
        <v>314</v>
      </c>
      <c r="Q384" t="s">
        <v>322</v>
      </c>
      <c r="T384" t="s">
        <v>667</v>
      </c>
      <c r="U384" t="s">
        <v>1033</v>
      </c>
      <c r="V384" t="s">
        <v>1105</v>
      </c>
      <c r="W384" t="s">
        <v>196</v>
      </c>
      <c r="X384" t="s">
        <v>1113</v>
      </c>
      <c r="Y384" t="s">
        <v>1485</v>
      </c>
      <c r="Z384" t="s">
        <v>1618</v>
      </c>
      <c r="AA384" t="s">
        <v>1766</v>
      </c>
      <c r="AB384" t="s">
        <v>1786</v>
      </c>
      <c r="AC384">
        <v>11693</v>
      </c>
      <c r="AD384" t="s">
        <v>1787</v>
      </c>
      <c r="AE384" t="s">
        <v>2142</v>
      </c>
      <c r="AF384">
        <v>3</v>
      </c>
      <c r="AG384" t="s">
        <v>2214</v>
      </c>
      <c r="AH384" t="s">
        <v>2225</v>
      </c>
      <c r="AI384" t="s">
        <v>233</v>
      </c>
      <c r="AJ384" t="s">
        <v>233</v>
      </c>
      <c r="AL384" t="s">
        <v>2231</v>
      </c>
      <c r="AM384" t="s">
        <v>2236</v>
      </c>
      <c r="AN384">
        <v>0</v>
      </c>
      <c r="AO384">
        <v>252</v>
      </c>
      <c r="AP384">
        <v>1.5</v>
      </c>
      <c r="AQ384" t="s">
        <v>2242</v>
      </c>
      <c r="AR384" t="s">
        <v>2618</v>
      </c>
      <c r="AS384" t="s">
        <v>3034</v>
      </c>
      <c r="AT384">
        <v>42</v>
      </c>
      <c r="AU384" t="s">
        <v>3107</v>
      </c>
      <c r="AV384">
        <v>2</v>
      </c>
      <c r="AW384">
        <v>5</v>
      </c>
      <c r="AX384">
        <v>26.93</v>
      </c>
      <c r="BB384" t="s">
        <v>252</v>
      </c>
      <c r="BC384" t="s">
        <v>3130</v>
      </c>
      <c r="BD384">
        <v>10504</v>
      </c>
      <c r="BH384" t="s">
        <v>3181</v>
      </c>
      <c r="BK384" t="s">
        <v>3206</v>
      </c>
      <c r="BL384" t="s">
        <v>196</v>
      </c>
      <c r="BM384" t="s">
        <v>311</v>
      </c>
    </row>
    <row r="385" spans="1:65">
      <c r="A385" s="1">
        <f>HYPERLINK("https://lsnyc.legalserver.org/matter/dynamic-profile/view/1905133","19-1905133")</f>
        <v>0</v>
      </c>
      <c r="B385" t="s">
        <v>67</v>
      </c>
      <c r="C385" t="s">
        <v>151</v>
      </c>
      <c r="D385" t="s">
        <v>170</v>
      </c>
      <c r="E385" t="s">
        <v>171</v>
      </c>
      <c r="G385" t="s">
        <v>172</v>
      </c>
      <c r="H385" t="s">
        <v>220</v>
      </c>
      <c r="I385" t="s">
        <v>172</v>
      </c>
      <c r="J385" t="s">
        <v>231</v>
      </c>
      <c r="K385" t="s">
        <v>172</v>
      </c>
      <c r="L385" t="s">
        <v>295</v>
      </c>
      <c r="M385" t="s">
        <v>232</v>
      </c>
      <c r="N385" t="s">
        <v>311</v>
      </c>
      <c r="O385" t="s">
        <v>313</v>
      </c>
      <c r="P385" t="s">
        <v>315</v>
      </c>
      <c r="Q385" t="s">
        <v>321</v>
      </c>
      <c r="T385" t="s">
        <v>461</v>
      </c>
      <c r="U385" t="s">
        <v>898</v>
      </c>
      <c r="V385" t="s">
        <v>203</v>
      </c>
      <c r="X385" t="s">
        <v>1112</v>
      </c>
      <c r="Y385" t="s">
        <v>1486</v>
      </c>
      <c r="Z385" t="s">
        <v>1579</v>
      </c>
      <c r="AA385" t="s">
        <v>1769</v>
      </c>
      <c r="AB385" t="s">
        <v>1786</v>
      </c>
      <c r="AC385">
        <v>11385</v>
      </c>
      <c r="AD385" t="s">
        <v>1790</v>
      </c>
      <c r="AE385" t="s">
        <v>2143</v>
      </c>
      <c r="AF385">
        <v>2</v>
      </c>
      <c r="AH385" t="s">
        <v>2224</v>
      </c>
      <c r="AI385" t="s">
        <v>233</v>
      </c>
      <c r="AJ385" t="s">
        <v>233</v>
      </c>
      <c r="AL385" t="s">
        <v>2230</v>
      </c>
      <c r="AM385" t="s">
        <v>2236</v>
      </c>
      <c r="AN385">
        <v>0</v>
      </c>
      <c r="AO385">
        <v>0</v>
      </c>
      <c r="AP385">
        <v>8.25</v>
      </c>
      <c r="AR385" t="s">
        <v>2619</v>
      </c>
      <c r="AS385" t="s">
        <v>3035</v>
      </c>
      <c r="AT385">
        <v>75</v>
      </c>
      <c r="AU385" t="s">
        <v>3106</v>
      </c>
      <c r="AV385">
        <v>2</v>
      </c>
      <c r="AW385">
        <v>3</v>
      </c>
      <c r="AX385">
        <v>150.29</v>
      </c>
      <c r="BB385" t="s">
        <v>252</v>
      </c>
      <c r="BC385" t="s">
        <v>3131</v>
      </c>
      <c r="BD385">
        <v>45344</v>
      </c>
      <c r="BH385" t="s">
        <v>151</v>
      </c>
      <c r="BK385" t="s">
        <v>3244</v>
      </c>
      <c r="BL385" t="s">
        <v>3274</v>
      </c>
      <c r="BM385" t="s">
        <v>311</v>
      </c>
    </row>
    <row r="386" spans="1:65">
      <c r="A386" s="1">
        <f>HYPERLINK("https://lsnyc.legalserver.org/matter/dynamic-profile/view/1904538","19-1904538")</f>
        <v>0</v>
      </c>
      <c r="B386" t="s">
        <v>67</v>
      </c>
      <c r="C386" t="s">
        <v>151</v>
      </c>
      <c r="D386" t="s">
        <v>170</v>
      </c>
      <c r="E386" t="s">
        <v>172</v>
      </c>
      <c r="F386" t="s">
        <v>176</v>
      </c>
      <c r="G386" t="s">
        <v>172</v>
      </c>
      <c r="H386" t="s">
        <v>220</v>
      </c>
      <c r="I386" t="s">
        <v>172</v>
      </c>
      <c r="J386" t="s">
        <v>231</v>
      </c>
      <c r="K386" t="s">
        <v>172</v>
      </c>
      <c r="M386" t="s">
        <v>232</v>
      </c>
      <c r="N386" t="s">
        <v>311</v>
      </c>
      <c r="O386" t="s">
        <v>172</v>
      </c>
      <c r="P386" t="s">
        <v>314</v>
      </c>
      <c r="Q386" t="s">
        <v>322</v>
      </c>
      <c r="T386" t="s">
        <v>668</v>
      </c>
      <c r="U386" t="s">
        <v>797</v>
      </c>
      <c r="V386" t="s">
        <v>176</v>
      </c>
      <c r="W386" t="s">
        <v>198</v>
      </c>
      <c r="X386" t="s">
        <v>1113</v>
      </c>
      <c r="Y386" t="s">
        <v>1487</v>
      </c>
      <c r="Z386" t="s">
        <v>1733</v>
      </c>
      <c r="AA386" t="s">
        <v>1770</v>
      </c>
      <c r="AB386" t="s">
        <v>1786</v>
      </c>
      <c r="AC386">
        <v>11422</v>
      </c>
      <c r="AD386" t="s">
        <v>1787</v>
      </c>
      <c r="AE386" t="s">
        <v>2144</v>
      </c>
      <c r="AF386">
        <v>-1</v>
      </c>
      <c r="AG386" t="s">
        <v>2214</v>
      </c>
      <c r="AH386" t="s">
        <v>2225</v>
      </c>
      <c r="AI386" t="s">
        <v>233</v>
      </c>
      <c r="AJ386" t="s">
        <v>233</v>
      </c>
      <c r="AL386" t="s">
        <v>2230</v>
      </c>
      <c r="AM386" t="s">
        <v>2236</v>
      </c>
      <c r="AN386">
        <v>0</v>
      </c>
      <c r="AO386">
        <v>1450</v>
      </c>
      <c r="AP386">
        <v>1.05</v>
      </c>
      <c r="AQ386" t="s">
        <v>2242</v>
      </c>
      <c r="AR386" t="s">
        <v>2620</v>
      </c>
      <c r="AS386" t="s">
        <v>3036</v>
      </c>
      <c r="AT386">
        <v>2</v>
      </c>
      <c r="AU386" t="s">
        <v>3108</v>
      </c>
      <c r="AV386">
        <v>3</v>
      </c>
      <c r="AW386">
        <v>1</v>
      </c>
      <c r="AX386">
        <v>0</v>
      </c>
      <c r="BB386" t="s">
        <v>252</v>
      </c>
      <c r="BC386" t="s">
        <v>3130</v>
      </c>
      <c r="BD386">
        <v>0</v>
      </c>
      <c r="BH386" t="s">
        <v>3181</v>
      </c>
      <c r="BK386" t="s">
        <v>3210</v>
      </c>
      <c r="BL386" t="s">
        <v>198</v>
      </c>
      <c r="BM386" t="s">
        <v>311</v>
      </c>
    </row>
    <row r="387" spans="1:65">
      <c r="A387" s="1">
        <f>HYPERLINK("https://lsnyc.legalserver.org/matter/dynamic-profile/view/1907641","19-1907641")</f>
        <v>0</v>
      </c>
      <c r="B387" t="s">
        <v>67</v>
      </c>
      <c r="C387" t="s">
        <v>151</v>
      </c>
      <c r="D387" t="s">
        <v>170</v>
      </c>
      <c r="E387" t="s">
        <v>172</v>
      </c>
      <c r="F387" t="s">
        <v>190</v>
      </c>
      <c r="G387" t="s">
        <v>172</v>
      </c>
      <c r="H387" t="s">
        <v>221</v>
      </c>
      <c r="I387" t="s">
        <v>172</v>
      </c>
      <c r="J387" t="s">
        <v>231</v>
      </c>
      <c r="K387" t="s">
        <v>172</v>
      </c>
      <c r="L387" t="s">
        <v>296</v>
      </c>
      <c r="M387" t="s">
        <v>232</v>
      </c>
      <c r="N387" t="s">
        <v>311</v>
      </c>
      <c r="O387" t="s">
        <v>313</v>
      </c>
      <c r="P387" t="s">
        <v>315</v>
      </c>
      <c r="Q387" t="s">
        <v>321</v>
      </c>
      <c r="T387" t="s">
        <v>669</v>
      </c>
      <c r="U387" t="s">
        <v>761</v>
      </c>
      <c r="V387" t="s">
        <v>190</v>
      </c>
      <c r="X387" t="s">
        <v>1112</v>
      </c>
      <c r="Y387" t="s">
        <v>1488</v>
      </c>
      <c r="Z387" t="s">
        <v>1734</v>
      </c>
      <c r="AA387" t="s">
        <v>1757</v>
      </c>
      <c r="AB387" t="s">
        <v>1786</v>
      </c>
      <c r="AC387">
        <v>11433</v>
      </c>
      <c r="AD387" t="s">
        <v>1790</v>
      </c>
      <c r="AE387" t="s">
        <v>2145</v>
      </c>
      <c r="AF387">
        <v>28</v>
      </c>
      <c r="AH387" t="s">
        <v>2224</v>
      </c>
      <c r="AI387" t="s">
        <v>233</v>
      </c>
      <c r="AJ387" t="s">
        <v>233</v>
      </c>
      <c r="AL387" t="s">
        <v>2231</v>
      </c>
      <c r="AM387" t="s">
        <v>2238</v>
      </c>
      <c r="AN387">
        <v>0</v>
      </c>
      <c r="AO387">
        <v>227</v>
      </c>
      <c r="AP387">
        <v>0.9</v>
      </c>
      <c r="AR387" t="s">
        <v>2621</v>
      </c>
      <c r="AS387" t="s">
        <v>3037</v>
      </c>
      <c r="AT387">
        <v>50</v>
      </c>
      <c r="AU387" t="s">
        <v>3107</v>
      </c>
      <c r="AV387">
        <v>1</v>
      </c>
      <c r="AW387">
        <v>0</v>
      </c>
      <c r="AX387">
        <v>80.98999999999999</v>
      </c>
      <c r="BB387" t="s">
        <v>1793</v>
      </c>
      <c r="BC387" t="s">
        <v>3130</v>
      </c>
      <c r="BD387">
        <v>10116</v>
      </c>
      <c r="BH387" t="s">
        <v>3181</v>
      </c>
      <c r="BK387" t="s">
        <v>3222</v>
      </c>
      <c r="BL387" t="s">
        <v>3275</v>
      </c>
      <c r="BM387" t="s">
        <v>311</v>
      </c>
    </row>
    <row r="388" spans="1:65">
      <c r="A388" s="1">
        <f>HYPERLINK("https://lsnyc.legalserver.org/matter/dynamic-profile/view/1907598","19-1907598")</f>
        <v>0</v>
      </c>
      <c r="B388" t="s">
        <v>67</v>
      </c>
      <c r="C388" t="s">
        <v>151</v>
      </c>
      <c r="D388" t="s">
        <v>170</v>
      </c>
      <c r="E388" t="s">
        <v>172</v>
      </c>
      <c r="F388" t="s">
        <v>210</v>
      </c>
      <c r="G388" t="s">
        <v>172</v>
      </c>
      <c r="H388" t="s">
        <v>221</v>
      </c>
      <c r="I388" t="s">
        <v>172</v>
      </c>
      <c r="J388" t="s">
        <v>231</v>
      </c>
      <c r="K388" t="s">
        <v>172</v>
      </c>
      <c r="M388" t="s">
        <v>232</v>
      </c>
      <c r="N388" t="s">
        <v>311</v>
      </c>
      <c r="O388" t="s">
        <v>313</v>
      </c>
      <c r="P388" t="s">
        <v>315</v>
      </c>
      <c r="Q388" t="s">
        <v>321</v>
      </c>
      <c r="T388" t="s">
        <v>600</v>
      </c>
      <c r="U388" t="s">
        <v>1034</v>
      </c>
      <c r="V388" t="s">
        <v>210</v>
      </c>
      <c r="X388" t="s">
        <v>1112</v>
      </c>
      <c r="Y388" t="s">
        <v>1489</v>
      </c>
      <c r="Z388" t="s">
        <v>1665</v>
      </c>
      <c r="AA388" t="s">
        <v>1757</v>
      </c>
      <c r="AB388" t="s">
        <v>1786</v>
      </c>
      <c r="AC388">
        <v>11433</v>
      </c>
      <c r="AD388" t="s">
        <v>1790</v>
      </c>
      <c r="AE388" t="s">
        <v>2146</v>
      </c>
      <c r="AF388">
        <v>3</v>
      </c>
      <c r="AH388" t="s">
        <v>2224</v>
      </c>
      <c r="AI388" t="s">
        <v>233</v>
      </c>
      <c r="AJ388" t="s">
        <v>233</v>
      </c>
      <c r="AL388" t="s">
        <v>2231</v>
      </c>
      <c r="AM388" t="s">
        <v>2236</v>
      </c>
      <c r="AN388">
        <v>0</v>
      </c>
      <c r="AO388">
        <v>0</v>
      </c>
      <c r="AP388">
        <v>0.55</v>
      </c>
      <c r="AR388" t="s">
        <v>2622</v>
      </c>
      <c r="AS388" t="s">
        <v>3038</v>
      </c>
      <c r="AT388">
        <v>48</v>
      </c>
      <c r="AU388" t="s">
        <v>3107</v>
      </c>
      <c r="AV388">
        <v>1</v>
      </c>
      <c r="AW388">
        <v>1</v>
      </c>
      <c r="AX388">
        <v>176.82</v>
      </c>
      <c r="BB388" t="s">
        <v>252</v>
      </c>
      <c r="BC388" t="s">
        <v>3130</v>
      </c>
      <c r="BD388">
        <v>29900</v>
      </c>
      <c r="BH388" t="s">
        <v>3181</v>
      </c>
      <c r="BK388" t="s">
        <v>3198</v>
      </c>
      <c r="BL388" t="s">
        <v>3275</v>
      </c>
      <c r="BM388" t="s">
        <v>311</v>
      </c>
    </row>
    <row r="389" spans="1:65">
      <c r="A389" s="1">
        <f>HYPERLINK("https://lsnyc.legalserver.org/matter/dynamic-profile/view/1907594","19-1907594")</f>
        <v>0</v>
      </c>
      <c r="B389" t="s">
        <v>67</v>
      </c>
      <c r="C389" t="s">
        <v>151</v>
      </c>
      <c r="D389" t="s">
        <v>170</v>
      </c>
      <c r="E389" t="s">
        <v>172</v>
      </c>
      <c r="F389" t="s">
        <v>210</v>
      </c>
      <c r="G389" t="s">
        <v>172</v>
      </c>
      <c r="H389" t="s">
        <v>221</v>
      </c>
      <c r="I389" t="s">
        <v>172</v>
      </c>
      <c r="J389" t="s">
        <v>231</v>
      </c>
      <c r="K389" t="s">
        <v>172</v>
      </c>
      <c r="M389" t="s">
        <v>232</v>
      </c>
      <c r="N389" t="s">
        <v>311</v>
      </c>
      <c r="O389" t="s">
        <v>313</v>
      </c>
      <c r="P389" t="s">
        <v>315</v>
      </c>
      <c r="Q389" t="s">
        <v>321</v>
      </c>
      <c r="T389" t="s">
        <v>670</v>
      </c>
      <c r="U389" t="s">
        <v>1035</v>
      </c>
      <c r="V389" t="s">
        <v>210</v>
      </c>
      <c r="X389" t="s">
        <v>1112</v>
      </c>
      <c r="Y389" t="s">
        <v>1490</v>
      </c>
      <c r="Z389" t="s">
        <v>1588</v>
      </c>
      <c r="AA389" t="s">
        <v>1757</v>
      </c>
      <c r="AB389" t="s">
        <v>1786</v>
      </c>
      <c r="AC389">
        <v>11433</v>
      </c>
      <c r="AD389" t="s">
        <v>1790</v>
      </c>
      <c r="AE389" t="s">
        <v>2147</v>
      </c>
      <c r="AF389">
        <v>37</v>
      </c>
      <c r="AH389" t="s">
        <v>2224</v>
      </c>
      <c r="AI389" t="s">
        <v>233</v>
      </c>
      <c r="AJ389" t="s">
        <v>233</v>
      </c>
      <c r="AL389" t="s">
        <v>2231</v>
      </c>
      <c r="AN389">
        <v>0</v>
      </c>
      <c r="AO389">
        <v>1472</v>
      </c>
      <c r="AP389">
        <v>0.8</v>
      </c>
      <c r="AR389" t="s">
        <v>2623</v>
      </c>
      <c r="AS389" t="s">
        <v>3039</v>
      </c>
      <c r="AT389">
        <v>16</v>
      </c>
      <c r="AU389" t="s">
        <v>3107</v>
      </c>
      <c r="AV389">
        <v>2</v>
      </c>
      <c r="AW389">
        <v>0</v>
      </c>
      <c r="AX389">
        <v>254.29</v>
      </c>
      <c r="BB389" t="s">
        <v>1793</v>
      </c>
      <c r="BC389" t="s">
        <v>3130</v>
      </c>
      <c r="BD389">
        <v>43000</v>
      </c>
      <c r="BH389" t="s">
        <v>3181</v>
      </c>
      <c r="BK389" t="s">
        <v>3198</v>
      </c>
      <c r="BL389" t="s">
        <v>1108</v>
      </c>
      <c r="BM389" t="s">
        <v>311</v>
      </c>
    </row>
    <row r="390" spans="1:65">
      <c r="A390" s="1">
        <f>HYPERLINK("https://lsnyc.legalserver.org/matter/dynamic-profile/view/1907593","19-1907593")</f>
        <v>0</v>
      </c>
      <c r="B390" t="s">
        <v>67</v>
      </c>
      <c r="C390" t="s">
        <v>151</v>
      </c>
      <c r="D390" t="s">
        <v>170</v>
      </c>
      <c r="E390" t="s">
        <v>172</v>
      </c>
      <c r="F390" t="s">
        <v>210</v>
      </c>
      <c r="G390" t="s">
        <v>172</v>
      </c>
      <c r="H390" t="s">
        <v>221</v>
      </c>
      <c r="I390" t="s">
        <v>172</v>
      </c>
      <c r="J390" t="s">
        <v>231</v>
      </c>
      <c r="K390" t="s">
        <v>172</v>
      </c>
      <c r="M390" t="s">
        <v>232</v>
      </c>
      <c r="N390" t="s">
        <v>311</v>
      </c>
      <c r="O390" t="s">
        <v>313</v>
      </c>
      <c r="P390" t="s">
        <v>315</v>
      </c>
      <c r="Q390" t="s">
        <v>321</v>
      </c>
      <c r="T390" t="s">
        <v>624</v>
      </c>
      <c r="U390" t="s">
        <v>1036</v>
      </c>
      <c r="V390" t="s">
        <v>210</v>
      </c>
      <c r="X390" t="s">
        <v>1112</v>
      </c>
      <c r="Y390" t="s">
        <v>1491</v>
      </c>
      <c r="Z390" t="s">
        <v>1649</v>
      </c>
      <c r="AA390" t="s">
        <v>1757</v>
      </c>
      <c r="AB390" t="s">
        <v>1786</v>
      </c>
      <c r="AC390">
        <v>11433</v>
      </c>
      <c r="AD390" t="s">
        <v>1790</v>
      </c>
      <c r="AE390" t="s">
        <v>2148</v>
      </c>
      <c r="AF390">
        <v>30</v>
      </c>
      <c r="AH390" t="s">
        <v>2224</v>
      </c>
      <c r="AI390" t="s">
        <v>233</v>
      </c>
      <c r="AJ390" t="s">
        <v>233</v>
      </c>
      <c r="AL390" t="s">
        <v>2231</v>
      </c>
      <c r="AM390" t="s">
        <v>2236</v>
      </c>
      <c r="AN390">
        <v>0</v>
      </c>
      <c r="AO390">
        <v>0</v>
      </c>
      <c r="AP390">
        <v>0.55</v>
      </c>
      <c r="AR390" t="s">
        <v>2624</v>
      </c>
      <c r="AS390" t="s">
        <v>3040</v>
      </c>
      <c r="AT390">
        <v>56</v>
      </c>
      <c r="AU390" t="s">
        <v>3107</v>
      </c>
      <c r="AV390">
        <v>1</v>
      </c>
      <c r="AW390">
        <v>0</v>
      </c>
      <c r="AX390">
        <v>112.22</v>
      </c>
      <c r="BB390" t="s">
        <v>252</v>
      </c>
      <c r="BC390" t="s">
        <v>3130</v>
      </c>
      <c r="BD390">
        <v>14016</v>
      </c>
      <c r="BH390" t="s">
        <v>3181</v>
      </c>
      <c r="BK390" t="s">
        <v>3198</v>
      </c>
      <c r="BL390" t="s">
        <v>3275</v>
      </c>
      <c r="BM390" t="s">
        <v>311</v>
      </c>
    </row>
    <row r="391" spans="1:65">
      <c r="A391" s="1">
        <f>HYPERLINK("https://lsnyc.legalserver.org/matter/dynamic-profile/view/1907658","19-1907658")</f>
        <v>0</v>
      </c>
      <c r="B391" t="s">
        <v>67</v>
      </c>
      <c r="C391" t="s">
        <v>151</v>
      </c>
      <c r="D391" t="s">
        <v>170</v>
      </c>
      <c r="E391" t="s">
        <v>172</v>
      </c>
      <c r="F391" t="s">
        <v>190</v>
      </c>
      <c r="G391" t="s">
        <v>172</v>
      </c>
      <c r="H391" t="s">
        <v>221</v>
      </c>
      <c r="I391" t="s">
        <v>172</v>
      </c>
      <c r="J391" t="s">
        <v>231</v>
      </c>
      <c r="K391" t="s">
        <v>172</v>
      </c>
      <c r="M391" t="s">
        <v>232</v>
      </c>
      <c r="N391" t="s">
        <v>311</v>
      </c>
      <c r="O391" t="s">
        <v>313</v>
      </c>
      <c r="P391" t="s">
        <v>315</v>
      </c>
      <c r="Q391" t="s">
        <v>321</v>
      </c>
      <c r="T391" t="s">
        <v>348</v>
      </c>
      <c r="U391" t="s">
        <v>1037</v>
      </c>
      <c r="V391" t="s">
        <v>190</v>
      </c>
      <c r="X391" t="s">
        <v>1112</v>
      </c>
      <c r="Y391" t="s">
        <v>1492</v>
      </c>
      <c r="Z391" t="s">
        <v>1735</v>
      </c>
      <c r="AA391" t="s">
        <v>1757</v>
      </c>
      <c r="AB391" t="s">
        <v>1786</v>
      </c>
      <c r="AC391">
        <v>11433</v>
      </c>
      <c r="AD391" t="s">
        <v>1790</v>
      </c>
      <c r="AE391" t="s">
        <v>2149</v>
      </c>
      <c r="AF391">
        <v>8</v>
      </c>
      <c r="AH391" t="s">
        <v>2224</v>
      </c>
      <c r="AI391" t="s">
        <v>233</v>
      </c>
      <c r="AJ391" t="s">
        <v>233</v>
      </c>
      <c r="AL391" t="s">
        <v>2231</v>
      </c>
      <c r="AM391" t="s">
        <v>2236</v>
      </c>
      <c r="AN391">
        <v>0</v>
      </c>
      <c r="AO391">
        <v>292</v>
      </c>
      <c r="AP391">
        <v>0.9</v>
      </c>
      <c r="AR391" t="s">
        <v>2625</v>
      </c>
      <c r="AS391" t="s">
        <v>3041</v>
      </c>
      <c r="AT391">
        <v>12</v>
      </c>
      <c r="AU391" t="s">
        <v>3107</v>
      </c>
      <c r="AV391">
        <v>1</v>
      </c>
      <c r="AW391">
        <v>0</v>
      </c>
      <c r="AX391">
        <v>41.51</v>
      </c>
      <c r="BB391" t="s">
        <v>252</v>
      </c>
      <c r="BC391" t="s">
        <v>3130</v>
      </c>
      <c r="BD391">
        <v>5184</v>
      </c>
      <c r="BH391" t="s">
        <v>3181</v>
      </c>
      <c r="BK391" t="s">
        <v>3198</v>
      </c>
      <c r="BL391" t="s">
        <v>3275</v>
      </c>
      <c r="BM391" t="s">
        <v>311</v>
      </c>
    </row>
    <row r="392" spans="1:65">
      <c r="A392" s="1">
        <f>HYPERLINK("https://lsnyc.legalserver.org/matter/dynamic-profile/view/1907017","19-1907017")</f>
        <v>0</v>
      </c>
      <c r="B392" t="s">
        <v>67</v>
      </c>
      <c r="C392" t="s">
        <v>151</v>
      </c>
      <c r="D392" t="s">
        <v>170</v>
      </c>
      <c r="E392" t="s">
        <v>171</v>
      </c>
      <c r="G392" t="s">
        <v>172</v>
      </c>
      <c r="H392" t="s">
        <v>220</v>
      </c>
      <c r="I392" t="s">
        <v>172</v>
      </c>
      <c r="J392" t="s">
        <v>231</v>
      </c>
      <c r="K392" t="s">
        <v>172</v>
      </c>
      <c r="M392" t="s">
        <v>232</v>
      </c>
      <c r="N392" t="s">
        <v>311</v>
      </c>
      <c r="O392" t="s">
        <v>172</v>
      </c>
      <c r="P392" t="s">
        <v>314</v>
      </c>
      <c r="Q392" t="s">
        <v>321</v>
      </c>
      <c r="T392" t="s">
        <v>671</v>
      </c>
      <c r="U392" t="s">
        <v>1038</v>
      </c>
      <c r="V392" t="s">
        <v>183</v>
      </c>
      <c r="X392" t="s">
        <v>1112</v>
      </c>
      <c r="Y392" t="s">
        <v>1493</v>
      </c>
      <c r="Z392" t="s">
        <v>1578</v>
      </c>
      <c r="AA392" t="s">
        <v>1771</v>
      </c>
      <c r="AB392" t="s">
        <v>1786</v>
      </c>
      <c r="AC392">
        <v>11385</v>
      </c>
      <c r="AD392" t="s">
        <v>1790</v>
      </c>
      <c r="AE392" t="s">
        <v>2150</v>
      </c>
      <c r="AF392">
        <v>1</v>
      </c>
      <c r="AH392" t="s">
        <v>2224</v>
      </c>
      <c r="AI392" t="s">
        <v>233</v>
      </c>
      <c r="AJ392" t="s">
        <v>233</v>
      </c>
      <c r="AL392" t="s">
        <v>2230</v>
      </c>
      <c r="AM392" t="s">
        <v>2236</v>
      </c>
      <c r="AN392">
        <v>0</v>
      </c>
      <c r="AO392">
        <v>1200</v>
      </c>
      <c r="AP392">
        <v>1.18</v>
      </c>
      <c r="AR392" t="s">
        <v>2626</v>
      </c>
      <c r="AS392" t="s">
        <v>2975</v>
      </c>
      <c r="AT392">
        <v>2</v>
      </c>
      <c r="AU392" t="s">
        <v>3108</v>
      </c>
      <c r="AV392">
        <v>2</v>
      </c>
      <c r="AW392">
        <v>0</v>
      </c>
      <c r="AX392">
        <v>92.25</v>
      </c>
      <c r="BB392" t="s">
        <v>252</v>
      </c>
      <c r="BC392" t="s">
        <v>3130</v>
      </c>
      <c r="BD392">
        <v>15600</v>
      </c>
      <c r="BH392" t="s">
        <v>3180</v>
      </c>
      <c r="BK392" t="s">
        <v>3198</v>
      </c>
      <c r="BL392" t="s">
        <v>3275</v>
      </c>
      <c r="BM392" t="s">
        <v>311</v>
      </c>
    </row>
    <row r="393" spans="1:65">
      <c r="A393" s="1">
        <f>HYPERLINK("https://lsnyc.legalserver.org/matter/dynamic-profile/view/1907660","19-1907660")</f>
        <v>0</v>
      </c>
      <c r="B393" t="s">
        <v>67</v>
      </c>
      <c r="C393" t="s">
        <v>151</v>
      </c>
      <c r="D393" t="s">
        <v>170</v>
      </c>
      <c r="E393" t="s">
        <v>172</v>
      </c>
      <c r="F393" t="s">
        <v>191</v>
      </c>
      <c r="G393" t="s">
        <v>172</v>
      </c>
      <c r="H393" t="s">
        <v>221</v>
      </c>
      <c r="I393" t="s">
        <v>172</v>
      </c>
      <c r="J393" t="s">
        <v>231</v>
      </c>
      <c r="K393" t="s">
        <v>172</v>
      </c>
      <c r="M393" t="s">
        <v>232</v>
      </c>
      <c r="N393" t="s">
        <v>311</v>
      </c>
      <c r="O393" t="s">
        <v>313</v>
      </c>
      <c r="P393" t="s">
        <v>315</v>
      </c>
      <c r="Q393" t="s">
        <v>321</v>
      </c>
      <c r="T393" t="s">
        <v>672</v>
      </c>
      <c r="U393" t="s">
        <v>1039</v>
      </c>
      <c r="V393" t="s">
        <v>202</v>
      </c>
      <c r="X393" t="s">
        <v>1112</v>
      </c>
      <c r="Y393" t="s">
        <v>1494</v>
      </c>
      <c r="Z393" t="s">
        <v>1598</v>
      </c>
      <c r="AA393" t="s">
        <v>1757</v>
      </c>
      <c r="AB393" t="s">
        <v>1786</v>
      </c>
      <c r="AC393">
        <v>11433</v>
      </c>
      <c r="AD393" t="s">
        <v>1787</v>
      </c>
      <c r="AE393" t="s">
        <v>2151</v>
      </c>
      <c r="AF393">
        <v>16</v>
      </c>
      <c r="AH393" t="s">
        <v>2224</v>
      </c>
      <c r="AI393" t="s">
        <v>233</v>
      </c>
      <c r="AJ393" t="s">
        <v>233</v>
      </c>
      <c r="AL393" t="s">
        <v>2231</v>
      </c>
      <c r="AM393" t="s">
        <v>2236</v>
      </c>
      <c r="AN393">
        <v>0</v>
      </c>
      <c r="AO393">
        <v>878</v>
      </c>
      <c r="AP393">
        <v>0.65</v>
      </c>
      <c r="AR393" t="s">
        <v>2627</v>
      </c>
      <c r="AS393" t="s">
        <v>2975</v>
      </c>
      <c r="AT393">
        <v>448</v>
      </c>
      <c r="AU393" t="s">
        <v>3107</v>
      </c>
      <c r="AV393">
        <v>1</v>
      </c>
      <c r="AW393">
        <v>0</v>
      </c>
      <c r="AX393">
        <v>115.29</v>
      </c>
      <c r="BC393" t="s">
        <v>3130</v>
      </c>
      <c r="BD393">
        <v>14400</v>
      </c>
      <c r="BH393" t="s">
        <v>3181</v>
      </c>
      <c r="BK393" t="s">
        <v>3198</v>
      </c>
      <c r="BL393" t="s">
        <v>3275</v>
      </c>
      <c r="BM393" t="s">
        <v>311</v>
      </c>
    </row>
    <row r="394" spans="1:65">
      <c r="A394" s="1">
        <f>HYPERLINK("https://lsnyc.legalserver.org/matter/dynamic-profile/view/1907630","19-1907630")</f>
        <v>0</v>
      </c>
      <c r="B394" t="s">
        <v>67</v>
      </c>
      <c r="C394" t="s">
        <v>151</v>
      </c>
      <c r="D394" t="s">
        <v>170</v>
      </c>
      <c r="E394" t="s">
        <v>172</v>
      </c>
      <c r="F394" t="s">
        <v>190</v>
      </c>
      <c r="G394" t="s">
        <v>172</v>
      </c>
      <c r="H394" t="s">
        <v>221</v>
      </c>
      <c r="I394" t="s">
        <v>172</v>
      </c>
      <c r="J394" t="s">
        <v>231</v>
      </c>
      <c r="K394" t="s">
        <v>172</v>
      </c>
      <c r="M394" t="s">
        <v>232</v>
      </c>
      <c r="N394" t="s">
        <v>311</v>
      </c>
      <c r="O394" t="s">
        <v>313</v>
      </c>
      <c r="P394" t="s">
        <v>315</v>
      </c>
      <c r="Q394" t="s">
        <v>321</v>
      </c>
      <c r="T394" t="s">
        <v>362</v>
      </c>
      <c r="U394" t="s">
        <v>1040</v>
      </c>
      <c r="V394" t="s">
        <v>190</v>
      </c>
      <c r="X394" t="s">
        <v>1112</v>
      </c>
      <c r="Y394" t="s">
        <v>1495</v>
      </c>
      <c r="Z394" t="s">
        <v>1736</v>
      </c>
      <c r="AA394" t="s">
        <v>1757</v>
      </c>
      <c r="AB394" t="s">
        <v>1786</v>
      </c>
      <c r="AC394">
        <v>11434</v>
      </c>
      <c r="AD394" t="s">
        <v>1790</v>
      </c>
      <c r="AE394" t="s">
        <v>2152</v>
      </c>
      <c r="AF394">
        <v>17</v>
      </c>
      <c r="AH394" t="s">
        <v>2224</v>
      </c>
      <c r="AI394" t="s">
        <v>233</v>
      </c>
      <c r="AJ394" t="s">
        <v>233</v>
      </c>
      <c r="AL394" t="s">
        <v>2231</v>
      </c>
      <c r="AM394" t="s">
        <v>2236</v>
      </c>
      <c r="AN394">
        <v>0</v>
      </c>
      <c r="AO394">
        <v>395</v>
      </c>
      <c r="AP394">
        <v>0.55</v>
      </c>
      <c r="AR394" t="s">
        <v>2628</v>
      </c>
      <c r="AS394" t="s">
        <v>3042</v>
      </c>
      <c r="AT394">
        <v>80</v>
      </c>
      <c r="AU394" t="s">
        <v>3107</v>
      </c>
      <c r="AV394">
        <v>3</v>
      </c>
      <c r="AW394">
        <v>0</v>
      </c>
      <c r="AX394">
        <v>61.36</v>
      </c>
      <c r="BB394" t="s">
        <v>252</v>
      </c>
      <c r="BC394" t="s">
        <v>3130</v>
      </c>
      <c r="BD394">
        <v>13089</v>
      </c>
      <c r="BH394" t="s">
        <v>3181</v>
      </c>
      <c r="BK394" t="s">
        <v>3263</v>
      </c>
      <c r="BL394" t="s">
        <v>3275</v>
      </c>
      <c r="BM394" t="s">
        <v>311</v>
      </c>
    </row>
    <row r="395" spans="1:65">
      <c r="A395" s="1">
        <f>HYPERLINK("https://lsnyc.legalserver.org/matter/dynamic-profile/view/1906931","19-1906931")</f>
        <v>0</v>
      </c>
      <c r="B395" t="s">
        <v>67</v>
      </c>
      <c r="C395" t="s">
        <v>151</v>
      </c>
      <c r="D395" t="s">
        <v>170</v>
      </c>
      <c r="E395" t="s">
        <v>172</v>
      </c>
      <c r="F395" t="s">
        <v>183</v>
      </c>
      <c r="G395" t="s">
        <v>172</v>
      </c>
      <c r="H395" t="s">
        <v>221</v>
      </c>
      <c r="I395" t="s">
        <v>172</v>
      </c>
      <c r="J395" t="s">
        <v>231</v>
      </c>
      <c r="K395" t="s">
        <v>172</v>
      </c>
      <c r="L395" t="s">
        <v>297</v>
      </c>
      <c r="M395" t="s">
        <v>232</v>
      </c>
      <c r="N395" t="s">
        <v>311</v>
      </c>
      <c r="O395" t="s">
        <v>172</v>
      </c>
      <c r="P395" t="s">
        <v>314</v>
      </c>
      <c r="Q395" t="s">
        <v>322</v>
      </c>
      <c r="T395" t="s">
        <v>673</v>
      </c>
      <c r="U395" t="s">
        <v>989</v>
      </c>
      <c r="V395" t="s">
        <v>199</v>
      </c>
      <c r="W395" t="s">
        <v>183</v>
      </c>
      <c r="X395" t="s">
        <v>1113</v>
      </c>
      <c r="Y395" t="s">
        <v>1496</v>
      </c>
      <c r="AA395" t="s">
        <v>1759</v>
      </c>
      <c r="AB395" t="s">
        <v>1786</v>
      </c>
      <c r="AC395">
        <v>11416</v>
      </c>
      <c r="AD395" t="s">
        <v>1787</v>
      </c>
      <c r="AE395" t="s">
        <v>2153</v>
      </c>
      <c r="AF395">
        <v>2</v>
      </c>
      <c r="AG395" t="s">
        <v>2214</v>
      </c>
      <c r="AH395" t="s">
        <v>2225</v>
      </c>
      <c r="AI395" t="s">
        <v>233</v>
      </c>
      <c r="AJ395" t="s">
        <v>233</v>
      </c>
      <c r="AL395" t="s">
        <v>2230</v>
      </c>
      <c r="AM395" t="s">
        <v>2238</v>
      </c>
      <c r="AN395">
        <v>0</v>
      </c>
      <c r="AO395">
        <v>1268</v>
      </c>
      <c r="AP395">
        <v>1.25</v>
      </c>
      <c r="AQ395" t="s">
        <v>2242</v>
      </c>
      <c r="AR395" t="s">
        <v>2629</v>
      </c>
      <c r="AS395" t="s">
        <v>3043</v>
      </c>
      <c r="AT395">
        <v>2</v>
      </c>
      <c r="AU395" t="s">
        <v>3108</v>
      </c>
      <c r="AV395">
        <v>1</v>
      </c>
      <c r="AW395">
        <v>1</v>
      </c>
      <c r="AX395">
        <v>40.73</v>
      </c>
      <c r="BB395" t="s">
        <v>3125</v>
      </c>
      <c r="BC395" t="s">
        <v>3130</v>
      </c>
      <c r="BD395">
        <v>6888</v>
      </c>
      <c r="BH395" t="s">
        <v>3181</v>
      </c>
      <c r="BK395" t="s">
        <v>3260</v>
      </c>
      <c r="BL395" t="s">
        <v>183</v>
      </c>
      <c r="BM395" t="s">
        <v>311</v>
      </c>
    </row>
    <row r="396" spans="1:65">
      <c r="A396" s="1">
        <f>HYPERLINK("https://lsnyc.legalserver.org/matter/dynamic-profile/view/1907640","19-1907640")</f>
        <v>0</v>
      </c>
      <c r="B396" t="s">
        <v>67</v>
      </c>
      <c r="C396" t="s">
        <v>147</v>
      </c>
      <c r="D396" t="s">
        <v>170</v>
      </c>
      <c r="E396" t="s">
        <v>171</v>
      </c>
      <c r="G396" t="s">
        <v>172</v>
      </c>
      <c r="H396" t="s">
        <v>221</v>
      </c>
      <c r="I396" t="s">
        <v>230</v>
      </c>
      <c r="J396" t="s">
        <v>232</v>
      </c>
      <c r="K396" t="s">
        <v>234</v>
      </c>
      <c r="M396" t="s">
        <v>232</v>
      </c>
      <c r="O396" t="s">
        <v>172</v>
      </c>
      <c r="P396" t="s">
        <v>316</v>
      </c>
      <c r="Q396" t="s">
        <v>321</v>
      </c>
      <c r="T396" t="s">
        <v>616</v>
      </c>
      <c r="U396" t="s">
        <v>1041</v>
      </c>
      <c r="V396" t="s">
        <v>190</v>
      </c>
      <c r="X396" t="s">
        <v>1112</v>
      </c>
      <c r="Y396" t="s">
        <v>1497</v>
      </c>
      <c r="AA396" t="s">
        <v>1757</v>
      </c>
      <c r="AB396" t="s">
        <v>1786</v>
      </c>
      <c r="AC396">
        <v>11434</v>
      </c>
      <c r="AD396" t="s">
        <v>1790</v>
      </c>
      <c r="AE396" t="s">
        <v>2154</v>
      </c>
      <c r="AF396">
        <v>33</v>
      </c>
      <c r="AH396" t="s">
        <v>2224</v>
      </c>
      <c r="AI396" t="s">
        <v>233</v>
      </c>
      <c r="AL396" t="s">
        <v>2230</v>
      </c>
      <c r="AN396">
        <v>0</v>
      </c>
      <c r="AO396">
        <v>1089</v>
      </c>
      <c r="AP396">
        <v>5.43</v>
      </c>
      <c r="AR396" t="s">
        <v>2630</v>
      </c>
      <c r="AS396" t="s">
        <v>3044</v>
      </c>
      <c r="AT396">
        <v>5000</v>
      </c>
      <c r="AU396" t="s">
        <v>3105</v>
      </c>
      <c r="AV396">
        <v>2</v>
      </c>
      <c r="AW396">
        <v>0</v>
      </c>
      <c r="AX396">
        <v>260.2</v>
      </c>
      <c r="BB396" t="s">
        <v>252</v>
      </c>
      <c r="BC396" t="s">
        <v>3130</v>
      </c>
      <c r="BD396">
        <v>44000</v>
      </c>
      <c r="BH396" t="s">
        <v>3180</v>
      </c>
      <c r="BK396" t="s">
        <v>3198</v>
      </c>
      <c r="BL396" t="s">
        <v>3275</v>
      </c>
    </row>
    <row r="397" spans="1:65">
      <c r="A397" s="1">
        <f>HYPERLINK("https://lsnyc.legalserver.org/matter/dynamic-profile/view/1904957","19-1904957")</f>
        <v>0</v>
      </c>
      <c r="B397" t="s">
        <v>67</v>
      </c>
      <c r="C397" t="s">
        <v>151</v>
      </c>
      <c r="D397" t="s">
        <v>170</v>
      </c>
      <c r="E397" t="s">
        <v>172</v>
      </c>
      <c r="F397" t="s">
        <v>184</v>
      </c>
      <c r="G397" t="s">
        <v>172</v>
      </c>
      <c r="H397" t="s">
        <v>220</v>
      </c>
      <c r="I397" t="s">
        <v>172</v>
      </c>
      <c r="J397" t="s">
        <v>231</v>
      </c>
      <c r="K397" t="s">
        <v>172</v>
      </c>
      <c r="L397" t="s">
        <v>298</v>
      </c>
      <c r="M397" t="s">
        <v>232</v>
      </c>
      <c r="N397" t="s">
        <v>311</v>
      </c>
      <c r="O397" t="s">
        <v>172</v>
      </c>
      <c r="P397" t="s">
        <v>314</v>
      </c>
      <c r="Q397" t="s">
        <v>322</v>
      </c>
      <c r="T397" t="s">
        <v>674</v>
      </c>
      <c r="U397" t="s">
        <v>1042</v>
      </c>
      <c r="V397" t="s">
        <v>187</v>
      </c>
      <c r="W397" t="s">
        <v>184</v>
      </c>
      <c r="X397" t="s">
        <v>1113</v>
      </c>
      <c r="Y397" t="s">
        <v>1498</v>
      </c>
      <c r="Z397" t="s">
        <v>1737</v>
      </c>
      <c r="AA397" t="s">
        <v>1757</v>
      </c>
      <c r="AB397" t="s">
        <v>1786</v>
      </c>
      <c r="AC397">
        <v>11433</v>
      </c>
      <c r="AD397" t="s">
        <v>1788</v>
      </c>
      <c r="AE397" t="s">
        <v>2155</v>
      </c>
      <c r="AF397">
        <v>3</v>
      </c>
      <c r="AG397" t="s">
        <v>2214</v>
      </c>
      <c r="AH397" t="s">
        <v>2224</v>
      </c>
      <c r="AI397" t="s">
        <v>233</v>
      </c>
      <c r="AJ397" t="s">
        <v>233</v>
      </c>
      <c r="AL397" t="s">
        <v>2230</v>
      </c>
      <c r="AM397" t="s">
        <v>2236</v>
      </c>
      <c r="AN397">
        <v>0</v>
      </c>
      <c r="AO397">
        <v>1000</v>
      </c>
      <c r="AP397">
        <v>2.5</v>
      </c>
      <c r="AQ397" t="s">
        <v>2242</v>
      </c>
      <c r="AR397" t="s">
        <v>2631</v>
      </c>
      <c r="AS397" t="s">
        <v>3045</v>
      </c>
      <c r="AT397">
        <v>2</v>
      </c>
      <c r="AU397" t="s">
        <v>3108</v>
      </c>
      <c r="AV397">
        <v>1</v>
      </c>
      <c r="AW397">
        <v>0</v>
      </c>
      <c r="AX397">
        <v>19.05</v>
      </c>
      <c r="BB397" t="s">
        <v>252</v>
      </c>
      <c r="BC397" t="s">
        <v>3130</v>
      </c>
      <c r="BD397">
        <v>2379</v>
      </c>
      <c r="BH397" t="s">
        <v>3181</v>
      </c>
      <c r="BK397" t="s">
        <v>3260</v>
      </c>
      <c r="BL397" t="s">
        <v>184</v>
      </c>
      <c r="BM397" t="s">
        <v>311</v>
      </c>
    </row>
    <row r="398" spans="1:65">
      <c r="A398" s="1">
        <f>HYPERLINK("https://lsnyc.legalserver.org/matter/dynamic-profile/view/1905851","19-1905851")</f>
        <v>0</v>
      </c>
      <c r="B398" t="s">
        <v>67</v>
      </c>
      <c r="C398" t="s">
        <v>157</v>
      </c>
      <c r="D398" t="s">
        <v>170</v>
      </c>
      <c r="E398" t="s">
        <v>171</v>
      </c>
      <c r="G398" t="s">
        <v>172</v>
      </c>
      <c r="H398" t="s">
        <v>220</v>
      </c>
      <c r="I398" t="s">
        <v>172</v>
      </c>
      <c r="J398" t="s">
        <v>231</v>
      </c>
      <c r="K398" t="s">
        <v>234</v>
      </c>
      <c r="M398" t="s">
        <v>232</v>
      </c>
      <c r="O398" t="s">
        <v>313</v>
      </c>
      <c r="P398" t="s">
        <v>315</v>
      </c>
      <c r="Q398" t="s">
        <v>321</v>
      </c>
      <c r="T398" t="s">
        <v>675</v>
      </c>
      <c r="U398" t="s">
        <v>1043</v>
      </c>
      <c r="V398" t="s">
        <v>211</v>
      </c>
      <c r="X398" t="s">
        <v>1112</v>
      </c>
      <c r="Y398" t="s">
        <v>1499</v>
      </c>
      <c r="Z398">
        <v>6</v>
      </c>
      <c r="AA398" t="s">
        <v>1760</v>
      </c>
      <c r="AB398" t="s">
        <v>1786</v>
      </c>
      <c r="AC398">
        <v>11355</v>
      </c>
      <c r="AD398" t="s">
        <v>1787</v>
      </c>
      <c r="AE398" t="s">
        <v>2156</v>
      </c>
      <c r="AF398">
        <v>1</v>
      </c>
      <c r="AH398" t="s">
        <v>2225</v>
      </c>
      <c r="AI398" t="s">
        <v>233</v>
      </c>
      <c r="AJ398" t="s">
        <v>233</v>
      </c>
      <c r="AL398" t="s">
        <v>2230</v>
      </c>
      <c r="AM398" t="s">
        <v>2236</v>
      </c>
      <c r="AN398">
        <v>0</v>
      </c>
      <c r="AO398">
        <v>800</v>
      </c>
      <c r="AP398">
        <v>1.6</v>
      </c>
      <c r="AR398" t="s">
        <v>2632</v>
      </c>
      <c r="AS398" t="s">
        <v>3046</v>
      </c>
      <c r="AT398">
        <v>0</v>
      </c>
      <c r="AU398" t="s">
        <v>3108</v>
      </c>
      <c r="AV398">
        <v>1</v>
      </c>
      <c r="AW398">
        <v>0</v>
      </c>
      <c r="AX398">
        <v>52.84</v>
      </c>
      <c r="BC398" t="s">
        <v>3138</v>
      </c>
      <c r="BD398">
        <v>6600</v>
      </c>
      <c r="BH398" t="s">
        <v>157</v>
      </c>
      <c r="BK398" t="s">
        <v>3242</v>
      </c>
      <c r="BL398" t="s">
        <v>208</v>
      </c>
    </row>
    <row r="399" spans="1:65">
      <c r="A399" s="1">
        <f>HYPERLINK("https://lsnyc.legalserver.org/matter/dynamic-profile/view/1908284","19-1908284")</f>
        <v>0</v>
      </c>
      <c r="B399" t="s">
        <v>67</v>
      </c>
      <c r="C399" t="s">
        <v>158</v>
      </c>
      <c r="D399" t="s">
        <v>170</v>
      </c>
      <c r="E399" t="s">
        <v>172</v>
      </c>
      <c r="F399" t="s">
        <v>185</v>
      </c>
      <c r="G399" t="s">
        <v>172</v>
      </c>
      <c r="H399" t="s">
        <v>220</v>
      </c>
      <c r="I399" t="s">
        <v>172</v>
      </c>
      <c r="J399" t="s">
        <v>231</v>
      </c>
      <c r="K399" t="s">
        <v>172</v>
      </c>
      <c r="L399" t="s">
        <v>299</v>
      </c>
      <c r="M399" t="s">
        <v>232</v>
      </c>
      <c r="N399" t="s">
        <v>311</v>
      </c>
      <c r="O399" t="s">
        <v>313</v>
      </c>
      <c r="P399" t="s">
        <v>315</v>
      </c>
      <c r="Q399" t="s">
        <v>321</v>
      </c>
      <c r="T399" t="s">
        <v>676</v>
      </c>
      <c r="U399" t="s">
        <v>1044</v>
      </c>
      <c r="V399" t="s">
        <v>185</v>
      </c>
      <c r="X399" t="s">
        <v>1112</v>
      </c>
      <c r="Y399" t="s">
        <v>1500</v>
      </c>
      <c r="Z399" t="s">
        <v>1738</v>
      </c>
      <c r="AA399" t="s">
        <v>1772</v>
      </c>
      <c r="AB399" t="s">
        <v>1786</v>
      </c>
      <c r="AC399">
        <v>11420</v>
      </c>
      <c r="AD399" t="s">
        <v>1787</v>
      </c>
      <c r="AE399" t="s">
        <v>2157</v>
      </c>
      <c r="AF399">
        <v>1</v>
      </c>
      <c r="AH399" t="s">
        <v>2225</v>
      </c>
      <c r="AI399" t="s">
        <v>233</v>
      </c>
      <c r="AJ399" t="s">
        <v>233</v>
      </c>
      <c r="AL399" t="s">
        <v>2230</v>
      </c>
      <c r="AN399">
        <v>0</v>
      </c>
      <c r="AO399">
        <v>2500</v>
      </c>
      <c r="AP399">
        <v>0.7</v>
      </c>
      <c r="AR399" t="s">
        <v>2633</v>
      </c>
      <c r="AS399" t="s">
        <v>3047</v>
      </c>
      <c r="AT399">
        <v>2</v>
      </c>
      <c r="AU399" t="s">
        <v>3109</v>
      </c>
      <c r="AV399">
        <v>2</v>
      </c>
      <c r="AW399">
        <v>2</v>
      </c>
      <c r="AX399">
        <v>97.09</v>
      </c>
      <c r="BB399" t="s">
        <v>252</v>
      </c>
      <c r="BC399" t="s">
        <v>3130</v>
      </c>
      <c r="BD399">
        <v>25000</v>
      </c>
      <c r="BH399" t="s">
        <v>3181</v>
      </c>
      <c r="BK399" t="s">
        <v>3215</v>
      </c>
      <c r="BL399" t="s">
        <v>1109</v>
      </c>
      <c r="BM399" t="s">
        <v>311</v>
      </c>
    </row>
    <row r="400" spans="1:65">
      <c r="A400" s="1">
        <f>HYPERLINK("https://lsnyc.legalserver.org/matter/dynamic-profile/view/1905844","19-1905844")</f>
        <v>0</v>
      </c>
      <c r="B400" t="s">
        <v>67</v>
      </c>
      <c r="C400" t="s">
        <v>158</v>
      </c>
      <c r="D400" t="s">
        <v>170</v>
      </c>
      <c r="E400" t="s">
        <v>172</v>
      </c>
      <c r="F400" t="s">
        <v>211</v>
      </c>
      <c r="G400" t="s">
        <v>172</v>
      </c>
      <c r="H400" t="s">
        <v>221</v>
      </c>
      <c r="I400" t="s">
        <v>172</v>
      </c>
      <c r="J400" t="s">
        <v>231</v>
      </c>
      <c r="K400" t="s">
        <v>172</v>
      </c>
      <c r="L400" t="s">
        <v>300</v>
      </c>
      <c r="M400" t="s">
        <v>232</v>
      </c>
      <c r="N400" t="s">
        <v>311</v>
      </c>
      <c r="O400" t="s">
        <v>313</v>
      </c>
      <c r="P400" t="s">
        <v>315</v>
      </c>
      <c r="Q400" t="s">
        <v>321</v>
      </c>
      <c r="T400" t="s">
        <v>677</v>
      </c>
      <c r="U400" t="s">
        <v>1045</v>
      </c>
      <c r="V400" t="s">
        <v>211</v>
      </c>
      <c r="X400" t="s">
        <v>1112</v>
      </c>
      <c r="Y400" t="s">
        <v>1501</v>
      </c>
      <c r="Z400" t="s">
        <v>1739</v>
      </c>
      <c r="AA400" t="s">
        <v>1763</v>
      </c>
      <c r="AB400" t="s">
        <v>1786</v>
      </c>
      <c r="AC400">
        <v>11368</v>
      </c>
      <c r="AD400" t="s">
        <v>1787</v>
      </c>
      <c r="AE400" t="s">
        <v>2158</v>
      </c>
      <c r="AF400">
        <v>10</v>
      </c>
      <c r="AH400" t="s">
        <v>2225</v>
      </c>
      <c r="AI400" t="s">
        <v>233</v>
      </c>
      <c r="AJ400" t="s">
        <v>233</v>
      </c>
      <c r="AL400" t="s">
        <v>2230</v>
      </c>
      <c r="AM400" t="s">
        <v>2238</v>
      </c>
      <c r="AN400">
        <v>0</v>
      </c>
      <c r="AO400">
        <v>1888</v>
      </c>
      <c r="AP400">
        <v>0.3</v>
      </c>
      <c r="AR400" t="s">
        <v>2634</v>
      </c>
      <c r="AS400" t="s">
        <v>3048</v>
      </c>
      <c r="AT400">
        <v>180</v>
      </c>
      <c r="AU400" t="s">
        <v>3109</v>
      </c>
      <c r="AV400">
        <v>2</v>
      </c>
      <c r="AW400">
        <v>0</v>
      </c>
      <c r="AX400">
        <v>193.87</v>
      </c>
      <c r="BB400" t="s">
        <v>3122</v>
      </c>
      <c r="BC400" t="s">
        <v>3130</v>
      </c>
      <c r="BD400">
        <v>32784</v>
      </c>
      <c r="BH400" t="s">
        <v>3181</v>
      </c>
      <c r="BK400" t="s">
        <v>3264</v>
      </c>
      <c r="BL400" t="s">
        <v>211</v>
      </c>
      <c r="BM400" t="s">
        <v>311</v>
      </c>
    </row>
    <row r="401" spans="1:65">
      <c r="A401" s="1">
        <f>HYPERLINK("https://lsnyc.legalserver.org/matter/dynamic-profile/view/1907138","19-1907138")</f>
        <v>0</v>
      </c>
      <c r="B401" t="s">
        <v>67</v>
      </c>
      <c r="C401" t="s">
        <v>159</v>
      </c>
      <c r="D401" t="s">
        <v>170</v>
      </c>
      <c r="E401" t="s">
        <v>172</v>
      </c>
      <c r="F401" t="s">
        <v>184</v>
      </c>
      <c r="G401" t="s">
        <v>172</v>
      </c>
      <c r="H401" t="s">
        <v>226</v>
      </c>
      <c r="I401" t="s">
        <v>172</v>
      </c>
      <c r="J401" t="s">
        <v>231</v>
      </c>
      <c r="K401" t="s">
        <v>172</v>
      </c>
      <c r="M401" t="s">
        <v>232</v>
      </c>
      <c r="N401" t="s">
        <v>311</v>
      </c>
      <c r="O401" t="s">
        <v>172</v>
      </c>
      <c r="P401" t="s">
        <v>314</v>
      </c>
      <c r="Q401" t="s">
        <v>322</v>
      </c>
      <c r="T401" t="s">
        <v>678</v>
      </c>
      <c r="U401" t="s">
        <v>1046</v>
      </c>
      <c r="V401" t="s">
        <v>184</v>
      </c>
      <c r="W401" t="s">
        <v>206</v>
      </c>
      <c r="X401" t="s">
        <v>1113</v>
      </c>
      <c r="Y401" t="s">
        <v>1502</v>
      </c>
      <c r="AA401" t="s">
        <v>1757</v>
      </c>
      <c r="AB401" t="s">
        <v>1786</v>
      </c>
      <c r="AC401">
        <v>11435</v>
      </c>
      <c r="AD401" t="s">
        <v>1799</v>
      </c>
      <c r="AE401" t="s">
        <v>293</v>
      </c>
      <c r="AF401">
        <v>7</v>
      </c>
      <c r="AG401" t="s">
        <v>2214</v>
      </c>
      <c r="AH401" t="s">
        <v>2225</v>
      </c>
      <c r="AI401" t="s">
        <v>233</v>
      </c>
      <c r="AJ401" t="s">
        <v>233</v>
      </c>
      <c r="AL401" t="s">
        <v>2230</v>
      </c>
      <c r="AN401">
        <v>0</v>
      </c>
      <c r="AO401">
        <v>1650</v>
      </c>
      <c r="AP401">
        <v>1.6</v>
      </c>
      <c r="AQ401" t="s">
        <v>2242</v>
      </c>
      <c r="AR401" t="s">
        <v>2635</v>
      </c>
      <c r="AS401" t="s">
        <v>3049</v>
      </c>
      <c r="AT401">
        <v>2</v>
      </c>
      <c r="AU401" t="s">
        <v>3108</v>
      </c>
      <c r="AV401">
        <v>4</v>
      </c>
      <c r="AW401">
        <v>4</v>
      </c>
      <c r="AX401">
        <v>179.6</v>
      </c>
      <c r="BB401" t="s">
        <v>252</v>
      </c>
      <c r="BC401" t="s">
        <v>3130</v>
      </c>
      <c r="BD401">
        <v>78000</v>
      </c>
      <c r="BH401" t="s">
        <v>159</v>
      </c>
      <c r="BK401" t="s">
        <v>3198</v>
      </c>
      <c r="BL401" t="s">
        <v>3275</v>
      </c>
      <c r="BM401" t="s">
        <v>311</v>
      </c>
    </row>
    <row r="402" spans="1:65">
      <c r="A402" s="1">
        <f>HYPERLINK("https://lsnyc.legalserver.org/matter/dynamic-profile/view/1906439","19-1906439")</f>
        <v>0</v>
      </c>
      <c r="B402" t="s">
        <v>67</v>
      </c>
      <c r="C402" t="s">
        <v>159</v>
      </c>
      <c r="D402" t="s">
        <v>170</v>
      </c>
      <c r="E402" t="s">
        <v>171</v>
      </c>
      <c r="G402" t="s">
        <v>172</v>
      </c>
      <c r="H402" t="s">
        <v>220</v>
      </c>
      <c r="I402" t="s">
        <v>172</v>
      </c>
      <c r="J402" t="s">
        <v>231</v>
      </c>
      <c r="K402" t="s">
        <v>234</v>
      </c>
      <c r="M402" t="s">
        <v>232</v>
      </c>
      <c r="O402" t="s">
        <v>313</v>
      </c>
      <c r="Q402" t="s">
        <v>321</v>
      </c>
      <c r="T402" t="s">
        <v>679</v>
      </c>
      <c r="U402" t="s">
        <v>1047</v>
      </c>
      <c r="V402" t="s">
        <v>178</v>
      </c>
      <c r="X402" t="s">
        <v>1112</v>
      </c>
      <c r="AA402" t="s">
        <v>1773</v>
      </c>
      <c r="AB402" t="s">
        <v>1786</v>
      </c>
      <c r="AC402">
        <v>11356</v>
      </c>
      <c r="AD402" t="s">
        <v>1787</v>
      </c>
      <c r="AE402" t="s">
        <v>2159</v>
      </c>
      <c r="AF402">
        <v>23</v>
      </c>
      <c r="AH402" t="s">
        <v>2225</v>
      </c>
      <c r="AI402" t="s">
        <v>233</v>
      </c>
      <c r="AL402" t="s">
        <v>2230</v>
      </c>
      <c r="AN402">
        <v>0</v>
      </c>
      <c r="AO402">
        <v>1450</v>
      </c>
      <c r="AP402">
        <v>1</v>
      </c>
      <c r="AR402" t="s">
        <v>2262</v>
      </c>
      <c r="AS402" t="s">
        <v>3050</v>
      </c>
      <c r="AT402">
        <v>2</v>
      </c>
      <c r="AU402" t="s">
        <v>3108</v>
      </c>
      <c r="AV402">
        <v>3</v>
      </c>
      <c r="AW402">
        <v>0</v>
      </c>
      <c r="AX402">
        <v>150.89</v>
      </c>
      <c r="BB402" t="s">
        <v>252</v>
      </c>
      <c r="BC402" t="s">
        <v>3130</v>
      </c>
      <c r="BD402">
        <v>32184</v>
      </c>
      <c r="BH402" t="s">
        <v>159</v>
      </c>
      <c r="BK402" t="s">
        <v>3265</v>
      </c>
      <c r="BL402" t="s">
        <v>178</v>
      </c>
    </row>
    <row r="403" spans="1:65">
      <c r="A403" s="1">
        <f>HYPERLINK("https://lsnyc.legalserver.org/matter/dynamic-profile/view/1908174","19-1908174")</f>
        <v>0</v>
      </c>
      <c r="B403" t="s">
        <v>67</v>
      </c>
      <c r="C403" t="s">
        <v>159</v>
      </c>
      <c r="D403" t="s">
        <v>170</v>
      </c>
      <c r="E403" t="s">
        <v>171</v>
      </c>
      <c r="G403" t="s">
        <v>172</v>
      </c>
      <c r="H403" t="s">
        <v>221</v>
      </c>
      <c r="I403" t="s">
        <v>230</v>
      </c>
      <c r="J403" t="s">
        <v>232</v>
      </c>
      <c r="K403" t="s">
        <v>234</v>
      </c>
      <c r="M403" t="s">
        <v>232</v>
      </c>
      <c r="O403" t="s">
        <v>172</v>
      </c>
      <c r="P403" t="s">
        <v>318</v>
      </c>
      <c r="Q403" t="s">
        <v>321</v>
      </c>
      <c r="T403" t="s">
        <v>665</v>
      </c>
      <c r="U403" t="s">
        <v>1032</v>
      </c>
      <c r="V403" t="s">
        <v>1100</v>
      </c>
      <c r="X403" t="s">
        <v>1112</v>
      </c>
      <c r="Y403" t="s">
        <v>1483</v>
      </c>
      <c r="Z403" t="s">
        <v>1588</v>
      </c>
      <c r="AA403" t="s">
        <v>1767</v>
      </c>
      <c r="AB403" t="s">
        <v>1786</v>
      </c>
      <c r="AC403">
        <v>11361</v>
      </c>
      <c r="AD403" t="s">
        <v>1787</v>
      </c>
      <c r="AE403" t="s">
        <v>2160</v>
      </c>
      <c r="AF403">
        <v>4</v>
      </c>
      <c r="AH403" t="s">
        <v>2225</v>
      </c>
      <c r="AI403" t="s">
        <v>233</v>
      </c>
      <c r="AL403" t="s">
        <v>2230</v>
      </c>
      <c r="AN403">
        <v>0</v>
      </c>
      <c r="AO403">
        <v>1878</v>
      </c>
      <c r="AP403">
        <v>6</v>
      </c>
      <c r="AR403" t="s">
        <v>2616</v>
      </c>
      <c r="AS403" t="s">
        <v>3032</v>
      </c>
      <c r="AT403">
        <v>14</v>
      </c>
      <c r="AU403" t="s">
        <v>3106</v>
      </c>
      <c r="AV403">
        <v>1</v>
      </c>
      <c r="AW403">
        <v>2</v>
      </c>
      <c r="AX403">
        <v>56.26</v>
      </c>
      <c r="BB403" t="s">
        <v>252</v>
      </c>
      <c r="BC403" t="s">
        <v>3130</v>
      </c>
      <c r="BD403">
        <v>12000</v>
      </c>
      <c r="BH403" t="s">
        <v>159</v>
      </c>
      <c r="BK403" t="s">
        <v>3266</v>
      </c>
      <c r="BL403" t="s">
        <v>207</v>
      </c>
    </row>
    <row r="404" spans="1:65">
      <c r="A404" s="1">
        <f>HYPERLINK("https://lsnyc.legalserver.org/matter/dynamic-profile/view/1907179","19-1907179")</f>
        <v>0</v>
      </c>
      <c r="B404" t="s">
        <v>67</v>
      </c>
      <c r="C404" t="s">
        <v>159</v>
      </c>
      <c r="D404" t="s">
        <v>170</v>
      </c>
      <c r="E404" t="s">
        <v>171</v>
      </c>
      <c r="G404" t="s">
        <v>172</v>
      </c>
      <c r="H404" t="s">
        <v>221</v>
      </c>
      <c r="I404" t="s">
        <v>172</v>
      </c>
      <c r="J404" t="s">
        <v>231</v>
      </c>
      <c r="K404" t="s">
        <v>234</v>
      </c>
      <c r="M404" t="s">
        <v>232</v>
      </c>
      <c r="O404" t="s">
        <v>172</v>
      </c>
      <c r="P404" t="s">
        <v>318</v>
      </c>
      <c r="Q404" t="s">
        <v>321</v>
      </c>
      <c r="T404" t="s">
        <v>680</v>
      </c>
      <c r="U404" t="s">
        <v>1048</v>
      </c>
      <c r="V404" t="s">
        <v>199</v>
      </c>
      <c r="X404" t="s">
        <v>1112</v>
      </c>
      <c r="Y404" t="s">
        <v>1503</v>
      </c>
      <c r="Z404" t="s">
        <v>1740</v>
      </c>
      <c r="AA404" t="s">
        <v>1771</v>
      </c>
      <c r="AB404" t="s">
        <v>1786</v>
      </c>
      <c r="AC404">
        <v>11385</v>
      </c>
      <c r="AD404" t="s">
        <v>1797</v>
      </c>
      <c r="AE404" t="s">
        <v>2161</v>
      </c>
      <c r="AF404">
        <v>23</v>
      </c>
      <c r="AH404" t="s">
        <v>2225</v>
      </c>
      <c r="AI404" t="s">
        <v>233</v>
      </c>
      <c r="AL404" t="s">
        <v>2230</v>
      </c>
      <c r="AN404">
        <v>0</v>
      </c>
      <c r="AO404">
        <v>1044</v>
      </c>
      <c r="AP404">
        <v>7.7</v>
      </c>
      <c r="AR404" t="s">
        <v>2636</v>
      </c>
      <c r="AS404" t="s">
        <v>3051</v>
      </c>
      <c r="AT404">
        <v>6</v>
      </c>
      <c r="AU404" t="s">
        <v>3106</v>
      </c>
      <c r="AV404">
        <v>1</v>
      </c>
      <c r="AW404">
        <v>0</v>
      </c>
      <c r="AX404">
        <v>249.8</v>
      </c>
      <c r="BB404" t="s">
        <v>252</v>
      </c>
      <c r="BC404" t="s">
        <v>3131</v>
      </c>
      <c r="BD404">
        <v>31200</v>
      </c>
      <c r="BH404" t="s">
        <v>159</v>
      </c>
      <c r="BK404" t="s">
        <v>3198</v>
      </c>
      <c r="BL404" t="s">
        <v>3275</v>
      </c>
    </row>
    <row r="405" spans="1:65">
      <c r="A405" s="1">
        <f>HYPERLINK("https://lsnyc.legalserver.org/matter/dynamic-profile/view/1907947","19-1907947")</f>
        <v>0</v>
      </c>
      <c r="B405" t="s">
        <v>67</v>
      </c>
      <c r="C405" t="s">
        <v>159</v>
      </c>
      <c r="D405" t="s">
        <v>170</v>
      </c>
      <c r="E405" t="s">
        <v>171</v>
      </c>
      <c r="G405" t="s">
        <v>219</v>
      </c>
      <c r="I405" t="s">
        <v>230</v>
      </c>
      <c r="J405" t="s">
        <v>233</v>
      </c>
      <c r="K405" t="s">
        <v>234</v>
      </c>
      <c r="M405" t="s">
        <v>232</v>
      </c>
      <c r="O405" t="s">
        <v>172</v>
      </c>
      <c r="P405" t="s">
        <v>314</v>
      </c>
      <c r="Q405" t="s">
        <v>321</v>
      </c>
      <c r="T405" t="s">
        <v>670</v>
      </c>
      <c r="U405" t="s">
        <v>1049</v>
      </c>
      <c r="V405" t="s">
        <v>192</v>
      </c>
      <c r="X405" t="s">
        <v>1112</v>
      </c>
      <c r="Y405" t="s">
        <v>1504</v>
      </c>
      <c r="Z405" t="s">
        <v>1606</v>
      </c>
      <c r="AA405" t="s">
        <v>1764</v>
      </c>
      <c r="AB405" t="s">
        <v>1786</v>
      </c>
      <c r="AC405">
        <v>11377</v>
      </c>
      <c r="AD405" t="s">
        <v>1795</v>
      </c>
      <c r="AE405" t="s">
        <v>293</v>
      </c>
      <c r="AF405">
        <v>59</v>
      </c>
      <c r="AH405" t="s">
        <v>2225</v>
      </c>
      <c r="AI405" t="s">
        <v>233</v>
      </c>
      <c r="AL405" t="s">
        <v>2230</v>
      </c>
      <c r="AN405">
        <v>0</v>
      </c>
      <c r="AO405">
        <v>1138.94</v>
      </c>
      <c r="AP405">
        <v>1</v>
      </c>
      <c r="AR405" t="s">
        <v>2637</v>
      </c>
      <c r="AS405" t="s">
        <v>2975</v>
      </c>
      <c r="AT405">
        <v>30</v>
      </c>
      <c r="AU405" t="s">
        <v>3112</v>
      </c>
      <c r="AV405">
        <v>1</v>
      </c>
      <c r="AW405">
        <v>0</v>
      </c>
      <c r="AX405">
        <v>0</v>
      </c>
      <c r="BD405">
        <v>0</v>
      </c>
      <c r="BH405" t="s">
        <v>159</v>
      </c>
      <c r="BK405" t="s">
        <v>3231</v>
      </c>
      <c r="BL405" t="s">
        <v>192</v>
      </c>
    </row>
    <row r="406" spans="1:65">
      <c r="A406" s="1">
        <f>HYPERLINK("https://lsnyc.legalserver.org/matter/dynamic-profile/view/1908337","19-1908337")</f>
        <v>0</v>
      </c>
      <c r="B406" t="s">
        <v>67</v>
      </c>
      <c r="C406" t="s">
        <v>159</v>
      </c>
      <c r="D406" t="s">
        <v>170</v>
      </c>
      <c r="E406" t="s">
        <v>171</v>
      </c>
      <c r="G406" t="s">
        <v>172</v>
      </c>
      <c r="H406" t="s">
        <v>221</v>
      </c>
      <c r="I406" t="s">
        <v>172</v>
      </c>
      <c r="J406" t="s">
        <v>231</v>
      </c>
      <c r="K406" t="s">
        <v>234</v>
      </c>
      <c r="M406" t="s">
        <v>232</v>
      </c>
      <c r="O406" t="s">
        <v>172</v>
      </c>
      <c r="P406" t="s">
        <v>314</v>
      </c>
      <c r="Q406" t="s">
        <v>321</v>
      </c>
      <c r="T406" t="s">
        <v>681</v>
      </c>
      <c r="U406" t="s">
        <v>1050</v>
      </c>
      <c r="V406" t="s">
        <v>185</v>
      </c>
      <c r="X406" t="s">
        <v>1112</v>
      </c>
      <c r="Y406" t="s">
        <v>1505</v>
      </c>
      <c r="Z406" t="s">
        <v>1620</v>
      </c>
      <c r="AA406" t="s">
        <v>1774</v>
      </c>
      <c r="AB406" t="s">
        <v>1786</v>
      </c>
      <c r="AC406">
        <v>11415</v>
      </c>
      <c r="AD406" t="s">
        <v>1787</v>
      </c>
      <c r="AE406" t="s">
        <v>2162</v>
      </c>
      <c r="AF406">
        <v>3</v>
      </c>
      <c r="AH406" t="s">
        <v>2225</v>
      </c>
      <c r="AI406" t="s">
        <v>233</v>
      </c>
      <c r="AL406" t="s">
        <v>2230</v>
      </c>
      <c r="AN406">
        <v>0</v>
      </c>
      <c r="AO406">
        <v>1875</v>
      </c>
      <c r="AP406">
        <v>0.5</v>
      </c>
      <c r="AR406" t="s">
        <v>2638</v>
      </c>
      <c r="AS406" t="s">
        <v>3052</v>
      </c>
      <c r="AT406">
        <v>108</v>
      </c>
      <c r="AV406">
        <v>1</v>
      </c>
      <c r="AW406">
        <v>2</v>
      </c>
      <c r="AX406">
        <v>73.14</v>
      </c>
      <c r="BB406" t="s">
        <v>252</v>
      </c>
      <c r="BD406">
        <v>15600</v>
      </c>
      <c r="BH406" t="s">
        <v>159</v>
      </c>
      <c r="BK406" t="s">
        <v>3224</v>
      </c>
      <c r="BL406" t="s">
        <v>185</v>
      </c>
    </row>
    <row r="407" spans="1:65">
      <c r="A407" s="1">
        <f>HYPERLINK("https://lsnyc.legalserver.org/matter/dynamic-profile/view/1907606","19-1907606")</f>
        <v>0</v>
      </c>
      <c r="B407" t="s">
        <v>67</v>
      </c>
      <c r="C407" t="s">
        <v>159</v>
      </c>
      <c r="D407" t="s">
        <v>170</v>
      </c>
      <c r="E407" t="s">
        <v>171</v>
      </c>
      <c r="G407" t="s">
        <v>172</v>
      </c>
      <c r="H407" t="s">
        <v>221</v>
      </c>
      <c r="I407" t="s">
        <v>230</v>
      </c>
      <c r="J407" t="s">
        <v>233</v>
      </c>
      <c r="K407" t="s">
        <v>234</v>
      </c>
      <c r="M407" t="s">
        <v>232</v>
      </c>
      <c r="N407" t="s">
        <v>252</v>
      </c>
      <c r="O407" t="s">
        <v>172</v>
      </c>
      <c r="P407" t="s">
        <v>314</v>
      </c>
      <c r="Q407" t="s">
        <v>321</v>
      </c>
      <c r="T407" t="s">
        <v>419</v>
      </c>
      <c r="U407" t="s">
        <v>1051</v>
      </c>
      <c r="V407" t="s">
        <v>210</v>
      </c>
      <c r="X407" t="s">
        <v>1112</v>
      </c>
      <c r="Y407" t="s">
        <v>1506</v>
      </c>
      <c r="Z407" t="s">
        <v>1741</v>
      </c>
      <c r="AA407" t="s">
        <v>1760</v>
      </c>
      <c r="AB407" t="s">
        <v>1786</v>
      </c>
      <c r="AC407">
        <v>11367</v>
      </c>
      <c r="AD407" t="s">
        <v>1795</v>
      </c>
      <c r="AE407" t="s">
        <v>2163</v>
      </c>
      <c r="AF407">
        <v>50</v>
      </c>
      <c r="AH407" t="s">
        <v>2225</v>
      </c>
      <c r="AI407" t="s">
        <v>233</v>
      </c>
      <c r="AL407" t="s">
        <v>2230</v>
      </c>
      <c r="AN407">
        <v>0</v>
      </c>
      <c r="AO407">
        <v>992.5700000000001</v>
      </c>
      <c r="AP407">
        <v>2.35</v>
      </c>
      <c r="AR407" t="s">
        <v>2639</v>
      </c>
      <c r="AS407" t="s">
        <v>3053</v>
      </c>
      <c r="AT407">
        <v>60</v>
      </c>
      <c r="AU407" t="s">
        <v>3106</v>
      </c>
      <c r="AV407">
        <v>1</v>
      </c>
      <c r="AW407">
        <v>0</v>
      </c>
      <c r="AX407">
        <v>234.52</v>
      </c>
      <c r="AY407" t="s">
        <v>3119</v>
      </c>
      <c r="AZ407" t="s">
        <v>3121</v>
      </c>
      <c r="BB407" t="s">
        <v>3122</v>
      </c>
      <c r="BD407">
        <v>29292</v>
      </c>
      <c r="BH407" t="s">
        <v>159</v>
      </c>
      <c r="BK407" t="s">
        <v>3267</v>
      </c>
      <c r="BL407" t="s">
        <v>3274</v>
      </c>
      <c r="BM407" t="s">
        <v>252</v>
      </c>
    </row>
    <row r="408" spans="1:65">
      <c r="A408" s="1">
        <f>HYPERLINK("https://lsnyc.legalserver.org/matter/dynamic-profile/view/1906411","19-1906411")</f>
        <v>0</v>
      </c>
      <c r="B408" t="s">
        <v>67</v>
      </c>
      <c r="C408" t="s">
        <v>157</v>
      </c>
      <c r="D408" t="s">
        <v>170</v>
      </c>
      <c r="E408" t="s">
        <v>172</v>
      </c>
      <c r="F408" t="s">
        <v>178</v>
      </c>
      <c r="G408" t="s">
        <v>172</v>
      </c>
      <c r="H408" t="s">
        <v>220</v>
      </c>
      <c r="I408" t="s">
        <v>172</v>
      </c>
      <c r="J408" t="s">
        <v>231</v>
      </c>
      <c r="K408" t="s">
        <v>172</v>
      </c>
      <c r="M408" t="s">
        <v>232</v>
      </c>
      <c r="N408" t="s">
        <v>311</v>
      </c>
      <c r="O408" t="s">
        <v>172</v>
      </c>
      <c r="P408" t="s">
        <v>314</v>
      </c>
      <c r="Q408" t="s">
        <v>322</v>
      </c>
      <c r="T408" t="s">
        <v>682</v>
      </c>
      <c r="U408" t="s">
        <v>1052</v>
      </c>
      <c r="V408" t="s">
        <v>178</v>
      </c>
      <c r="W408" t="s">
        <v>207</v>
      </c>
      <c r="X408" t="s">
        <v>1113</v>
      </c>
      <c r="Y408" t="s">
        <v>1507</v>
      </c>
      <c r="Z408" t="s">
        <v>1742</v>
      </c>
      <c r="AA408" t="s">
        <v>1775</v>
      </c>
      <c r="AB408" t="s">
        <v>1786</v>
      </c>
      <c r="AC408">
        <v>11412</v>
      </c>
      <c r="AD408" t="s">
        <v>1787</v>
      </c>
      <c r="AE408" t="s">
        <v>2164</v>
      </c>
      <c r="AF408">
        <v>11</v>
      </c>
      <c r="AG408" t="s">
        <v>2214</v>
      </c>
      <c r="AH408" t="s">
        <v>2225</v>
      </c>
      <c r="AI408" t="s">
        <v>233</v>
      </c>
      <c r="AJ408" t="s">
        <v>233</v>
      </c>
      <c r="AL408" t="s">
        <v>2230</v>
      </c>
      <c r="AN408">
        <v>0</v>
      </c>
      <c r="AO408">
        <v>900</v>
      </c>
      <c r="AP408">
        <v>2.6</v>
      </c>
      <c r="AQ408" t="s">
        <v>2242</v>
      </c>
      <c r="AR408" t="s">
        <v>2640</v>
      </c>
      <c r="AS408" t="s">
        <v>3054</v>
      </c>
      <c r="AT408">
        <v>2</v>
      </c>
      <c r="AU408" t="s">
        <v>3109</v>
      </c>
      <c r="AV408">
        <v>2</v>
      </c>
      <c r="AW408">
        <v>1</v>
      </c>
      <c r="AX408">
        <v>97.52</v>
      </c>
      <c r="BB408" t="s">
        <v>252</v>
      </c>
      <c r="BC408" t="s">
        <v>3130</v>
      </c>
      <c r="BD408">
        <v>20800</v>
      </c>
      <c r="BH408" t="s">
        <v>3181</v>
      </c>
      <c r="BK408" t="s">
        <v>3198</v>
      </c>
      <c r="BL408" t="s">
        <v>207</v>
      </c>
      <c r="BM408" t="s">
        <v>311</v>
      </c>
    </row>
    <row r="409" spans="1:65">
      <c r="A409" s="1">
        <f>HYPERLINK("https://lsnyc.legalserver.org/matter/dynamic-profile/view/1905341","19-1905341")</f>
        <v>0</v>
      </c>
      <c r="B409" t="s">
        <v>67</v>
      </c>
      <c r="C409" t="s">
        <v>157</v>
      </c>
      <c r="D409" t="s">
        <v>170</v>
      </c>
      <c r="E409" t="s">
        <v>171</v>
      </c>
      <c r="G409" t="s">
        <v>172</v>
      </c>
      <c r="H409" t="s">
        <v>221</v>
      </c>
      <c r="I409" t="s">
        <v>172</v>
      </c>
      <c r="J409" t="s">
        <v>231</v>
      </c>
      <c r="K409" t="s">
        <v>172</v>
      </c>
      <c r="L409" t="s">
        <v>301</v>
      </c>
      <c r="M409" t="s">
        <v>232</v>
      </c>
      <c r="N409" t="s">
        <v>311</v>
      </c>
      <c r="O409" t="s">
        <v>313</v>
      </c>
      <c r="P409" t="s">
        <v>315</v>
      </c>
      <c r="Q409" t="s">
        <v>321</v>
      </c>
      <c r="T409" t="s">
        <v>467</v>
      </c>
      <c r="U409" t="s">
        <v>1053</v>
      </c>
      <c r="V409" t="s">
        <v>180</v>
      </c>
      <c r="X409" t="s">
        <v>1112</v>
      </c>
      <c r="Y409" t="s">
        <v>1508</v>
      </c>
      <c r="Z409">
        <v>2</v>
      </c>
      <c r="AA409" t="s">
        <v>1776</v>
      </c>
      <c r="AB409" t="s">
        <v>1786</v>
      </c>
      <c r="AC409">
        <v>11429</v>
      </c>
      <c r="AD409" t="s">
        <v>1787</v>
      </c>
      <c r="AE409" t="s">
        <v>2165</v>
      </c>
      <c r="AF409">
        <v>4</v>
      </c>
      <c r="AH409" t="s">
        <v>2225</v>
      </c>
      <c r="AI409" t="s">
        <v>233</v>
      </c>
      <c r="AJ409" t="s">
        <v>233</v>
      </c>
      <c r="AL409" t="s">
        <v>2230</v>
      </c>
      <c r="AN409">
        <v>0</v>
      </c>
      <c r="AO409">
        <v>1500</v>
      </c>
      <c r="AP409">
        <v>1.53</v>
      </c>
      <c r="AR409" t="s">
        <v>2641</v>
      </c>
      <c r="AS409" t="s">
        <v>3055</v>
      </c>
      <c r="AT409">
        <v>2</v>
      </c>
      <c r="AU409" t="s">
        <v>3108</v>
      </c>
      <c r="AV409">
        <v>3</v>
      </c>
      <c r="AW409">
        <v>3</v>
      </c>
      <c r="AX409">
        <v>37.66</v>
      </c>
      <c r="BD409">
        <v>13025</v>
      </c>
      <c r="BH409" t="s">
        <v>3180</v>
      </c>
      <c r="BK409" t="s">
        <v>3268</v>
      </c>
      <c r="BL409" t="s">
        <v>175</v>
      </c>
      <c r="BM409" t="s">
        <v>311</v>
      </c>
    </row>
    <row r="410" spans="1:65">
      <c r="A410" s="1">
        <f>HYPERLINK("https://lsnyc.legalserver.org/matter/dynamic-profile/view/1907508","19-1907508")</f>
        <v>0</v>
      </c>
      <c r="B410" t="s">
        <v>67</v>
      </c>
      <c r="C410" t="s">
        <v>159</v>
      </c>
      <c r="D410" t="s">
        <v>170</v>
      </c>
      <c r="E410" t="s">
        <v>171</v>
      </c>
      <c r="G410" t="s">
        <v>172</v>
      </c>
      <c r="H410" t="s">
        <v>220</v>
      </c>
      <c r="I410" t="s">
        <v>172</v>
      </c>
      <c r="J410" t="s">
        <v>231</v>
      </c>
      <c r="K410" t="s">
        <v>172</v>
      </c>
      <c r="M410" t="s">
        <v>232</v>
      </c>
      <c r="N410" t="s">
        <v>311</v>
      </c>
      <c r="O410" t="s">
        <v>313</v>
      </c>
      <c r="Q410" t="s">
        <v>321</v>
      </c>
      <c r="T410" t="s">
        <v>420</v>
      </c>
      <c r="U410" t="s">
        <v>916</v>
      </c>
      <c r="V410" t="s">
        <v>191</v>
      </c>
      <c r="X410" t="s">
        <v>1112</v>
      </c>
      <c r="Y410" t="s">
        <v>1509</v>
      </c>
      <c r="Z410">
        <v>2</v>
      </c>
      <c r="AA410" t="s">
        <v>1777</v>
      </c>
      <c r="AB410" t="s">
        <v>1786</v>
      </c>
      <c r="AC410">
        <v>11418</v>
      </c>
      <c r="AD410" t="s">
        <v>1787</v>
      </c>
      <c r="AE410" t="s">
        <v>2166</v>
      </c>
      <c r="AF410">
        <v>1</v>
      </c>
      <c r="AH410" t="s">
        <v>2225</v>
      </c>
      <c r="AI410" t="s">
        <v>233</v>
      </c>
      <c r="AL410" t="s">
        <v>2230</v>
      </c>
      <c r="AN410">
        <v>0</v>
      </c>
      <c r="AO410">
        <v>1250</v>
      </c>
      <c r="AP410">
        <v>1.2</v>
      </c>
      <c r="AR410" t="s">
        <v>2642</v>
      </c>
      <c r="AS410" t="s">
        <v>3056</v>
      </c>
      <c r="AT410">
        <v>3</v>
      </c>
      <c r="AV410">
        <v>1</v>
      </c>
      <c r="AW410">
        <v>2</v>
      </c>
      <c r="AX410">
        <v>0</v>
      </c>
      <c r="BD410">
        <v>0</v>
      </c>
      <c r="BH410" t="s">
        <v>159</v>
      </c>
      <c r="BK410" t="s">
        <v>3220</v>
      </c>
      <c r="BL410" t="s">
        <v>215</v>
      </c>
      <c r="BM410" t="s">
        <v>311</v>
      </c>
    </row>
    <row r="411" spans="1:65">
      <c r="A411" s="1">
        <f>HYPERLINK("https://lsnyc.legalserver.org/matter/dynamic-profile/view/1905353","19-1905353")</f>
        <v>0</v>
      </c>
      <c r="B411" t="s">
        <v>67</v>
      </c>
      <c r="C411" t="s">
        <v>157</v>
      </c>
      <c r="D411" t="s">
        <v>170</v>
      </c>
      <c r="E411" t="s">
        <v>171</v>
      </c>
      <c r="G411" t="s">
        <v>172</v>
      </c>
      <c r="H411" t="s">
        <v>221</v>
      </c>
      <c r="I411" t="s">
        <v>172</v>
      </c>
      <c r="J411" t="s">
        <v>231</v>
      </c>
      <c r="K411" t="s">
        <v>172</v>
      </c>
      <c r="M411" t="s">
        <v>232</v>
      </c>
      <c r="N411" t="s">
        <v>311</v>
      </c>
      <c r="O411" t="s">
        <v>313</v>
      </c>
      <c r="P411" t="s">
        <v>315</v>
      </c>
      <c r="Q411" t="s">
        <v>321</v>
      </c>
      <c r="T411" t="s">
        <v>455</v>
      </c>
      <c r="U411" t="s">
        <v>1054</v>
      </c>
      <c r="V411" t="s">
        <v>180</v>
      </c>
      <c r="X411" t="s">
        <v>1112</v>
      </c>
      <c r="Y411" t="s">
        <v>1510</v>
      </c>
      <c r="Z411" t="s">
        <v>1562</v>
      </c>
      <c r="AA411" t="s">
        <v>1763</v>
      </c>
      <c r="AB411" t="s">
        <v>1786</v>
      </c>
      <c r="AC411">
        <v>11368</v>
      </c>
      <c r="AD411" t="s">
        <v>1787</v>
      </c>
      <c r="AE411" t="s">
        <v>2167</v>
      </c>
      <c r="AF411">
        <v>6</v>
      </c>
      <c r="AH411" t="s">
        <v>2225</v>
      </c>
      <c r="AI411" t="s">
        <v>233</v>
      </c>
      <c r="AJ411" t="s">
        <v>233</v>
      </c>
      <c r="AL411" t="s">
        <v>2230</v>
      </c>
      <c r="AN411">
        <v>0</v>
      </c>
      <c r="AO411">
        <v>1400</v>
      </c>
      <c r="AP411">
        <v>1.5</v>
      </c>
      <c r="AR411" t="s">
        <v>2643</v>
      </c>
      <c r="AS411" t="s">
        <v>3057</v>
      </c>
      <c r="AT411">
        <v>3</v>
      </c>
      <c r="AU411" t="s">
        <v>3109</v>
      </c>
      <c r="AV411">
        <v>1</v>
      </c>
      <c r="AW411">
        <v>0</v>
      </c>
      <c r="AX411">
        <v>0</v>
      </c>
      <c r="BB411" t="s">
        <v>252</v>
      </c>
      <c r="BD411">
        <v>0</v>
      </c>
      <c r="BH411" t="s">
        <v>3180</v>
      </c>
      <c r="BK411" t="s">
        <v>3210</v>
      </c>
      <c r="BL411" t="s">
        <v>180</v>
      </c>
      <c r="BM411" t="s">
        <v>311</v>
      </c>
    </row>
    <row r="412" spans="1:65">
      <c r="A412" s="1">
        <f>HYPERLINK("https://lsnyc.legalserver.org/matter/dynamic-profile/view/1906874","19-1906874")</f>
        <v>0</v>
      </c>
      <c r="B412" t="s">
        <v>67</v>
      </c>
      <c r="C412" t="s">
        <v>157</v>
      </c>
      <c r="D412" t="s">
        <v>170</v>
      </c>
      <c r="E412" t="s">
        <v>172</v>
      </c>
      <c r="F412" t="s">
        <v>212</v>
      </c>
      <c r="G412" t="s">
        <v>172</v>
      </c>
      <c r="H412" t="s">
        <v>220</v>
      </c>
      <c r="I412" t="s">
        <v>172</v>
      </c>
      <c r="J412" t="s">
        <v>231</v>
      </c>
      <c r="K412" t="s">
        <v>172</v>
      </c>
      <c r="M412" t="s">
        <v>232</v>
      </c>
      <c r="N412" t="s">
        <v>311</v>
      </c>
      <c r="O412" t="s">
        <v>313</v>
      </c>
      <c r="P412" t="s">
        <v>315</v>
      </c>
      <c r="Q412" t="s">
        <v>321</v>
      </c>
      <c r="T412" t="s">
        <v>683</v>
      </c>
      <c r="U412" t="s">
        <v>1055</v>
      </c>
      <c r="V412" t="s">
        <v>212</v>
      </c>
      <c r="X412" t="s">
        <v>1112</v>
      </c>
      <c r="Y412" t="s">
        <v>1511</v>
      </c>
      <c r="AA412" t="s">
        <v>1757</v>
      </c>
      <c r="AB412" t="s">
        <v>1786</v>
      </c>
      <c r="AC412">
        <v>11433</v>
      </c>
      <c r="AD412" t="s">
        <v>1790</v>
      </c>
      <c r="AE412" t="s">
        <v>2168</v>
      </c>
      <c r="AF412">
        <v>10</v>
      </c>
      <c r="AH412" t="s">
        <v>2224</v>
      </c>
      <c r="AI412" t="s">
        <v>233</v>
      </c>
      <c r="AJ412" t="s">
        <v>233</v>
      </c>
      <c r="AL412" t="s">
        <v>2230</v>
      </c>
      <c r="AM412" t="s">
        <v>2236</v>
      </c>
      <c r="AN412">
        <v>0</v>
      </c>
      <c r="AO412">
        <v>1200</v>
      </c>
      <c r="AP412">
        <v>3.2</v>
      </c>
      <c r="AR412" t="s">
        <v>2644</v>
      </c>
      <c r="AS412" t="s">
        <v>3058</v>
      </c>
      <c r="AT412">
        <v>0</v>
      </c>
      <c r="AU412" t="s">
        <v>3108</v>
      </c>
      <c r="AV412">
        <v>4</v>
      </c>
      <c r="AW412">
        <v>0</v>
      </c>
      <c r="AX412">
        <v>100.42</v>
      </c>
      <c r="BB412" t="s">
        <v>252</v>
      </c>
      <c r="BC412" t="s">
        <v>3130</v>
      </c>
      <c r="BD412">
        <v>25858.8</v>
      </c>
      <c r="BH412" t="s">
        <v>157</v>
      </c>
      <c r="BK412" t="s">
        <v>3269</v>
      </c>
      <c r="BL412" t="s">
        <v>1109</v>
      </c>
      <c r="BM412" t="s">
        <v>311</v>
      </c>
    </row>
    <row r="413" spans="1:65">
      <c r="A413" s="1">
        <f>HYPERLINK("https://lsnyc.legalserver.org/matter/dynamic-profile/view/1905813","19-1905813")</f>
        <v>0</v>
      </c>
      <c r="B413" t="s">
        <v>67</v>
      </c>
      <c r="C413" t="s">
        <v>157</v>
      </c>
      <c r="D413" t="s">
        <v>170</v>
      </c>
      <c r="E413" t="s">
        <v>172</v>
      </c>
      <c r="F413" t="s">
        <v>211</v>
      </c>
      <c r="G413" t="s">
        <v>172</v>
      </c>
      <c r="H413" t="s">
        <v>221</v>
      </c>
      <c r="I413" t="s">
        <v>172</v>
      </c>
      <c r="J413" t="s">
        <v>231</v>
      </c>
      <c r="K413" t="s">
        <v>172</v>
      </c>
      <c r="L413" t="s">
        <v>302</v>
      </c>
      <c r="M413" t="s">
        <v>232</v>
      </c>
      <c r="N413" t="s">
        <v>311</v>
      </c>
      <c r="O413" t="s">
        <v>172</v>
      </c>
      <c r="P413" t="s">
        <v>314</v>
      </c>
      <c r="Q413" t="s">
        <v>322</v>
      </c>
      <c r="T413" t="s">
        <v>655</v>
      </c>
      <c r="U413" t="s">
        <v>1056</v>
      </c>
      <c r="V413" t="s">
        <v>211</v>
      </c>
      <c r="W413" t="s">
        <v>1109</v>
      </c>
      <c r="X413" t="s">
        <v>1113</v>
      </c>
      <c r="Y413" t="s">
        <v>1512</v>
      </c>
      <c r="AA413" t="s">
        <v>1772</v>
      </c>
      <c r="AB413" t="s">
        <v>1786</v>
      </c>
      <c r="AC413">
        <v>11420</v>
      </c>
      <c r="AD413" t="s">
        <v>1787</v>
      </c>
      <c r="AE413" t="s">
        <v>2169</v>
      </c>
      <c r="AF413">
        <v>3</v>
      </c>
      <c r="AG413" t="s">
        <v>2214</v>
      </c>
      <c r="AH413" t="s">
        <v>2225</v>
      </c>
      <c r="AI413" t="s">
        <v>233</v>
      </c>
      <c r="AJ413" t="s">
        <v>233</v>
      </c>
      <c r="AL413" t="s">
        <v>2230</v>
      </c>
      <c r="AM413" t="s">
        <v>2236</v>
      </c>
      <c r="AN413">
        <v>0</v>
      </c>
      <c r="AO413">
        <v>1956</v>
      </c>
      <c r="AP413">
        <v>2</v>
      </c>
      <c r="AQ413" t="s">
        <v>2242</v>
      </c>
      <c r="AR413" t="s">
        <v>2645</v>
      </c>
      <c r="AS413" t="s">
        <v>3059</v>
      </c>
      <c r="AT413">
        <v>1</v>
      </c>
      <c r="AU413" t="s">
        <v>3109</v>
      </c>
      <c r="AV413">
        <v>2</v>
      </c>
      <c r="AW413">
        <v>3</v>
      </c>
      <c r="AX413">
        <v>51.71</v>
      </c>
      <c r="BB413" t="s">
        <v>3124</v>
      </c>
      <c r="BC413" t="s">
        <v>3130</v>
      </c>
      <c r="BD413">
        <v>15600</v>
      </c>
      <c r="BH413" t="s">
        <v>3181</v>
      </c>
      <c r="BK413" t="s">
        <v>3198</v>
      </c>
      <c r="BL413" t="s">
        <v>1109</v>
      </c>
      <c r="BM413" t="s">
        <v>311</v>
      </c>
    </row>
    <row r="414" spans="1:65">
      <c r="A414" s="1">
        <f>HYPERLINK("https://lsnyc.legalserver.org/matter/dynamic-profile/view/1906218","19-1906218")</f>
        <v>0</v>
      </c>
      <c r="B414" t="s">
        <v>67</v>
      </c>
      <c r="C414" t="s">
        <v>157</v>
      </c>
      <c r="D414" t="s">
        <v>170</v>
      </c>
      <c r="E414" t="s">
        <v>171</v>
      </c>
      <c r="G414" t="s">
        <v>172</v>
      </c>
      <c r="H414" t="s">
        <v>221</v>
      </c>
      <c r="I414" t="s">
        <v>172</v>
      </c>
      <c r="J414" t="s">
        <v>231</v>
      </c>
      <c r="K414" t="s">
        <v>172</v>
      </c>
      <c r="L414" t="s">
        <v>303</v>
      </c>
      <c r="M414" t="s">
        <v>232</v>
      </c>
      <c r="N414" t="s">
        <v>311</v>
      </c>
      <c r="O414" t="s">
        <v>313</v>
      </c>
      <c r="P414" t="s">
        <v>315</v>
      </c>
      <c r="Q414" t="s">
        <v>321</v>
      </c>
      <c r="T414" t="s">
        <v>684</v>
      </c>
      <c r="U414" t="s">
        <v>1057</v>
      </c>
      <c r="V414" t="s">
        <v>209</v>
      </c>
      <c r="X414" t="s">
        <v>1112</v>
      </c>
      <c r="Y414" t="s">
        <v>1513</v>
      </c>
      <c r="Z414" t="s">
        <v>1563</v>
      </c>
      <c r="AA414" t="s">
        <v>1761</v>
      </c>
      <c r="AB414" t="s">
        <v>1786</v>
      </c>
      <c r="AC414">
        <v>11102</v>
      </c>
      <c r="AD414" t="s">
        <v>1787</v>
      </c>
      <c r="AE414" t="s">
        <v>2170</v>
      </c>
      <c r="AF414">
        <v>1</v>
      </c>
      <c r="AH414" t="s">
        <v>2225</v>
      </c>
      <c r="AI414" t="s">
        <v>233</v>
      </c>
      <c r="AL414" t="s">
        <v>2230</v>
      </c>
      <c r="AN414">
        <v>0</v>
      </c>
      <c r="AO414">
        <v>2100</v>
      </c>
      <c r="AP414">
        <v>1.5</v>
      </c>
      <c r="AR414" t="s">
        <v>2646</v>
      </c>
      <c r="AS414" t="s">
        <v>3060</v>
      </c>
      <c r="AT414">
        <v>4</v>
      </c>
      <c r="AU414" t="s">
        <v>3108</v>
      </c>
      <c r="AV414">
        <v>3</v>
      </c>
      <c r="AW414">
        <v>0</v>
      </c>
      <c r="AX414">
        <v>29.54</v>
      </c>
      <c r="BB414" t="s">
        <v>252</v>
      </c>
      <c r="BC414" t="s">
        <v>3130</v>
      </c>
      <c r="BD414">
        <v>6300</v>
      </c>
      <c r="BH414" t="s">
        <v>3180</v>
      </c>
      <c r="BK414" t="s">
        <v>3246</v>
      </c>
      <c r="BL414" t="s">
        <v>209</v>
      </c>
      <c r="BM414" t="s">
        <v>311</v>
      </c>
    </row>
    <row r="415" spans="1:65">
      <c r="A415" s="1">
        <f>HYPERLINK("https://lsnyc.legalserver.org/matter/dynamic-profile/view/1907003","19-1907003")</f>
        <v>0</v>
      </c>
      <c r="B415" t="s">
        <v>67</v>
      </c>
      <c r="C415" t="s">
        <v>157</v>
      </c>
      <c r="D415" t="s">
        <v>170</v>
      </c>
      <c r="E415" t="s">
        <v>171</v>
      </c>
      <c r="G415" t="s">
        <v>172</v>
      </c>
      <c r="H415" t="s">
        <v>221</v>
      </c>
      <c r="I415" t="s">
        <v>172</v>
      </c>
      <c r="J415" t="s">
        <v>231</v>
      </c>
      <c r="K415" t="s">
        <v>172</v>
      </c>
      <c r="M415" t="s">
        <v>232</v>
      </c>
      <c r="N415" t="s">
        <v>311</v>
      </c>
      <c r="O415" t="s">
        <v>172</v>
      </c>
      <c r="P415" t="s">
        <v>316</v>
      </c>
      <c r="Q415" t="s">
        <v>321</v>
      </c>
      <c r="T415" t="s">
        <v>685</v>
      </c>
      <c r="U415" t="s">
        <v>1058</v>
      </c>
      <c r="V415" t="s">
        <v>183</v>
      </c>
      <c r="X415" t="s">
        <v>1112</v>
      </c>
      <c r="Y415" t="s">
        <v>1514</v>
      </c>
      <c r="Z415" t="s">
        <v>1576</v>
      </c>
      <c r="AA415" t="s">
        <v>1758</v>
      </c>
      <c r="AB415" t="s">
        <v>1786</v>
      </c>
      <c r="AC415">
        <v>11373</v>
      </c>
      <c r="AD415" t="s">
        <v>1790</v>
      </c>
      <c r="AE415" t="s">
        <v>2171</v>
      </c>
      <c r="AF415">
        <v>28</v>
      </c>
      <c r="AH415" t="s">
        <v>2224</v>
      </c>
      <c r="AI415" t="s">
        <v>233</v>
      </c>
      <c r="AJ415" t="s">
        <v>233</v>
      </c>
      <c r="AL415" t="s">
        <v>2230</v>
      </c>
      <c r="AM415" t="s">
        <v>2236</v>
      </c>
      <c r="AN415">
        <v>0</v>
      </c>
      <c r="AO415">
        <v>1530</v>
      </c>
      <c r="AP415">
        <v>12.5</v>
      </c>
      <c r="AR415" t="s">
        <v>2647</v>
      </c>
      <c r="AS415" t="s">
        <v>3061</v>
      </c>
      <c r="AT415">
        <v>112</v>
      </c>
      <c r="AU415" t="s">
        <v>3106</v>
      </c>
      <c r="AV415">
        <v>3</v>
      </c>
      <c r="AW415">
        <v>0</v>
      </c>
      <c r="AX415">
        <v>135.02</v>
      </c>
      <c r="BB415" t="s">
        <v>252</v>
      </c>
      <c r="BC415" t="s">
        <v>3131</v>
      </c>
      <c r="BD415">
        <v>28800</v>
      </c>
      <c r="BH415" t="s">
        <v>3180</v>
      </c>
      <c r="BK415" t="s">
        <v>3198</v>
      </c>
      <c r="BL415" t="s">
        <v>1109</v>
      </c>
      <c r="BM415" t="s">
        <v>311</v>
      </c>
    </row>
    <row r="416" spans="1:65">
      <c r="A416" s="1">
        <f>HYPERLINK("https://lsnyc.legalserver.org/matter/dynamic-profile/view/1905250","19-1905250")</f>
        <v>0</v>
      </c>
      <c r="B416" t="s">
        <v>67</v>
      </c>
      <c r="C416" t="s">
        <v>160</v>
      </c>
      <c r="D416" t="s">
        <v>170</v>
      </c>
      <c r="E416" t="s">
        <v>172</v>
      </c>
      <c r="F416" t="s">
        <v>196</v>
      </c>
      <c r="G416" t="s">
        <v>172</v>
      </c>
      <c r="H416" t="s">
        <v>224</v>
      </c>
      <c r="I416" t="s">
        <v>172</v>
      </c>
      <c r="J416" t="s">
        <v>231</v>
      </c>
      <c r="K416" t="s">
        <v>172</v>
      </c>
      <c r="M416" t="s">
        <v>232</v>
      </c>
      <c r="N416" t="s">
        <v>311</v>
      </c>
      <c r="O416" t="s">
        <v>172</v>
      </c>
      <c r="P416" t="s">
        <v>314</v>
      </c>
      <c r="Q416" t="s">
        <v>322</v>
      </c>
      <c r="T416" t="s">
        <v>632</v>
      </c>
      <c r="U416" t="s">
        <v>1059</v>
      </c>
      <c r="V416" t="s">
        <v>196</v>
      </c>
      <c r="W416" t="s">
        <v>1097</v>
      </c>
      <c r="X416" t="s">
        <v>1113</v>
      </c>
      <c r="Y416" t="s">
        <v>1515</v>
      </c>
      <c r="Z416" t="s">
        <v>1602</v>
      </c>
      <c r="AA416" t="s">
        <v>1760</v>
      </c>
      <c r="AB416" t="s">
        <v>1786</v>
      </c>
      <c r="AC416">
        <v>11367</v>
      </c>
      <c r="AD416" t="s">
        <v>1793</v>
      </c>
      <c r="AE416" t="s">
        <v>2172</v>
      </c>
      <c r="AF416">
        <v>1</v>
      </c>
      <c r="AG416" t="s">
        <v>2214</v>
      </c>
      <c r="AH416" t="s">
        <v>2225</v>
      </c>
      <c r="AI416" t="s">
        <v>233</v>
      </c>
      <c r="AJ416" t="s">
        <v>231</v>
      </c>
      <c r="AL416" t="s">
        <v>2230</v>
      </c>
      <c r="AM416" t="s">
        <v>2236</v>
      </c>
      <c r="AN416">
        <v>0</v>
      </c>
      <c r="AO416">
        <v>1100</v>
      </c>
      <c r="AP416">
        <v>1.75</v>
      </c>
      <c r="AQ416" t="s">
        <v>2242</v>
      </c>
      <c r="AR416" t="s">
        <v>2648</v>
      </c>
      <c r="AS416" t="s">
        <v>3062</v>
      </c>
      <c r="AT416">
        <v>4</v>
      </c>
      <c r="AU416" t="s">
        <v>3109</v>
      </c>
      <c r="AV416">
        <v>1</v>
      </c>
      <c r="AW416">
        <v>0</v>
      </c>
      <c r="AX416">
        <v>83.97</v>
      </c>
      <c r="BB416" t="s">
        <v>3125</v>
      </c>
      <c r="BC416" t="s">
        <v>3130</v>
      </c>
      <c r="BD416">
        <v>10488</v>
      </c>
      <c r="BH416" t="s">
        <v>3180</v>
      </c>
      <c r="BK416" t="s">
        <v>3199</v>
      </c>
      <c r="BL416" t="s">
        <v>204</v>
      </c>
      <c r="BM416" t="s">
        <v>311</v>
      </c>
    </row>
    <row r="417" spans="1:65">
      <c r="A417" s="1">
        <f>HYPERLINK("https://lsnyc.legalserver.org/matter/dynamic-profile/view/1906985","19-1906985")</f>
        <v>0</v>
      </c>
      <c r="B417" t="s">
        <v>67</v>
      </c>
      <c r="C417" t="s">
        <v>160</v>
      </c>
      <c r="D417" t="s">
        <v>170</v>
      </c>
      <c r="E417" t="s">
        <v>171</v>
      </c>
      <c r="G417" t="s">
        <v>172</v>
      </c>
      <c r="H417" t="s">
        <v>220</v>
      </c>
      <c r="I417" t="s">
        <v>172</v>
      </c>
      <c r="J417" t="s">
        <v>231</v>
      </c>
      <c r="K417" t="s">
        <v>172</v>
      </c>
      <c r="M417" t="s">
        <v>232</v>
      </c>
      <c r="N417" t="s">
        <v>311</v>
      </c>
      <c r="O417" t="s">
        <v>313</v>
      </c>
      <c r="P417" t="s">
        <v>315</v>
      </c>
      <c r="Q417" t="s">
        <v>321</v>
      </c>
      <c r="T417" t="s">
        <v>577</v>
      </c>
      <c r="U417" t="s">
        <v>1060</v>
      </c>
      <c r="V417" t="s">
        <v>183</v>
      </c>
      <c r="X417" t="s">
        <v>1112</v>
      </c>
      <c r="Y417" t="s">
        <v>1516</v>
      </c>
      <c r="AA417" t="s">
        <v>1757</v>
      </c>
      <c r="AB417" t="s">
        <v>1786</v>
      </c>
      <c r="AC417">
        <v>11434</v>
      </c>
      <c r="AD417" t="s">
        <v>1790</v>
      </c>
      <c r="AE417" t="s">
        <v>2173</v>
      </c>
      <c r="AF417">
        <v>14</v>
      </c>
      <c r="AH417" t="s">
        <v>2224</v>
      </c>
      <c r="AI417" t="s">
        <v>233</v>
      </c>
      <c r="AL417" t="s">
        <v>2230</v>
      </c>
      <c r="AN417">
        <v>0</v>
      </c>
      <c r="AO417">
        <v>0</v>
      </c>
      <c r="AP417">
        <v>12</v>
      </c>
      <c r="AR417" t="s">
        <v>2649</v>
      </c>
      <c r="AS417" t="s">
        <v>2975</v>
      </c>
      <c r="AT417">
        <v>1</v>
      </c>
      <c r="AV417">
        <v>4</v>
      </c>
      <c r="AW417">
        <v>3</v>
      </c>
      <c r="AX417">
        <v>146.12</v>
      </c>
      <c r="BC417" t="s">
        <v>3131</v>
      </c>
      <c r="BD417">
        <v>57000</v>
      </c>
      <c r="BH417" t="s">
        <v>3180</v>
      </c>
      <c r="BK417" t="s">
        <v>3198</v>
      </c>
      <c r="BL417" t="s">
        <v>3119</v>
      </c>
      <c r="BM417" t="s">
        <v>311</v>
      </c>
    </row>
    <row r="418" spans="1:65">
      <c r="A418" s="1">
        <f>HYPERLINK("https://lsnyc.legalserver.org/matter/dynamic-profile/view/1908480","19-1908480")</f>
        <v>0</v>
      </c>
      <c r="B418" t="s">
        <v>67</v>
      </c>
      <c r="C418" t="s">
        <v>160</v>
      </c>
      <c r="D418" t="s">
        <v>170</v>
      </c>
      <c r="E418" t="s">
        <v>172</v>
      </c>
      <c r="F418" t="s">
        <v>213</v>
      </c>
      <c r="G418" t="s">
        <v>172</v>
      </c>
      <c r="H418" t="s">
        <v>220</v>
      </c>
      <c r="I418" t="s">
        <v>172</v>
      </c>
      <c r="J418" t="s">
        <v>231</v>
      </c>
      <c r="K418" t="s">
        <v>172</v>
      </c>
      <c r="M418" t="s">
        <v>232</v>
      </c>
      <c r="N418" t="s">
        <v>311</v>
      </c>
      <c r="O418" t="s">
        <v>313</v>
      </c>
      <c r="P418" t="s">
        <v>315</v>
      </c>
      <c r="Q418" t="s">
        <v>321</v>
      </c>
      <c r="T418" t="s">
        <v>343</v>
      </c>
      <c r="U418" t="s">
        <v>1061</v>
      </c>
      <c r="V418" t="s">
        <v>213</v>
      </c>
      <c r="X418" t="s">
        <v>1112</v>
      </c>
      <c r="Y418" t="s">
        <v>1517</v>
      </c>
      <c r="AA418" t="s">
        <v>1768</v>
      </c>
      <c r="AB418" t="s">
        <v>1786</v>
      </c>
      <c r="AC418">
        <v>11378</v>
      </c>
      <c r="AD418" t="s">
        <v>1787</v>
      </c>
      <c r="AE418" t="s">
        <v>2174</v>
      </c>
      <c r="AF418">
        <v>13</v>
      </c>
      <c r="AH418" t="s">
        <v>2225</v>
      </c>
      <c r="AI418" t="s">
        <v>233</v>
      </c>
      <c r="AJ418" t="s">
        <v>233</v>
      </c>
      <c r="AL418" t="s">
        <v>2230</v>
      </c>
      <c r="AN418">
        <v>0</v>
      </c>
      <c r="AO418">
        <v>1600</v>
      </c>
      <c r="AP418">
        <v>1.3</v>
      </c>
      <c r="AR418" t="s">
        <v>2650</v>
      </c>
      <c r="AS418" t="s">
        <v>3063</v>
      </c>
      <c r="AT418">
        <v>3</v>
      </c>
      <c r="AU418" t="s">
        <v>3109</v>
      </c>
      <c r="AV418">
        <v>2</v>
      </c>
      <c r="AW418">
        <v>0</v>
      </c>
      <c r="AX418">
        <v>165.58</v>
      </c>
      <c r="BB418" t="s">
        <v>252</v>
      </c>
      <c r="BC418" t="s">
        <v>3131</v>
      </c>
      <c r="BD418">
        <v>28000</v>
      </c>
      <c r="BH418" t="s">
        <v>3181</v>
      </c>
      <c r="BK418" t="s">
        <v>3198</v>
      </c>
      <c r="BL418" t="s">
        <v>213</v>
      </c>
      <c r="BM418" t="s">
        <v>311</v>
      </c>
    </row>
    <row r="419" spans="1:65">
      <c r="A419" s="1">
        <f>HYPERLINK("https://lsnyc.legalserver.org/matter/dynamic-profile/view/1906961","19-1906961")</f>
        <v>0</v>
      </c>
      <c r="B419" t="s">
        <v>67</v>
      </c>
      <c r="C419" t="s">
        <v>160</v>
      </c>
      <c r="D419" t="s">
        <v>170</v>
      </c>
      <c r="E419" t="s">
        <v>171</v>
      </c>
      <c r="G419" t="s">
        <v>172</v>
      </c>
      <c r="H419" t="s">
        <v>220</v>
      </c>
      <c r="I419" t="s">
        <v>172</v>
      </c>
      <c r="J419" t="s">
        <v>231</v>
      </c>
      <c r="K419" t="s">
        <v>172</v>
      </c>
      <c r="M419" t="s">
        <v>232</v>
      </c>
      <c r="N419" t="s">
        <v>311</v>
      </c>
      <c r="O419" t="s">
        <v>313</v>
      </c>
      <c r="P419" t="s">
        <v>315</v>
      </c>
      <c r="Q419" t="s">
        <v>321</v>
      </c>
      <c r="T419" t="s">
        <v>686</v>
      </c>
      <c r="U419" t="s">
        <v>413</v>
      </c>
      <c r="V419" t="s">
        <v>199</v>
      </c>
      <c r="X419" t="s">
        <v>1112</v>
      </c>
      <c r="Y419" t="s">
        <v>1518</v>
      </c>
      <c r="Z419" t="s">
        <v>1592</v>
      </c>
      <c r="AA419" t="s">
        <v>1778</v>
      </c>
      <c r="AB419" t="s">
        <v>1786</v>
      </c>
      <c r="AC419">
        <v>11413</v>
      </c>
      <c r="AD419" t="s">
        <v>1787</v>
      </c>
      <c r="AE419" t="s">
        <v>2175</v>
      </c>
      <c r="AF419">
        <v>1</v>
      </c>
      <c r="AH419" t="s">
        <v>2225</v>
      </c>
      <c r="AI419" t="s">
        <v>233</v>
      </c>
      <c r="AJ419" t="s">
        <v>233</v>
      </c>
      <c r="AL419" t="s">
        <v>2230</v>
      </c>
      <c r="AN419">
        <v>0</v>
      </c>
      <c r="AO419">
        <v>1000</v>
      </c>
      <c r="AP419">
        <v>1.33</v>
      </c>
      <c r="AR419" t="s">
        <v>2651</v>
      </c>
      <c r="AS419" t="s">
        <v>3064</v>
      </c>
      <c r="AT419">
        <v>1</v>
      </c>
      <c r="AU419" t="s">
        <v>3108</v>
      </c>
      <c r="AV419">
        <v>2</v>
      </c>
      <c r="AW419">
        <v>1</v>
      </c>
      <c r="AX419">
        <v>137.27</v>
      </c>
      <c r="BB419" t="s">
        <v>252</v>
      </c>
      <c r="BC419" t="s">
        <v>3130</v>
      </c>
      <c r="BD419">
        <v>29280</v>
      </c>
      <c r="BH419" t="s">
        <v>3180</v>
      </c>
      <c r="BK419" t="s">
        <v>3214</v>
      </c>
      <c r="BL419" t="s">
        <v>199</v>
      </c>
      <c r="BM419" t="s">
        <v>311</v>
      </c>
    </row>
    <row r="420" spans="1:65">
      <c r="A420" s="1">
        <f>HYPERLINK("https://lsnyc.legalserver.org/matter/dynamic-profile/view/1904495","19-1904495")</f>
        <v>0</v>
      </c>
      <c r="B420" t="s">
        <v>67</v>
      </c>
      <c r="C420" t="s">
        <v>160</v>
      </c>
      <c r="D420" t="s">
        <v>170</v>
      </c>
      <c r="E420" t="s">
        <v>172</v>
      </c>
      <c r="F420" t="s">
        <v>176</v>
      </c>
      <c r="G420" t="s">
        <v>172</v>
      </c>
      <c r="H420" t="s">
        <v>221</v>
      </c>
      <c r="I420" t="s">
        <v>172</v>
      </c>
      <c r="J420" t="s">
        <v>231</v>
      </c>
      <c r="K420" t="s">
        <v>172</v>
      </c>
      <c r="L420" t="s">
        <v>304</v>
      </c>
      <c r="M420" t="s">
        <v>232</v>
      </c>
      <c r="N420" t="s">
        <v>311</v>
      </c>
      <c r="O420" t="s">
        <v>313</v>
      </c>
      <c r="P420" t="s">
        <v>315</v>
      </c>
      <c r="Q420" t="s">
        <v>321</v>
      </c>
      <c r="T420" t="s">
        <v>687</v>
      </c>
      <c r="U420" t="s">
        <v>1062</v>
      </c>
      <c r="V420" t="s">
        <v>176</v>
      </c>
      <c r="X420" t="s">
        <v>1112</v>
      </c>
      <c r="Y420" t="s">
        <v>1519</v>
      </c>
      <c r="Z420" t="s">
        <v>1614</v>
      </c>
      <c r="AA420" t="s">
        <v>1779</v>
      </c>
      <c r="AB420" t="s">
        <v>1786</v>
      </c>
      <c r="AC420">
        <v>11365</v>
      </c>
      <c r="AD420" t="s">
        <v>1787</v>
      </c>
      <c r="AE420" t="s">
        <v>2176</v>
      </c>
      <c r="AF420">
        <v>5</v>
      </c>
      <c r="AH420" t="s">
        <v>2225</v>
      </c>
      <c r="AI420" t="s">
        <v>233</v>
      </c>
      <c r="AJ420" t="s">
        <v>233</v>
      </c>
      <c r="AL420" t="s">
        <v>2231</v>
      </c>
      <c r="AM420" t="s">
        <v>2236</v>
      </c>
      <c r="AN420">
        <v>0</v>
      </c>
      <c r="AO420">
        <v>263</v>
      </c>
      <c r="AP420">
        <v>1.3</v>
      </c>
      <c r="AR420" t="s">
        <v>2652</v>
      </c>
      <c r="AS420" t="s">
        <v>3065</v>
      </c>
      <c r="AT420">
        <v>28</v>
      </c>
      <c r="AU420" t="s">
        <v>3107</v>
      </c>
      <c r="AV420">
        <v>1</v>
      </c>
      <c r="AW420">
        <v>0</v>
      </c>
      <c r="AX420">
        <v>82.34</v>
      </c>
      <c r="BB420" t="s">
        <v>252</v>
      </c>
      <c r="BC420" t="s">
        <v>3130</v>
      </c>
      <c r="BD420">
        <v>10284</v>
      </c>
      <c r="BH420" t="s">
        <v>3181</v>
      </c>
      <c r="BK420" t="s">
        <v>3196</v>
      </c>
      <c r="BL420" t="s">
        <v>176</v>
      </c>
      <c r="BM420" t="s">
        <v>311</v>
      </c>
    </row>
    <row r="421" spans="1:65">
      <c r="A421" s="1">
        <f>HYPERLINK("https://lsnyc.legalserver.org/matter/dynamic-profile/view/1906987","19-1906987")</f>
        <v>0</v>
      </c>
      <c r="B421" t="s">
        <v>67</v>
      </c>
      <c r="C421" t="s">
        <v>160</v>
      </c>
      <c r="D421" t="s">
        <v>170</v>
      </c>
      <c r="E421" t="s">
        <v>171</v>
      </c>
      <c r="G421" t="s">
        <v>172</v>
      </c>
      <c r="H421" t="s">
        <v>220</v>
      </c>
      <c r="I421" t="s">
        <v>172</v>
      </c>
      <c r="J421" t="s">
        <v>231</v>
      </c>
      <c r="K421" t="s">
        <v>172</v>
      </c>
      <c r="M421" t="s">
        <v>232</v>
      </c>
      <c r="N421" t="s">
        <v>311</v>
      </c>
      <c r="O421" t="s">
        <v>172</v>
      </c>
      <c r="P421" t="s">
        <v>316</v>
      </c>
      <c r="Q421" t="s">
        <v>321</v>
      </c>
      <c r="T421" t="s">
        <v>399</v>
      </c>
      <c r="U421" t="s">
        <v>949</v>
      </c>
      <c r="V421" t="s">
        <v>199</v>
      </c>
      <c r="X421" t="s">
        <v>1112</v>
      </c>
      <c r="Y421" t="s">
        <v>1520</v>
      </c>
      <c r="Z421" t="s">
        <v>1743</v>
      </c>
      <c r="AA421" t="s">
        <v>1771</v>
      </c>
      <c r="AB421" t="s">
        <v>1786</v>
      </c>
      <c r="AC421">
        <v>11385</v>
      </c>
      <c r="AD421" t="s">
        <v>1787</v>
      </c>
      <c r="AE421" t="s">
        <v>2177</v>
      </c>
      <c r="AF421">
        <v>1</v>
      </c>
      <c r="AH421" t="s">
        <v>2224</v>
      </c>
      <c r="AI421" t="s">
        <v>233</v>
      </c>
      <c r="AJ421" t="s">
        <v>233</v>
      </c>
      <c r="AL421" t="s">
        <v>2230</v>
      </c>
      <c r="AM421" t="s">
        <v>2236</v>
      </c>
      <c r="AN421">
        <v>0</v>
      </c>
      <c r="AO421">
        <v>1200</v>
      </c>
      <c r="AP421">
        <v>19.6</v>
      </c>
      <c r="AR421" t="s">
        <v>2653</v>
      </c>
      <c r="AS421" t="s">
        <v>3066</v>
      </c>
      <c r="AT421">
        <v>3</v>
      </c>
      <c r="AU421" t="s">
        <v>3108</v>
      </c>
      <c r="AV421">
        <v>1</v>
      </c>
      <c r="AW421">
        <v>0</v>
      </c>
      <c r="AX421">
        <v>0</v>
      </c>
      <c r="BD421">
        <v>0</v>
      </c>
      <c r="BH421" t="s">
        <v>159</v>
      </c>
      <c r="BK421" t="s">
        <v>3210</v>
      </c>
      <c r="BL421" t="s">
        <v>1111</v>
      </c>
      <c r="BM421" t="s">
        <v>311</v>
      </c>
    </row>
    <row r="422" spans="1:65">
      <c r="A422" s="1">
        <f>HYPERLINK("https://lsnyc.legalserver.org/matter/dynamic-profile/view/1907246","19-1907246")</f>
        <v>0</v>
      </c>
      <c r="B422" t="s">
        <v>67</v>
      </c>
      <c r="C422" t="s">
        <v>157</v>
      </c>
      <c r="D422" t="s">
        <v>170</v>
      </c>
      <c r="E422" t="s">
        <v>172</v>
      </c>
      <c r="F422" t="s">
        <v>193</v>
      </c>
      <c r="G422" t="s">
        <v>172</v>
      </c>
      <c r="H422" t="s">
        <v>220</v>
      </c>
      <c r="I422" t="s">
        <v>172</v>
      </c>
      <c r="J422" t="s">
        <v>231</v>
      </c>
      <c r="K422" t="s">
        <v>172</v>
      </c>
      <c r="L422" t="s">
        <v>305</v>
      </c>
      <c r="M422" t="s">
        <v>232</v>
      </c>
      <c r="N422" t="s">
        <v>311</v>
      </c>
      <c r="O422" t="s">
        <v>313</v>
      </c>
      <c r="P422" t="s">
        <v>315</v>
      </c>
      <c r="Q422" t="s">
        <v>321</v>
      </c>
      <c r="T422" t="s">
        <v>346</v>
      </c>
      <c r="U422" t="s">
        <v>765</v>
      </c>
      <c r="V422" t="s">
        <v>193</v>
      </c>
      <c r="X422" t="s">
        <v>1112</v>
      </c>
      <c r="Y422" t="s">
        <v>1521</v>
      </c>
      <c r="Z422" t="s">
        <v>1742</v>
      </c>
      <c r="AA422" t="s">
        <v>1759</v>
      </c>
      <c r="AB422" t="s">
        <v>1786</v>
      </c>
      <c r="AC422">
        <v>11417</v>
      </c>
      <c r="AD422" t="s">
        <v>1787</v>
      </c>
      <c r="AE422" t="s">
        <v>2178</v>
      </c>
      <c r="AF422">
        <v>-1</v>
      </c>
      <c r="AH422" t="s">
        <v>2225</v>
      </c>
      <c r="AI422" t="s">
        <v>233</v>
      </c>
      <c r="AJ422" t="s">
        <v>233</v>
      </c>
      <c r="AL422" t="s">
        <v>2230</v>
      </c>
      <c r="AN422">
        <v>0</v>
      </c>
      <c r="AO422">
        <v>800</v>
      </c>
      <c r="AP422">
        <v>1.1</v>
      </c>
      <c r="AR422" t="s">
        <v>2654</v>
      </c>
      <c r="AS422" t="s">
        <v>3067</v>
      </c>
      <c r="AT422">
        <v>3</v>
      </c>
      <c r="AU422" t="s">
        <v>3109</v>
      </c>
      <c r="AV422">
        <v>1</v>
      </c>
      <c r="AW422">
        <v>0</v>
      </c>
      <c r="AX422">
        <v>116.99</v>
      </c>
      <c r="BB422" t="s">
        <v>252</v>
      </c>
      <c r="BC422" t="s">
        <v>3130</v>
      </c>
      <c r="BD422">
        <v>14612</v>
      </c>
      <c r="BH422" t="s">
        <v>3181</v>
      </c>
      <c r="BK422" t="s">
        <v>3206</v>
      </c>
      <c r="BL422" t="s">
        <v>193</v>
      </c>
      <c r="BM422" t="s">
        <v>311</v>
      </c>
    </row>
    <row r="423" spans="1:65">
      <c r="A423" s="1">
        <f>HYPERLINK("https://lsnyc.legalserver.org/matter/dynamic-profile/view/1906980","19-1906980")</f>
        <v>0</v>
      </c>
      <c r="B423" t="s">
        <v>67</v>
      </c>
      <c r="C423" t="s">
        <v>159</v>
      </c>
      <c r="D423" t="s">
        <v>170</v>
      </c>
      <c r="E423" t="s">
        <v>171</v>
      </c>
      <c r="G423" t="s">
        <v>172</v>
      </c>
      <c r="H423" t="s">
        <v>220</v>
      </c>
      <c r="I423" t="s">
        <v>172</v>
      </c>
      <c r="J423" t="s">
        <v>231</v>
      </c>
      <c r="K423" t="s">
        <v>172</v>
      </c>
      <c r="M423" t="s">
        <v>232</v>
      </c>
      <c r="N423" t="s">
        <v>311</v>
      </c>
      <c r="O423" t="s">
        <v>172</v>
      </c>
      <c r="P423" t="s">
        <v>316</v>
      </c>
      <c r="Q423" t="s">
        <v>321</v>
      </c>
      <c r="T423" t="s">
        <v>688</v>
      </c>
      <c r="U423" t="s">
        <v>1063</v>
      </c>
      <c r="V423" t="s">
        <v>199</v>
      </c>
      <c r="X423" t="s">
        <v>1112</v>
      </c>
      <c r="Y423" t="s">
        <v>1522</v>
      </c>
      <c r="Z423" t="s">
        <v>1730</v>
      </c>
      <c r="AA423" t="s">
        <v>1757</v>
      </c>
      <c r="AB423" t="s">
        <v>1786</v>
      </c>
      <c r="AC423">
        <v>11434</v>
      </c>
      <c r="AD423" t="s">
        <v>1787</v>
      </c>
      <c r="AE423" t="s">
        <v>2179</v>
      </c>
      <c r="AF423">
        <v>2</v>
      </c>
      <c r="AH423" t="s">
        <v>2225</v>
      </c>
      <c r="AI423" t="s">
        <v>233</v>
      </c>
      <c r="AJ423" t="s">
        <v>231</v>
      </c>
      <c r="AL423" t="s">
        <v>2230</v>
      </c>
      <c r="AN423">
        <v>0</v>
      </c>
      <c r="AO423">
        <v>0</v>
      </c>
      <c r="AP423">
        <v>9.1</v>
      </c>
      <c r="AR423" t="s">
        <v>2321</v>
      </c>
      <c r="AS423" t="s">
        <v>3068</v>
      </c>
      <c r="AT423">
        <v>1</v>
      </c>
      <c r="AU423" t="s">
        <v>3108</v>
      </c>
      <c r="AV423">
        <v>1</v>
      </c>
      <c r="AW423">
        <v>0</v>
      </c>
      <c r="AX423">
        <v>131.43</v>
      </c>
      <c r="BB423" t="s">
        <v>252</v>
      </c>
      <c r="BD423">
        <v>16416</v>
      </c>
      <c r="BH423" t="s">
        <v>159</v>
      </c>
      <c r="BK423" t="s">
        <v>3198</v>
      </c>
      <c r="BL423" t="s">
        <v>3275</v>
      </c>
      <c r="BM423" t="s">
        <v>311</v>
      </c>
    </row>
    <row r="424" spans="1:65">
      <c r="A424" s="1">
        <f>HYPERLINK("https://lsnyc.legalserver.org/matter/dynamic-profile/view/1907483","19-1907483")</f>
        <v>0</v>
      </c>
      <c r="B424" t="s">
        <v>67</v>
      </c>
      <c r="C424" t="s">
        <v>159</v>
      </c>
      <c r="D424" t="s">
        <v>170</v>
      </c>
      <c r="E424" t="s">
        <v>171</v>
      </c>
      <c r="G424" t="s">
        <v>172</v>
      </c>
      <c r="H424" t="s">
        <v>220</v>
      </c>
      <c r="I424" t="s">
        <v>230</v>
      </c>
      <c r="J424" t="s">
        <v>232</v>
      </c>
      <c r="K424" t="s">
        <v>234</v>
      </c>
      <c r="M424" t="s">
        <v>232</v>
      </c>
      <c r="O424" t="s">
        <v>313</v>
      </c>
      <c r="Q424" t="s">
        <v>321</v>
      </c>
      <c r="T424" t="s">
        <v>581</v>
      </c>
      <c r="U424" t="s">
        <v>904</v>
      </c>
      <c r="V424" t="s">
        <v>191</v>
      </c>
      <c r="X424" t="s">
        <v>1112</v>
      </c>
      <c r="Y424" t="s">
        <v>1523</v>
      </c>
      <c r="AA424" t="s">
        <v>1758</v>
      </c>
      <c r="AB424" t="s">
        <v>1786</v>
      </c>
      <c r="AC424">
        <v>11373</v>
      </c>
      <c r="AD424" t="s">
        <v>1797</v>
      </c>
      <c r="AE424" t="s">
        <v>2180</v>
      </c>
      <c r="AF424">
        <v>3</v>
      </c>
      <c r="AH424" t="s">
        <v>2224</v>
      </c>
      <c r="AI424" t="s">
        <v>233</v>
      </c>
      <c r="AL424" t="s">
        <v>2230</v>
      </c>
      <c r="AN424">
        <v>0</v>
      </c>
      <c r="AO424">
        <v>1000</v>
      </c>
      <c r="AP424">
        <v>1.1</v>
      </c>
      <c r="AR424" t="s">
        <v>2655</v>
      </c>
      <c r="AS424" t="s">
        <v>3069</v>
      </c>
      <c r="AT424">
        <v>0</v>
      </c>
      <c r="AV424">
        <v>1</v>
      </c>
      <c r="AW424">
        <v>0</v>
      </c>
      <c r="AX424">
        <v>0</v>
      </c>
      <c r="BC424" t="s">
        <v>3131</v>
      </c>
      <c r="BD424">
        <v>0</v>
      </c>
      <c r="BH424" t="s">
        <v>159</v>
      </c>
      <c r="BK424" t="s">
        <v>3220</v>
      </c>
      <c r="BL424" t="s">
        <v>1107</v>
      </c>
    </row>
    <row r="425" spans="1:65">
      <c r="A425" s="1">
        <f>HYPERLINK("https://lsnyc.legalserver.org/matter/dynamic-profile/view/1905368","19-1905368")</f>
        <v>0</v>
      </c>
      <c r="B425" t="s">
        <v>67</v>
      </c>
      <c r="C425" t="s">
        <v>161</v>
      </c>
      <c r="D425" t="s">
        <v>170</v>
      </c>
      <c r="E425" t="s">
        <v>172</v>
      </c>
      <c r="F425" t="s">
        <v>214</v>
      </c>
      <c r="G425" t="s">
        <v>172</v>
      </c>
      <c r="H425" t="s">
        <v>221</v>
      </c>
      <c r="I425" t="s">
        <v>172</v>
      </c>
      <c r="J425" t="s">
        <v>231</v>
      </c>
      <c r="K425" t="s">
        <v>172</v>
      </c>
      <c r="L425" t="s">
        <v>306</v>
      </c>
      <c r="M425" t="s">
        <v>232</v>
      </c>
      <c r="N425" t="s">
        <v>311</v>
      </c>
      <c r="O425" t="s">
        <v>172</v>
      </c>
      <c r="P425" t="s">
        <v>314</v>
      </c>
      <c r="Q425" t="s">
        <v>322</v>
      </c>
      <c r="T425" t="s">
        <v>689</v>
      </c>
      <c r="U425" t="s">
        <v>1064</v>
      </c>
      <c r="V425" t="s">
        <v>180</v>
      </c>
      <c r="W425" t="s">
        <v>1097</v>
      </c>
      <c r="X425" t="s">
        <v>1113</v>
      </c>
      <c r="Y425" t="s">
        <v>1524</v>
      </c>
      <c r="Z425" t="s">
        <v>1744</v>
      </c>
      <c r="AA425" t="s">
        <v>1780</v>
      </c>
      <c r="AB425" t="s">
        <v>1786</v>
      </c>
      <c r="AC425">
        <v>11101</v>
      </c>
      <c r="AD425" t="s">
        <v>1787</v>
      </c>
      <c r="AE425" t="s">
        <v>2181</v>
      </c>
      <c r="AF425">
        <v>5</v>
      </c>
      <c r="AG425" t="s">
        <v>2214</v>
      </c>
      <c r="AH425" t="s">
        <v>2225</v>
      </c>
      <c r="AI425" t="s">
        <v>233</v>
      </c>
      <c r="AJ425" t="s">
        <v>233</v>
      </c>
      <c r="AL425" t="s">
        <v>2231</v>
      </c>
      <c r="AM425" t="s">
        <v>2239</v>
      </c>
      <c r="AN425">
        <v>0</v>
      </c>
      <c r="AO425">
        <v>215</v>
      </c>
      <c r="AP425">
        <v>1.4</v>
      </c>
      <c r="AQ425" t="s">
        <v>2242</v>
      </c>
      <c r="AR425" t="s">
        <v>2656</v>
      </c>
      <c r="AT425">
        <v>30</v>
      </c>
      <c r="AU425" t="s">
        <v>3107</v>
      </c>
      <c r="AV425">
        <v>2</v>
      </c>
      <c r="AW425">
        <v>0</v>
      </c>
      <c r="AX425">
        <v>44.35</v>
      </c>
      <c r="BB425" t="s">
        <v>1793</v>
      </c>
      <c r="BC425" t="s">
        <v>3130</v>
      </c>
      <c r="BD425">
        <v>7500</v>
      </c>
      <c r="BH425" t="s">
        <v>161</v>
      </c>
      <c r="BK425" t="s">
        <v>3232</v>
      </c>
      <c r="BL425" t="s">
        <v>175</v>
      </c>
      <c r="BM425" t="s">
        <v>311</v>
      </c>
    </row>
    <row r="426" spans="1:65">
      <c r="A426" s="1">
        <f>HYPERLINK("https://lsnyc.legalserver.org/matter/dynamic-profile/view/1908600","19-1908600")</f>
        <v>0</v>
      </c>
      <c r="B426" t="s">
        <v>67</v>
      </c>
      <c r="C426" t="s">
        <v>162</v>
      </c>
      <c r="D426" t="s">
        <v>170</v>
      </c>
      <c r="E426" t="s">
        <v>172</v>
      </c>
      <c r="F426" t="s">
        <v>206</v>
      </c>
      <c r="G426" t="s">
        <v>172</v>
      </c>
      <c r="H426" t="s">
        <v>220</v>
      </c>
      <c r="I426" t="s">
        <v>172</v>
      </c>
      <c r="J426" t="s">
        <v>231</v>
      </c>
      <c r="K426" t="s">
        <v>172</v>
      </c>
      <c r="M426" t="s">
        <v>232</v>
      </c>
      <c r="N426" t="s">
        <v>311</v>
      </c>
      <c r="O426" t="s">
        <v>313</v>
      </c>
      <c r="P426" t="s">
        <v>315</v>
      </c>
      <c r="Q426" t="s">
        <v>321</v>
      </c>
      <c r="T426" t="s">
        <v>370</v>
      </c>
      <c r="U426" t="s">
        <v>1065</v>
      </c>
      <c r="V426" t="s">
        <v>206</v>
      </c>
      <c r="X426" t="s">
        <v>1112</v>
      </c>
      <c r="Y426" t="s">
        <v>1525</v>
      </c>
      <c r="Z426" t="s">
        <v>1569</v>
      </c>
      <c r="AA426" t="s">
        <v>1771</v>
      </c>
      <c r="AB426" t="s">
        <v>1786</v>
      </c>
      <c r="AC426">
        <v>11385</v>
      </c>
      <c r="AD426" t="s">
        <v>1788</v>
      </c>
      <c r="AE426" t="s">
        <v>2182</v>
      </c>
      <c r="AF426">
        <v>31</v>
      </c>
      <c r="AH426" t="s">
        <v>2224</v>
      </c>
      <c r="AI426" t="s">
        <v>233</v>
      </c>
      <c r="AJ426" t="s">
        <v>233</v>
      </c>
      <c r="AL426" t="s">
        <v>2230</v>
      </c>
      <c r="AM426" t="s">
        <v>2236</v>
      </c>
      <c r="AN426">
        <v>0</v>
      </c>
      <c r="AO426">
        <v>873</v>
      </c>
      <c r="AP426">
        <v>6.4</v>
      </c>
      <c r="AR426" t="s">
        <v>2657</v>
      </c>
      <c r="AS426" t="s">
        <v>3070</v>
      </c>
      <c r="AT426">
        <v>6</v>
      </c>
      <c r="AU426" t="s">
        <v>3106</v>
      </c>
      <c r="AV426">
        <v>2</v>
      </c>
      <c r="AW426">
        <v>0</v>
      </c>
      <c r="AX426">
        <v>0</v>
      </c>
      <c r="BB426" t="s">
        <v>252</v>
      </c>
      <c r="BC426" t="s">
        <v>3130</v>
      </c>
      <c r="BD426">
        <v>0</v>
      </c>
      <c r="BH426" t="s">
        <v>3181</v>
      </c>
      <c r="BK426" t="s">
        <v>3210</v>
      </c>
      <c r="BL426" t="s">
        <v>3274</v>
      </c>
      <c r="BM426" t="s">
        <v>311</v>
      </c>
    </row>
    <row r="427" spans="1:65">
      <c r="A427" s="1">
        <f>HYPERLINK("https://lsnyc.legalserver.org/matter/dynamic-profile/view/1907597","19-1907597")</f>
        <v>0</v>
      </c>
      <c r="B427" t="s">
        <v>67</v>
      </c>
      <c r="C427" t="s">
        <v>161</v>
      </c>
      <c r="D427" t="s">
        <v>170</v>
      </c>
      <c r="E427" t="s">
        <v>171</v>
      </c>
      <c r="G427" t="s">
        <v>172</v>
      </c>
      <c r="H427" t="s">
        <v>220</v>
      </c>
      <c r="I427" t="s">
        <v>172</v>
      </c>
      <c r="J427" t="s">
        <v>231</v>
      </c>
      <c r="K427" t="s">
        <v>172</v>
      </c>
      <c r="L427" t="s">
        <v>307</v>
      </c>
      <c r="M427" t="s">
        <v>232</v>
      </c>
      <c r="N427" t="s">
        <v>311</v>
      </c>
      <c r="O427" t="s">
        <v>313</v>
      </c>
      <c r="P427" t="s">
        <v>315</v>
      </c>
      <c r="Q427" t="s">
        <v>321</v>
      </c>
      <c r="T427" t="s">
        <v>690</v>
      </c>
      <c r="U427" t="s">
        <v>1066</v>
      </c>
      <c r="V427" t="s">
        <v>210</v>
      </c>
      <c r="X427" t="s">
        <v>1112</v>
      </c>
      <c r="Y427" t="s">
        <v>1526</v>
      </c>
      <c r="Z427" t="s">
        <v>1563</v>
      </c>
      <c r="AA427" t="s">
        <v>1757</v>
      </c>
      <c r="AB427" t="s">
        <v>1786</v>
      </c>
      <c r="AC427">
        <v>11434</v>
      </c>
      <c r="AD427" t="s">
        <v>1787</v>
      </c>
      <c r="AE427" t="s">
        <v>2183</v>
      </c>
      <c r="AF427">
        <v>1</v>
      </c>
      <c r="AH427" t="s">
        <v>2224</v>
      </c>
      <c r="AI427" t="s">
        <v>233</v>
      </c>
      <c r="AJ427" t="s">
        <v>231</v>
      </c>
      <c r="AL427" t="s">
        <v>2230</v>
      </c>
      <c r="AM427" t="s">
        <v>2236</v>
      </c>
      <c r="AN427">
        <v>0</v>
      </c>
      <c r="AO427">
        <v>650</v>
      </c>
      <c r="AP427">
        <v>1.38</v>
      </c>
      <c r="AR427" t="s">
        <v>2658</v>
      </c>
      <c r="AS427" t="s">
        <v>3071</v>
      </c>
      <c r="AT427">
        <v>2</v>
      </c>
      <c r="AU427" t="s">
        <v>3108</v>
      </c>
      <c r="AV427">
        <v>1</v>
      </c>
      <c r="AW427">
        <v>1</v>
      </c>
      <c r="AX427">
        <v>85.16</v>
      </c>
      <c r="BB427" t="s">
        <v>252</v>
      </c>
      <c r="BC427" t="s">
        <v>3130</v>
      </c>
      <c r="BD427">
        <v>14400</v>
      </c>
      <c r="BH427" t="s">
        <v>3180</v>
      </c>
      <c r="BK427" t="s">
        <v>3197</v>
      </c>
      <c r="BL427" t="s">
        <v>213</v>
      </c>
      <c r="BM427" t="s">
        <v>311</v>
      </c>
    </row>
    <row r="428" spans="1:65">
      <c r="A428" s="1">
        <f>HYPERLINK("https://lsnyc.legalserver.org/matter/dynamic-profile/view/1905311","19-1905311")</f>
        <v>0</v>
      </c>
      <c r="B428" t="s">
        <v>67</v>
      </c>
      <c r="C428" t="s">
        <v>161</v>
      </c>
      <c r="D428" t="s">
        <v>170</v>
      </c>
      <c r="E428" t="s">
        <v>172</v>
      </c>
      <c r="F428" t="s">
        <v>196</v>
      </c>
      <c r="G428" t="s">
        <v>172</v>
      </c>
      <c r="H428" t="s">
        <v>220</v>
      </c>
      <c r="I428" t="s">
        <v>172</v>
      </c>
      <c r="J428" t="s">
        <v>231</v>
      </c>
      <c r="K428" t="s">
        <v>172</v>
      </c>
      <c r="L428" t="s">
        <v>252</v>
      </c>
      <c r="M428" t="s">
        <v>232</v>
      </c>
      <c r="N428" t="s">
        <v>311</v>
      </c>
      <c r="O428" t="s">
        <v>172</v>
      </c>
      <c r="P428" t="s">
        <v>314</v>
      </c>
      <c r="Q428" t="s">
        <v>322</v>
      </c>
      <c r="T428" t="s">
        <v>590</v>
      </c>
      <c r="U428" t="s">
        <v>1067</v>
      </c>
      <c r="V428" t="s">
        <v>196</v>
      </c>
      <c r="W428" t="s">
        <v>211</v>
      </c>
      <c r="X428" t="s">
        <v>1113</v>
      </c>
      <c r="Y428" t="s">
        <v>1527</v>
      </c>
      <c r="Z428" t="s">
        <v>1563</v>
      </c>
      <c r="AA428" t="s">
        <v>1781</v>
      </c>
      <c r="AB428" t="s">
        <v>1786</v>
      </c>
      <c r="AC428">
        <v>11421</v>
      </c>
      <c r="AD428" t="s">
        <v>1787</v>
      </c>
      <c r="AE428" t="s">
        <v>2184</v>
      </c>
      <c r="AF428">
        <v>7</v>
      </c>
      <c r="AG428" t="s">
        <v>2214</v>
      </c>
      <c r="AH428" t="s">
        <v>2225</v>
      </c>
      <c r="AI428" t="s">
        <v>233</v>
      </c>
      <c r="AJ428" t="s">
        <v>233</v>
      </c>
      <c r="AL428" t="s">
        <v>2230</v>
      </c>
      <c r="AM428" t="s">
        <v>2236</v>
      </c>
      <c r="AN428">
        <v>0</v>
      </c>
      <c r="AO428">
        <v>1300</v>
      </c>
      <c r="AP428">
        <v>2.23</v>
      </c>
      <c r="AQ428" t="s">
        <v>2242</v>
      </c>
      <c r="AR428" t="s">
        <v>2659</v>
      </c>
      <c r="AS428" t="s">
        <v>3072</v>
      </c>
      <c r="AT428">
        <v>3</v>
      </c>
      <c r="AU428" t="s">
        <v>3108</v>
      </c>
      <c r="AV428">
        <v>1</v>
      </c>
      <c r="AW428">
        <v>3</v>
      </c>
      <c r="AX428">
        <v>116.12</v>
      </c>
      <c r="BB428" t="s">
        <v>252</v>
      </c>
      <c r="BC428" t="s">
        <v>3130</v>
      </c>
      <c r="BD428">
        <v>29900</v>
      </c>
      <c r="BH428" t="s">
        <v>3180</v>
      </c>
      <c r="BK428" t="s">
        <v>3198</v>
      </c>
      <c r="BL428" t="s">
        <v>214</v>
      </c>
      <c r="BM428" t="s">
        <v>311</v>
      </c>
    </row>
    <row r="429" spans="1:65">
      <c r="A429" s="1">
        <f>HYPERLINK("https://lsnyc.legalserver.org/matter/dynamic-profile/view/1908612","19-1908612")</f>
        <v>0</v>
      </c>
      <c r="B429" t="s">
        <v>67</v>
      </c>
      <c r="C429" t="s">
        <v>163</v>
      </c>
      <c r="D429" t="s">
        <v>170</v>
      </c>
      <c r="E429" t="s">
        <v>172</v>
      </c>
      <c r="F429" t="s">
        <v>206</v>
      </c>
      <c r="G429" t="s">
        <v>172</v>
      </c>
      <c r="H429" t="s">
        <v>220</v>
      </c>
      <c r="I429" t="s">
        <v>172</v>
      </c>
      <c r="J429" t="s">
        <v>231</v>
      </c>
      <c r="K429" t="s">
        <v>172</v>
      </c>
      <c r="M429" t="s">
        <v>232</v>
      </c>
      <c r="N429" t="s">
        <v>311</v>
      </c>
      <c r="O429" t="s">
        <v>313</v>
      </c>
      <c r="P429" t="s">
        <v>315</v>
      </c>
      <c r="Q429" t="s">
        <v>321</v>
      </c>
      <c r="T429" t="s">
        <v>691</v>
      </c>
      <c r="U429" t="s">
        <v>725</v>
      </c>
      <c r="V429" t="s">
        <v>206</v>
      </c>
      <c r="X429" t="s">
        <v>1112</v>
      </c>
      <c r="Y429" t="s">
        <v>1528</v>
      </c>
      <c r="AA429" t="s">
        <v>1782</v>
      </c>
      <c r="AB429" t="s">
        <v>1786</v>
      </c>
      <c r="AC429">
        <v>11362</v>
      </c>
      <c r="AD429" t="s">
        <v>1787</v>
      </c>
      <c r="AE429" t="s">
        <v>2185</v>
      </c>
      <c r="AF429">
        <v>1</v>
      </c>
      <c r="AH429" t="s">
        <v>2225</v>
      </c>
      <c r="AI429" t="s">
        <v>233</v>
      </c>
      <c r="AJ429" t="s">
        <v>233</v>
      </c>
      <c r="AL429" t="s">
        <v>2230</v>
      </c>
      <c r="AN429">
        <v>0</v>
      </c>
      <c r="AO429">
        <v>0</v>
      </c>
      <c r="AP429">
        <v>0.51</v>
      </c>
      <c r="AR429" t="s">
        <v>2660</v>
      </c>
      <c r="AS429" t="s">
        <v>3073</v>
      </c>
      <c r="AT429">
        <v>1</v>
      </c>
      <c r="AU429" t="s">
        <v>3109</v>
      </c>
      <c r="AV429">
        <v>4</v>
      </c>
      <c r="AW429">
        <v>0</v>
      </c>
      <c r="AX429">
        <v>121.17</v>
      </c>
      <c r="BB429" t="s">
        <v>252</v>
      </c>
      <c r="BC429" t="s">
        <v>3130</v>
      </c>
      <c r="BD429">
        <v>31200</v>
      </c>
      <c r="BH429" t="s">
        <v>3181</v>
      </c>
      <c r="BK429" t="s">
        <v>3198</v>
      </c>
      <c r="BL429" t="s">
        <v>3275</v>
      </c>
      <c r="BM429" t="s">
        <v>311</v>
      </c>
    </row>
    <row r="430" spans="1:65">
      <c r="A430" s="1">
        <f>HYPERLINK("https://lsnyc.legalserver.org/matter/dynamic-profile/view/1906783","19-1906783")</f>
        <v>0</v>
      </c>
      <c r="B430" t="s">
        <v>67</v>
      </c>
      <c r="C430" t="s">
        <v>161</v>
      </c>
      <c r="D430" t="s">
        <v>170</v>
      </c>
      <c r="E430" t="s">
        <v>172</v>
      </c>
      <c r="F430" t="s">
        <v>215</v>
      </c>
      <c r="G430" t="s">
        <v>172</v>
      </c>
      <c r="H430" t="s">
        <v>220</v>
      </c>
      <c r="I430" t="s">
        <v>230</v>
      </c>
      <c r="J430" t="s">
        <v>232</v>
      </c>
      <c r="K430" t="s">
        <v>234</v>
      </c>
      <c r="M430" t="s">
        <v>232</v>
      </c>
      <c r="O430" t="s">
        <v>172</v>
      </c>
      <c r="P430" t="s">
        <v>316</v>
      </c>
      <c r="Q430" t="s">
        <v>321</v>
      </c>
      <c r="T430" t="s">
        <v>467</v>
      </c>
      <c r="U430" t="s">
        <v>855</v>
      </c>
      <c r="V430" t="s">
        <v>208</v>
      </c>
      <c r="X430" t="s">
        <v>1112</v>
      </c>
      <c r="Y430" t="s">
        <v>1529</v>
      </c>
      <c r="AA430" t="s">
        <v>1757</v>
      </c>
      <c r="AB430" t="s">
        <v>1786</v>
      </c>
      <c r="AC430">
        <v>11433</v>
      </c>
      <c r="AE430" t="s">
        <v>2186</v>
      </c>
      <c r="AF430">
        <v>0</v>
      </c>
      <c r="AH430" t="s">
        <v>2224</v>
      </c>
      <c r="AI430" t="s">
        <v>233</v>
      </c>
      <c r="AJ430" t="s">
        <v>233</v>
      </c>
      <c r="AL430" t="s">
        <v>2230</v>
      </c>
      <c r="AM430" t="s">
        <v>2236</v>
      </c>
      <c r="AN430">
        <v>0</v>
      </c>
      <c r="AO430">
        <v>0</v>
      </c>
      <c r="AP430">
        <v>9.9</v>
      </c>
      <c r="AR430" t="s">
        <v>2661</v>
      </c>
      <c r="AS430" t="s">
        <v>3074</v>
      </c>
      <c r="AT430">
        <v>2</v>
      </c>
      <c r="AU430" t="s">
        <v>3108</v>
      </c>
      <c r="AV430">
        <v>1</v>
      </c>
      <c r="AW430">
        <v>0</v>
      </c>
      <c r="AX430">
        <v>124.9</v>
      </c>
      <c r="BC430" t="s">
        <v>3130</v>
      </c>
      <c r="BD430">
        <v>15600</v>
      </c>
      <c r="BH430" t="s">
        <v>3170</v>
      </c>
      <c r="BK430" t="s">
        <v>3198</v>
      </c>
      <c r="BL430" t="s">
        <v>215</v>
      </c>
    </row>
    <row r="431" spans="1:65">
      <c r="A431" s="1">
        <f>HYPERLINK("https://lsnyc.legalserver.org/matter/dynamic-profile/view/1907512","19-1907512")</f>
        <v>0</v>
      </c>
      <c r="B431" t="s">
        <v>67</v>
      </c>
      <c r="C431" t="s">
        <v>161</v>
      </c>
      <c r="D431" t="s">
        <v>170</v>
      </c>
      <c r="E431" t="s">
        <v>171</v>
      </c>
      <c r="G431" t="s">
        <v>172</v>
      </c>
      <c r="H431" t="s">
        <v>221</v>
      </c>
      <c r="I431" t="s">
        <v>172</v>
      </c>
      <c r="J431" t="s">
        <v>231</v>
      </c>
      <c r="K431" t="s">
        <v>172</v>
      </c>
      <c r="M431" t="s">
        <v>232</v>
      </c>
      <c r="N431" t="s">
        <v>311</v>
      </c>
      <c r="O431" t="s">
        <v>313</v>
      </c>
      <c r="Q431" t="s">
        <v>321</v>
      </c>
      <c r="T431" t="s">
        <v>692</v>
      </c>
      <c r="U431" t="s">
        <v>1068</v>
      </c>
      <c r="V431" t="s">
        <v>191</v>
      </c>
      <c r="X431" t="s">
        <v>1112</v>
      </c>
      <c r="Y431" t="s">
        <v>1530</v>
      </c>
      <c r="Z431" t="s">
        <v>1745</v>
      </c>
      <c r="AA431" t="s">
        <v>1777</v>
      </c>
      <c r="AB431" t="s">
        <v>1786</v>
      </c>
      <c r="AC431">
        <v>11418</v>
      </c>
      <c r="AD431" t="s">
        <v>1787</v>
      </c>
      <c r="AE431" t="s">
        <v>2187</v>
      </c>
      <c r="AF431">
        <v>15</v>
      </c>
      <c r="AH431" t="s">
        <v>2225</v>
      </c>
      <c r="AI431" t="s">
        <v>233</v>
      </c>
      <c r="AL431" t="s">
        <v>2230</v>
      </c>
      <c r="AN431">
        <v>0</v>
      </c>
      <c r="AO431">
        <v>1433</v>
      </c>
      <c r="AP431">
        <v>1.7</v>
      </c>
      <c r="AR431" t="s">
        <v>2662</v>
      </c>
      <c r="AS431" t="s">
        <v>3075</v>
      </c>
      <c r="AT431">
        <v>72</v>
      </c>
      <c r="AU431" t="s">
        <v>3106</v>
      </c>
      <c r="AV431">
        <v>1</v>
      </c>
      <c r="AW431">
        <v>1</v>
      </c>
      <c r="AX431">
        <v>62.73</v>
      </c>
      <c r="BB431" t="s">
        <v>252</v>
      </c>
      <c r="BD431">
        <v>10608</v>
      </c>
      <c r="BH431" t="s">
        <v>159</v>
      </c>
      <c r="BK431" t="s">
        <v>3270</v>
      </c>
      <c r="BL431" t="s">
        <v>215</v>
      </c>
      <c r="BM431" t="s">
        <v>311</v>
      </c>
    </row>
    <row r="432" spans="1:65">
      <c r="A432" s="1">
        <f>HYPERLINK("https://lsnyc.legalserver.org/matter/dynamic-profile/view/1907008","19-1907008")</f>
        <v>0</v>
      </c>
      <c r="B432" t="s">
        <v>67</v>
      </c>
      <c r="C432" t="s">
        <v>158</v>
      </c>
      <c r="D432" t="s">
        <v>170</v>
      </c>
      <c r="E432" t="s">
        <v>171</v>
      </c>
      <c r="G432" t="s">
        <v>219</v>
      </c>
      <c r="I432" t="s">
        <v>172</v>
      </c>
      <c r="J432" t="s">
        <v>231</v>
      </c>
      <c r="K432" t="s">
        <v>172</v>
      </c>
      <c r="M432" t="s">
        <v>232</v>
      </c>
      <c r="N432" t="s">
        <v>311</v>
      </c>
      <c r="O432" t="s">
        <v>172</v>
      </c>
      <c r="P432" t="s">
        <v>316</v>
      </c>
      <c r="Q432" t="s">
        <v>321</v>
      </c>
      <c r="T432" t="s">
        <v>693</v>
      </c>
      <c r="U432" t="s">
        <v>1069</v>
      </c>
      <c r="V432" t="s">
        <v>183</v>
      </c>
      <c r="X432" t="s">
        <v>1112</v>
      </c>
      <c r="Y432" t="s">
        <v>1531</v>
      </c>
      <c r="Z432">
        <v>2</v>
      </c>
      <c r="AA432" t="s">
        <v>1771</v>
      </c>
      <c r="AB432" t="s">
        <v>1786</v>
      </c>
      <c r="AC432">
        <v>11385</v>
      </c>
      <c r="AD432" t="s">
        <v>1790</v>
      </c>
      <c r="AF432">
        <v>1</v>
      </c>
      <c r="AH432" t="s">
        <v>2224</v>
      </c>
      <c r="AI432" t="s">
        <v>233</v>
      </c>
      <c r="AJ432" t="s">
        <v>233</v>
      </c>
      <c r="AL432" t="s">
        <v>2230</v>
      </c>
      <c r="AN432">
        <v>0</v>
      </c>
      <c r="AO432">
        <v>1900</v>
      </c>
      <c r="AP432">
        <v>1.23</v>
      </c>
      <c r="AR432" t="s">
        <v>2663</v>
      </c>
      <c r="AS432" t="s">
        <v>2975</v>
      </c>
      <c r="AT432">
        <v>3</v>
      </c>
      <c r="AV432">
        <v>3</v>
      </c>
      <c r="AW432">
        <v>2</v>
      </c>
      <c r="AX432">
        <v>137.89</v>
      </c>
      <c r="BB432" t="s">
        <v>252</v>
      </c>
      <c r="BC432" t="s">
        <v>3131</v>
      </c>
      <c r="BD432">
        <v>41600</v>
      </c>
      <c r="BH432" t="s">
        <v>3180</v>
      </c>
      <c r="BK432" t="s">
        <v>3198</v>
      </c>
      <c r="BL432" t="s">
        <v>207</v>
      </c>
      <c r="BM432" t="s">
        <v>311</v>
      </c>
    </row>
    <row r="433" spans="1:65">
      <c r="A433" s="1">
        <f>HYPERLINK("https://lsnyc.legalserver.org/matter/dynamic-profile/view/1907565","19-1907565")</f>
        <v>0</v>
      </c>
      <c r="B433" t="s">
        <v>67</v>
      </c>
      <c r="C433" t="s">
        <v>158</v>
      </c>
      <c r="D433" t="s">
        <v>170</v>
      </c>
      <c r="E433" t="s">
        <v>172</v>
      </c>
      <c r="F433" t="s">
        <v>210</v>
      </c>
      <c r="G433" t="s">
        <v>172</v>
      </c>
      <c r="H433" t="s">
        <v>220</v>
      </c>
      <c r="I433" t="s">
        <v>172</v>
      </c>
      <c r="J433" t="s">
        <v>231</v>
      </c>
      <c r="K433" t="s">
        <v>172</v>
      </c>
      <c r="M433" t="s">
        <v>232</v>
      </c>
      <c r="N433" t="s">
        <v>311</v>
      </c>
      <c r="O433" t="s">
        <v>172</v>
      </c>
      <c r="P433" t="s">
        <v>314</v>
      </c>
      <c r="Q433" t="s">
        <v>322</v>
      </c>
      <c r="T433" t="s">
        <v>694</v>
      </c>
      <c r="U433" t="s">
        <v>1070</v>
      </c>
      <c r="V433" t="s">
        <v>210</v>
      </c>
      <c r="W433" t="s">
        <v>1108</v>
      </c>
      <c r="X433" t="s">
        <v>1113</v>
      </c>
      <c r="Y433" t="s">
        <v>1532</v>
      </c>
      <c r="Z433">
        <v>2</v>
      </c>
      <c r="AA433" t="s">
        <v>1763</v>
      </c>
      <c r="AB433" t="s">
        <v>1786</v>
      </c>
      <c r="AC433">
        <v>11368</v>
      </c>
      <c r="AD433" t="s">
        <v>1787</v>
      </c>
      <c r="AE433" t="s">
        <v>2188</v>
      </c>
      <c r="AF433">
        <v>9</v>
      </c>
      <c r="AG433" t="s">
        <v>2214</v>
      </c>
      <c r="AH433" t="s">
        <v>2225</v>
      </c>
      <c r="AI433" t="s">
        <v>233</v>
      </c>
      <c r="AJ433" t="s">
        <v>233</v>
      </c>
      <c r="AL433" t="s">
        <v>2230</v>
      </c>
      <c r="AM433" t="s">
        <v>2236</v>
      </c>
      <c r="AN433">
        <v>0</v>
      </c>
      <c r="AO433">
        <v>1647</v>
      </c>
      <c r="AP433">
        <v>0.7</v>
      </c>
      <c r="AQ433" t="s">
        <v>2242</v>
      </c>
      <c r="AR433" t="s">
        <v>2664</v>
      </c>
      <c r="AS433" t="s">
        <v>3076</v>
      </c>
      <c r="AT433">
        <v>2</v>
      </c>
      <c r="AU433" t="s">
        <v>3109</v>
      </c>
      <c r="AV433">
        <v>2</v>
      </c>
      <c r="AW433">
        <v>1</v>
      </c>
      <c r="AX433">
        <v>174.66</v>
      </c>
      <c r="BB433" t="s">
        <v>3123</v>
      </c>
      <c r="BC433" t="s">
        <v>3130</v>
      </c>
      <c r="BD433">
        <v>37255.4</v>
      </c>
      <c r="BH433" t="s">
        <v>3181</v>
      </c>
      <c r="BK433" t="s">
        <v>3198</v>
      </c>
      <c r="BL433" t="s">
        <v>1108</v>
      </c>
      <c r="BM433" t="s">
        <v>311</v>
      </c>
    </row>
    <row r="434" spans="1:65">
      <c r="A434" s="1">
        <f>HYPERLINK("https://lsnyc.legalserver.org/matter/dynamic-profile/view/1903848","19-1903848")</f>
        <v>0</v>
      </c>
      <c r="B434" t="s">
        <v>67</v>
      </c>
      <c r="C434" t="s">
        <v>150</v>
      </c>
      <c r="D434" t="s">
        <v>170</v>
      </c>
      <c r="E434" t="s">
        <v>171</v>
      </c>
      <c r="G434" t="s">
        <v>172</v>
      </c>
      <c r="H434" t="s">
        <v>221</v>
      </c>
      <c r="I434" t="s">
        <v>172</v>
      </c>
      <c r="J434" t="s">
        <v>231</v>
      </c>
      <c r="K434" t="s">
        <v>172</v>
      </c>
      <c r="L434" t="s">
        <v>308</v>
      </c>
      <c r="M434" t="s">
        <v>232</v>
      </c>
      <c r="N434" t="s">
        <v>311</v>
      </c>
      <c r="O434" t="s">
        <v>172</v>
      </c>
      <c r="P434" t="s">
        <v>316</v>
      </c>
      <c r="Q434" t="s">
        <v>321</v>
      </c>
      <c r="T434" t="s">
        <v>695</v>
      </c>
      <c r="U434" t="s">
        <v>1071</v>
      </c>
      <c r="V434" t="s">
        <v>186</v>
      </c>
      <c r="X434" t="s">
        <v>1112</v>
      </c>
      <c r="Y434" t="s">
        <v>1533</v>
      </c>
      <c r="Z434">
        <v>1</v>
      </c>
      <c r="AA434" t="s">
        <v>1757</v>
      </c>
      <c r="AB434" t="s">
        <v>1786</v>
      </c>
      <c r="AC434">
        <v>11434</v>
      </c>
      <c r="AD434" t="s">
        <v>1787</v>
      </c>
      <c r="AE434" t="s">
        <v>2189</v>
      </c>
      <c r="AF434">
        <v>1</v>
      </c>
      <c r="AH434" t="s">
        <v>2224</v>
      </c>
      <c r="AI434" t="s">
        <v>233</v>
      </c>
      <c r="AJ434" t="s">
        <v>233</v>
      </c>
      <c r="AL434" t="s">
        <v>2230</v>
      </c>
      <c r="AM434" t="s">
        <v>2236</v>
      </c>
      <c r="AN434">
        <v>0</v>
      </c>
      <c r="AO434">
        <v>2010</v>
      </c>
      <c r="AP434">
        <v>10.95</v>
      </c>
      <c r="AR434" t="s">
        <v>2665</v>
      </c>
      <c r="AS434" t="s">
        <v>3077</v>
      </c>
      <c r="AT434">
        <v>2</v>
      </c>
      <c r="AU434" t="s">
        <v>3108</v>
      </c>
      <c r="AV434">
        <v>1</v>
      </c>
      <c r="AW434">
        <v>4</v>
      </c>
      <c r="AX434">
        <v>21.29</v>
      </c>
      <c r="BB434" t="s">
        <v>3124</v>
      </c>
      <c r="BC434" t="s">
        <v>3131</v>
      </c>
      <c r="BD434">
        <v>6422</v>
      </c>
      <c r="BH434" t="s">
        <v>3181</v>
      </c>
      <c r="BK434" t="s">
        <v>3260</v>
      </c>
      <c r="BL434" t="s">
        <v>177</v>
      </c>
      <c r="BM434" t="s">
        <v>311</v>
      </c>
    </row>
    <row r="435" spans="1:65">
      <c r="A435" s="1">
        <f>HYPERLINK("https://lsnyc.legalserver.org/matter/dynamic-profile/view/1908497","19-1908497")</f>
        <v>0</v>
      </c>
      <c r="B435" t="s">
        <v>67</v>
      </c>
      <c r="C435" t="s">
        <v>162</v>
      </c>
      <c r="D435" t="s">
        <v>170</v>
      </c>
      <c r="E435" t="s">
        <v>171</v>
      </c>
      <c r="G435" t="s">
        <v>172</v>
      </c>
      <c r="H435" t="s">
        <v>221</v>
      </c>
      <c r="I435" t="s">
        <v>172</v>
      </c>
      <c r="J435" t="s">
        <v>231</v>
      </c>
      <c r="K435" t="s">
        <v>172</v>
      </c>
      <c r="M435" t="s">
        <v>232</v>
      </c>
      <c r="N435" t="s">
        <v>311</v>
      </c>
      <c r="O435" t="s">
        <v>313</v>
      </c>
      <c r="P435" t="s">
        <v>315</v>
      </c>
      <c r="Q435" t="s">
        <v>321</v>
      </c>
      <c r="T435" t="s">
        <v>696</v>
      </c>
      <c r="U435" t="s">
        <v>1072</v>
      </c>
      <c r="V435" t="s">
        <v>213</v>
      </c>
      <c r="X435" t="s">
        <v>1112</v>
      </c>
      <c r="Y435" t="s">
        <v>1534</v>
      </c>
      <c r="Z435" t="s">
        <v>1746</v>
      </c>
      <c r="AA435" t="s">
        <v>1757</v>
      </c>
      <c r="AB435" t="s">
        <v>1786</v>
      </c>
      <c r="AC435">
        <v>11434</v>
      </c>
      <c r="AD435" t="s">
        <v>1790</v>
      </c>
      <c r="AE435" t="s">
        <v>2190</v>
      </c>
      <c r="AF435">
        <v>20</v>
      </c>
      <c r="AH435" t="s">
        <v>2224</v>
      </c>
      <c r="AI435" t="s">
        <v>233</v>
      </c>
      <c r="AJ435" t="s">
        <v>233</v>
      </c>
      <c r="AL435" t="s">
        <v>2230</v>
      </c>
      <c r="AM435" t="s">
        <v>2237</v>
      </c>
      <c r="AN435">
        <v>0</v>
      </c>
      <c r="AO435">
        <v>0</v>
      </c>
      <c r="AP435">
        <v>1.83</v>
      </c>
      <c r="AR435" t="s">
        <v>2666</v>
      </c>
      <c r="AS435" t="s">
        <v>3078</v>
      </c>
      <c r="AT435">
        <v>148</v>
      </c>
      <c r="AU435" t="s">
        <v>3118</v>
      </c>
      <c r="AV435">
        <v>3</v>
      </c>
      <c r="AW435">
        <v>2</v>
      </c>
      <c r="AX435">
        <v>151.14</v>
      </c>
      <c r="BB435" t="s">
        <v>252</v>
      </c>
      <c r="BC435" t="s">
        <v>3130</v>
      </c>
      <c r="BD435">
        <v>45600</v>
      </c>
      <c r="BH435" t="s">
        <v>3180</v>
      </c>
      <c r="BK435" t="s">
        <v>3198</v>
      </c>
      <c r="BL435" t="s">
        <v>1109</v>
      </c>
      <c r="BM435" t="s">
        <v>311</v>
      </c>
    </row>
    <row r="436" spans="1:65">
      <c r="A436" s="1">
        <f>HYPERLINK("https://lsnyc.legalserver.org/matter/dynamic-profile/view/1905254","19-1905254")</f>
        <v>0</v>
      </c>
      <c r="B436" t="s">
        <v>67</v>
      </c>
      <c r="C436" t="s">
        <v>162</v>
      </c>
      <c r="D436" t="s">
        <v>170</v>
      </c>
      <c r="E436" t="s">
        <v>171</v>
      </c>
      <c r="G436" t="s">
        <v>172</v>
      </c>
      <c r="H436" t="s">
        <v>220</v>
      </c>
      <c r="I436" t="s">
        <v>230</v>
      </c>
      <c r="J436" t="s">
        <v>233</v>
      </c>
      <c r="K436" t="s">
        <v>172</v>
      </c>
      <c r="M436" t="s">
        <v>232</v>
      </c>
      <c r="N436" t="s">
        <v>311</v>
      </c>
      <c r="O436" t="s">
        <v>172</v>
      </c>
      <c r="P436" t="s">
        <v>316</v>
      </c>
      <c r="Q436" t="s">
        <v>321</v>
      </c>
      <c r="T436" t="s">
        <v>575</v>
      </c>
      <c r="U436" t="s">
        <v>1073</v>
      </c>
      <c r="V436" t="s">
        <v>196</v>
      </c>
      <c r="X436" t="s">
        <v>1112</v>
      </c>
      <c r="Y436" t="s">
        <v>1535</v>
      </c>
      <c r="AA436" t="s">
        <v>1757</v>
      </c>
      <c r="AB436" t="s">
        <v>1786</v>
      </c>
      <c r="AC436">
        <v>11434</v>
      </c>
      <c r="AD436" t="s">
        <v>1790</v>
      </c>
      <c r="AE436" t="s">
        <v>2191</v>
      </c>
      <c r="AF436">
        <v>-1</v>
      </c>
      <c r="AH436" t="s">
        <v>2224</v>
      </c>
      <c r="AI436" t="s">
        <v>233</v>
      </c>
      <c r="AJ436" t="s">
        <v>233</v>
      </c>
      <c r="AL436" t="s">
        <v>2230</v>
      </c>
      <c r="AM436" t="s">
        <v>2236</v>
      </c>
      <c r="AN436">
        <v>0</v>
      </c>
      <c r="AO436">
        <v>1600</v>
      </c>
      <c r="AP436">
        <v>31.12</v>
      </c>
      <c r="AR436" t="s">
        <v>2667</v>
      </c>
      <c r="AS436" t="s">
        <v>3079</v>
      </c>
      <c r="AT436">
        <v>0</v>
      </c>
      <c r="AV436">
        <v>2</v>
      </c>
      <c r="AW436">
        <v>4</v>
      </c>
      <c r="AX436">
        <v>115.64</v>
      </c>
      <c r="BB436" t="s">
        <v>252</v>
      </c>
      <c r="BC436" t="s">
        <v>3130</v>
      </c>
      <c r="BD436">
        <v>40000</v>
      </c>
      <c r="BH436" t="s">
        <v>3180</v>
      </c>
      <c r="BK436" t="s">
        <v>3198</v>
      </c>
      <c r="BL436" t="s">
        <v>1109</v>
      </c>
      <c r="BM436" t="s">
        <v>311</v>
      </c>
    </row>
    <row r="437" spans="1:65">
      <c r="A437" s="1">
        <f>HYPERLINK("https://lsnyc.legalserver.org/matter/dynamic-profile/view/1905378","19-1905378")</f>
        <v>0</v>
      </c>
      <c r="B437" t="s">
        <v>67</v>
      </c>
      <c r="C437" t="s">
        <v>161</v>
      </c>
      <c r="D437" t="s">
        <v>170</v>
      </c>
      <c r="E437" t="s">
        <v>171</v>
      </c>
      <c r="G437" t="s">
        <v>172</v>
      </c>
      <c r="H437" t="s">
        <v>221</v>
      </c>
      <c r="I437" t="s">
        <v>230</v>
      </c>
      <c r="J437" t="s">
        <v>232</v>
      </c>
      <c r="K437" t="s">
        <v>234</v>
      </c>
      <c r="M437" t="s">
        <v>232</v>
      </c>
      <c r="O437" t="s">
        <v>313</v>
      </c>
      <c r="Q437" t="s">
        <v>321</v>
      </c>
      <c r="T437" t="s">
        <v>697</v>
      </c>
      <c r="U437" t="s">
        <v>1074</v>
      </c>
      <c r="V437" t="s">
        <v>180</v>
      </c>
      <c r="X437" t="s">
        <v>1112</v>
      </c>
      <c r="Y437" t="s">
        <v>1536</v>
      </c>
      <c r="Z437" t="s">
        <v>1621</v>
      </c>
      <c r="AA437" t="s">
        <v>1764</v>
      </c>
      <c r="AB437" t="s">
        <v>1786</v>
      </c>
      <c r="AC437">
        <v>11377</v>
      </c>
      <c r="AD437" t="s">
        <v>1787</v>
      </c>
      <c r="AE437" t="s">
        <v>2192</v>
      </c>
      <c r="AF437">
        <v>3</v>
      </c>
      <c r="AH437" t="s">
        <v>2225</v>
      </c>
      <c r="AI437" t="s">
        <v>233</v>
      </c>
      <c r="AJ437" t="s">
        <v>233</v>
      </c>
      <c r="AL437" t="s">
        <v>2230</v>
      </c>
      <c r="AM437" t="s">
        <v>2236</v>
      </c>
      <c r="AN437">
        <v>0</v>
      </c>
      <c r="AO437">
        <v>2500</v>
      </c>
      <c r="AP437">
        <v>2.77</v>
      </c>
      <c r="AR437" t="s">
        <v>2668</v>
      </c>
      <c r="AS437" t="s">
        <v>3080</v>
      </c>
      <c r="AT437">
        <v>2</v>
      </c>
      <c r="AU437" t="s">
        <v>3108</v>
      </c>
      <c r="AV437">
        <v>3</v>
      </c>
      <c r="AW437">
        <v>2</v>
      </c>
      <c r="AX437">
        <v>207.58</v>
      </c>
      <c r="BB437" t="s">
        <v>3129</v>
      </c>
      <c r="BD437">
        <v>62626.56</v>
      </c>
      <c r="BH437" t="s">
        <v>159</v>
      </c>
      <c r="BK437" t="s">
        <v>3198</v>
      </c>
      <c r="BL437" t="s">
        <v>177</v>
      </c>
    </row>
    <row r="438" spans="1:65">
      <c r="A438" s="1">
        <f>HYPERLINK("https://lsnyc.legalserver.org/matter/dynamic-profile/view/1907619","19-1907619")</f>
        <v>0</v>
      </c>
      <c r="B438" t="s">
        <v>67</v>
      </c>
      <c r="C438" t="s">
        <v>161</v>
      </c>
      <c r="D438" t="s">
        <v>170</v>
      </c>
      <c r="E438" t="s">
        <v>171</v>
      </c>
      <c r="G438" t="s">
        <v>172</v>
      </c>
      <c r="H438" t="s">
        <v>221</v>
      </c>
      <c r="I438" t="s">
        <v>172</v>
      </c>
      <c r="J438" t="s">
        <v>231</v>
      </c>
      <c r="K438" t="s">
        <v>172</v>
      </c>
      <c r="M438" t="s">
        <v>232</v>
      </c>
      <c r="N438" t="s">
        <v>311</v>
      </c>
      <c r="O438" t="s">
        <v>313</v>
      </c>
      <c r="P438" t="s">
        <v>315</v>
      </c>
      <c r="Q438" t="s">
        <v>321</v>
      </c>
      <c r="T438" t="s">
        <v>698</v>
      </c>
      <c r="U438" t="s">
        <v>1075</v>
      </c>
      <c r="V438" t="s">
        <v>210</v>
      </c>
      <c r="X438" t="s">
        <v>1112</v>
      </c>
      <c r="Y438" t="s">
        <v>1537</v>
      </c>
      <c r="Z438" t="s">
        <v>1646</v>
      </c>
      <c r="AA438" t="s">
        <v>1761</v>
      </c>
      <c r="AB438" t="s">
        <v>1786</v>
      </c>
      <c r="AC438">
        <v>11106</v>
      </c>
      <c r="AD438" t="s">
        <v>1787</v>
      </c>
      <c r="AE438" t="s">
        <v>2193</v>
      </c>
      <c r="AF438">
        <v>5</v>
      </c>
      <c r="AH438" t="s">
        <v>2225</v>
      </c>
      <c r="AI438" t="s">
        <v>233</v>
      </c>
      <c r="AJ438" t="s">
        <v>233</v>
      </c>
      <c r="AL438" t="s">
        <v>2231</v>
      </c>
      <c r="AN438">
        <v>0</v>
      </c>
      <c r="AO438">
        <v>331</v>
      </c>
      <c r="AP438">
        <v>0.83</v>
      </c>
      <c r="AR438" t="s">
        <v>2669</v>
      </c>
      <c r="AS438" t="s">
        <v>3081</v>
      </c>
      <c r="AT438">
        <v>6</v>
      </c>
      <c r="AU438" t="s">
        <v>3111</v>
      </c>
      <c r="AV438">
        <v>1</v>
      </c>
      <c r="AW438">
        <v>3</v>
      </c>
      <c r="AX438">
        <v>79.04000000000001</v>
      </c>
      <c r="BB438" t="s">
        <v>252</v>
      </c>
      <c r="BC438" t="s">
        <v>3130</v>
      </c>
      <c r="BD438">
        <v>20354</v>
      </c>
      <c r="BH438" t="s">
        <v>3180</v>
      </c>
      <c r="BK438" t="s">
        <v>3239</v>
      </c>
      <c r="BL438" t="s">
        <v>215</v>
      </c>
      <c r="BM438" t="s">
        <v>311</v>
      </c>
    </row>
    <row r="439" spans="1:65">
      <c r="A439" s="1">
        <f>HYPERLINK("https://lsnyc.legalserver.org/matter/dynamic-profile/view/1907604","19-1907604")</f>
        <v>0</v>
      </c>
      <c r="B439" t="s">
        <v>67</v>
      </c>
      <c r="C439" t="s">
        <v>161</v>
      </c>
      <c r="D439" t="s">
        <v>170</v>
      </c>
      <c r="E439" t="s">
        <v>171</v>
      </c>
      <c r="G439" t="s">
        <v>172</v>
      </c>
      <c r="H439" t="s">
        <v>221</v>
      </c>
      <c r="I439" t="s">
        <v>172</v>
      </c>
      <c r="J439" t="s">
        <v>231</v>
      </c>
      <c r="K439" t="s">
        <v>172</v>
      </c>
      <c r="M439" t="s">
        <v>232</v>
      </c>
      <c r="N439" t="s">
        <v>311</v>
      </c>
      <c r="O439" t="s">
        <v>313</v>
      </c>
      <c r="P439" t="s">
        <v>315</v>
      </c>
      <c r="Q439" t="s">
        <v>321</v>
      </c>
      <c r="T439" t="s">
        <v>699</v>
      </c>
      <c r="U439" t="s">
        <v>1076</v>
      </c>
      <c r="V439" t="s">
        <v>210</v>
      </c>
      <c r="X439" t="s">
        <v>1112</v>
      </c>
      <c r="Y439" t="s">
        <v>1538</v>
      </c>
      <c r="Z439" t="s">
        <v>1649</v>
      </c>
      <c r="AA439" t="s">
        <v>1783</v>
      </c>
      <c r="AB439" t="s">
        <v>1786</v>
      </c>
      <c r="AC439">
        <v>11375</v>
      </c>
      <c r="AD439" t="s">
        <v>1787</v>
      </c>
      <c r="AE439" t="s">
        <v>2194</v>
      </c>
      <c r="AF439">
        <v>56</v>
      </c>
      <c r="AH439" t="s">
        <v>2225</v>
      </c>
      <c r="AI439" t="s">
        <v>233</v>
      </c>
      <c r="AL439" t="s">
        <v>2230</v>
      </c>
      <c r="AN439">
        <v>0</v>
      </c>
      <c r="AO439">
        <v>1500</v>
      </c>
      <c r="AP439">
        <v>1.2</v>
      </c>
      <c r="AR439" t="s">
        <v>2670</v>
      </c>
      <c r="AS439" t="s">
        <v>3082</v>
      </c>
      <c r="AT439">
        <v>72</v>
      </c>
      <c r="AU439" t="s">
        <v>3109</v>
      </c>
      <c r="AV439">
        <v>1</v>
      </c>
      <c r="AW439">
        <v>0</v>
      </c>
      <c r="AX439">
        <v>124.9</v>
      </c>
      <c r="BB439" t="s">
        <v>252</v>
      </c>
      <c r="BC439" t="s">
        <v>3130</v>
      </c>
      <c r="BD439">
        <v>15600</v>
      </c>
      <c r="BH439" t="s">
        <v>3180</v>
      </c>
      <c r="BK439" t="s">
        <v>3207</v>
      </c>
      <c r="BL439" t="s">
        <v>215</v>
      </c>
      <c r="BM439" t="s">
        <v>311</v>
      </c>
    </row>
    <row r="440" spans="1:65">
      <c r="A440" s="1">
        <f>HYPERLINK("https://lsnyc.legalserver.org/matter/dynamic-profile/view/1905233","19-1905233")</f>
        <v>0</v>
      </c>
      <c r="B440" t="s">
        <v>67</v>
      </c>
      <c r="C440" t="s">
        <v>150</v>
      </c>
      <c r="D440" t="s">
        <v>170</v>
      </c>
      <c r="E440" t="s">
        <v>172</v>
      </c>
      <c r="F440" t="s">
        <v>196</v>
      </c>
      <c r="G440" t="s">
        <v>172</v>
      </c>
      <c r="H440" t="s">
        <v>221</v>
      </c>
      <c r="I440" t="s">
        <v>172</v>
      </c>
      <c r="J440" t="s">
        <v>231</v>
      </c>
      <c r="K440" t="s">
        <v>172</v>
      </c>
      <c r="M440" t="s">
        <v>232</v>
      </c>
      <c r="N440" t="s">
        <v>311</v>
      </c>
      <c r="O440" t="s">
        <v>313</v>
      </c>
      <c r="P440" t="s">
        <v>315</v>
      </c>
      <c r="Q440" t="s">
        <v>321</v>
      </c>
      <c r="T440" t="s">
        <v>700</v>
      </c>
      <c r="U440" t="s">
        <v>1077</v>
      </c>
      <c r="V440" t="s">
        <v>196</v>
      </c>
      <c r="X440" t="s">
        <v>1112</v>
      </c>
      <c r="Y440" t="s">
        <v>1539</v>
      </c>
      <c r="Z440" t="s">
        <v>1747</v>
      </c>
      <c r="AA440" t="s">
        <v>1766</v>
      </c>
      <c r="AB440" t="s">
        <v>1786</v>
      </c>
      <c r="AC440">
        <v>11693</v>
      </c>
      <c r="AD440" t="s">
        <v>1787</v>
      </c>
      <c r="AE440" t="s">
        <v>2195</v>
      </c>
      <c r="AF440">
        <v>3</v>
      </c>
      <c r="AH440" t="s">
        <v>2225</v>
      </c>
      <c r="AI440" t="s">
        <v>233</v>
      </c>
      <c r="AJ440" t="s">
        <v>233</v>
      </c>
      <c r="AL440" t="s">
        <v>2231</v>
      </c>
      <c r="AM440" t="s">
        <v>2236</v>
      </c>
      <c r="AN440">
        <v>0</v>
      </c>
      <c r="AO440">
        <v>215</v>
      </c>
      <c r="AP440">
        <v>1</v>
      </c>
      <c r="AR440" t="s">
        <v>2671</v>
      </c>
      <c r="AS440" t="s">
        <v>3083</v>
      </c>
      <c r="AT440">
        <v>42</v>
      </c>
      <c r="AU440" t="s">
        <v>3107</v>
      </c>
      <c r="AV440">
        <v>2</v>
      </c>
      <c r="AW440">
        <v>0</v>
      </c>
      <c r="AX440">
        <v>70.95999999999999</v>
      </c>
      <c r="BB440" t="s">
        <v>252</v>
      </c>
      <c r="BC440" t="s">
        <v>3130</v>
      </c>
      <c r="BD440">
        <v>12000</v>
      </c>
      <c r="BH440" t="s">
        <v>3181</v>
      </c>
      <c r="BK440" t="s">
        <v>3215</v>
      </c>
      <c r="BL440" t="s">
        <v>196</v>
      </c>
      <c r="BM440" t="s">
        <v>311</v>
      </c>
    </row>
    <row r="441" spans="1:65">
      <c r="A441" s="1">
        <f>HYPERLINK("https://lsnyc.legalserver.org/matter/dynamic-profile/view/1906927","19-1906927")</f>
        <v>0</v>
      </c>
      <c r="B441" t="s">
        <v>67</v>
      </c>
      <c r="C441" t="s">
        <v>157</v>
      </c>
      <c r="D441" t="s">
        <v>170</v>
      </c>
      <c r="E441" t="s">
        <v>172</v>
      </c>
      <c r="F441" t="s">
        <v>199</v>
      </c>
      <c r="G441" t="s">
        <v>219</v>
      </c>
      <c r="I441" t="s">
        <v>172</v>
      </c>
      <c r="J441" t="s">
        <v>231</v>
      </c>
      <c r="K441" t="s">
        <v>172</v>
      </c>
      <c r="M441" t="s">
        <v>232</v>
      </c>
      <c r="N441" t="s">
        <v>311</v>
      </c>
      <c r="O441" t="s">
        <v>313</v>
      </c>
      <c r="P441" t="s">
        <v>315</v>
      </c>
      <c r="Q441" t="s">
        <v>321</v>
      </c>
      <c r="T441" t="s">
        <v>701</v>
      </c>
      <c r="U441" t="s">
        <v>1078</v>
      </c>
      <c r="V441" t="s">
        <v>199</v>
      </c>
      <c r="X441" t="s">
        <v>1112</v>
      </c>
      <c r="Y441" t="s">
        <v>1540</v>
      </c>
      <c r="Z441" t="s">
        <v>1644</v>
      </c>
      <c r="AA441" t="s">
        <v>1761</v>
      </c>
      <c r="AB441" t="s">
        <v>1786</v>
      </c>
      <c r="AC441">
        <v>11106</v>
      </c>
      <c r="AD441" t="s">
        <v>1787</v>
      </c>
      <c r="AE441" t="s">
        <v>2196</v>
      </c>
      <c r="AF441">
        <v>3</v>
      </c>
      <c r="AH441" t="s">
        <v>2225</v>
      </c>
      <c r="AI441" t="s">
        <v>233</v>
      </c>
      <c r="AJ441" t="s">
        <v>233</v>
      </c>
      <c r="AL441" t="s">
        <v>2231</v>
      </c>
      <c r="AN441">
        <v>0</v>
      </c>
      <c r="AO441">
        <v>289</v>
      </c>
      <c r="AP441">
        <v>0.3</v>
      </c>
      <c r="AR441" t="s">
        <v>2672</v>
      </c>
      <c r="AS441" t="s">
        <v>3084</v>
      </c>
      <c r="AT441">
        <v>30</v>
      </c>
      <c r="AU441" t="s">
        <v>3107</v>
      </c>
      <c r="AV441">
        <v>1</v>
      </c>
      <c r="AW441">
        <v>3</v>
      </c>
      <c r="AX441">
        <v>9.24</v>
      </c>
      <c r="BB441" t="s">
        <v>252</v>
      </c>
      <c r="BC441" t="s">
        <v>3130</v>
      </c>
      <c r="BD441">
        <v>2379</v>
      </c>
      <c r="BH441" t="s">
        <v>3181</v>
      </c>
      <c r="BK441" t="s">
        <v>3260</v>
      </c>
      <c r="BL441" t="s">
        <v>199</v>
      </c>
      <c r="BM441" t="s">
        <v>311</v>
      </c>
    </row>
    <row r="442" spans="1:65">
      <c r="A442" s="1">
        <f>HYPERLINK("https://lsnyc.legalserver.org/matter/dynamic-profile/view/1908607","19-1908607")</f>
        <v>0</v>
      </c>
      <c r="B442" t="s">
        <v>67</v>
      </c>
      <c r="C442" t="s">
        <v>164</v>
      </c>
      <c r="D442" t="s">
        <v>170</v>
      </c>
      <c r="E442" t="s">
        <v>172</v>
      </c>
      <c r="F442" t="s">
        <v>206</v>
      </c>
      <c r="G442" t="s">
        <v>172</v>
      </c>
      <c r="H442" t="s">
        <v>221</v>
      </c>
      <c r="I442" t="s">
        <v>172</v>
      </c>
      <c r="J442" t="s">
        <v>231</v>
      </c>
      <c r="K442" t="s">
        <v>172</v>
      </c>
      <c r="M442" t="s">
        <v>232</v>
      </c>
      <c r="N442" t="s">
        <v>311</v>
      </c>
      <c r="O442" t="s">
        <v>313</v>
      </c>
      <c r="P442" t="s">
        <v>315</v>
      </c>
      <c r="Q442" t="s">
        <v>321</v>
      </c>
      <c r="T442" t="s">
        <v>702</v>
      </c>
      <c r="U442" t="s">
        <v>1079</v>
      </c>
      <c r="V442" t="s">
        <v>206</v>
      </c>
      <c r="X442" t="s">
        <v>1112</v>
      </c>
      <c r="Y442" t="s">
        <v>1541</v>
      </c>
      <c r="Z442" t="s">
        <v>1668</v>
      </c>
      <c r="AA442" t="s">
        <v>1784</v>
      </c>
      <c r="AB442" t="s">
        <v>1786</v>
      </c>
      <c r="AC442">
        <v>11374</v>
      </c>
      <c r="AD442" t="s">
        <v>1787</v>
      </c>
      <c r="AE442" t="s">
        <v>2197</v>
      </c>
      <c r="AF442">
        <v>7</v>
      </c>
      <c r="AH442" t="s">
        <v>2225</v>
      </c>
      <c r="AI442" t="s">
        <v>233</v>
      </c>
      <c r="AJ442" t="s">
        <v>233</v>
      </c>
      <c r="AL442" t="s">
        <v>2230</v>
      </c>
      <c r="AM442" t="s">
        <v>2236</v>
      </c>
      <c r="AN442">
        <v>0</v>
      </c>
      <c r="AO442">
        <v>1303.53</v>
      </c>
      <c r="AP442">
        <v>1.1</v>
      </c>
      <c r="AR442" t="s">
        <v>2673</v>
      </c>
      <c r="AS442" t="s">
        <v>3085</v>
      </c>
      <c r="AT442">
        <v>36</v>
      </c>
      <c r="AU442" t="s">
        <v>3106</v>
      </c>
      <c r="AV442">
        <v>1</v>
      </c>
      <c r="AW442">
        <v>1</v>
      </c>
      <c r="AX442">
        <v>0</v>
      </c>
      <c r="BB442" t="s">
        <v>252</v>
      </c>
      <c r="BC442" t="s">
        <v>3130</v>
      </c>
      <c r="BD442">
        <v>0</v>
      </c>
      <c r="BH442" t="s">
        <v>3181</v>
      </c>
      <c r="BK442" t="s">
        <v>3210</v>
      </c>
      <c r="BL442" t="s">
        <v>207</v>
      </c>
      <c r="BM442" t="s">
        <v>311</v>
      </c>
    </row>
    <row r="443" spans="1:65">
      <c r="A443" s="1">
        <f>HYPERLINK("https://lsnyc.legalserver.org/matter/dynamic-profile/view/1907475","19-1907475")</f>
        <v>0</v>
      </c>
      <c r="B443" t="s">
        <v>67</v>
      </c>
      <c r="C443" t="s">
        <v>164</v>
      </c>
      <c r="D443" t="s">
        <v>170</v>
      </c>
      <c r="E443" t="s">
        <v>172</v>
      </c>
      <c r="F443" t="s">
        <v>191</v>
      </c>
      <c r="G443" t="s">
        <v>172</v>
      </c>
      <c r="H443" t="s">
        <v>221</v>
      </c>
      <c r="I443" t="s">
        <v>172</v>
      </c>
      <c r="J443" t="s">
        <v>231</v>
      </c>
      <c r="K443" t="s">
        <v>172</v>
      </c>
      <c r="L443" t="s">
        <v>309</v>
      </c>
      <c r="M443" t="s">
        <v>232</v>
      </c>
      <c r="N443" t="s">
        <v>311</v>
      </c>
      <c r="O443" t="s">
        <v>313</v>
      </c>
      <c r="P443" t="s">
        <v>315</v>
      </c>
      <c r="Q443" t="s">
        <v>321</v>
      </c>
      <c r="T443" t="s">
        <v>703</v>
      </c>
      <c r="U443" t="s">
        <v>761</v>
      </c>
      <c r="V443" t="s">
        <v>191</v>
      </c>
      <c r="X443" t="s">
        <v>1112</v>
      </c>
      <c r="Y443" t="s">
        <v>1542</v>
      </c>
      <c r="Z443" t="s">
        <v>1603</v>
      </c>
      <c r="AA443" t="s">
        <v>1779</v>
      </c>
      <c r="AB443" t="s">
        <v>1786</v>
      </c>
      <c r="AC443">
        <v>11365</v>
      </c>
      <c r="AD443" t="s">
        <v>1787</v>
      </c>
      <c r="AE443" t="s">
        <v>2198</v>
      </c>
      <c r="AF443">
        <v>10</v>
      </c>
      <c r="AH443" t="s">
        <v>2225</v>
      </c>
      <c r="AI443" t="s">
        <v>233</v>
      </c>
      <c r="AJ443" t="s">
        <v>233</v>
      </c>
      <c r="AL443" t="s">
        <v>2230</v>
      </c>
      <c r="AN443">
        <v>0</v>
      </c>
      <c r="AO443">
        <v>489</v>
      </c>
      <c r="AP443">
        <v>1.1</v>
      </c>
      <c r="AR443" t="s">
        <v>2674</v>
      </c>
      <c r="AS443" t="s">
        <v>3086</v>
      </c>
      <c r="AT443">
        <v>28</v>
      </c>
      <c r="AU443" t="s">
        <v>3107</v>
      </c>
      <c r="AV443">
        <v>2</v>
      </c>
      <c r="AW443">
        <v>2</v>
      </c>
      <c r="AX443">
        <v>69.90000000000001</v>
      </c>
      <c r="BB443" t="s">
        <v>252</v>
      </c>
      <c r="BC443" t="s">
        <v>3130</v>
      </c>
      <c r="BD443">
        <v>18000</v>
      </c>
      <c r="BH443" t="s">
        <v>3181</v>
      </c>
      <c r="BK443" t="s">
        <v>3207</v>
      </c>
      <c r="BL443" t="s">
        <v>191</v>
      </c>
      <c r="BM443" t="s">
        <v>311</v>
      </c>
    </row>
    <row r="444" spans="1:65">
      <c r="A444" s="1">
        <f>HYPERLINK("https://lsnyc.legalserver.org/matter/dynamic-profile/view/1908275","19-1908275")</f>
        <v>0</v>
      </c>
      <c r="B444" t="s">
        <v>67</v>
      </c>
      <c r="C444" t="s">
        <v>163</v>
      </c>
      <c r="D444" t="s">
        <v>170</v>
      </c>
      <c r="E444" t="s">
        <v>172</v>
      </c>
      <c r="F444" t="s">
        <v>185</v>
      </c>
      <c r="G444" t="s">
        <v>219</v>
      </c>
      <c r="I444" t="s">
        <v>172</v>
      </c>
      <c r="J444" t="s">
        <v>231</v>
      </c>
      <c r="K444" t="s">
        <v>172</v>
      </c>
      <c r="L444" t="s">
        <v>310</v>
      </c>
      <c r="M444" t="s">
        <v>232</v>
      </c>
      <c r="N444" t="s">
        <v>311</v>
      </c>
      <c r="O444" t="s">
        <v>313</v>
      </c>
      <c r="P444" t="s">
        <v>315</v>
      </c>
      <c r="Q444" t="s">
        <v>321</v>
      </c>
      <c r="T444" t="s">
        <v>704</v>
      </c>
      <c r="U444" t="s">
        <v>1080</v>
      </c>
      <c r="V444" t="s">
        <v>185</v>
      </c>
      <c r="X444" t="s">
        <v>1112</v>
      </c>
      <c r="Y444" t="s">
        <v>1543</v>
      </c>
      <c r="Z444" t="s">
        <v>1585</v>
      </c>
      <c r="AA444" t="s">
        <v>1761</v>
      </c>
      <c r="AB444" t="s">
        <v>1786</v>
      </c>
      <c r="AC444">
        <v>11102</v>
      </c>
      <c r="AD444" t="s">
        <v>1787</v>
      </c>
      <c r="AE444" t="s">
        <v>2196</v>
      </c>
      <c r="AF444">
        <v>2</v>
      </c>
      <c r="AH444" t="s">
        <v>2225</v>
      </c>
      <c r="AI444" t="s">
        <v>233</v>
      </c>
      <c r="AJ444" t="s">
        <v>233</v>
      </c>
      <c r="AL444" t="s">
        <v>2231</v>
      </c>
      <c r="AN444">
        <v>0</v>
      </c>
      <c r="AO444">
        <v>561</v>
      </c>
      <c r="AP444">
        <v>0.5</v>
      </c>
      <c r="AR444" t="s">
        <v>2675</v>
      </c>
      <c r="AS444" t="s">
        <v>3087</v>
      </c>
      <c r="AT444">
        <v>42</v>
      </c>
      <c r="AU444" t="s">
        <v>3107</v>
      </c>
      <c r="AV444">
        <v>1</v>
      </c>
      <c r="AW444">
        <v>0</v>
      </c>
      <c r="AX444">
        <v>136.11</v>
      </c>
      <c r="BB444" t="s">
        <v>252</v>
      </c>
      <c r="BC444" t="s">
        <v>3130</v>
      </c>
      <c r="BD444">
        <v>17000</v>
      </c>
      <c r="BH444" t="s">
        <v>3181</v>
      </c>
      <c r="BK444" t="s">
        <v>3198</v>
      </c>
      <c r="BL444" t="s">
        <v>185</v>
      </c>
      <c r="BM444" t="s">
        <v>311</v>
      </c>
    </row>
    <row r="445" spans="1:65">
      <c r="A445" s="1">
        <f>HYPERLINK("https://lsnyc.legalserver.org/matter/dynamic-profile/view/1908640","19-1908640")</f>
        <v>0</v>
      </c>
      <c r="B445" t="s">
        <v>67</v>
      </c>
      <c r="C445" t="s">
        <v>150</v>
      </c>
      <c r="D445" t="s">
        <v>170</v>
      </c>
      <c r="E445" t="s">
        <v>172</v>
      </c>
      <c r="F445" t="s">
        <v>206</v>
      </c>
      <c r="G445" t="s">
        <v>172</v>
      </c>
      <c r="H445" t="s">
        <v>220</v>
      </c>
      <c r="I445" t="s">
        <v>172</v>
      </c>
      <c r="J445" t="s">
        <v>231</v>
      </c>
      <c r="K445" t="s">
        <v>172</v>
      </c>
      <c r="M445" t="s">
        <v>232</v>
      </c>
      <c r="N445" t="s">
        <v>311</v>
      </c>
      <c r="O445" t="s">
        <v>313</v>
      </c>
      <c r="P445" t="s">
        <v>315</v>
      </c>
      <c r="Q445" t="s">
        <v>321</v>
      </c>
      <c r="T445" t="s">
        <v>705</v>
      </c>
      <c r="U445" t="s">
        <v>1081</v>
      </c>
      <c r="V445" t="s">
        <v>206</v>
      </c>
      <c r="X445" t="s">
        <v>1112</v>
      </c>
      <c r="Y445" t="s">
        <v>1544</v>
      </c>
      <c r="Z445" t="s">
        <v>1738</v>
      </c>
      <c r="AA445" t="s">
        <v>1768</v>
      </c>
      <c r="AB445" t="s">
        <v>1786</v>
      </c>
      <c r="AC445">
        <v>11378</v>
      </c>
      <c r="AD445" t="s">
        <v>1787</v>
      </c>
      <c r="AE445" t="s">
        <v>2199</v>
      </c>
      <c r="AF445">
        <v>0</v>
      </c>
      <c r="AH445" t="s">
        <v>2225</v>
      </c>
      <c r="AI445" t="s">
        <v>233</v>
      </c>
      <c r="AJ445" t="s">
        <v>233</v>
      </c>
      <c r="AL445" t="s">
        <v>2230</v>
      </c>
      <c r="AN445">
        <v>0</v>
      </c>
      <c r="AO445">
        <v>1800</v>
      </c>
      <c r="AP445">
        <v>1.3</v>
      </c>
      <c r="AR445" t="s">
        <v>2676</v>
      </c>
      <c r="AS445" t="s">
        <v>3088</v>
      </c>
      <c r="AT445">
        <v>0</v>
      </c>
      <c r="AU445" t="s">
        <v>3109</v>
      </c>
      <c r="AV445">
        <v>4</v>
      </c>
      <c r="AW445">
        <v>1</v>
      </c>
      <c r="AX445">
        <v>147.17</v>
      </c>
      <c r="BB445" t="s">
        <v>252</v>
      </c>
      <c r="BC445" t="s">
        <v>3130</v>
      </c>
      <c r="BD445">
        <v>44400</v>
      </c>
      <c r="BH445" t="s">
        <v>3181</v>
      </c>
      <c r="BK445" t="s">
        <v>3198</v>
      </c>
      <c r="BL445" t="s">
        <v>206</v>
      </c>
      <c r="BM445" t="s">
        <v>311</v>
      </c>
    </row>
    <row r="446" spans="1:65">
      <c r="A446" s="1">
        <f>HYPERLINK("https://lsnyc.legalserver.org/matter/dynamic-profile/view/1908421","19-1908421")</f>
        <v>0</v>
      </c>
      <c r="B446" t="s">
        <v>67</v>
      </c>
      <c r="C446" t="s">
        <v>150</v>
      </c>
      <c r="D446" t="s">
        <v>170</v>
      </c>
      <c r="E446" t="s">
        <v>171</v>
      </c>
      <c r="G446" t="s">
        <v>172</v>
      </c>
      <c r="H446" t="s">
        <v>220</v>
      </c>
      <c r="I446" t="s">
        <v>172</v>
      </c>
      <c r="J446" t="s">
        <v>231</v>
      </c>
      <c r="K446" t="s">
        <v>172</v>
      </c>
      <c r="L446" t="s">
        <v>252</v>
      </c>
      <c r="M446" t="s">
        <v>232</v>
      </c>
      <c r="N446" t="s">
        <v>311</v>
      </c>
      <c r="O446" t="s">
        <v>172</v>
      </c>
      <c r="P446" t="s">
        <v>316</v>
      </c>
      <c r="Q446" t="s">
        <v>321</v>
      </c>
      <c r="T446" t="s">
        <v>706</v>
      </c>
      <c r="U446" t="s">
        <v>1082</v>
      </c>
      <c r="V446" t="s">
        <v>194</v>
      </c>
      <c r="X446" t="s">
        <v>1112</v>
      </c>
      <c r="Y446" t="s">
        <v>1545</v>
      </c>
      <c r="Z446" t="s">
        <v>1748</v>
      </c>
      <c r="AA446" t="s">
        <v>1771</v>
      </c>
      <c r="AB446" t="s">
        <v>1786</v>
      </c>
      <c r="AC446">
        <v>11385</v>
      </c>
      <c r="AE446" t="s">
        <v>2200</v>
      </c>
      <c r="AF446">
        <v>-1</v>
      </c>
      <c r="AH446" t="s">
        <v>2224</v>
      </c>
      <c r="AI446" t="s">
        <v>233</v>
      </c>
      <c r="AJ446" t="s">
        <v>233</v>
      </c>
      <c r="AL446" t="s">
        <v>2230</v>
      </c>
      <c r="AN446">
        <v>0</v>
      </c>
      <c r="AO446">
        <v>825</v>
      </c>
      <c r="AP446">
        <v>2.13</v>
      </c>
      <c r="AR446" t="s">
        <v>2677</v>
      </c>
      <c r="AS446" t="s">
        <v>3089</v>
      </c>
      <c r="AT446">
        <v>2</v>
      </c>
      <c r="AU446" t="s">
        <v>3108</v>
      </c>
      <c r="AV446">
        <v>1</v>
      </c>
      <c r="AW446">
        <v>0</v>
      </c>
      <c r="AX446">
        <v>192.15</v>
      </c>
      <c r="BC446" t="s">
        <v>3139</v>
      </c>
      <c r="BD446">
        <v>24000</v>
      </c>
      <c r="BH446" t="s">
        <v>3180</v>
      </c>
      <c r="BK446" t="s">
        <v>3198</v>
      </c>
      <c r="BL446" t="s">
        <v>1110</v>
      </c>
      <c r="BM446" t="s">
        <v>311</v>
      </c>
    </row>
    <row r="447" spans="1:65">
      <c r="A447" s="1">
        <f>HYPERLINK("https://lsnyc.legalserver.org/matter/dynamic-profile/view/1908489","19-1908489")</f>
        <v>0</v>
      </c>
      <c r="B447" t="s">
        <v>67</v>
      </c>
      <c r="C447" t="s">
        <v>162</v>
      </c>
      <c r="D447" t="s">
        <v>170</v>
      </c>
      <c r="E447" t="s">
        <v>171</v>
      </c>
      <c r="G447" t="s">
        <v>172</v>
      </c>
      <c r="H447" t="s">
        <v>220</v>
      </c>
      <c r="I447" t="s">
        <v>172</v>
      </c>
      <c r="J447" t="s">
        <v>231</v>
      </c>
      <c r="K447" t="s">
        <v>172</v>
      </c>
      <c r="M447" t="s">
        <v>232</v>
      </c>
      <c r="N447" t="s">
        <v>311</v>
      </c>
      <c r="O447" t="s">
        <v>313</v>
      </c>
      <c r="P447" t="s">
        <v>315</v>
      </c>
      <c r="Q447" t="s">
        <v>321</v>
      </c>
      <c r="T447" t="s">
        <v>707</v>
      </c>
      <c r="U447" t="s">
        <v>1083</v>
      </c>
      <c r="V447" t="s">
        <v>213</v>
      </c>
      <c r="X447" t="s">
        <v>1112</v>
      </c>
      <c r="Y447" t="s">
        <v>1546</v>
      </c>
      <c r="Z447" t="s">
        <v>1749</v>
      </c>
      <c r="AA447" t="s">
        <v>1758</v>
      </c>
      <c r="AB447" t="s">
        <v>1786</v>
      </c>
      <c r="AC447">
        <v>11373</v>
      </c>
      <c r="AD447" t="s">
        <v>1790</v>
      </c>
      <c r="AE447" t="s">
        <v>2201</v>
      </c>
      <c r="AF447">
        <v>6</v>
      </c>
      <c r="AH447" t="s">
        <v>2224</v>
      </c>
      <c r="AI447" t="s">
        <v>233</v>
      </c>
      <c r="AJ447" t="s">
        <v>233</v>
      </c>
      <c r="AL447" t="s">
        <v>2230</v>
      </c>
      <c r="AN447">
        <v>0</v>
      </c>
      <c r="AO447">
        <v>0</v>
      </c>
      <c r="AP447">
        <v>0.83</v>
      </c>
      <c r="AR447" t="s">
        <v>2678</v>
      </c>
      <c r="AS447" t="s">
        <v>3090</v>
      </c>
      <c r="AT447">
        <v>0</v>
      </c>
      <c r="AV447">
        <v>2</v>
      </c>
      <c r="AW447">
        <v>2</v>
      </c>
      <c r="AX447">
        <v>121.17</v>
      </c>
      <c r="BB447" t="s">
        <v>252</v>
      </c>
      <c r="BC447" t="s">
        <v>3130</v>
      </c>
      <c r="BD447">
        <v>31200</v>
      </c>
      <c r="BH447" t="s">
        <v>3180</v>
      </c>
      <c r="BK447" t="s">
        <v>3198</v>
      </c>
      <c r="BL447" t="s">
        <v>213</v>
      </c>
      <c r="BM447" t="s">
        <v>311</v>
      </c>
    </row>
    <row r="448" spans="1:65">
      <c r="A448" s="1">
        <f>HYPERLINK("https://lsnyc.legalserver.org/matter/dynamic-profile/view/1906167","19-1906167")</f>
        <v>0</v>
      </c>
      <c r="B448" t="s">
        <v>68</v>
      </c>
      <c r="C448" t="s">
        <v>165</v>
      </c>
      <c r="D448" t="s">
        <v>170</v>
      </c>
      <c r="E448" t="s">
        <v>171</v>
      </c>
      <c r="G448" t="s">
        <v>172</v>
      </c>
      <c r="H448" t="s">
        <v>220</v>
      </c>
      <c r="I448" t="s">
        <v>172</v>
      </c>
      <c r="J448" t="s">
        <v>231</v>
      </c>
      <c r="K448" t="s">
        <v>172</v>
      </c>
      <c r="M448" t="s">
        <v>232</v>
      </c>
      <c r="N448" t="s">
        <v>311</v>
      </c>
      <c r="O448" t="s">
        <v>172</v>
      </c>
      <c r="P448" t="s">
        <v>316</v>
      </c>
      <c r="Q448" t="s">
        <v>321</v>
      </c>
      <c r="T448" t="s">
        <v>708</v>
      </c>
      <c r="U448" t="s">
        <v>1084</v>
      </c>
      <c r="V448" t="s">
        <v>209</v>
      </c>
      <c r="X448" t="s">
        <v>1112</v>
      </c>
      <c r="Y448" t="s">
        <v>1547</v>
      </c>
      <c r="Z448" t="s">
        <v>1750</v>
      </c>
      <c r="AA448" t="s">
        <v>1785</v>
      </c>
      <c r="AB448" t="s">
        <v>1786</v>
      </c>
      <c r="AC448">
        <v>10310</v>
      </c>
      <c r="AD448" t="s">
        <v>1790</v>
      </c>
      <c r="AE448" t="s">
        <v>2202</v>
      </c>
      <c r="AF448">
        <v>5</v>
      </c>
      <c r="AH448" t="s">
        <v>2226</v>
      </c>
      <c r="AI448" t="s">
        <v>233</v>
      </c>
      <c r="AJ448" t="s">
        <v>233</v>
      </c>
      <c r="AL448" t="s">
        <v>2230</v>
      </c>
      <c r="AM448" t="s">
        <v>2236</v>
      </c>
      <c r="AN448">
        <v>0</v>
      </c>
      <c r="AO448">
        <v>1210</v>
      </c>
      <c r="AP448">
        <v>4.25</v>
      </c>
      <c r="AR448" t="s">
        <v>2679</v>
      </c>
      <c r="AS448" t="s">
        <v>3091</v>
      </c>
      <c r="AT448">
        <v>2</v>
      </c>
      <c r="AU448" t="s">
        <v>3116</v>
      </c>
      <c r="AV448">
        <v>1</v>
      </c>
      <c r="AW448">
        <v>3</v>
      </c>
      <c r="AX448">
        <v>142.51</v>
      </c>
      <c r="BB448" t="s">
        <v>252</v>
      </c>
      <c r="BC448" t="s">
        <v>3130</v>
      </c>
      <c r="BD448">
        <v>36696</v>
      </c>
      <c r="BH448" t="s">
        <v>3183</v>
      </c>
      <c r="BK448" t="s">
        <v>3230</v>
      </c>
      <c r="BL448" t="s">
        <v>207</v>
      </c>
      <c r="BM448" t="s">
        <v>311</v>
      </c>
    </row>
    <row r="449" spans="1:65">
      <c r="A449" s="1">
        <f>HYPERLINK("https://lsnyc.legalserver.org/matter/dynamic-profile/view/1907435","19-1907435")</f>
        <v>0</v>
      </c>
      <c r="B449" t="s">
        <v>68</v>
      </c>
      <c r="C449" t="s">
        <v>166</v>
      </c>
      <c r="D449" t="s">
        <v>170</v>
      </c>
      <c r="E449" t="s">
        <v>172</v>
      </c>
      <c r="F449" t="s">
        <v>191</v>
      </c>
      <c r="G449" t="s">
        <v>172</v>
      </c>
      <c r="H449" t="s">
        <v>220</v>
      </c>
      <c r="I449" t="s">
        <v>172</v>
      </c>
      <c r="J449" t="s">
        <v>231</v>
      </c>
      <c r="K449" t="s">
        <v>172</v>
      </c>
      <c r="M449" t="s">
        <v>232</v>
      </c>
      <c r="N449" t="s">
        <v>311</v>
      </c>
      <c r="O449" t="s">
        <v>313</v>
      </c>
      <c r="Q449" t="s">
        <v>321</v>
      </c>
      <c r="T449" t="s">
        <v>709</v>
      </c>
      <c r="U449" t="s">
        <v>1085</v>
      </c>
      <c r="V449" t="s">
        <v>191</v>
      </c>
      <c r="X449" t="s">
        <v>1112</v>
      </c>
      <c r="Y449" t="s">
        <v>1548</v>
      </c>
      <c r="Z449" t="s">
        <v>1578</v>
      </c>
      <c r="AA449" t="s">
        <v>1785</v>
      </c>
      <c r="AB449" t="s">
        <v>1786</v>
      </c>
      <c r="AC449">
        <v>10314</v>
      </c>
      <c r="AD449" t="s">
        <v>1790</v>
      </c>
      <c r="AE449" t="s">
        <v>2203</v>
      </c>
      <c r="AF449">
        <v>1</v>
      </c>
      <c r="AH449" t="s">
        <v>2226</v>
      </c>
      <c r="AI449" t="s">
        <v>233</v>
      </c>
      <c r="AJ449" t="s">
        <v>233</v>
      </c>
      <c r="AL449" t="s">
        <v>2230</v>
      </c>
      <c r="AM449" t="s">
        <v>2236</v>
      </c>
      <c r="AN449">
        <v>0</v>
      </c>
      <c r="AO449">
        <v>1350</v>
      </c>
      <c r="AP449">
        <v>3.95</v>
      </c>
      <c r="AR449" t="s">
        <v>2680</v>
      </c>
      <c r="AS449" t="s">
        <v>3092</v>
      </c>
      <c r="AT449">
        <v>2</v>
      </c>
      <c r="AU449" t="s">
        <v>3108</v>
      </c>
      <c r="AV449">
        <v>2</v>
      </c>
      <c r="AW449">
        <v>0</v>
      </c>
      <c r="AX449">
        <v>92.25</v>
      </c>
      <c r="BB449" t="s">
        <v>252</v>
      </c>
      <c r="BC449" t="s">
        <v>3130</v>
      </c>
      <c r="BD449">
        <v>15600</v>
      </c>
      <c r="BH449" t="s">
        <v>3184</v>
      </c>
      <c r="BK449" t="s">
        <v>3197</v>
      </c>
      <c r="BL449" t="s">
        <v>206</v>
      </c>
      <c r="BM449" t="s">
        <v>311</v>
      </c>
    </row>
    <row r="450" spans="1:65">
      <c r="A450" s="1">
        <f>HYPERLINK("https://lsnyc.legalserver.org/matter/dynamic-profile/view/1905209","19-1905209")</f>
        <v>0</v>
      </c>
      <c r="B450" t="s">
        <v>68</v>
      </c>
      <c r="C450" t="s">
        <v>167</v>
      </c>
      <c r="D450" t="s">
        <v>170</v>
      </c>
      <c r="E450" t="s">
        <v>172</v>
      </c>
      <c r="F450" t="s">
        <v>175</v>
      </c>
      <c r="G450" t="s">
        <v>172</v>
      </c>
      <c r="H450" t="s">
        <v>225</v>
      </c>
      <c r="I450" t="s">
        <v>172</v>
      </c>
      <c r="J450" t="s">
        <v>231</v>
      </c>
      <c r="K450" t="s">
        <v>234</v>
      </c>
      <c r="M450" t="s">
        <v>232</v>
      </c>
      <c r="O450" t="s">
        <v>172</v>
      </c>
      <c r="P450" t="s">
        <v>319</v>
      </c>
      <c r="Q450" t="s">
        <v>321</v>
      </c>
      <c r="T450" t="s">
        <v>381</v>
      </c>
      <c r="U450" t="s">
        <v>1086</v>
      </c>
      <c r="V450" t="s">
        <v>175</v>
      </c>
      <c r="X450" t="s">
        <v>1112</v>
      </c>
      <c r="Y450" t="s">
        <v>1549</v>
      </c>
      <c r="Z450" t="s">
        <v>1751</v>
      </c>
      <c r="AA450" t="s">
        <v>1785</v>
      </c>
      <c r="AB450" t="s">
        <v>1786</v>
      </c>
      <c r="AC450">
        <v>10301</v>
      </c>
      <c r="AD450" t="s">
        <v>1794</v>
      </c>
      <c r="AF450">
        <v>-1</v>
      </c>
      <c r="AH450" t="s">
        <v>2227</v>
      </c>
      <c r="AI450" t="s">
        <v>233</v>
      </c>
      <c r="AJ450" t="s">
        <v>233</v>
      </c>
      <c r="AL450" t="s">
        <v>2231</v>
      </c>
      <c r="AM450" t="s">
        <v>2236</v>
      </c>
      <c r="AN450">
        <v>0</v>
      </c>
      <c r="AO450">
        <v>1878</v>
      </c>
      <c r="AP450">
        <v>5.8</v>
      </c>
      <c r="AR450" t="s">
        <v>2681</v>
      </c>
      <c r="AS450" t="s">
        <v>3093</v>
      </c>
      <c r="AT450">
        <v>454</v>
      </c>
      <c r="AU450" t="s">
        <v>3107</v>
      </c>
      <c r="AV450">
        <v>1</v>
      </c>
      <c r="AW450">
        <v>2</v>
      </c>
      <c r="AX450">
        <v>54.46</v>
      </c>
      <c r="BB450" t="s">
        <v>3123</v>
      </c>
      <c r="BC450" t="s">
        <v>3130</v>
      </c>
      <c r="BD450">
        <v>11616</v>
      </c>
      <c r="BH450" t="s">
        <v>3184</v>
      </c>
      <c r="BK450" t="s">
        <v>3271</v>
      </c>
      <c r="BL450" t="s">
        <v>207</v>
      </c>
    </row>
    <row r="451" spans="1:65">
      <c r="A451" s="1">
        <f>HYPERLINK("https://lsnyc.legalserver.org/matter/dynamic-profile/view/1905484","19-1905484")</f>
        <v>0</v>
      </c>
      <c r="B451" t="s">
        <v>68</v>
      </c>
      <c r="C451" t="s">
        <v>166</v>
      </c>
      <c r="D451" t="s">
        <v>170</v>
      </c>
      <c r="E451" t="s">
        <v>171</v>
      </c>
      <c r="G451" t="s">
        <v>172</v>
      </c>
      <c r="H451" t="s">
        <v>221</v>
      </c>
      <c r="I451" t="s">
        <v>230</v>
      </c>
      <c r="J451" t="s">
        <v>232</v>
      </c>
      <c r="K451" t="s">
        <v>234</v>
      </c>
      <c r="M451" t="s">
        <v>232</v>
      </c>
      <c r="O451" t="s">
        <v>313</v>
      </c>
      <c r="Q451" t="s">
        <v>321</v>
      </c>
      <c r="T451" t="s">
        <v>710</v>
      </c>
      <c r="U451" t="s">
        <v>1087</v>
      </c>
      <c r="V451" t="s">
        <v>211</v>
      </c>
      <c r="X451" t="s">
        <v>1112</v>
      </c>
      <c r="Y451" t="s">
        <v>1550</v>
      </c>
      <c r="Z451" t="s">
        <v>1683</v>
      </c>
      <c r="AA451" t="s">
        <v>1785</v>
      </c>
      <c r="AB451" t="s">
        <v>1786</v>
      </c>
      <c r="AC451">
        <v>10314</v>
      </c>
      <c r="AD451" t="s">
        <v>1788</v>
      </c>
      <c r="AE451" t="s">
        <v>2204</v>
      </c>
      <c r="AF451">
        <v>7</v>
      </c>
      <c r="AH451" t="s">
        <v>2226</v>
      </c>
      <c r="AI451" t="s">
        <v>233</v>
      </c>
      <c r="AJ451" t="s">
        <v>233</v>
      </c>
      <c r="AL451" t="s">
        <v>2230</v>
      </c>
      <c r="AM451" t="s">
        <v>2237</v>
      </c>
      <c r="AN451">
        <v>0</v>
      </c>
      <c r="AO451">
        <v>953</v>
      </c>
      <c r="AP451">
        <v>5.6</v>
      </c>
      <c r="AR451" t="s">
        <v>2682</v>
      </c>
      <c r="AS451" t="s">
        <v>3094</v>
      </c>
      <c r="AT451">
        <v>8</v>
      </c>
      <c r="AU451" t="s">
        <v>3108</v>
      </c>
      <c r="AV451">
        <v>2</v>
      </c>
      <c r="AW451">
        <v>2</v>
      </c>
      <c r="AX451">
        <v>97.09</v>
      </c>
      <c r="BB451" t="s">
        <v>252</v>
      </c>
      <c r="BC451" t="s">
        <v>3130</v>
      </c>
      <c r="BD451">
        <v>25000</v>
      </c>
      <c r="BH451" t="s">
        <v>3184</v>
      </c>
      <c r="BK451" t="s">
        <v>3197</v>
      </c>
      <c r="BL451" t="s">
        <v>215</v>
      </c>
    </row>
    <row r="452" spans="1:65">
      <c r="A452" s="1">
        <f>HYPERLINK("https://lsnyc.legalserver.org/matter/dynamic-profile/view/1904148","19-1904148")</f>
        <v>0</v>
      </c>
      <c r="B452" t="s">
        <v>68</v>
      </c>
      <c r="C452" t="s">
        <v>166</v>
      </c>
      <c r="D452" t="s">
        <v>170</v>
      </c>
      <c r="E452" t="s">
        <v>172</v>
      </c>
      <c r="F452" t="s">
        <v>174</v>
      </c>
      <c r="G452" t="s">
        <v>172</v>
      </c>
      <c r="H452" t="s">
        <v>228</v>
      </c>
      <c r="I452" t="s">
        <v>172</v>
      </c>
      <c r="J452" t="s">
        <v>231</v>
      </c>
      <c r="K452" t="s">
        <v>172</v>
      </c>
      <c r="M452" t="s">
        <v>232</v>
      </c>
      <c r="N452" t="s">
        <v>311</v>
      </c>
      <c r="O452" t="s">
        <v>313</v>
      </c>
      <c r="Q452" t="s">
        <v>321</v>
      </c>
      <c r="T452" t="s">
        <v>711</v>
      </c>
      <c r="U452" t="s">
        <v>1013</v>
      </c>
      <c r="V452" t="s">
        <v>217</v>
      </c>
      <c r="X452" t="s">
        <v>1112</v>
      </c>
      <c r="Y452" t="s">
        <v>1551</v>
      </c>
      <c r="Z452" t="s">
        <v>1703</v>
      </c>
      <c r="AA452" t="s">
        <v>1785</v>
      </c>
      <c r="AB452" t="s">
        <v>1786</v>
      </c>
      <c r="AC452">
        <v>10310</v>
      </c>
      <c r="AD452" t="s">
        <v>1796</v>
      </c>
      <c r="AF452">
        <v>2</v>
      </c>
      <c r="AH452" t="s">
        <v>2227</v>
      </c>
      <c r="AI452" t="s">
        <v>233</v>
      </c>
      <c r="AJ452" t="s">
        <v>233</v>
      </c>
      <c r="AL452" t="s">
        <v>2231</v>
      </c>
      <c r="AN452">
        <v>0</v>
      </c>
      <c r="AO452">
        <v>224</v>
      </c>
      <c r="AP452">
        <v>3.35</v>
      </c>
      <c r="AR452" t="s">
        <v>2683</v>
      </c>
      <c r="AS452" t="s">
        <v>3095</v>
      </c>
      <c r="AT452">
        <v>634</v>
      </c>
      <c r="AU452" t="s">
        <v>3115</v>
      </c>
      <c r="AV452">
        <v>1</v>
      </c>
      <c r="AW452">
        <v>0</v>
      </c>
      <c r="AX452">
        <v>74.08</v>
      </c>
      <c r="BB452" t="s">
        <v>252</v>
      </c>
      <c r="BC452" t="s">
        <v>3130</v>
      </c>
      <c r="BD452">
        <v>9252</v>
      </c>
      <c r="BH452" t="s">
        <v>3184</v>
      </c>
      <c r="BK452" t="s">
        <v>3193</v>
      </c>
      <c r="BL452" t="s">
        <v>3274</v>
      </c>
      <c r="BM452" t="s">
        <v>311</v>
      </c>
    </row>
    <row r="453" spans="1:65">
      <c r="A453" s="1">
        <f>HYPERLINK("https://lsnyc.legalserver.org/matter/dynamic-profile/view/1906853","19-1906853")</f>
        <v>0</v>
      </c>
      <c r="B453" t="s">
        <v>68</v>
      </c>
      <c r="C453" t="s">
        <v>167</v>
      </c>
      <c r="D453" t="s">
        <v>170</v>
      </c>
      <c r="E453" t="s">
        <v>172</v>
      </c>
      <c r="F453" t="s">
        <v>212</v>
      </c>
      <c r="G453" t="s">
        <v>172</v>
      </c>
      <c r="H453" t="s">
        <v>221</v>
      </c>
      <c r="I453" t="s">
        <v>230</v>
      </c>
      <c r="J453" t="s">
        <v>232</v>
      </c>
      <c r="K453" t="s">
        <v>234</v>
      </c>
      <c r="M453" t="s">
        <v>232</v>
      </c>
      <c r="O453" t="s">
        <v>313</v>
      </c>
      <c r="Q453" t="s">
        <v>321</v>
      </c>
      <c r="T453" t="s">
        <v>712</v>
      </c>
      <c r="U453" t="s">
        <v>1088</v>
      </c>
      <c r="V453" t="s">
        <v>212</v>
      </c>
      <c r="X453" t="s">
        <v>1112</v>
      </c>
      <c r="Y453" t="s">
        <v>1552</v>
      </c>
      <c r="Z453" t="s">
        <v>1752</v>
      </c>
      <c r="AA453" t="s">
        <v>1785</v>
      </c>
      <c r="AB453" t="s">
        <v>1786</v>
      </c>
      <c r="AC453">
        <v>10302</v>
      </c>
      <c r="AD453" t="s">
        <v>1788</v>
      </c>
      <c r="AE453" t="s">
        <v>2205</v>
      </c>
      <c r="AF453">
        <v>9</v>
      </c>
      <c r="AH453" t="s">
        <v>2226</v>
      </c>
      <c r="AI453" t="s">
        <v>233</v>
      </c>
      <c r="AJ453" t="s">
        <v>233</v>
      </c>
      <c r="AL453" t="s">
        <v>2230</v>
      </c>
      <c r="AM453" t="s">
        <v>2236</v>
      </c>
      <c r="AN453">
        <v>0</v>
      </c>
      <c r="AO453">
        <v>847.7</v>
      </c>
      <c r="AP453">
        <v>3.7</v>
      </c>
      <c r="AR453" t="s">
        <v>2684</v>
      </c>
      <c r="AS453" t="s">
        <v>3096</v>
      </c>
      <c r="AT453">
        <v>0</v>
      </c>
      <c r="AU453" t="s">
        <v>3106</v>
      </c>
      <c r="AV453">
        <v>1</v>
      </c>
      <c r="AW453">
        <v>0</v>
      </c>
      <c r="AX453">
        <v>174.28</v>
      </c>
      <c r="BB453" t="s">
        <v>252</v>
      </c>
      <c r="BC453" t="s">
        <v>3130</v>
      </c>
      <c r="BD453">
        <v>21768</v>
      </c>
      <c r="BH453" t="s">
        <v>3184</v>
      </c>
      <c r="BK453" t="s">
        <v>3215</v>
      </c>
      <c r="BL453" t="s">
        <v>1109</v>
      </c>
    </row>
    <row r="454" spans="1:65">
      <c r="A454" s="1">
        <f>HYPERLINK("https://lsnyc.legalserver.org/matter/dynamic-profile/view/1903556","19-1903556")</f>
        <v>0</v>
      </c>
      <c r="B454" t="s">
        <v>68</v>
      </c>
      <c r="C454" t="s">
        <v>167</v>
      </c>
      <c r="D454" t="s">
        <v>170</v>
      </c>
      <c r="E454" t="s">
        <v>172</v>
      </c>
      <c r="F454" t="s">
        <v>209</v>
      </c>
      <c r="G454" t="s">
        <v>172</v>
      </c>
      <c r="H454" t="s">
        <v>229</v>
      </c>
      <c r="I454" t="s">
        <v>230</v>
      </c>
      <c r="J454" t="s">
        <v>232</v>
      </c>
      <c r="K454" t="s">
        <v>234</v>
      </c>
      <c r="M454" t="s">
        <v>232</v>
      </c>
      <c r="O454" t="s">
        <v>172</v>
      </c>
      <c r="P454" t="s">
        <v>319</v>
      </c>
      <c r="Q454" t="s">
        <v>321</v>
      </c>
      <c r="T454" t="s">
        <v>590</v>
      </c>
      <c r="U454" t="s">
        <v>1089</v>
      </c>
      <c r="V454" t="s">
        <v>1106</v>
      </c>
      <c r="X454" t="s">
        <v>1112</v>
      </c>
      <c r="Y454" t="s">
        <v>1553</v>
      </c>
      <c r="Z454" t="s">
        <v>1753</v>
      </c>
      <c r="AA454" t="s">
        <v>1785</v>
      </c>
      <c r="AB454" t="s">
        <v>1786</v>
      </c>
      <c r="AC454">
        <v>10303</v>
      </c>
      <c r="AD454" t="s">
        <v>1788</v>
      </c>
      <c r="AE454" t="s">
        <v>2206</v>
      </c>
      <c r="AF454">
        <v>17</v>
      </c>
      <c r="AH454" t="s">
        <v>2227</v>
      </c>
      <c r="AI454" t="s">
        <v>233</v>
      </c>
      <c r="AJ454" t="s">
        <v>233</v>
      </c>
      <c r="AL454" t="s">
        <v>2235</v>
      </c>
      <c r="AM454" t="s">
        <v>2236</v>
      </c>
      <c r="AN454">
        <v>0</v>
      </c>
      <c r="AO454">
        <v>710</v>
      </c>
      <c r="AP454">
        <v>1.75</v>
      </c>
      <c r="AR454" t="s">
        <v>2685</v>
      </c>
      <c r="AS454" t="s">
        <v>3097</v>
      </c>
      <c r="AT454">
        <v>568</v>
      </c>
      <c r="AU454" t="s">
        <v>3115</v>
      </c>
      <c r="AV454">
        <v>1</v>
      </c>
      <c r="AW454">
        <v>2</v>
      </c>
      <c r="AX454">
        <v>127.99</v>
      </c>
      <c r="BB454" t="s">
        <v>3123</v>
      </c>
      <c r="BC454" t="s">
        <v>3130</v>
      </c>
      <c r="BD454">
        <v>27300</v>
      </c>
      <c r="BH454" t="s">
        <v>3184</v>
      </c>
      <c r="BK454" t="s">
        <v>3197</v>
      </c>
      <c r="BL454" t="s">
        <v>207</v>
      </c>
    </row>
    <row r="455" spans="1:65">
      <c r="A455" s="1">
        <f>HYPERLINK("https://lsnyc.legalserver.org/matter/dynamic-profile/view/1898980","19-1898980")</f>
        <v>0</v>
      </c>
      <c r="B455" t="s">
        <v>68</v>
      </c>
      <c r="C455" t="s">
        <v>167</v>
      </c>
      <c r="D455" t="s">
        <v>170</v>
      </c>
      <c r="E455" t="s">
        <v>173</v>
      </c>
      <c r="F455" t="s">
        <v>216</v>
      </c>
      <c r="G455" t="s">
        <v>172</v>
      </c>
      <c r="H455" t="s">
        <v>221</v>
      </c>
      <c r="I455" t="s">
        <v>172</v>
      </c>
      <c r="J455" t="s">
        <v>231</v>
      </c>
      <c r="K455" t="s">
        <v>172</v>
      </c>
      <c r="M455" t="s">
        <v>232</v>
      </c>
      <c r="N455" t="s">
        <v>311</v>
      </c>
      <c r="O455" t="s">
        <v>172</v>
      </c>
      <c r="P455" t="s">
        <v>316</v>
      </c>
      <c r="Q455" t="s">
        <v>321</v>
      </c>
      <c r="T455" t="s">
        <v>619</v>
      </c>
      <c r="U455" t="s">
        <v>1090</v>
      </c>
      <c r="V455" t="s">
        <v>198</v>
      </c>
      <c r="X455" t="s">
        <v>1112</v>
      </c>
      <c r="Y455" t="s">
        <v>1554</v>
      </c>
      <c r="Z455">
        <v>302</v>
      </c>
      <c r="AA455" t="s">
        <v>1785</v>
      </c>
      <c r="AB455" t="s">
        <v>1786</v>
      </c>
      <c r="AC455">
        <v>10305</v>
      </c>
      <c r="AD455" t="s">
        <v>1790</v>
      </c>
      <c r="AE455" t="s">
        <v>2207</v>
      </c>
      <c r="AF455">
        <v>1</v>
      </c>
      <c r="AH455" t="s">
        <v>2227</v>
      </c>
      <c r="AI455" t="s">
        <v>233</v>
      </c>
      <c r="AJ455" t="s">
        <v>233</v>
      </c>
      <c r="AL455" t="s">
        <v>2230</v>
      </c>
      <c r="AM455" t="s">
        <v>2236</v>
      </c>
      <c r="AN455">
        <v>0</v>
      </c>
      <c r="AO455">
        <v>1068.98</v>
      </c>
      <c r="AP455">
        <v>9.550000000000001</v>
      </c>
      <c r="AR455" t="s">
        <v>2686</v>
      </c>
      <c r="AS455" t="s">
        <v>3098</v>
      </c>
      <c r="AT455">
        <v>85</v>
      </c>
      <c r="AU455" t="s">
        <v>3106</v>
      </c>
      <c r="AV455">
        <v>1</v>
      </c>
      <c r="AW455">
        <v>0</v>
      </c>
      <c r="AX455">
        <v>144.12</v>
      </c>
      <c r="BB455" t="s">
        <v>3129</v>
      </c>
      <c r="BC455" t="s">
        <v>3130</v>
      </c>
      <c r="BD455">
        <v>18000</v>
      </c>
      <c r="BH455" t="s">
        <v>3184</v>
      </c>
      <c r="BK455" t="s">
        <v>3196</v>
      </c>
      <c r="BL455" t="s">
        <v>3275</v>
      </c>
      <c r="BM455" t="s">
        <v>311</v>
      </c>
    </row>
    <row r="456" spans="1:65">
      <c r="A456" s="1">
        <f>HYPERLINK("https://lsnyc.legalserver.org/matter/dynamic-profile/view/1903641","19-1903641")</f>
        <v>0</v>
      </c>
      <c r="B456" t="s">
        <v>68</v>
      </c>
      <c r="C456" t="s">
        <v>168</v>
      </c>
      <c r="D456" t="s">
        <v>170</v>
      </c>
      <c r="E456" t="s">
        <v>172</v>
      </c>
      <c r="F456" t="s">
        <v>174</v>
      </c>
      <c r="G456" t="s">
        <v>172</v>
      </c>
      <c r="H456" t="s">
        <v>221</v>
      </c>
      <c r="I456" t="s">
        <v>230</v>
      </c>
      <c r="J456" t="s">
        <v>232</v>
      </c>
      <c r="K456" t="s">
        <v>172</v>
      </c>
      <c r="M456" t="s">
        <v>232</v>
      </c>
      <c r="N456" t="s">
        <v>311</v>
      </c>
      <c r="O456" t="s">
        <v>172</v>
      </c>
      <c r="P456" t="s">
        <v>316</v>
      </c>
      <c r="Q456" t="s">
        <v>321</v>
      </c>
      <c r="T456" t="s">
        <v>713</v>
      </c>
      <c r="U456" t="s">
        <v>1091</v>
      </c>
      <c r="V456" t="s">
        <v>180</v>
      </c>
      <c r="X456" t="s">
        <v>1112</v>
      </c>
      <c r="Y456" t="s">
        <v>1555</v>
      </c>
      <c r="Z456">
        <v>2</v>
      </c>
      <c r="AA456" t="s">
        <v>1785</v>
      </c>
      <c r="AB456" t="s">
        <v>1786</v>
      </c>
      <c r="AC456">
        <v>10309</v>
      </c>
      <c r="AD456" t="s">
        <v>1788</v>
      </c>
      <c r="AE456" t="s">
        <v>2208</v>
      </c>
      <c r="AF456">
        <v>2</v>
      </c>
      <c r="AH456" t="s">
        <v>2227</v>
      </c>
      <c r="AI456" t="s">
        <v>233</v>
      </c>
      <c r="AJ456" t="s">
        <v>233</v>
      </c>
      <c r="AL456" t="s">
        <v>2230</v>
      </c>
      <c r="AM456" t="s">
        <v>2236</v>
      </c>
      <c r="AN456">
        <v>0</v>
      </c>
      <c r="AO456">
        <v>1450</v>
      </c>
      <c r="AP456">
        <v>4.3</v>
      </c>
      <c r="AR456" t="s">
        <v>2687</v>
      </c>
      <c r="AS456" t="s">
        <v>3099</v>
      </c>
      <c r="AT456">
        <v>2</v>
      </c>
      <c r="AU456" t="s">
        <v>3108</v>
      </c>
      <c r="AV456">
        <v>2</v>
      </c>
      <c r="AW456">
        <v>2</v>
      </c>
      <c r="AX456">
        <v>152.3</v>
      </c>
      <c r="BB456" t="s">
        <v>252</v>
      </c>
      <c r="BC456" t="s">
        <v>3130</v>
      </c>
      <c r="BD456">
        <v>39217</v>
      </c>
      <c r="BH456" t="s">
        <v>3184</v>
      </c>
      <c r="BK456" t="s">
        <v>3272</v>
      </c>
      <c r="BL456" t="s">
        <v>193</v>
      </c>
      <c r="BM456" t="s">
        <v>311</v>
      </c>
    </row>
    <row r="457" spans="1:65">
      <c r="A457" s="1">
        <f>HYPERLINK("https://lsnyc.legalserver.org/matter/dynamic-profile/view/1905398","19-1905398")</f>
        <v>0</v>
      </c>
      <c r="B457" t="s">
        <v>68</v>
      </c>
      <c r="C457" t="s">
        <v>168</v>
      </c>
      <c r="D457" t="s">
        <v>170</v>
      </c>
      <c r="E457" t="s">
        <v>172</v>
      </c>
      <c r="F457" t="s">
        <v>217</v>
      </c>
      <c r="G457" t="s">
        <v>172</v>
      </c>
      <c r="H457" t="s">
        <v>220</v>
      </c>
      <c r="I457" t="s">
        <v>172</v>
      </c>
      <c r="J457" t="s">
        <v>231</v>
      </c>
      <c r="K457" t="s">
        <v>172</v>
      </c>
      <c r="M457" t="s">
        <v>232</v>
      </c>
      <c r="N457" t="s">
        <v>311</v>
      </c>
      <c r="O457" t="s">
        <v>172</v>
      </c>
      <c r="P457" t="s">
        <v>314</v>
      </c>
      <c r="Q457" t="s">
        <v>322</v>
      </c>
      <c r="T457" t="s">
        <v>714</v>
      </c>
      <c r="U457" t="s">
        <v>1092</v>
      </c>
      <c r="V457" t="s">
        <v>214</v>
      </c>
      <c r="W457" t="s">
        <v>199</v>
      </c>
      <c r="X457" t="s">
        <v>1113</v>
      </c>
      <c r="Y457" t="s">
        <v>1556</v>
      </c>
      <c r="AA457" t="s">
        <v>1785</v>
      </c>
      <c r="AB457" t="s">
        <v>1786</v>
      </c>
      <c r="AC457">
        <v>10310</v>
      </c>
      <c r="AD457" t="s">
        <v>1788</v>
      </c>
      <c r="AE457" t="s">
        <v>2209</v>
      </c>
      <c r="AF457">
        <v>21</v>
      </c>
      <c r="AG457" t="s">
        <v>2214</v>
      </c>
      <c r="AH457" t="s">
        <v>2226</v>
      </c>
      <c r="AI457" t="s">
        <v>233</v>
      </c>
      <c r="AJ457" t="s">
        <v>233</v>
      </c>
      <c r="AL457" t="s">
        <v>2230</v>
      </c>
      <c r="AM457" t="s">
        <v>2236</v>
      </c>
      <c r="AN457">
        <v>0</v>
      </c>
      <c r="AO457">
        <v>1790</v>
      </c>
      <c r="AP457">
        <v>0.1</v>
      </c>
      <c r="AQ457" t="s">
        <v>2242</v>
      </c>
      <c r="AR457" t="s">
        <v>2688</v>
      </c>
      <c r="AS457" t="s">
        <v>3100</v>
      </c>
      <c r="AT457">
        <v>1</v>
      </c>
      <c r="AU457" t="s">
        <v>3108</v>
      </c>
      <c r="AV457">
        <v>3</v>
      </c>
      <c r="AW457">
        <v>0</v>
      </c>
      <c r="AX457">
        <v>408.81</v>
      </c>
      <c r="BB457" t="s">
        <v>3123</v>
      </c>
      <c r="BC457" t="s">
        <v>3130</v>
      </c>
      <c r="BD457">
        <v>87200</v>
      </c>
      <c r="BH457" t="s">
        <v>3184</v>
      </c>
      <c r="BK457" t="s">
        <v>3198</v>
      </c>
      <c r="BL457" t="s">
        <v>199</v>
      </c>
      <c r="BM457" t="s">
        <v>311</v>
      </c>
    </row>
    <row r="458" spans="1:65">
      <c r="A458" s="1">
        <f>HYPERLINK("https://lsnyc.legalserver.org/matter/dynamic-profile/view/1904471","19-1904471")</f>
        <v>0</v>
      </c>
      <c r="B458" t="s">
        <v>68</v>
      </c>
      <c r="C458" t="s">
        <v>165</v>
      </c>
      <c r="D458" t="s">
        <v>170</v>
      </c>
      <c r="E458" t="s">
        <v>172</v>
      </c>
      <c r="F458" t="s">
        <v>198</v>
      </c>
      <c r="G458" t="s">
        <v>172</v>
      </c>
      <c r="H458" t="s">
        <v>220</v>
      </c>
      <c r="I458" t="s">
        <v>172</v>
      </c>
      <c r="J458" t="s">
        <v>231</v>
      </c>
      <c r="K458" t="s">
        <v>172</v>
      </c>
      <c r="M458" t="s">
        <v>232</v>
      </c>
      <c r="N458" t="s">
        <v>311</v>
      </c>
      <c r="O458" t="s">
        <v>172</v>
      </c>
      <c r="P458" t="s">
        <v>314</v>
      </c>
      <c r="Q458" t="s">
        <v>322</v>
      </c>
      <c r="T458" t="s">
        <v>715</v>
      </c>
      <c r="U458" t="s">
        <v>1093</v>
      </c>
      <c r="V458" t="s">
        <v>198</v>
      </c>
      <c r="W458" t="s">
        <v>203</v>
      </c>
      <c r="X458" t="s">
        <v>1113</v>
      </c>
      <c r="Y458" t="s">
        <v>1557</v>
      </c>
      <c r="Z458" t="s">
        <v>1646</v>
      </c>
      <c r="AA458" t="s">
        <v>1785</v>
      </c>
      <c r="AB458" t="s">
        <v>1786</v>
      </c>
      <c r="AC458">
        <v>10306</v>
      </c>
      <c r="AD458" t="s">
        <v>1790</v>
      </c>
      <c r="AE458" t="s">
        <v>2210</v>
      </c>
      <c r="AF458">
        <v>-1</v>
      </c>
      <c r="AG458" t="s">
        <v>2214</v>
      </c>
      <c r="AH458" t="s">
        <v>2227</v>
      </c>
      <c r="AI458" t="s">
        <v>233</v>
      </c>
      <c r="AJ458" t="s">
        <v>233</v>
      </c>
      <c r="AL458" t="s">
        <v>2230</v>
      </c>
      <c r="AM458" t="s">
        <v>2236</v>
      </c>
      <c r="AN458">
        <v>0</v>
      </c>
      <c r="AO458">
        <v>600</v>
      </c>
      <c r="AP458">
        <v>1.6</v>
      </c>
      <c r="AQ458" t="s">
        <v>2242</v>
      </c>
      <c r="AR458" t="s">
        <v>2689</v>
      </c>
      <c r="AS458" t="s">
        <v>3101</v>
      </c>
      <c r="AT458">
        <v>70</v>
      </c>
      <c r="AU458" t="s">
        <v>3107</v>
      </c>
      <c r="AV458">
        <v>1</v>
      </c>
      <c r="AW458">
        <v>1</v>
      </c>
      <c r="AX458">
        <v>114.43</v>
      </c>
      <c r="BB458" t="s">
        <v>252</v>
      </c>
      <c r="BC458" t="s">
        <v>3130</v>
      </c>
      <c r="BD458">
        <v>19350</v>
      </c>
      <c r="BH458" t="s">
        <v>3184</v>
      </c>
      <c r="BK458" t="s">
        <v>3198</v>
      </c>
      <c r="BL458" t="s">
        <v>203</v>
      </c>
      <c r="BM458" t="s">
        <v>311</v>
      </c>
    </row>
    <row r="459" spans="1:65">
      <c r="A459" s="1">
        <f>HYPERLINK("https://lsnyc.legalserver.org/matter/dynamic-profile/view/1907104","19-1907104")</f>
        <v>0</v>
      </c>
      <c r="B459" t="s">
        <v>68</v>
      </c>
      <c r="C459" t="s">
        <v>165</v>
      </c>
      <c r="D459" t="s">
        <v>170</v>
      </c>
      <c r="E459" t="s">
        <v>172</v>
      </c>
      <c r="F459" t="s">
        <v>193</v>
      </c>
      <c r="G459" t="s">
        <v>172</v>
      </c>
      <c r="H459" t="s">
        <v>225</v>
      </c>
      <c r="I459" t="s">
        <v>172</v>
      </c>
      <c r="J459" t="s">
        <v>231</v>
      </c>
      <c r="K459" t="s">
        <v>172</v>
      </c>
      <c r="M459" t="s">
        <v>232</v>
      </c>
      <c r="N459" t="s">
        <v>311</v>
      </c>
      <c r="O459" t="s">
        <v>172</v>
      </c>
      <c r="P459" t="s">
        <v>318</v>
      </c>
      <c r="Q459" t="s">
        <v>322</v>
      </c>
      <c r="T459" t="s">
        <v>716</v>
      </c>
      <c r="U459" t="s">
        <v>1094</v>
      </c>
      <c r="V459" t="s">
        <v>193</v>
      </c>
      <c r="W459" t="s">
        <v>1108</v>
      </c>
      <c r="X459" t="s">
        <v>1113</v>
      </c>
      <c r="Y459" t="s">
        <v>1558</v>
      </c>
      <c r="Z459" t="s">
        <v>1575</v>
      </c>
      <c r="AA459" t="s">
        <v>1785</v>
      </c>
      <c r="AB459" t="s">
        <v>1786</v>
      </c>
      <c r="AC459">
        <v>10310</v>
      </c>
      <c r="AD459" t="s">
        <v>1788</v>
      </c>
      <c r="AE459" t="s">
        <v>2211</v>
      </c>
      <c r="AF459">
        <v>11</v>
      </c>
      <c r="AG459" t="s">
        <v>2217</v>
      </c>
      <c r="AH459" t="s">
        <v>2227</v>
      </c>
      <c r="AI459" t="s">
        <v>233</v>
      </c>
      <c r="AJ459" t="s">
        <v>233</v>
      </c>
      <c r="AL459" t="s">
        <v>2231</v>
      </c>
      <c r="AM459" t="s">
        <v>2236</v>
      </c>
      <c r="AN459">
        <v>0</v>
      </c>
      <c r="AO459">
        <v>214</v>
      </c>
      <c r="AP459">
        <v>2.3</v>
      </c>
      <c r="AQ459" t="s">
        <v>2242</v>
      </c>
      <c r="AR459" t="s">
        <v>2690</v>
      </c>
      <c r="AS459" t="s">
        <v>3102</v>
      </c>
      <c r="AT459">
        <v>564</v>
      </c>
      <c r="AU459" t="s">
        <v>3107</v>
      </c>
      <c r="AV459">
        <v>1</v>
      </c>
      <c r="AW459">
        <v>0</v>
      </c>
      <c r="AX459">
        <v>18.94</v>
      </c>
      <c r="BB459" t="s">
        <v>252</v>
      </c>
      <c r="BC459" t="s">
        <v>3130</v>
      </c>
      <c r="BD459">
        <v>2366</v>
      </c>
      <c r="BH459" t="s">
        <v>3184</v>
      </c>
      <c r="BK459" t="s">
        <v>3194</v>
      </c>
      <c r="BL459" t="s">
        <v>1110</v>
      </c>
      <c r="BM459" t="s">
        <v>311</v>
      </c>
    </row>
    <row r="460" spans="1:65">
      <c r="A460" s="1">
        <f>HYPERLINK("https://lsnyc.legalserver.org/matter/dynamic-profile/view/1908376","19-1908376")</f>
        <v>0</v>
      </c>
      <c r="B460" t="s">
        <v>68</v>
      </c>
      <c r="C460" t="s">
        <v>167</v>
      </c>
      <c r="D460" t="s">
        <v>170</v>
      </c>
      <c r="E460" t="s">
        <v>172</v>
      </c>
      <c r="F460" t="s">
        <v>194</v>
      </c>
      <c r="G460" t="s">
        <v>172</v>
      </c>
      <c r="H460" t="s">
        <v>221</v>
      </c>
      <c r="I460" t="s">
        <v>172</v>
      </c>
      <c r="J460" t="s">
        <v>231</v>
      </c>
      <c r="K460" t="s">
        <v>172</v>
      </c>
      <c r="M460" t="s">
        <v>232</v>
      </c>
      <c r="N460" t="s">
        <v>311</v>
      </c>
      <c r="O460" t="s">
        <v>172</v>
      </c>
      <c r="P460" t="s">
        <v>314</v>
      </c>
      <c r="Q460" t="s">
        <v>322</v>
      </c>
      <c r="T460" t="s">
        <v>450</v>
      </c>
      <c r="U460" t="s">
        <v>1095</v>
      </c>
      <c r="V460" t="s">
        <v>194</v>
      </c>
      <c r="W460" t="s">
        <v>194</v>
      </c>
      <c r="X460" t="s">
        <v>1113</v>
      </c>
      <c r="Y460" t="s">
        <v>1559</v>
      </c>
      <c r="Z460" t="s">
        <v>1571</v>
      </c>
      <c r="AA460" t="s">
        <v>1785</v>
      </c>
      <c r="AB460" t="s">
        <v>1786</v>
      </c>
      <c r="AC460">
        <v>10314</v>
      </c>
      <c r="AD460" t="s">
        <v>1790</v>
      </c>
      <c r="AE460" t="s">
        <v>2212</v>
      </c>
      <c r="AF460">
        <v>-1</v>
      </c>
      <c r="AG460" t="s">
        <v>2214</v>
      </c>
      <c r="AH460" t="s">
        <v>2226</v>
      </c>
      <c r="AI460" t="s">
        <v>233</v>
      </c>
      <c r="AJ460" t="s">
        <v>233</v>
      </c>
      <c r="AL460" t="s">
        <v>2230</v>
      </c>
      <c r="AM460" t="s">
        <v>2236</v>
      </c>
      <c r="AN460">
        <v>0</v>
      </c>
      <c r="AO460">
        <v>2600</v>
      </c>
      <c r="AP460">
        <v>0.15</v>
      </c>
      <c r="AQ460" t="s">
        <v>2242</v>
      </c>
      <c r="AR460" t="s">
        <v>2691</v>
      </c>
      <c r="AS460" t="s">
        <v>3103</v>
      </c>
      <c r="AT460">
        <v>2</v>
      </c>
      <c r="AU460" t="s">
        <v>3108</v>
      </c>
      <c r="AV460">
        <v>2</v>
      </c>
      <c r="AW460">
        <v>1</v>
      </c>
      <c r="AX460">
        <v>309.42</v>
      </c>
      <c r="BB460" t="s">
        <v>252</v>
      </c>
      <c r="BC460" t="s">
        <v>3130</v>
      </c>
      <c r="BD460">
        <v>66000</v>
      </c>
      <c r="BH460" t="s">
        <v>3184</v>
      </c>
      <c r="BK460" t="s">
        <v>3198</v>
      </c>
      <c r="BL460" t="s">
        <v>3275</v>
      </c>
      <c r="BM460" t="s">
        <v>311</v>
      </c>
    </row>
    <row r="461" spans="1:65">
      <c r="A461" s="1">
        <f>HYPERLINK("https://lsnyc.legalserver.org/matter/dynamic-profile/view/1899102","19-1899102")</f>
        <v>0</v>
      </c>
      <c r="B461" t="s">
        <v>68</v>
      </c>
      <c r="C461" t="s">
        <v>169</v>
      </c>
      <c r="D461" t="s">
        <v>170</v>
      </c>
      <c r="E461" t="s">
        <v>173</v>
      </c>
      <c r="F461" t="s">
        <v>218</v>
      </c>
      <c r="G461" t="s">
        <v>172</v>
      </c>
      <c r="H461" t="s">
        <v>221</v>
      </c>
      <c r="I461" t="s">
        <v>172</v>
      </c>
      <c r="J461" t="s">
        <v>231</v>
      </c>
      <c r="K461" t="s">
        <v>172</v>
      </c>
      <c r="M461" t="s">
        <v>232</v>
      </c>
      <c r="N461" t="s">
        <v>311</v>
      </c>
      <c r="O461" t="s">
        <v>172</v>
      </c>
      <c r="P461" t="s">
        <v>318</v>
      </c>
      <c r="Q461" t="s">
        <v>321</v>
      </c>
      <c r="T461" t="s">
        <v>375</v>
      </c>
      <c r="U461" t="s">
        <v>1096</v>
      </c>
      <c r="V461" t="s">
        <v>217</v>
      </c>
      <c r="X461" t="s">
        <v>1112</v>
      </c>
      <c r="Y461" t="s">
        <v>1560</v>
      </c>
      <c r="Z461" t="s">
        <v>1655</v>
      </c>
      <c r="AA461" t="s">
        <v>1785</v>
      </c>
      <c r="AB461" t="s">
        <v>1786</v>
      </c>
      <c r="AC461">
        <v>10310</v>
      </c>
      <c r="AD461" t="s">
        <v>1790</v>
      </c>
      <c r="AE461" t="s">
        <v>2213</v>
      </c>
      <c r="AF461">
        <v>6</v>
      </c>
      <c r="AH461" t="s">
        <v>2226</v>
      </c>
      <c r="AI461" t="s">
        <v>233</v>
      </c>
      <c r="AJ461" t="s">
        <v>233</v>
      </c>
      <c r="AL461" t="s">
        <v>2231</v>
      </c>
      <c r="AN461">
        <v>0</v>
      </c>
      <c r="AO461">
        <v>1169</v>
      </c>
      <c r="AP461">
        <v>3</v>
      </c>
      <c r="AR461" t="s">
        <v>2692</v>
      </c>
      <c r="AS461" t="s">
        <v>3104</v>
      </c>
      <c r="AT461">
        <v>0</v>
      </c>
      <c r="AU461" t="s">
        <v>3107</v>
      </c>
      <c r="AV461">
        <v>1</v>
      </c>
      <c r="AW461">
        <v>0</v>
      </c>
      <c r="AX461">
        <v>395.93</v>
      </c>
      <c r="AY461" t="s">
        <v>3120</v>
      </c>
      <c r="AZ461" t="s">
        <v>3121</v>
      </c>
      <c r="BB461" t="s">
        <v>3123</v>
      </c>
      <c r="BC461" t="s">
        <v>3130</v>
      </c>
      <c r="BD461">
        <v>49452</v>
      </c>
      <c r="BH461" t="s">
        <v>3185</v>
      </c>
      <c r="BK461" t="s">
        <v>3273</v>
      </c>
      <c r="BL461" t="s">
        <v>177</v>
      </c>
      <c r="BM461" t="s">
        <v>311</v>
      </c>
    </row>
  </sheetData>
  <conditionalFormatting sqref="E1:E100000">
    <cfRule type="cellIs" dxfId="0" priority="1" operator="equal">
      <formula>"Needs Eligibility Date"</formula>
    </cfRule>
    <cfRule type="cellIs" dxfId="0" priority="2" operator="equal">
      <formula>"Eligibility Date Out of Contract Year"</formula>
    </cfRule>
  </conditionalFormatting>
  <conditionalFormatting sqref="G1:G100000">
    <cfRule type="cellIs" dxfId="0" priority="3" operator="equal">
      <formula>"Needs Housing Case Type"</formula>
    </cfRule>
  </conditionalFormatting>
  <conditionalFormatting sqref="I1:I100000">
    <cfRule type="cellIs" dxfId="0" priority="4" operator="equal">
      <formula>"Needs HRA Release/Consent Form"</formula>
    </cfRule>
  </conditionalFormatting>
  <conditionalFormatting sqref="K1:K100000">
    <cfRule type="cellIs" dxfId="0" priority="5" operator="equal">
      <formula>"Needs DHCI"</formula>
    </cfRule>
  </conditionalFormatting>
  <conditionalFormatting sqref="O1:O100000">
    <cfRule type="cellIs" dxfId="0" priority="6" operator="equal">
      <formula>"Needs Level of Service"</formula>
    </cfRule>
  </conditionalFormatting>
  <conditionalFormatting sqref="Q1:Q100000">
    <cfRule type="cellIs" dxfId="0" priority="7" operator="equal">
      <formula>"Needs Outcome &amp; Outcome Date"</formula>
    </cfRule>
    <cfRule type="cellIs" dxfId="0" priority="8" operator="equal">
      <formula>"Needs Outcome"</formula>
    </cfRule>
    <cfRule type="cellIs" dxfId="0" priority="9" operator="equal">
      <formula>"Needs Outcome Date"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2019-11-20T16:25:14Z</dcterms:created>
  <dcterms:modified xsi:type="dcterms:W3CDTF">2019-11-20T16:25:14Z</dcterms:modified>
</cp:coreProperties>
</file>