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HPLPUAC Internal Report" sheetId="1" r:id="rId1"/>
  </sheets>
  <calcPr calcId="124519" fullCalcOnLoad="1"/>
</workbook>
</file>

<file path=xl/sharedStrings.xml><?xml version="1.0" encoding="utf-8"?>
<sst xmlns="http://schemas.openxmlformats.org/spreadsheetml/2006/main" count="22114" uniqueCount="4705">
  <si>
    <t>Hyperlinked Case #</t>
  </si>
  <si>
    <t>Primary Advocate</t>
  </si>
  <si>
    <t>Case Disposition</t>
  </si>
  <si>
    <t>Date Opened</t>
  </si>
  <si>
    <t>Date Closed</t>
  </si>
  <si>
    <t>Client First Name</t>
  </si>
  <si>
    <t>Client Last Name</t>
  </si>
  <si>
    <t>Street Address</t>
  </si>
  <si>
    <t>Apt#/Suite#</t>
  </si>
  <si>
    <t>City</t>
  </si>
  <si>
    <t>State</t>
  </si>
  <si>
    <t>Zip Code</t>
  </si>
  <si>
    <t>HRA Release?</t>
  </si>
  <si>
    <t>Housing Signed DHCI Form</t>
  </si>
  <si>
    <t>Referral Source</t>
  </si>
  <si>
    <t>Gen Case Index Number</t>
  </si>
  <si>
    <t>Housing Years Living In Apartment</t>
  </si>
  <si>
    <t>Housing Type Of Case</t>
  </si>
  <si>
    <t>Housing Level of Service</t>
  </si>
  <si>
    <t>Close Reason</t>
  </si>
  <si>
    <t>Primary Funding Code</t>
  </si>
  <si>
    <t>Group</t>
  </si>
  <si>
    <t>Housing Building Case?</t>
  </si>
  <si>
    <t>Secondary Funding Codes</t>
  </si>
  <si>
    <t>Legal Problem Code</t>
  </si>
  <si>
    <t>Housing Posture of Case on Eligibility Date</t>
  </si>
  <si>
    <t>HAL Eligibility Date</t>
  </si>
  <si>
    <t>Housing Tenant’s Share Of Rent</t>
  </si>
  <si>
    <t>Housing Total Monthly Rent</t>
  </si>
  <si>
    <t>Total Time For Case</t>
  </si>
  <si>
    <t>Assigned Branch/CC</t>
  </si>
  <si>
    <t>Outcome</t>
  </si>
  <si>
    <t>Date of Birth</t>
  </si>
  <si>
    <t>Gen Pub Assist Case Number</t>
  </si>
  <si>
    <t>Social Security #</t>
  </si>
  <si>
    <t>Housing Number Of Units In Building</t>
  </si>
  <si>
    <t>Housing Form Of Regulation</t>
  </si>
  <si>
    <t>Number of People 18 and Over</t>
  </si>
  <si>
    <t>Number of People under 18</t>
  </si>
  <si>
    <t>Percentage of Poverty</t>
  </si>
  <si>
    <t>Housing Date Of Waiver Approval</t>
  </si>
  <si>
    <t>Housing TRC HRA Waiver Categories</t>
  </si>
  <si>
    <t>Housing HPLP Household Category</t>
  </si>
  <si>
    <t>Housing Subsidy Type</t>
  </si>
  <si>
    <t>Language</t>
  </si>
  <si>
    <t xml:space="preserve">Total Annual Income </t>
  </si>
  <si>
    <t>Housing Proof Public Assistance</t>
  </si>
  <si>
    <t>Housing Verification Of Income</t>
  </si>
  <si>
    <t>Housing Funding Note</t>
  </si>
  <si>
    <t>Caseworker Name</t>
  </si>
  <si>
    <t>Housing Activity Indicators</t>
  </si>
  <si>
    <t>Housing Services Rendered to Client</t>
  </si>
  <si>
    <t>Income Types</t>
  </si>
  <si>
    <t>Housing Outcome</t>
  </si>
  <si>
    <t>Housing Outcome Date</t>
  </si>
  <si>
    <t>Service Date</t>
  </si>
  <si>
    <t>Housing Income Verification</t>
  </si>
  <si>
    <t>Braudy, Erica</t>
  </si>
  <si>
    <t>Abbas, Sayeda</t>
  </si>
  <si>
    <t>Allen, Sharette</t>
  </si>
  <si>
    <t>Dias, Marika</t>
  </si>
  <si>
    <t>Shah, Ami</t>
  </si>
  <si>
    <t>Sharma, Sagar</t>
  </si>
  <si>
    <t>Anunkor, Ifeoma</t>
  </si>
  <si>
    <t>Evers, Erin</t>
  </si>
  <si>
    <t>James, Lelia</t>
  </si>
  <si>
    <t>Hao, Lindsay</t>
  </si>
  <si>
    <t>Freeman, Daniel</t>
  </si>
  <si>
    <t>Spencer, Eleanor</t>
  </si>
  <si>
    <t>Frierson, Jerome</t>
  </si>
  <si>
    <t>Porcelli, Ronald</t>
  </si>
  <si>
    <t>Wilkes, Nicole</t>
  </si>
  <si>
    <t>Englard, Rubin</t>
  </si>
  <si>
    <t>He, Ricky</t>
  </si>
  <si>
    <t>Basu, Shantonu</t>
  </si>
  <si>
    <t>Treadwell, Nathan</t>
  </si>
  <si>
    <t>Mercedes, Jannelys</t>
  </si>
  <si>
    <t>Guillaume, Naura</t>
  </si>
  <si>
    <t>Briggs, John</t>
  </si>
  <si>
    <t>Luo, Amy</t>
  </si>
  <si>
    <t>Ortiz, Matthew</t>
  </si>
  <si>
    <t>Gonzalez, Matias</t>
  </si>
  <si>
    <t>Labossiere, Samantha</t>
  </si>
  <si>
    <t>Kulig, Jessica</t>
  </si>
  <si>
    <t>Black, Rosalind</t>
  </si>
  <si>
    <t>Sun, Dao</t>
  </si>
  <si>
    <t>McDonald, Susan</t>
  </si>
  <si>
    <t>Honan, Thomas</t>
  </si>
  <si>
    <t>Gokhale, Aparna</t>
  </si>
  <si>
    <t>Patel, Roopal</t>
  </si>
  <si>
    <t>Caulkins, Luther</t>
  </si>
  <si>
    <t>Vega, Rita</t>
  </si>
  <si>
    <t>Closed</t>
  </si>
  <si>
    <t>Open</t>
  </si>
  <si>
    <t>03/20/2019</t>
  </si>
  <si>
    <t>05/15/2019</t>
  </si>
  <si>
    <t>09/13/2019</t>
  </si>
  <si>
    <t>09/16/2019</t>
  </si>
  <si>
    <t>09/06/2019</t>
  </si>
  <si>
    <t>01/11/2019</t>
  </si>
  <si>
    <t>04/05/2019</t>
  </si>
  <si>
    <t>02/08/2019</t>
  </si>
  <si>
    <t>04/16/2019</t>
  </si>
  <si>
    <t>01/18/2019</t>
  </si>
  <si>
    <t>05/31/2019</t>
  </si>
  <si>
    <t>08/21/2019</t>
  </si>
  <si>
    <t>05/07/2019</t>
  </si>
  <si>
    <t>02/22/2019</t>
  </si>
  <si>
    <t>03/08/2019</t>
  </si>
  <si>
    <t>05/03/2019</t>
  </si>
  <si>
    <t>01/16/2019</t>
  </si>
  <si>
    <t>04/04/2019</t>
  </si>
  <si>
    <t>04/19/2019</t>
  </si>
  <si>
    <t>05/08/2019</t>
  </si>
  <si>
    <t>09/20/2019</t>
  </si>
  <si>
    <t>08/23/2019</t>
  </si>
  <si>
    <t>10/04/2019</t>
  </si>
  <si>
    <t>10/11/2019</t>
  </si>
  <si>
    <t>10/01/2019</t>
  </si>
  <si>
    <t>03/22/2019</t>
  </si>
  <si>
    <t>10/18/2019</t>
  </si>
  <si>
    <t>04/30/2019</t>
  </si>
  <si>
    <t>07/16/2019</t>
  </si>
  <si>
    <t>09/24/2019</t>
  </si>
  <si>
    <t>06/10/2019</t>
  </si>
  <si>
    <t>08/08/2019</t>
  </si>
  <si>
    <t>05/06/2019</t>
  </si>
  <si>
    <t>07/26/2019</t>
  </si>
  <si>
    <t>08/09/2019</t>
  </si>
  <si>
    <t>01/30/2019</t>
  </si>
  <si>
    <t>03/12/2019</t>
  </si>
  <si>
    <t>07/12/2019</t>
  </si>
  <si>
    <t>01/28/2019</t>
  </si>
  <si>
    <t>02/15/2019</t>
  </si>
  <si>
    <t>01/09/2019</t>
  </si>
  <si>
    <t>05/22/2019</t>
  </si>
  <si>
    <t>06/12/2019</t>
  </si>
  <si>
    <t>02/06/2019</t>
  </si>
  <si>
    <t>02/13/2019</t>
  </si>
  <si>
    <t>02/20/2019</t>
  </si>
  <si>
    <t>03/06/2019</t>
  </si>
  <si>
    <t>04/03/2019</t>
  </si>
  <si>
    <t>04/08/2019</t>
  </si>
  <si>
    <t>04/10/2019</t>
  </si>
  <si>
    <t>04/24/2019</t>
  </si>
  <si>
    <t>04/29/2019</t>
  </si>
  <si>
    <t>05/29/2019</t>
  </si>
  <si>
    <t>06/05/2019</t>
  </si>
  <si>
    <t>06/26/2019</t>
  </si>
  <si>
    <t>07/08/2019</t>
  </si>
  <si>
    <t>07/17/2019</t>
  </si>
  <si>
    <t>07/31/2019</t>
  </si>
  <si>
    <t>08/07/2019</t>
  </si>
  <si>
    <t>09/04/2019</t>
  </si>
  <si>
    <t>10/16/2019</t>
  </si>
  <si>
    <t>07/10/2019</t>
  </si>
  <si>
    <t>05/24/2019</t>
  </si>
  <si>
    <t>01/02/2019</t>
  </si>
  <si>
    <t>02/27/2019</t>
  </si>
  <si>
    <t>03/13/2019</t>
  </si>
  <si>
    <t>03/27/2019</t>
  </si>
  <si>
    <t>04/17/2019</t>
  </si>
  <si>
    <t>05/01/2019</t>
  </si>
  <si>
    <t>06/24/2019</t>
  </si>
  <si>
    <t>07/03/2019</t>
  </si>
  <si>
    <t>07/24/2019</t>
  </si>
  <si>
    <t>09/11/2019</t>
  </si>
  <si>
    <t>09/18/2019</t>
  </si>
  <si>
    <t>10/02/2019</t>
  </si>
  <si>
    <t>10/09/2019</t>
  </si>
  <si>
    <t>05/13/2019</t>
  </si>
  <si>
    <t>07/22/2019</t>
  </si>
  <si>
    <t>08/26/2019</t>
  </si>
  <si>
    <t>06/14/2019</t>
  </si>
  <si>
    <t>09/10/2019</t>
  </si>
  <si>
    <t>06/19/2019</t>
  </si>
  <si>
    <t>06/28/2019</t>
  </si>
  <si>
    <t>03/19/2019</t>
  </si>
  <si>
    <t>08/14/2019</t>
  </si>
  <si>
    <t>01/23/2019</t>
  </si>
  <si>
    <t>02/25/2019</t>
  </si>
  <si>
    <t>03/29/2019</t>
  </si>
  <si>
    <t>05/23/2019</t>
  </si>
  <si>
    <t>05/21/2019</t>
  </si>
  <si>
    <t>06/25/2019</t>
  </si>
  <si>
    <t>07/18/2019</t>
  </si>
  <si>
    <t>08/13/2019</t>
  </si>
  <si>
    <t>09/25/2019</t>
  </si>
  <si>
    <t>05/14/2019</t>
  </si>
  <si>
    <t>07/30/2019</t>
  </si>
  <si>
    <t>01/08/2019</t>
  </si>
  <si>
    <t>03/28/2019</t>
  </si>
  <si>
    <t>06/06/2019</t>
  </si>
  <si>
    <t>08/20/2019</t>
  </si>
  <si>
    <t>08/28/2019</t>
  </si>
  <si>
    <t>02/19/2019</t>
  </si>
  <si>
    <t>01/25/2019</t>
  </si>
  <si>
    <t>10/07/2019</t>
  </si>
  <si>
    <t>04/25/2019</t>
  </si>
  <si>
    <t>08/15/2019</t>
  </si>
  <si>
    <t>01/29/2019</t>
  </si>
  <si>
    <t>04/09/2019</t>
  </si>
  <si>
    <t>05/17/2019</t>
  </si>
  <si>
    <t>05/28/2019</t>
  </si>
  <si>
    <t>07/11/2019</t>
  </si>
  <si>
    <t>01/10/2019</t>
  </si>
  <si>
    <t>03/21/2019</t>
  </si>
  <si>
    <t>05/20/2019</t>
  </si>
  <si>
    <t>09/30/2019</t>
  </si>
  <si>
    <t>04/22/2019</t>
  </si>
  <si>
    <t>10/17/2019</t>
  </si>
  <si>
    <t>02/21/2019</t>
  </si>
  <si>
    <t>06/17/2019</t>
  </si>
  <si>
    <t>09/27/2019</t>
  </si>
  <si>
    <t>06/20/2019</t>
  </si>
  <si>
    <t>10/10/2019</t>
  </si>
  <si>
    <t>06/18/2019</t>
  </si>
  <si>
    <t>10/08/2019</t>
  </si>
  <si>
    <t>07/23/2019</t>
  </si>
  <si>
    <t>08/29/2019</t>
  </si>
  <si>
    <t>03/01/2019</t>
  </si>
  <si>
    <t>05/30/2019</t>
  </si>
  <si>
    <t>08/30/2019</t>
  </si>
  <si>
    <t>06/21/2019</t>
  </si>
  <si>
    <t>05/02/2019</t>
  </si>
  <si>
    <t>09/19/2019</t>
  </si>
  <si>
    <t>07/09/2019</t>
  </si>
  <si>
    <t>04/15/2019</t>
  </si>
  <si>
    <t>04/23/2019</t>
  </si>
  <si>
    <t>03/05/2019</t>
  </si>
  <si>
    <t>07/01/2019</t>
  </si>
  <si>
    <t>06/04/2019</t>
  </si>
  <si>
    <t>06/13/2019</t>
  </si>
  <si>
    <t>08/19/2019</t>
  </si>
  <si>
    <t>08/16/2019</t>
  </si>
  <si>
    <t>07/29/2019</t>
  </si>
  <si>
    <t>04/01/2019</t>
  </si>
  <si>
    <t>Brianna</t>
  </si>
  <si>
    <t>Anna</t>
  </si>
  <si>
    <t>Glorie</t>
  </si>
  <si>
    <t>Gary</t>
  </si>
  <si>
    <t>Enrique</t>
  </si>
  <si>
    <t>Frances</t>
  </si>
  <si>
    <t>Aisha</t>
  </si>
  <si>
    <t>Julio</t>
  </si>
  <si>
    <t>Grant</t>
  </si>
  <si>
    <t>Tzetomil</t>
  </si>
  <si>
    <t>John</t>
  </si>
  <si>
    <t>Juana</t>
  </si>
  <si>
    <t>Shanon</t>
  </si>
  <si>
    <t>Josefina</t>
  </si>
  <si>
    <t>Sandra</t>
  </si>
  <si>
    <t>Lissett</t>
  </si>
  <si>
    <t>Joyce</t>
  </si>
  <si>
    <t>Yvette</t>
  </si>
  <si>
    <t>Domingo</t>
  </si>
  <si>
    <t>Lourdes</t>
  </si>
  <si>
    <t>Cherly</t>
  </si>
  <si>
    <t>Pedro</t>
  </si>
  <si>
    <t>Aurelina</t>
  </si>
  <si>
    <t>Aricia</t>
  </si>
  <si>
    <t>Sugey</t>
  </si>
  <si>
    <t>Rafael</t>
  </si>
  <si>
    <t>Janell</t>
  </si>
  <si>
    <t>Charles</t>
  </si>
  <si>
    <t>Thelma</t>
  </si>
  <si>
    <t>Edgar</t>
  </si>
  <si>
    <t>Corey</t>
  </si>
  <si>
    <t>Donald</t>
  </si>
  <si>
    <t>Tymel</t>
  </si>
  <si>
    <t>Maria</t>
  </si>
  <si>
    <t>Harry</t>
  </si>
  <si>
    <t>Djily</t>
  </si>
  <si>
    <t>Mauree</t>
  </si>
  <si>
    <t>James</t>
  </si>
  <si>
    <t>Elizabeth</t>
  </si>
  <si>
    <t>Danien</t>
  </si>
  <si>
    <t>Nurys</t>
  </si>
  <si>
    <t>Ryan</t>
  </si>
  <si>
    <t>Leonard</t>
  </si>
  <si>
    <t>Dhaiana</t>
  </si>
  <si>
    <t>Leigha</t>
  </si>
  <si>
    <t>Suzhen</t>
  </si>
  <si>
    <t>Patricia</t>
  </si>
  <si>
    <t>Violet</t>
  </si>
  <si>
    <t>Doreen</t>
  </si>
  <si>
    <t>Lai Kheng</t>
  </si>
  <si>
    <t>Ernest</t>
  </si>
  <si>
    <t>Geoffrey</t>
  </si>
  <si>
    <t>Esau</t>
  </si>
  <si>
    <t>Omar</t>
  </si>
  <si>
    <t>Ysabel</t>
  </si>
  <si>
    <t>Nichol</t>
  </si>
  <si>
    <t>Ayanna</t>
  </si>
  <si>
    <t>Alicia</t>
  </si>
  <si>
    <t>Delores</t>
  </si>
  <si>
    <t>Hugo</t>
  </si>
  <si>
    <t>German</t>
  </si>
  <si>
    <t>Vincent</t>
  </si>
  <si>
    <t>Lora</t>
  </si>
  <si>
    <t>Tonya</t>
  </si>
  <si>
    <t>Hector</t>
  </si>
  <si>
    <t>Sybil</t>
  </si>
  <si>
    <t>Guillermina</t>
  </si>
  <si>
    <t>Krystal</t>
  </si>
  <si>
    <t>Jeanette</t>
  </si>
  <si>
    <t>Edwin</t>
  </si>
  <si>
    <t>Glenys</t>
  </si>
  <si>
    <t>Blanca</t>
  </si>
  <si>
    <t>Zoila</t>
  </si>
  <si>
    <t>Belkis</t>
  </si>
  <si>
    <t>Elisa</t>
  </si>
  <si>
    <t>Leopoldo</t>
  </si>
  <si>
    <t>Isabel</t>
  </si>
  <si>
    <t>Manuel</t>
  </si>
  <si>
    <t>Xiomara</t>
  </si>
  <si>
    <t>Christopher</t>
  </si>
  <si>
    <t>Hernande</t>
  </si>
  <si>
    <t>Luis</t>
  </si>
  <si>
    <t>Nilo</t>
  </si>
  <si>
    <t>Carol</t>
  </si>
  <si>
    <t>Shakeem</t>
  </si>
  <si>
    <t>Nelson</t>
  </si>
  <si>
    <t>Pearl</t>
  </si>
  <si>
    <t>Richard</t>
  </si>
  <si>
    <t>Victoria</t>
  </si>
  <si>
    <t>Claudia</t>
  </si>
  <si>
    <t>Caridad</t>
  </si>
  <si>
    <t>Rebeca</t>
  </si>
  <si>
    <t>Rosa</t>
  </si>
  <si>
    <t>Altagracia</t>
  </si>
  <si>
    <t>David</t>
  </si>
  <si>
    <t>Marcos</t>
  </si>
  <si>
    <t>Michelle</t>
  </si>
  <si>
    <t>Ana</t>
  </si>
  <si>
    <t>Ayesha</t>
  </si>
  <si>
    <t>Venus</t>
  </si>
  <si>
    <t>Dinoska</t>
  </si>
  <si>
    <t>Mary</t>
  </si>
  <si>
    <t>Ramon</t>
  </si>
  <si>
    <t>Tanique</t>
  </si>
  <si>
    <t>Bradley</t>
  </si>
  <si>
    <t>Remedios</t>
  </si>
  <si>
    <t>Maritza</t>
  </si>
  <si>
    <t>Rafaela</t>
  </si>
  <si>
    <t>Wendy</t>
  </si>
  <si>
    <t>Robert</t>
  </si>
  <si>
    <t>Donte</t>
  </si>
  <si>
    <t>Jorge</t>
  </si>
  <si>
    <t>Sonny</t>
  </si>
  <si>
    <t>Nicolette</t>
  </si>
  <si>
    <t>Jose</t>
  </si>
  <si>
    <t>Euclides</t>
  </si>
  <si>
    <t>Sagrario</t>
  </si>
  <si>
    <t>Francisco</t>
  </si>
  <si>
    <t>Diana</t>
  </si>
  <si>
    <t>Laura</t>
  </si>
  <si>
    <t>Ricardo</t>
  </si>
  <si>
    <t>Edward</t>
  </si>
  <si>
    <t>Terrance</t>
  </si>
  <si>
    <t>Vicente</t>
  </si>
  <si>
    <t>Collins</t>
  </si>
  <si>
    <t>Joann</t>
  </si>
  <si>
    <t>Kurell</t>
  </si>
  <si>
    <t>Guadalupe</t>
  </si>
  <si>
    <t>Jackeline</t>
  </si>
  <si>
    <t>Asia</t>
  </si>
  <si>
    <t>Alexander</t>
  </si>
  <si>
    <t>Yluminada</t>
  </si>
  <si>
    <t>Celeste</t>
  </si>
  <si>
    <t>Evelyn</t>
  </si>
  <si>
    <t>Clarence</t>
  </si>
  <si>
    <t>Georgina</t>
  </si>
  <si>
    <t>Isa</t>
  </si>
  <si>
    <t>Quiriri</t>
  </si>
  <si>
    <t>Maygan</t>
  </si>
  <si>
    <t>Liliana</t>
  </si>
  <si>
    <t>Rosalind</t>
  </si>
  <si>
    <t>Phindile</t>
  </si>
  <si>
    <t>Fatumata</t>
  </si>
  <si>
    <t>Vanessa</t>
  </si>
  <si>
    <t>Thomas</t>
  </si>
  <si>
    <t>Carlos</t>
  </si>
  <si>
    <t>Olivier</t>
  </si>
  <si>
    <t>Eugene</t>
  </si>
  <si>
    <t>Bernarda</t>
  </si>
  <si>
    <t>Yvonne</t>
  </si>
  <si>
    <t>Albert</t>
  </si>
  <si>
    <t>Fania</t>
  </si>
  <si>
    <t>Alpha</t>
  </si>
  <si>
    <t>Jacinta</t>
  </si>
  <si>
    <t>Quita</t>
  </si>
  <si>
    <t>Phyllis</t>
  </si>
  <si>
    <t>Caitlin</t>
  </si>
  <si>
    <t>Jerry</t>
  </si>
  <si>
    <t>Vernice</t>
  </si>
  <si>
    <t>Norma</t>
  </si>
  <si>
    <t>Omanthis</t>
  </si>
  <si>
    <t>Ibrahim</t>
  </si>
  <si>
    <t>Marie</t>
  </si>
  <si>
    <t>Shari</t>
  </si>
  <si>
    <t>Hailu</t>
  </si>
  <si>
    <t>Kay</t>
  </si>
  <si>
    <t>Joseph</t>
  </si>
  <si>
    <t>Dennis</t>
  </si>
  <si>
    <t>Rosalia</t>
  </si>
  <si>
    <t>Russell</t>
  </si>
  <si>
    <t>Terry</t>
  </si>
  <si>
    <t>Adrian</t>
  </si>
  <si>
    <t>Flavia</t>
  </si>
  <si>
    <t>Olga</t>
  </si>
  <si>
    <t>Brittany</t>
  </si>
  <si>
    <t>Stacie</t>
  </si>
  <si>
    <t>Serigne</t>
  </si>
  <si>
    <t>Ali Amr Akhmned</t>
  </si>
  <si>
    <t>Wendpagnangde</t>
  </si>
  <si>
    <t>Martha</t>
  </si>
  <si>
    <t>Lloyd</t>
  </si>
  <si>
    <t>Mariana</t>
  </si>
  <si>
    <t>Ranardo</t>
  </si>
  <si>
    <t>Cassandra</t>
  </si>
  <si>
    <t>Jeremy</t>
  </si>
  <si>
    <t>Denise</t>
  </si>
  <si>
    <t>Jonathan</t>
  </si>
  <si>
    <t>Charisse</t>
  </si>
  <si>
    <t>Noelia</t>
  </si>
  <si>
    <t>Dalia</t>
  </si>
  <si>
    <t>Monica</t>
  </si>
  <si>
    <t>Estela</t>
  </si>
  <si>
    <t>Jasmine</t>
  </si>
  <si>
    <t>Karen</t>
  </si>
  <si>
    <t>Dorothy</t>
  </si>
  <si>
    <t>Regina</t>
  </si>
  <si>
    <t>Eddison</t>
  </si>
  <si>
    <t>Maxine</t>
  </si>
  <si>
    <t>Guerda</t>
  </si>
  <si>
    <t>Zachary</t>
  </si>
  <si>
    <t>Ignacio</t>
  </si>
  <si>
    <t>Marilyn</t>
  </si>
  <si>
    <t>Albertina</t>
  </si>
  <si>
    <t>Ivan</t>
  </si>
  <si>
    <t>Susana</t>
  </si>
  <si>
    <t>Louise</t>
  </si>
  <si>
    <t>Roberto</t>
  </si>
  <si>
    <t>Katrice</t>
  </si>
  <si>
    <t>Fabian</t>
  </si>
  <si>
    <t>Walter</t>
  </si>
  <si>
    <t>Leonardo</t>
  </si>
  <si>
    <t>Stephanie</t>
  </si>
  <si>
    <t>Eneroliza</t>
  </si>
  <si>
    <t>Miguelina</t>
  </si>
  <si>
    <t>Marina</t>
  </si>
  <si>
    <t>Lori</t>
  </si>
  <si>
    <t>Ethel</t>
  </si>
  <si>
    <t>Daquwane</t>
  </si>
  <si>
    <t>Eleanor</t>
  </si>
  <si>
    <t>Ebins</t>
  </si>
  <si>
    <t>Reginald</t>
  </si>
  <si>
    <t>Eleyon</t>
  </si>
  <si>
    <t>Cheryl</t>
  </si>
  <si>
    <t>Frank</t>
  </si>
  <si>
    <t>Derwood</t>
  </si>
  <si>
    <t>Loveta</t>
  </si>
  <si>
    <t>Bernardo</t>
  </si>
  <si>
    <t>Rasha</t>
  </si>
  <si>
    <t>Shaala</t>
  </si>
  <si>
    <t>Harold</t>
  </si>
  <si>
    <t>Andrea</t>
  </si>
  <si>
    <t>Glenn</t>
  </si>
  <si>
    <t>Debra</t>
  </si>
  <si>
    <t>Nancy</t>
  </si>
  <si>
    <t>Expedito</t>
  </si>
  <si>
    <t>Vance</t>
  </si>
  <si>
    <t>Fuad</t>
  </si>
  <si>
    <t>Eva</t>
  </si>
  <si>
    <t>Crystal</t>
  </si>
  <si>
    <t>Vadim</t>
  </si>
  <si>
    <t>Olukunle</t>
  </si>
  <si>
    <t>Pablo</t>
  </si>
  <si>
    <t>Epifanio</t>
  </si>
  <si>
    <t>Carolina</t>
  </si>
  <si>
    <t>Loreini</t>
  </si>
  <si>
    <t>Elsa</t>
  </si>
  <si>
    <t>Felipe</t>
  </si>
  <si>
    <t>Eudora</t>
  </si>
  <si>
    <t>Veola</t>
  </si>
  <si>
    <t>Chasity</t>
  </si>
  <si>
    <t>Adelaida</t>
  </si>
  <si>
    <t>Geydee</t>
  </si>
  <si>
    <t>Earl</t>
  </si>
  <si>
    <t>Juan</t>
  </si>
  <si>
    <t>Arminda</t>
  </si>
  <si>
    <t>Judith</t>
  </si>
  <si>
    <t>Leon</t>
  </si>
  <si>
    <t>Genesia</t>
  </si>
  <si>
    <t>Justin</t>
  </si>
  <si>
    <t>Chao Jiang</t>
  </si>
  <si>
    <t>Vivian</t>
  </si>
  <si>
    <t>Tara</t>
  </si>
  <si>
    <t>Clara</t>
  </si>
  <si>
    <t>Jeffrey</t>
  </si>
  <si>
    <t>Jose Martin</t>
  </si>
  <si>
    <t>Brad</t>
  </si>
  <si>
    <t>Sara</t>
  </si>
  <si>
    <t>Apolinar</t>
  </si>
  <si>
    <t>Nyquina</t>
  </si>
  <si>
    <t>Giovani</t>
  </si>
  <si>
    <t>Aleydi</t>
  </si>
  <si>
    <t>Sharline</t>
  </si>
  <si>
    <t>Emmanuel</t>
  </si>
  <si>
    <t>Rosaura</t>
  </si>
  <si>
    <t>Mercedes</t>
  </si>
  <si>
    <t>Sharonda</t>
  </si>
  <si>
    <t>Winston</t>
  </si>
  <si>
    <t>Sabrina</t>
  </si>
  <si>
    <t>Anthony</t>
  </si>
  <si>
    <t>Shawntain</t>
  </si>
  <si>
    <t>Indra</t>
  </si>
  <si>
    <t>Oz</t>
  </si>
  <si>
    <t>Lazara</t>
  </si>
  <si>
    <t>Marie-Angeline</t>
  </si>
  <si>
    <t>Alinca</t>
  </si>
  <si>
    <t>Lydia</t>
  </si>
  <si>
    <t>Margery</t>
  </si>
  <si>
    <t>Dianne</t>
  </si>
  <si>
    <t>Kevin</t>
  </si>
  <si>
    <t>Felicita</t>
  </si>
  <si>
    <t>Ronald</t>
  </si>
  <si>
    <t>Keisha</t>
  </si>
  <si>
    <t>Davon</t>
  </si>
  <si>
    <t>Dana</t>
  </si>
  <si>
    <t>Tannie</t>
  </si>
  <si>
    <t>Veronica</t>
  </si>
  <si>
    <t>Youssoupha</t>
  </si>
  <si>
    <t>Grace</t>
  </si>
  <si>
    <t>Denice</t>
  </si>
  <si>
    <t>Farrah</t>
  </si>
  <si>
    <t>Sharon</t>
  </si>
  <si>
    <t>Shavon</t>
  </si>
  <si>
    <t>Ousmane</t>
  </si>
  <si>
    <t>Esther</t>
  </si>
  <si>
    <t>Tinisha</t>
  </si>
  <si>
    <t>Yomaris</t>
  </si>
  <si>
    <t>Tene</t>
  </si>
  <si>
    <t>Marshall</t>
  </si>
  <si>
    <t>Jennie</t>
  </si>
  <si>
    <t>Patricia Ann</t>
  </si>
  <si>
    <t>Gregory</t>
  </si>
  <si>
    <t>Regine</t>
  </si>
  <si>
    <t>Christine</t>
  </si>
  <si>
    <t>Latisha</t>
  </si>
  <si>
    <t>Christina</t>
  </si>
  <si>
    <t>Erica</t>
  </si>
  <si>
    <t>Deborah</t>
  </si>
  <si>
    <t>Teresa</t>
  </si>
  <si>
    <t>Karizma</t>
  </si>
  <si>
    <t>Ofidia</t>
  </si>
  <si>
    <t>Chinyere</t>
  </si>
  <si>
    <t>Susanna</t>
  </si>
  <si>
    <t>Lonnie</t>
  </si>
  <si>
    <t>Dallas</t>
  </si>
  <si>
    <t>Karmishi</t>
  </si>
  <si>
    <t>Lorraine</t>
  </si>
  <si>
    <t>Dora</t>
  </si>
  <si>
    <t>Johnny</t>
  </si>
  <si>
    <t>Mamou</t>
  </si>
  <si>
    <t>Issiaka</t>
  </si>
  <si>
    <t>Oumar</t>
  </si>
  <si>
    <t>Pamela</t>
  </si>
  <si>
    <t>Shelia</t>
  </si>
  <si>
    <t>Simone</t>
  </si>
  <si>
    <t>Mohamed</t>
  </si>
  <si>
    <t>Ibrahima</t>
  </si>
  <si>
    <t>Lovelle</t>
  </si>
  <si>
    <t>Renee</t>
  </si>
  <si>
    <t>Melvin</t>
  </si>
  <si>
    <t>Arline</t>
  </si>
  <si>
    <t>Margarita</t>
  </si>
  <si>
    <t>Ada</t>
  </si>
  <si>
    <t>Diantha</t>
  </si>
  <si>
    <t>Nicole</t>
  </si>
  <si>
    <t>Ramira</t>
  </si>
  <si>
    <t>Annette</t>
  </si>
  <si>
    <t>Ann</t>
  </si>
  <si>
    <t>Lawrence</t>
  </si>
  <si>
    <t>Atira</t>
  </si>
  <si>
    <t>Jasmin</t>
  </si>
  <si>
    <t>Chungsoo</t>
  </si>
  <si>
    <t>Danielle</t>
  </si>
  <si>
    <t>Willie</t>
  </si>
  <si>
    <t>Julia</t>
  </si>
  <si>
    <t>Joel</t>
  </si>
  <si>
    <t>Cyristina</t>
  </si>
  <si>
    <t>Sharaya</t>
  </si>
  <si>
    <t>Edwina</t>
  </si>
  <si>
    <t>Clinton</t>
  </si>
  <si>
    <t>Alberta</t>
  </si>
  <si>
    <t>Jermaine</t>
  </si>
  <si>
    <t>Makeba</t>
  </si>
  <si>
    <t>Victor</t>
  </si>
  <si>
    <t>Aneudy</t>
  </si>
  <si>
    <t>Unique</t>
  </si>
  <si>
    <t>Cherish</t>
  </si>
  <si>
    <t>Arlene</t>
  </si>
  <si>
    <t>Jazz</t>
  </si>
  <si>
    <t>Thomasina</t>
  </si>
  <si>
    <t>Shameka</t>
  </si>
  <si>
    <t>Mollie</t>
  </si>
  <si>
    <t>Steve</t>
  </si>
  <si>
    <t>Garrett</t>
  </si>
  <si>
    <t>Jessica</t>
  </si>
  <si>
    <t>Alisa</t>
  </si>
  <si>
    <t>Alberto</t>
  </si>
  <si>
    <t>Talik</t>
  </si>
  <si>
    <t>Marybeth</t>
  </si>
  <si>
    <t>Carmen</t>
  </si>
  <si>
    <t>Cordy</t>
  </si>
  <si>
    <t>Inez</t>
  </si>
  <si>
    <t>Early</t>
  </si>
  <si>
    <t>Lenny</t>
  </si>
  <si>
    <t>Jennifer</t>
  </si>
  <si>
    <t>Nora</t>
  </si>
  <si>
    <t>Alora</t>
  </si>
  <si>
    <t>Khalil</t>
  </si>
  <si>
    <t>Gabriel</t>
  </si>
  <si>
    <t>Darryl</t>
  </si>
  <si>
    <t>Michael</t>
  </si>
  <si>
    <t>Floyd</t>
  </si>
  <si>
    <t>Lamont</t>
  </si>
  <si>
    <t>Zilbey</t>
  </si>
  <si>
    <t>Wilease</t>
  </si>
  <si>
    <t>Robyn</t>
  </si>
  <si>
    <t>Maximina</t>
  </si>
  <si>
    <t>Tennille</t>
  </si>
  <si>
    <t>Laila</t>
  </si>
  <si>
    <t>Octavia</t>
  </si>
  <si>
    <t>Kellee</t>
  </si>
  <si>
    <t>Luciann</t>
  </si>
  <si>
    <t>Zakaria</t>
  </si>
  <si>
    <t>Herbert</t>
  </si>
  <si>
    <t>Neprice</t>
  </si>
  <si>
    <t>Mamadou</t>
  </si>
  <si>
    <t>Gigi</t>
  </si>
  <si>
    <t>Rena</t>
  </si>
  <si>
    <t>Latrice</t>
  </si>
  <si>
    <t>Philip</t>
  </si>
  <si>
    <t>Bernadette</t>
  </si>
  <si>
    <t>Laquilla</t>
  </si>
  <si>
    <t>Lashanna</t>
  </si>
  <si>
    <t>Rheta</t>
  </si>
  <si>
    <t>Bonnie</t>
  </si>
  <si>
    <t>Sylvester</t>
  </si>
  <si>
    <t>Tia</t>
  </si>
  <si>
    <t>Eladia</t>
  </si>
  <si>
    <t>Zira</t>
  </si>
  <si>
    <t>Juliana</t>
  </si>
  <si>
    <t>Stacytime</t>
  </si>
  <si>
    <t>Hasanah</t>
  </si>
  <si>
    <t>Cecil</t>
  </si>
  <si>
    <t>Alyssa</t>
  </si>
  <si>
    <t>Paul</t>
  </si>
  <si>
    <t>Tandeka</t>
  </si>
  <si>
    <t>Mayra</t>
  </si>
  <si>
    <t>Kassia</t>
  </si>
  <si>
    <t>Boundi</t>
  </si>
  <si>
    <t>Mamadou S</t>
  </si>
  <si>
    <t>Rachel</t>
  </si>
  <si>
    <t>Alphonso</t>
  </si>
  <si>
    <t>Presca</t>
  </si>
  <si>
    <t>Sarah</t>
  </si>
  <si>
    <t>Sonia</t>
  </si>
  <si>
    <t>Susan</t>
  </si>
  <si>
    <t>Cherise</t>
  </si>
  <si>
    <t>Hezekiah</t>
  </si>
  <si>
    <t>Kaba</t>
  </si>
  <si>
    <t>Mouhamadou</t>
  </si>
  <si>
    <t>Reyna</t>
  </si>
  <si>
    <t>Shaundania</t>
  </si>
  <si>
    <t>Rebecca</t>
  </si>
  <si>
    <t>Jade</t>
  </si>
  <si>
    <t>Lisa</t>
  </si>
  <si>
    <t>Anntoinette</t>
  </si>
  <si>
    <t>Yolanda</t>
  </si>
  <si>
    <t>Daniel</t>
  </si>
  <si>
    <t>Diamila</t>
  </si>
  <si>
    <t>Cecilia</t>
  </si>
  <si>
    <t>Brandon</t>
  </si>
  <si>
    <t>Paula</t>
  </si>
  <si>
    <t>Linda</t>
  </si>
  <si>
    <t>Rrahman</t>
  </si>
  <si>
    <t>Samantha</t>
  </si>
  <si>
    <t>Steven</t>
  </si>
  <si>
    <t>Efua</t>
  </si>
  <si>
    <t>Joanne</t>
  </si>
  <si>
    <t>Abdel</t>
  </si>
  <si>
    <t>Woo Sik</t>
  </si>
  <si>
    <t>Jacqueline</t>
  </si>
  <si>
    <t>Vernetta</t>
  </si>
  <si>
    <t>Samuel</t>
  </si>
  <si>
    <t>Mike</t>
  </si>
  <si>
    <t>Leslie</t>
  </si>
  <si>
    <t>Herminio</t>
  </si>
  <si>
    <t>Pierre</t>
  </si>
  <si>
    <t>Santos</t>
  </si>
  <si>
    <t>Casiri</t>
  </si>
  <si>
    <t>Bryan</t>
  </si>
  <si>
    <t>Derek</t>
  </si>
  <si>
    <t>Kennia</t>
  </si>
  <si>
    <t>Betsy</t>
  </si>
  <si>
    <t>Shaquana</t>
  </si>
  <si>
    <t>Raoul</t>
  </si>
  <si>
    <t>Maura</t>
  </si>
  <si>
    <t>Aissa</t>
  </si>
  <si>
    <t>Yolmarys</t>
  </si>
  <si>
    <t>Angel</t>
  </si>
  <si>
    <t>Cynthia</t>
  </si>
  <si>
    <t>Tafazzul</t>
  </si>
  <si>
    <t>Tammi</t>
  </si>
  <si>
    <t>Aaliyah</t>
  </si>
  <si>
    <t>Gillian</t>
  </si>
  <si>
    <t>Saluda</t>
  </si>
  <si>
    <t>Shakia</t>
  </si>
  <si>
    <t>Claude</t>
  </si>
  <si>
    <t>Shalina</t>
  </si>
  <si>
    <t>Aida</t>
  </si>
  <si>
    <t>Vernecya</t>
  </si>
  <si>
    <t>Clifton</t>
  </si>
  <si>
    <t>Brian</t>
  </si>
  <si>
    <t>Tikisha</t>
  </si>
  <si>
    <t>Vera</t>
  </si>
  <si>
    <t>Peter</t>
  </si>
  <si>
    <t>Elsie</t>
  </si>
  <si>
    <t>Raul</t>
  </si>
  <si>
    <t>Jamie</t>
  </si>
  <si>
    <t>Emelina</t>
  </si>
  <si>
    <t>Ancil</t>
  </si>
  <si>
    <t>Malakai</t>
  </si>
  <si>
    <t>katie</t>
  </si>
  <si>
    <t>Alexandros</t>
  </si>
  <si>
    <t>Julissa</t>
  </si>
  <si>
    <t>Phillip</t>
  </si>
  <si>
    <t>Leshell</t>
  </si>
  <si>
    <t>Bruce</t>
  </si>
  <si>
    <t>Donna</t>
  </si>
  <si>
    <t>Suzanne</t>
  </si>
  <si>
    <t>Melissa</t>
  </si>
  <si>
    <t>Carl</t>
  </si>
  <si>
    <t>Issha</t>
  </si>
  <si>
    <t>Kailey</t>
  </si>
  <si>
    <t>Villtress</t>
  </si>
  <si>
    <t>Gregg</t>
  </si>
  <si>
    <t>Carman</t>
  </si>
  <si>
    <t>Gus</t>
  </si>
  <si>
    <t>Gerald</t>
  </si>
  <si>
    <t>Tiffany</t>
  </si>
  <si>
    <t>William</t>
  </si>
  <si>
    <t>Barbara</t>
  </si>
  <si>
    <t>Michaela</t>
  </si>
  <si>
    <t>Tashara</t>
  </si>
  <si>
    <t>Ashley</t>
  </si>
  <si>
    <t>April</t>
  </si>
  <si>
    <t>Fode</t>
  </si>
  <si>
    <t>Saleh</t>
  </si>
  <si>
    <t>Perla</t>
  </si>
  <si>
    <t>Siobhan</t>
  </si>
  <si>
    <t>Scott</t>
  </si>
  <si>
    <t>Luciano</t>
  </si>
  <si>
    <t>Xiu Hua</t>
  </si>
  <si>
    <t>Marcelino</t>
  </si>
  <si>
    <t>Bik</t>
  </si>
  <si>
    <t>Iris</t>
  </si>
  <si>
    <t>Olympia</t>
  </si>
  <si>
    <t>Angela</t>
  </si>
  <si>
    <t>Petra</t>
  </si>
  <si>
    <t>Lidia</t>
  </si>
  <si>
    <t>Haydee</t>
  </si>
  <si>
    <t>Milford</t>
  </si>
  <si>
    <t>India</t>
  </si>
  <si>
    <t>Johnathan</t>
  </si>
  <si>
    <t>Cestelia</t>
  </si>
  <si>
    <t>Shasha</t>
  </si>
  <si>
    <t>Enid</t>
  </si>
  <si>
    <t>Martinique</t>
  </si>
  <si>
    <t>Laurette</t>
  </si>
  <si>
    <t>Huijun</t>
  </si>
  <si>
    <t>Ron</t>
  </si>
  <si>
    <t>Malia</t>
  </si>
  <si>
    <t>Gladys</t>
  </si>
  <si>
    <t>Yee</t>
  </si>
  <si>
    <t>Preato</t>
  </si>
  <si>
    <t>Loadholt</t>
  </si>
  <si>
    <t>Glover</t>
  </si>
  <si>
    <t>Wallace</t>
  </si>
  <si>
    <t>Sepulveda</t>
  </si>
  <si>
    <t>Beaton</t>
  </si>
  <si>
    <t>Cruz</t>
  </si>
  <si>
    <t>Courtney</t>
  </si>
  <si>
    <t>Bourov</t>
  </si>
  <si>
    <t>Adams</t>
  </si>
  <si>
    <t>Reinoso</t>
  </si>
  <si>
    <t>McAlister</t>
  </si>
  <si>
    <t>Matos</t>
  </si>
  <si>
    <t>Alcantara</t>
  </si>
  <si>
    <t>Mena</t>
  </si>
  <si>
    <t>Oppenheimer</t>
  </si>
  <si>
    <t>Adames</t>
  </si>
  <si>
    <t>Valdez</t>
  </si>
  <si>
    <t>Gomez</t>
  </si>
  <si>
    <t>Ortiz</t>
  </si>
  <si>
    <t>Garcia</t>
  </si>
  <si>
    <t>Diaz</t>
  </si>
  <si>
    <t>Parham</t>
  </si>
  <si>
    <t>Tejeda</t>
  </si>
  <si>
    <t>Cuesta</t>
  </si>
  <si>
    <t>Singleton</t>
  </si>
  <si>
    <t>Ross</t>
  </si>
  <si>
    <t>Dale</t>
  </si>
  <si>
    <t>Beltran</t>
  </si>
  <si>
    <t>Wooten</t>
  </si>
  <si>
    <t>Green</t>
  </si>
  <si>
    <t>Bynum</t>
  </si>
  <si>
    <t>Rivera</t>
  </si>
  <si>
    <t>Werts</t>
  </si>
  <si>
    <t>Mbacke</t>
  </si>
  <si>
    <t>Plunkett</t>
  </si>
  <si>
    <t>Strahan</t>
  </si>
  <si>
    <t>Cabrera</t>
  </si>
  <si>
    <t>Harper</t>
  </si>
  <si>
    <t>Carrasco</t>
  </si>
  <si>
    <t>Hicks</t>
  </si>
  <si>
    <t>Bowser</t>
  </si>
  <si>
    <t>Legins</t>
  </si>
  <si>
    <t>Chen</t>
  </si>
  <si>
    <t>Santana</t>
  </si>
  <si>
    <t>Paulino</t>
  </si>
  <si>
    <t>Killbrew</t>
  </si>
  <si>
    <t>Ng</t>
  </si>
  <si>
    <t>Harley</t>
  </si>
  <si>
    <t>Payton</t>
  </si>
  <si>
    <t>Drammeh</t>
  </si>
  <si>
    <t>Ramirez</t>
  </si>
  <si>
    <t>Crooks</t>
  </si>
  <si>
    <t>Jordan</t>
  </si>
  <si>
    <t>Fantauzzi</t>
  </si>
  <si>
    <t>Vazoumana Turner</t>
  </si>
  <si>
    <t>Soriano</t>
  </si>
  <si>
    <t>Baron</t>
  </si>
  <si>
    <t>D'Arata</t>
  </si>
  <si>
    <t>Wells</t>
  </si>
  <si>
    <t>Arroyo</t>
  </si>
  <si>
    <t>Thompson</t>
  </si>
  <si>
    <t>Lockett</t>
  </si>
  <si>
    <t>Ortega</t>
  </si>
  <si>
    <t>Wharton</t>
  </si>
  <si>
    <t>Fournier</t>
  </si>
  <si>
    <t>Silverio</t>
  </si>
  <si>
    <t>Marte Burgos</t>
  </si>
  <si>
    <t>Acevedo</t>
  </si>
  <si>
    <t>Crispin Duval</t>
  </si>
  <si>
    <t>Corporan</t>
  </si>
  <si>
    <t>Michel</t>
  </si>
  <si>
    <t>Duran</t>
  </si>
  <si>
    <t>Pimentel</t>
  </si>
  <si>
    <t>Moral</t>
  </si>
  <si>
    <t>Benton</t>
  </si>
  <si>
    <t>Beriguete</t>
  </si>
  <si>
    <t>Flores</t>
  </si>
  <si>
    <t>Barrientos</t>
  </si>
  <si>
    <t>Blagman</t>
  </si>
  <si>
    <t>Marrero- Pagan</t>
  </si>
  <si>
    <t>Prentice</t>
  </si>
  <si>
    <t>Lewis</t>
  </si>
  <si>
    <t>Marte</t>
  </si>
  <si>
    <t>Imbert</t>
  </si>
  <si>
    <t>Reyes</t>
  </si>
  <si>
    <t>Castillo</t>
  </si>
  <si>
    <t>Mateo</t>
  </si>
  <si>
    <t>Harris</t>
  </si>
  <si>
    <t>Feliciano</t>
  </si>
  <si>
    <t>Perez</t>
  </si>
  <si>
    <t>Foy Robinson</t>
  </si>
  <si>
    <t>Pineda</t>
  </si>
  <si>
    <t>McDuffie</t>
  </si>
  <si>
    <t>Mendez</t>
  </si>
  <si>
    <t>Quirico</t>
  </si>
  <si>
    <t>Turner</t>
  </si>
  <si>
    <t>Generlette</t>
  </si>
  <si>
    <t>Despommier</t>
  </si>
  <si>
    <t>Diamond</t>
  </si>
  <si>
    <t>Rodriguez</t>
  </si>
  <si>
    <t>Pena</t>
  </si>
  <si>
    <t>Perez-Garcia</t>
  </si>
  <si>
    <t>Yurnet</t>
  </si>
  <si>
    <t>Whitehead</t>
  </si>
  <si>
    <t>Clark</t>
  </si>
  <si>
    <t>Alvarez</t>
  </si>
  <si>
    <t>Simmons</t>
  </si>
  <si>
    <t>Custodio</t>
  </si>
  <si>
    <t>Enriquez</t>
  </si>
  <si>
    <t>Torres</t>
  </si>
  <si>
    <t>Brockenbury Baker</t>
  </si>
  <si>
    <t>Hodges</t>
  </si>
  <si>
    <t>Tineo</t>
  </si>
  <si>
    <t>Ramos</t>
  </si>
  <si>
    <t>Njoku</t>
  </si>
  <si>
    <t>Baker</t>
  </si>
  <si>
    <t>Brown</t>
  </si>
  <si>
    <t>Feliz</t>
  </si>
  <si>
    <t>Peralta</t>
  </si>
  <si>
    <t>Tyler</t>
  </si>
  <si>
    <t>Palmer</t>
  </si>
  <si>
    <t>Beatty</t>
  </si>
  <si>
    <t>Pinnock</t>
  </si>
  <si>
    <t>Carter</t>
  </si>
  <si>
    <t>Falet</t>
  </si>
  <si>
    <t>Karim</t>
  </si>
  <si>
    <t>Martinez</t>
  </si>
  <si>
    <t>Batista</t>
  </si>
  <si>
    <t>Henriquez</t>
  </si>
  <si>
    <t>Shange</t>
  </si>
  <si>
    <t>Sillah</t>
  </si>
  <si>
    <t>Creswell</t>
  </si>
  <si>
    <t>Harvey</t>
  </si>
  <si>
    <t>Lantigua</t>
  </si>
  <si>
    <t>Rabbath</t>
  </si>
  <si>
    <t>Upshaw</t>
  </si>
  <si>
    <t>Vasquez</t>
  </si>
  <si>
    <t>Miller</t>
  </si>
  <si>
    <t>Depas</t>
  </si>
  <si>
    <t>Hernandez</t>
  </si>
  <si>
    <t>McCoy</t>
  </si>
  <si>
    <t>Diallo</t>
  </si>
  <si>
    <t>Bajana</t>
  </si>
  <si>
    <t>Williams</t>
  </si>
  <si>
    <t>Robinson</t>
  </si>
  <si>
    <t>Veras</t>
  </si>
  <si>
    <t>Newkirk</t>
  </si>
  <si>
    <t>Crespo</t>
  </si>
  <si>
    <t>Newland</t>
  </si>
  <si>
    <t>Musleh</t>
  </si>
  <si>
    <t>Washington</t>
  </si>
  <si>
    <t>Gebeyehu</t>
  </si>
  <si>
    <t>Kimber</t>
  </si>
  <si>
    <t>Minunni</t>
  </si>
  <si>
    <t>Calixto</t>
  </si>
  <si>
    <t>Woody</t>
  </si>
  <si>
    <t>Price</t>
  </si>
  <si>
    <t>Cheek</t>
  </si>
  <si>
    <t>Grullon</t>
  </si>
  <si>
    <t>Estevez</t>
  </si>
  <si>
    <t>Porter</t>
  </si>
  <si>
    <t>Sousa</t>
  </si>
  <si>
    <t>Lam</t>
  </si>
  <si>
    <t>El Amir</t>
  </si>
  <si>
    <t>Savadogo</t>
  </si>
  <si>
    <t>Conzuega Recio</t>
  </si>
  <si>
    <t>Greaves</t>
  </si>
  <si>
    <t>Grays</t>
  </si>
  <si>
    <t>Long</t>
  </si>
  <si>
    <t>Okata</t>
  </si>
  <si>
    <t>Bush</t>
  </si>
  <si>
    <t>Nyenkan</t>
  </si>
  <si>
    <t>Taveras</t>
  </si>
  <si>
    <t>Fonville</t>
  </si>
  <si>
    <t>Hamilton</t>
  </si>
  <si>
    <t>Hall</t>
  </si>
  <si>
    <t>Rountree</t>
  </si>
  <si>
    <t>Sainsbury</t>
  </si>
  <si>
    <t>Best</t>
  </si>
  <si>
    <t>Occilien</t>
  </si>
  <si>
    <t>Husser</t>
  </si>
  <si>
    <t>Mendoza</t>
  </si>
  <si>
    <t>Gonzalez</t>
  </si>
  <si>
    <t>Lett</t>
  </si>
  <si>
    <t>Soto</t>
  </si>
  <si>
    <t>Siguencia</t>
  </si>
  <si>
    <t>Harris - Fenton</t>
  </si>
  <si>
    <t>Delgado</t>
  </si>
  <si>
    <t>Frazier</t>
  </si>
  <si>
    <t>Aguirre</t>
  </si>
  <si>
    <t>Bryson</t>
  </si>
  <si>
    <t>Avila</t>
  </si>
  <si>
    <t>Boone</t>
  </si>
  <si>
    <t>Pichardo</t>
  </si>
  <si>
    <t>Parker</t>
  </si>
  <si>
    <t>Villar</t>
  </si>
  <si>
    <t>Caso</t>
  </si>
  <si>
    <t>Greene</t>
  </si>
  <si>
    <t>Laing</t>
  </si>
  <si>
    <t>Bates</t>
  </si>
  <si>
    <t>Smith</t>
  </si>
  <si>
    <t>Branch</t>
  </si>
  <si>
    <t>Uztariz</t>
  </si>
  <si>
    <t>Gleaves</t>
  </si>
  <si>
    <t>Colley</t>
  </si>
  <si>
    <t>Everett</t>
  </si>
  <si>
    <t>McLeod</t>
  </si>
  <si>
    <t>Marquez</t>
  </si>
  <si>
    <t>Polk</t>
  </si>
  <si>
    <t>Ford</t>
  </si>
  <si>
    <t>Johnson</t>
  </si>
  <si>
    <t>Black</t>
  </si>
  <si>
    <t>Maxwell</t>
  </si>
  <si>
    <t>Almonte</t>
  </si>
  <si>
    <t>Watts</t>
  </si>
  <si>
    <t>Jones</t>
  </si>
  <si>
    <t>Negron</t>
  </si>
  <si>
    <t>Dergachev</t>
  </si>
  <si>
    <t>Awe</t>
  </si>
  <si>
    <t>Curet</t>
  </si>
  <si>
    <t>Ferreira</t>
  </si>
  <si>
    <t>Lugo</t>
  </si>
  <si>
    <t>Pelaez</t>
  </si>
  <si>
    <t>Paschall</t>
  </si>
  <si>
    <t>Sanchez</t>
  </si>
  <si>
    <t>Mejeh</t>
  </si>
  <si>
    <t>Waldon</t>
  </si>
  <si>
    <t>Vega</t>
  </si>
  <si>
    <t>McMillan</t>
  </si>
  <si>
    <t>Rojas</t>
  </si>
  <si>
    <t>Colon</t>
  </si>
  <si>
    <t>Dixon</t>
  </si>
  <si>
    <t>Pray</t>
  </si>
  <si>
    <t>Reid</t>
  </si>
  <si>
    <t>Wu</t>
  </si>
  <si>
    <t>Drayton</t>
  </si>
  <si>
    <t>Melendez</t>
  </si>
  <si>
    <t>Monroe</t>
  </si>
  <si>
    <t>Rowe</t>
  </si>
  <si>
    <t>Mcgary</t>
  </si>
  <si>
    <t>Coronel</t>
  </si>
  <si>
    <t>Ho</t>
  </si>
  <si>
    <t>Nagy</t>
  </si>
  <si>
    <t>Powell</t>
  </si>
  <si>
    <t>Abreu</t>
  </si>
  <si>
    <t>Young</t>
  </si>
  <si>
    <t>Malpica</t>
  </si>
  <si>
    <t>Cespedes</t>
  </si>
  <si>
    <t>Fantuazzi</t>
  </si>
  <si>
    <t>Nichols</t>
  </si>
  <si>
    <t>Burroughs</t>
  </si>
  <si>
    <t>Sultan</t>
  </si>
  <si>
    <t>Arango</t>
  </si>
  <si>
    <t>Girault</t>
  </si>
  <si>
    <t>Sanjines</t>
  </si>
  <si>
    <t>Blunt</t>
  </si>
  <si>
    <t>Mathis</t>
  </si>
  <si>
    <t>Carrero</t>
  </si>
  <si>
    <t>Bonifacio</t>
  </si>
  <si>
    <t>Smalls</t>
  </si>
  <si>
    <t>Paterson</t>
  </si>
  <si>
    <t>Wannamaker</t>
  </si>
  <si>
    <t>Patterson</t>
  </si>
  <si>
    <t>Willis</t>
  </si>
  <si>
    <t>Wood</t>
  </si>
  <si>
    <t>Diagne</t>
  </si>
  <si>
    <t>Crawford</t>
  </si>
  <si>
    <t>Stewart</t>
  </si>
  <si>
    <t>Rios</t>
  </si>
  <si>
    <t>Gray</t>
  </si>
  <si>
    <t>Compaore</t>
  </si>
  <si>
    <t>Lassiter</t>
  </si>
  <si>
    <t>Polanco</t>
  </si>
  <si>
    <t>Massey</t>
  </si>
  <si>
    <t>Wade</t>
  </si>
  <si>
    <t>Walker</t>
  </si>
  <si>
    <t>Peek</t>
  </si>
  <si>
    <t>Siler</t>
  </si>
  <si>
    <t>Bostic</t>
  </si>
  <si>
    <t>Oliver</t>
  </si>
  <si>
    <t>Kingsberry</t>
  </si>
  <si>
    <t>Murray</t>
  </si>
  <si>
    <t>Reubel</t>
  </si>
  <si>
    <t>Underwood</t>
  </si>
  <si>
    <t>Davis</t>
  </si>
  <si>
    <t>Memeh</t>
  </si>
  <si>
    <t>Kitchen</t>
  </si>
  <si>
    <t>Galvin</t>
  </si>
  <si>
    <t>Juman</t>
  </si>
  <si>
    <t>Frieson</t>
  </si>
  <si>
    <t>Pinckney</t>
  </si>
  <si>
    <t>Cedeno</t>
  </si>
  <si>
    <t>Gakou</t>
  </si>
  <si>
    <t>Konate</t>
  </si>
  <si>
    <t>Niang</t>
  </si>
  <si>
    <t>Bautista</t>
  </si>
  <si>
    <t>Rogers</t>
  </si>
  <si>
    <t>Carney</t>
  </si>
  <si>
    <t>Fulford</t>
  </si>
  <si>
    <t>Keita</t>
  </si>
  <si>
    <t>Mbaye</t>
  </si>
  <si>
    <t>Jackson</t>
  </si>
  <si>
    <t>Clarke</t>
  </si>
  <si>
    <t>Mason</t>
  </si>
  <si>
    <t>Daley</t>
  </si>
  <si>
    <t>Croney</t>
  </si>
  <si>
    <t>Patti</t>
  </si>
  <si>
    <t>Fulton</t>
  </si>
  <si>
    <t>Kim</t>
  </si>
  <si>
    <t>Allende</t>
  </si>
  <si>
    <t>Roldan</t>
  </si>
  <si>
    <t>Lotts</t>
  </si>
  <si>
    <t>Cornish</t>
  </si>
  <si>
    <t>Mejia</t>
  </si>
  <si>
    <t>Garner</t>
  </si>
  <si>
    <t>Neils</t>
  </si>
  <si>
    <t>Cosgrove</t>
  </si>
  <si>
    <t>White</t>
  </si>
  <si>
    <t>Guzman</t>
  </si>
  <si>
    <t>DeLos Santos</t>
  </si>
  <si>
    <t>Chisom</t>
  </si>
  <si>
    <t>Me</t>
  </si>
  <si>
    <t>Ayuoo</t>
  </si>
  <si>
    <t>Danzy</t>
  </si>
  <si>
    <t>Cuffee</t>
  </si>
  <si>
    <t>Weaver</t>
  </si>
  <si>
    <t>Allford</t>
  </si>
  <si>
    <t>Higgins</t>
  </si>
  <si>
    <t>Backer</t>
  </si>
  <si>
    <t>Quinones</t>
  </si>
  <si>
    <t>Nova</t>
  </si>
  <si>
    <t>Allen</t>
  </si>
  <si>
    <t>Damico</t>
  </si>
  <si>
    <t>Whitelaw</t>
  </si>
  <si>
    <t>Cain</t>
  </si>
  <si>
    <t>Harrison</t>
  </si>
  <si>
    <t>Marcial</t>
  </si>
  <si>
    <t>Lowe</t>
  </si>
  <si>
    <t>Swinton</t>
  </si>
  <si>
    <t>Jones -Wiggins</t>
  </si>
  <si>
    <t>Hull</t>
  </si>
  <si>
    <t>Reboredo</t>
  </si>
  <si>
    <t>Avalone</t>
  </si>
  <si>
    <t>Paulin</t>
  </si>
  <si>
    <t>Lane</t>
  </si>
  <si>
    <t>Cheathem</t>
  </si>
  <si>
    <t>Bowman</t>
  </si>
  <si>
    <t>Owens</t>
  </si>
  <si>
    <t>De Los Santos</t>
  </si>
  <si>
    <t>Bitar</t>
  </si>
  <si>
    <t>Stevenson</t>
  </si>
  <si>
    <t>Reddock</t>
  </si>
  <si>
    <t>Toure Doudou</t>
  </si>
  <si>
    <t>Pryor</t>
  </si>
  <si>
    <t>Munoz</t>
  </si>
  <si>
    <t>Burgos</t>
  </si>
  <si>
    <t>Shark - Barry</t>
  </si>
  <si>
    <t>Traore</t>
  </si>
  <si>
    <t>Darby</t>
  </si>
  <si>
    <t>Unger</t>
  </si>
  <si>
    <t>Jenkins</t>
  </si>
  <si>
    <t>Wright</t>
  </si>
  <si>
    <t>Ebron</t>
  </si>
  <si>
    <t>Santiago</t>
  </si>
  <si>
    <t>Merrick</t>
  </si>
  <si>
    <t>Fletcher</t>
  </si>
  <si>
    <t>Flenyol</t>
  </si>
  <si>
    <t>Lebron</t>
  </si>
  <si>
    <t>Carmona</t>
  </si>
  <si>
    <t>Lie</t>
  </si>
  <si>
    <t>Davila</t>
  </si>
  <si>
    <t>Abdul-Mani</t>
  </si>
  <si>
    <t>Senior</t>
  </si>
  <si>
    <t>Muniz</t>
  </si>
  <si>
    <t>Moleah</t>
  </si>
  <si>
    <t>Brisita</t>
  </si>
  <si>
    <t>Burney</t>
  </si>
  <si>
    <t>Diomande</t>
  </si>
  <si>
    <t>Siby</t>
  </si>
  <si>
    <t>Surgeon</t>
  </si>
  <si>
    <t>Bah</t>
  </si>
  <si>
    <t>Raudenbush</t>
  </si>
  <si>
    <t>Chauncey</t>
  </si>
  <si>
    <t>Zamba</t>
  </si>
  <si>
    <t>Cases</t>
  </si>
  <si>
    <t>Perry</t>
  </si>
  <si>
    <t>Bridge</t>
  </si>
  <si>
    <t>Allan</t>
  </si>
  <si>
    <t>Abdul-Fattaah</t>
  </si>
  <si>
    <t>Farris</t>
  </si>
  <si>
    <t>Pantaleon</t>
  </si>
  <si>
    <t>Middleton</t>
  </si>
  <si>
    <t>Staggers</t>
  </si>
  <si>
    <t>Angrum</t>
  </si>
  <si>
    <t>Lark</t>
  </si>
  <si>
    <t>Shaheed</t>
  </si>
  <si>
    <t>Cameron</t>
  </si>
  <si>
    <t>Mami</t>
  </si>
  <si>
    <t>Sumpter</t>
  </si>
  <si>
    <t>Coggins</t>
  </si>
  <si>
    <t>De Oliveira</t>
  </si>
  <si>
    <t>Harris-Little</t>
  </si>
  <si>
    <t>Richardson</t>
  </si>
  <si>
    <t>Sahiti</t>
  </si>
  <si>
    <t>Evans</t>
  </si>
  <si>
    <t>Araman</t>
  </si>
  <si>
    <t>Nunoo-Brown</t>
  </si>
  <si>
    <t>Masella</t>
  </si>
  <si>
    <t>Maldonado</t>
  </si>
  <si>
    <t>Selimovic</t>
  </si>
  <si>
    <t>Presley</t>
  </si>
  <si>
    <t>Lee</t>
  </si>
  <si>
    <t>Neat</t>
  </si>
  <si>
    <t>Pollards</t>
  </si>
  <si>
    <t>Mickens</t>
  </si>
  <si>
    <t>Tomanelli</t>
  </si>
  <si>
    <t>Palacios</t>
  </si>
  <si>
    <t>Wolf-Creutzfeldt</t>
  </si>
  <si>
    <t>Zion</t>
  </si>
  <si>
    <t>Quintyne</t>
  </si>
  <si>
    <t>Bonet</t>
  </si>
  <si>
    <t>Serrata</t>
  </si>
  <si>
    <t>Hill</t>
  </si>
  <si>
    <t>Roach</t>
  </si>
  <si>
    <t>De Leon</t>
  </si>
  <si>
    <t>Martell</t>
  </si>
  <si>
    <t>Zientara</t>
  </si>
  <si>
    <t>Capriata</t>
  </si>
  <si>
    <t>Dozier</t>
  </si>
  <si>
    <t>Chowdhury</t>
  </si>
  <si>
    <t>Dailey</t>
  </si>
  <si>
    <t>Molina</t>
  </si>
  <si>
    <t>Kin</t>
  </si>
  <si>
    <t>Duncan</t>
  </si>
  <si>
    <t>Anderton</t>
  </si>
  <si>
    <t>Makonnen</t>
  </si>
  <si>
    <t>De Paula</t>
  </si>
  <si>
    <t>Heyward</t>
  </si>
  <si>
    <t>Vos</t>
  </si>
  <si>
    <t>Pace</t>
  </si>
  <si>
    <t>Chestnut</t>
  </si>
  <si>
    <t>Franco</t>
  </si>
  <si>
    <t>Gashi</t>
  </si>
  <si>
    <t>Fields</t>
  </si>
  <si>
    <t>dutzer</t>
  </si>
  <si>
    <t>Felix</t>
  </si>
  <si>
    <t>Hassell</t>
  </si>
  <si>
    <t>Brightbill</t>
  </si>
  <si>
    <t>Messner</t>
  </si>
  <si>
    <t>Hirsch</t>
  </si>
  <si>
    <t>Cox</t>
  </si>
  <si>
    <t>Rufino</t>
  </si>
  <si>
    <t>Campoverdi</t>
  </si>
  <si>
    <t>Gustin</t>
  </si>
  <si>
    <t>Skeete</t>
  </si>
  <si>
    <t>Furniel</t>
  </si>
  <si>
    <t>Whitaker</t>
  </si>
  <si>
    <t>Carbajal</t>
  </si>
  <si>
    <t>Lomax</t>
  </si>
  <si>
    <t>Finklea</t>
  </si>
  <si>
    <t>Karales</t>
  </si>
  <si>
    <t>Gibbs</t>
  </si>
  <si>
    <t>Lake</t>
  </si>
  <si>
    <t>Wills</t>
  </si>
  <si>
    <t>McFarlane</t>
  </si>
  <si>
    <t>Sado</t>
  </si>
  <si>
    <t>Cert</t>
  </si>
  <si>
    <t>Bronson</t>
  </si>
  <si>
    <t>O'Connor</t>
  </si>
  <si>
    <t>Koster</t>
  </si>
  <si>
    <t>Norman</t>
  </si>
  <si>
    <t>Rouf</t>
  </si>
  <si>
    <t>Lance</t>
  </si>
  <si>
    <t>Piecyhna</t>
  </si>
  <si>
    <t>Garay</t>
  </si>
  <si>
    <t>Theodoro</t>
  </si>
  <si>
    <t>Jospitre</t>
  </si>
  <si>
    <t>Corley</t>
  </si>
  <si>
    <t>Walsh</t>
  </si>
  <si>
    <t>Alsondo</t>
  </si>
  <si>
    <t>Nunez</t>
  </si>
  <si>
    <t>Francis</t>
  </si>
  <si>
    <t>Robles</t>
  </si>
  <si>
    <t>Woolridge</t>
  </si>
  <si>
    <t>Chambers</t>
  </si>
  <si>
    <t>Whalen</t>
  </si>
  <si>
    <t>Corte Vasquez</t>
  </si>
  <si>
    <t>Kevenides</t>
  </si>
  <si>
    <t>Camara</t>
  </si>
  <si>
    <t>Ahmed</t>
  </si>
  <si>
    <t>Montanez</t>
  </si>
  <si>
    <t>Lunas</t>
  </si>
  <si>
    <t>Kluge</t>
  </si>
  <si>
    <t>Guerriero</t>
  </si>
  <si>
    <t>Ye</t>
  </si>
  <si>
    <t>Aponte</t>
  </si>
  <si>
    <t>Poon Kwok</t>
  </si>
  <si>
    <t>Seda Dejesus</t>
  </si>
  <si>
    <t>Moody</t>
  </si>
  <si>
    <t>Cardona</t>
  </si>
  <si>
    <t>Cochrane</t>
  </si>
  <si>
    <t>Lopez</t>
  </si>
  <si>
    <t>Luk</t>
  </si>
  <si>
    <t>Padilla</t>
  </si>
  <si>
    <t>Council</t>
  </si>
  <si>
    <t>Mungin</t>
  </si>
  <si>
    <t>Cerease</t>
  </si>
  <si>
    <t>Ellison</t>
  </si>
  <si>
    <t>Cintron</t>
  </si>
  <si>
    <t>Merchant</t>
  </si>
  <si>
    <t>Yang</t>
  </si>
  <si>
    <t>Renneker</t>
  </si>
  <si>
    <t>Seaborn</t>
  </si>
  <si>
    <t>3411 Beach Channel Dr</t>
  </si>
  <si>
    <t>6051 68 Street</t>
  </si>
  <si>
    <t>357 Bristol St</t>
  </si>
  <si>
    <t>68 Cumberland Walk</t>
  </si>
  <si>
    <t>1 Jacobus Pl</t>
  </si>
  <si>
    <t>9 Adrian Ave</t>
  </si>
  <si>
    <t>5240 Broadway</t>
  </si>
  <si>
    <t>419 E 93rd St</t>
  </si>
  <si>
    <t>235 E 95th St</t>
  </si>
  <si>
    <t>410 E 89th St</t>
  </si>
  <si>
    <t>1780 1st Ave</t>
  </si>
  <si>
    <t>1751 2nd Ave</t>
  </si>
  <si>
    <t>567 W 191st St</t>
  </si>
  <si>
    <t>569 W 192nd St</t>
  </si>
  <si>
    <t>1-29 Bogardus Place</t>
  </si>
  <si>
    <t>671 W 193rd St</t>
  </si>
  <si>
    <t>25 Dongan Pl</t>
  </si>
  <si>
    <t>100 Arden Stree</t>
  </si>
  <si>
    <t>72 -78 Wadsworth Terrace</t>
  </si>
  <si>
    <t>9 Thayer St</t>
  </si>
  <si>
    <t>5763 Wadsworth Terrace</t>
  </si>
  <si>
    <t>72 Wadsworth Ter</t>
  </si>
  <si>
    <t>107 Ellwood St</t>
  </si>
  <si>
    <t>700 Lenox Ave</t>
  </si>
  <si>
    <t>286 W 147th St</t>
  </si>
  <si>
    <t>307 W 153rd St</t>
  </si>
  <si>
    <t>263 W 152nd St</t>
  </si>
  <si>
    <t>129 W 147th st</t>
  </si>
  <si>
    <t>159 W 145th St</t>
  </si>
  <si>
    <t>200 W 146th St</t>
  </si>
  <si>
    <t>211 W 146th st</t>
  </si>
  <si>
    <t>301 W 150th St</t>
  </si>
  <si>
    <t>263 W 153rd St</t>
  </si>
  <si>
    <t>2999 8th Ave</t>
  </si>
  <si>
    <t>304 W 148th St</t>
  </si>
  <si>
    <t>250 W 146th St</t>
  </si>
  <si>
    <t>200 Bradhurst Ave</t>
  </si>
  <si>
    <t>356 W 145th St</t>
  </si>
  <si>
    <t>2844 8th Ave</t>
  </si>
  <si>
    <t>290 W 147th St</t>
  </si>
  <si>
    <t>204 W 149th St</t>
  </si>
  <si>
    <t>208 W 151st St</t>
  </si>
  <si>
    <t>2949 8th Ave</t>
  </si>
  <si>
    <t>15 Saint James Pl</t>
  </si>
  <si>
    <t>26 Madison Street</t>
  </si>
  <si>
    <t>180 South St</t>
  </si>
  <si>
    <t>388 Pearl St</t>
  </si>
  <si>
    <t>46 Madison St</t>
  </si>
  <si>
    <t>10 W 135th St</t>
  </si>
  <si>
    <t>60 E 135th St</t>
  </si>
  <si>
    <t>2255 5th Ave</t>
  </si>
  <si>
    <t>2140 Madison Ave</t>
  </si>
  <si>
    <t>10 E 138th St</t>
  </si>
  <si>
    <t>53 E 131st St</t>
  </si>
  <si>
    <t>2101 Madison Ave</t>
  </si>
  <si>
    <t>443 W 48th St</t>
  </si>
  <si>
    <t>300 W 46th St</t>
  </si>
  <si>
    <t>450 W 42nd St</t>
  </si>
  <si>
    <t>124 E 117th St</t>
  </si>
  <si>
    <t>120 E 123rd St</t>
  </si>
  <si>
    <t>2253 3rd Ave</t>
  </si>
  <si>
    <t>2395 1st Ave</t>
  </si>
  <si>
    <t>17 E 124th St</t>
  </si>
  <si>
    <t>348 E 119th St</t>
  </si>
  <si>
    <t>180 E 122nd St</t>
  </si>
  <si>
    <t>1900 Lexington Ave</t>
  </si>
  <si>
    <t>240 E 119th St</t>
  </si>
  <si>
    <t>65 Seaman Ave</t>
  </si>
  <si>
    <t>22 Post Ave</t>
  </si>
  <si>
    <t>248 Sherman Ave</t>
  </si>
  <si>
    <t>37-49 Payson Ave</t>
  </si>
  <si>
    <t>266 Nagle Ave</t>
  </si>
  <si>
    <t>583 W 215th St</t>
  </si>
  <si>
    <t>100 Post Ave</t>
  </si>
  <si>
    <t>501 W 184th St</t>
  </si>
  <si>
    <t>521 W 186th St</t>
  </si>
  <si>
    <t>615 W 176th St</t>
  </si>
  <si>
    <t>247 Wadsworth Ave</t>
  </si>
  <si>
    <t>1365 Saint Nicholas Ave</t>
  </si>
  <si>
    <t>388 Audubon Ave</t>
  </si>
  <si>
    <t>572 W 187th St</t>
  </si>
  <si>
    <t>1380 Riverside Dr</t>
  </si>
  <si>
    <t>511 W 177th St</t>
  </si>
  <si>
    <t>600 W 176th St</t>
  </si>
  <si>
    <t>1989 Amsterdam Ave</t>
  </si>
  <si>
    <t>930 Saint Nicholas Ave</t>
  </si>
  <si>
    <t>735 W 172nd St</t>
  </si>
  <si>
    <t>1920 Amsterdam Ave</t>
  </si>
  <si>
    <t>119 Audubon Ave</t>
  </si>
  <si>
    <t>1945 Amsterdam Ave</t>
  </si>
  <si>
    <t>812 Riverside Dr</t>
  </si>
  <si>
    <t>526 W 158th St</t>
  </si>
  <si>
    <t>580 W 161st St</t>
  </si>
  <si>
    <t>460 W 155th St</t>
  </si>
  <si>
    <t>157-10 Riverside Drive West</t>
  </si>
  <si>
    <t>486 W 165th St</t>
  </si>
  <si>
    <t>567 W 170th St</t>
  </si>
  <si>
    <t>801 Riverside Dr</t>
  </si>
  <si>
    <t>86 Fort Washington Ave</t>
  </si>
  <si>
    <t>537 W 156th St</t>
  </si>
  <si>
    <t>839 Riverside Dr</t>
  </si>
  <si>
    <t>548 W 164th st</t>
  </si>
  <si>
    <t>1970 Amsterdam Ave</t>
  </si>
  <si>
    <t>65 Fort Washington Ave</t>
  </si>
  <si>
    <t>515 W 159th St</t>
  </si>
  <si>
    <t>617 W 170th St</t>
  </si>
  <si>
    <t>540 W 136th St</t>
  </si>
  <si>
    <t>513 W 145th St</t>
  </si>
  <si>
    <t>526 W 147th St</t>
  </si>
  <si>
    <t>520 W 151st St</t>
  </si>
  <si>
    <t>644 Riverside Dr</t>
  </si>
  <si>
    <t>611 W 148th St</t>
  </si>
  <si>
    <t>640 Riverside Dr</t>
  </si>
  <si>
    <t>601 W 140th St</t>
  </si>
  <si>
    <t>408 W 150th st</t>
  </si>
  <si>
    <t>510 W 152nd St</t>
  </si>
  <si>
    <t>540 W 143rd St</t>
  </si>
  <si>
    <t>476 W 141st St</t>
  </si>
  <si>
    <t>615 W 135th St</t>
  </si>
  <si>
    <t>63 Hamilton Ter</t>
  </si>
  <si>
    <t>509 W 140th St</t>
  </si>
  <si>
    <t>601 W 135th St</t>
  </si>
  <si>
    <t>610 W 136th St</t>
  </si>
  <si>
    <t>424 West 146th Street 4B</t>
  </si>
  <si>
    <t>540 W 145th St</t>
  </si>
  <si>
    <t>405 W 149th St</t>
  </si>
  <si>
    <t>525 W 142nd St</t>
  </si>
  <si>
    <t>795 Saint Nicholas Ave</t>
  </si>
  <si>
    <t>3544 Broadway</t>
  </si>
  <si>
    <t>508 W 151st St</t>
  </si>
  <si>
    <t>601 W 149th St</t>
  </si>
  <si>
    <t>260 Convent Ave</t>
  </si>
  <si>
    <t>507 W 142nd St</t>
  </si>
  <si>
    <t>453 W 141st St</t>
  </si>
  <si>
    <t>626 Riverside Dr</t>
  </si>
  <si>
    <t>415 W 145th St</t>
  </si>
  <si>
    <t>625 W 152nd St</t>
  </si>
  <si>
    <t>630 Riverside Dr</t>
  </si>
  <si>
    <t>567 W 149th St</t>
  </si>
  <si>
    <t>519 W 143rd St</t>
  </si>
  <si>
    <t>512 W 135th St</t>
  </si>
  <si>
    <t>502 W 151st st</t>
  </si>
  <si>
    <t>516 w 134th St</t>
  </si>
  <si>
    <t>1512 Amsterdam Ave</t>
  </si>
  <si>
    <t>616 W 135th St</t>
  </si>
  <si>
    <t>583 Riverside Dr</t>
  </si>
  <si>
    <t>670 Riverside Dr</t>
  </si>
  <si>
    <t>510 W 144th St</t>
  </si>
  <si>
    <t>1488 Amsterdam Ave</t>
  </si>
  <si>
    <t>546 W 147th St</t>
  </si>
  <si>
    <t>508 W 136th St</t>
  </si>
  <si>
    <t>515 W 143rd St</t>
  </si>
  <si>
    <t>1724 Amsterdam Ave</t>
  </si>
  <si>
    <t>617 W 141st St</t>
  </si>
  <si>
    <t>3333 Broadway</t>
  </si>
  <si>
    <t>520 W 139th St</t>
  </si>
  <si>
    <t>500 West 144th st</t>
  </si>
  <si>
    <t>631 W 152nd St</t>
  </si>
  <si>
    <t>536 W 153rd St</t>
  </si>
  <si>
    <t>381 Edgecombe Avenue 2D</t>
  </si>
  <si>
    <t>470 W 141st St</t>
  </si>
  <si>
    <t>516 W 143rd St</t>
  </si>
  <si>
    <t>584 W 152nd St</t>
  </si>
  <si>
    <t>1702 Amsterdam Ave</t>
  </si>
  <si>
    <t>135 Hamilton Pl</t>
  </si>
  <si>
    <t>1786 Amsterdam Ave</t>
  </si>
  <si>
    <t>668 Riverside Dr</t>
  </si>
  <si>
    <t>725 Riverside Dr</t>
  </si>
  <si>
    <t>409 W 145th St</t>
  </si>
  <si>
    <t>546 W 146th St</t>
  </si>
  <si>
    <t>424 W 146th St</t>
  </si>
  <si>
    <t>635 Riverside Drive #8C</t>
  </si>
  <si>
    <t>541 W 142nd St</t>
  </si>
  <si>
    <t>720 Riverside Dr</t>
  </si>
  <si>
    <t>517 W 147th Street #1</t>
  </si>
  <si>
    <t>618 W 136th St</t>
  </si>
  <si>
    <t>502 W 135th St</t>
  </si>
  <si>
    <t>640 W 153rd St</t>
  </si>
  <si>
    <t>511 W 147th St</t>
  </si>
  <si>
    <t>600 W 144th st</t>
  </si>
  <si>
    <t>507 W 147th St</t>
  </si>
  <si>
    <t>502 W 135th st</t>
  </si>
  <si>
    <t>635 Riverside Dr</t>
  </si>
  <si>
    <t>322 Convent Ave</t>
  </si>
  <si>
    <t>730 Riverside Dr</t>
  </si>
  <si>
    <t>540 W 146th St</t>
  </si>
  <si>
    <t>526 W 146th St</t>
  </si>
  <si>
    <t>1528 Amsterdam Ave</t>
  </si>
  <si>
    <t>1810 Amsterdam Ave</t>
  </si>
  <si>
    <t>610 W 145th St</t>
  </si>
  <si>
    <t>1743 Amsterdam Ave</t>
  </si>
  <si>
    <t>500 West 144th Street</t>
  </si>
  <si>
    <t>617 W 152nd St</t>
  </si>
  <si>
    <t>1772 Amsterdam Ave</t>
  </si>
  <si>
    <t>500 W 144th St</t>
  </si>
  <si>
    <t>596 Riverside Dr</t>
  </si>
  <si>
    <t>408 W 150th St</t>
  </si>
  <si>
    <t>55 Saint Nicholas Pl</t>
  </si>
  <si>
    <t>287 Edgecombe Ave</t>
  </si>
  <si>
    <t>522 W 147th St</t>
  </si>
  <si>
    <t>505 W 135th St</t>
  </si>
  <si>
    <t>3609 Broadway</t>
  </si>
  <si>
    <t>607 W 139th St</t>
  </si>
  <si>
    <t>52 Saint Nicholas Pl</t>
  </si>
  <si>
    <t>600 W 144th St</t>
  </si>
  <si>
    <t>400 W 150th st</t>
  </si>
  <si>
    <t>700 Riverside Dr</t>
  </si>
  <si>
    <t>36 St. Nicholas Place</t>
  </si>
  <si>
    <t>550 W 146th St</t>
  </si>
  <si>
    <t>541 W 150th St</t>
  </si>
  <si>
    <t>460 W 147th St</t>
  </si>
  <si>
    <t>530 W 136th St</t>
  </si>
  <si>
    <t>1833  Amsterdam Avenue 2H</t>
  </si>
  <si>
    <t>561 W 144th St</t>
  </si>
  <si>
    <t>719 Saint Nicholas Ave</t>
  </si>
  <si>
    <t>600 W 142nd St</t>
  </si>
  <si>
    <t>218 W 140th St</t>
  </si>
  <si>
    <t>695 Saint Nicholas Ave</t>
  </si>
  <si>
    <t>148 W 141st St</t>
  </si>
  <si>
    <t>145 W 142nd St</t>
  </si>
  <si>
    <t>200 W 136TH ST</t>
  </si>
  <si>
    <t>120 W 140th St</t>
  </si>
  <si>
    <t>480 Saint Nicholas Ave</t>
  </si>
  <si>
    <t>2698 8th Ave</t>
  </si>
  <si>
    <t>103 W 141st St</t>
  </si>
  <si>
    <t>226 W 141st St</t>
  </si>
  <si>
    <t>2273 7th Ave</t>
  </si>
  <si>
    <t>104 W 138th St</t>
  </si>
  <si>
    <t>228 W 141st St</t>
  </si>
  <si>
    <t>2400 7th Ave</t>
  </si>
  <si>
    <t>161 W 140th St</t>
  </si>
  <si>
    <t>2680 8th Ave</t>
  </si>
  <si>
    <t>100 W 139th St</t>
  </si>
  <si>
    <t>131 W 137th St</t>
  </si>
  <si>
    <t>158 W 144th St</t>
  </si>
  <si>
    <t>200 W 143rd St</t>
  </si>
  <si>
    <t>334 E 112th St</t>
  </si>
  <si>
    <t>405 E 116th St</t>
  </si>
  <si>
    <t>314 E 100th St</t>
  </si>
  <si>
    <t>325 E 106th St</t>
  </si>
  <si>
    <t>309 E 110th St</t>
  </si>
  <si>
    <t>2012 3rd Ave</t>
  </si>
  <si>
    <t>60 E 104th St</t>
  </si>
  <si>
    <t>165 E 112th St</t>
  </si>
  <si>
    <t>235 E 116th St</t>
  </si>
  <si>
    <t>241 E 115th st</t>
  </si>
  <si>
    <t>345 E 101st St</t>
  </si>
  <si>
    <t>310 E 102nd St</t>
  </si>
  <si>
    <t>1952 1st Ave</t>
  </si>
  <si>
    <t>200 E 110th St</t>
  </si>
  <si>
    <t>183 E 98th St</t>
  </si>
  <si>
    <t>130 E 115th St</t>
  </si>
  <si>
    <t>1345 5th Ave</t>
  </si>
  <si>
    <t>431 E 102nd St</t>
  </si>
  <si>
    <t>219 E 97th St</t>
  </si>
  <si>
    <t>2130 1st Ave</t>
  </si>
  <si>
    <t>22 E 108th St</t>
  </si>
  <si>
    <t>10 E 108th St</t>
  </si>
  <si>
    <t>405 E 105th St</t>
  </si>
  <si>
    <t>65 E 112th St</t>
  </si>
  <si>
    <t>123 E 112th St</t>
  </si>
  <si>
    <t>1465 Madison Ave</t>
  </si>
  <si>
    <t>307 E 101st St</t>
  </si>
  <si>
    <t>440 E 105th St</t>
  </si>
  <si>
    <t>1839 Lexington Ave</t>
  </si>
  <si>
    <t>435 E 105th St</t>
  </si>
  <si>
    <t>420 E 105th St</t>
  </si>
  <si>
    <t>2081 2nd Ave</t>
  </si>
  <si>
    <t>18 E 109th St</t>
  </si>
  <si>
    <t>60 E 106th St</t>
  </si>
  <si>
    <t>1630 2nd Ave</t>
  </si>
  <si>
    <t>307 E 84th St</t>
  </si>
  <si>
    <t>325 E 88th St</t>
  </si>
  <si>
    <t>147 E 81st St</t>
  </si>
  <si>
    <t>110 W 131st St</t>
  </si>
  <si>
    <t>1270 Amsterdam Ave</t>
  </si>
  <si>
    <t>41 Saint Nicholas Ter</t>
  </si>
  <si>
    <t>25 Convent Ave</t>
  </si>
  <si>
    <t>98 Morningside Ave</t>
  </si>
  <si>
    <t>2406 Eighth Ave</t>
  </si>
  <si>
    <t>529 W 133rd ST</t>
  </si>
  <si>
    <t>342 Lenox Ave</t>
  </si>
  <si>
    <t>250 W 131st St</t>
  </si>
  <si>
    <t>1470 Amsterdam Ave</t>
  </si>
  <si>
    <t>230 W 131st St</t>
  </si>
  <si>
    <t>111 W 123rd St</t>
  </si>
  <si>
    <t>60 W 128th St</t>
  </si>
  <si>
    <t>2185 Adam Clayton Powell Jr Blvd</t>
  </si>
  <si>
    <t>242 W 122nd St</t>
  </si>
  <si>
    <t>102 W 129th St</t>
  </si>
  <si>
    <t>311 W 127th St</t>
  </si>
  <si>
    <t>239 Lenox Ave</t>
  </si>
  <si>
    <t>128 W 128th St</t>
  </si>
  <si>
    <t>55 Tiemann Pl</t>
  </si>
  <si>
    <t>17 W 125th St</t>
  </si>
  <si>
    <t>146 W 127th St</t>
  </si>
  <si>
    <t>2070 Adamn Clayton Powell Blvd</t>
  </si>
  <si>
    <t>144 W 124th St</t>
  </si>
  <si>
    <t>146 W 124th St</t>
  </si>
  <si>
    <t>2070 Adam Clayton Powell Jr Blvd</t>
  </si>
  <si>
    <t>225 W 129th St</t>
  </si>
  <si>
    <t>132 W 129th St</t>
  </si>
  <si>
    <t>504 W 126th St</t>
  </si>
  <si>
    <t>55 La Salle St</t>
  </si>
  <si>
    <t>145 Morningside Ave</t>
  </si>
  <si>
    <t>222 W 122nd St</t>
  </si>
  <si>
    <t>43 W 129th St</t>
  </si>
  <si>
    <t>607 W 132nd St</t>
  </si>
  <si>
    <t>2034 7th Ave</t>
  </si>
  <si>
    <t>255 W 127th St</t>
  </si>
  <si>
    <t>225 W 123rd St</t>
  </si>
  <si>
    <t>273 W 131st St</t>
  </si>
  <si>
    <t>119 W 129th St</t>
  </si>
  <si>
    <t>285 Saint Nicholas Ave</t>
  </si>
  <si>
    <t>300 W 128th St</t>
  </si>
  <si>
    <t>320 Saint Nicholas Ave</t>
  </si>
  <si>
    <t>266 W 123rd St</t>
  </si>
  <si>
    <t>157 W 123rd St</t>
  </si>
  <si>
    <t>601 W 132nd St</t>
  </si>
  <si>
    <t>410 W 128th St</t>
  </si>
  <si>
    <t>2471 Frederick Douglass Blvd</t>
  </si>
  <si>
    <t>2035 7th Ave</t>
  </si>
  <si>
    <t>31-33 West  124th Street 3D</t>
  </si>
  <si>
    <t>62-64 W 124th St</t>
  </si>
  <si>
    <t>111 Mornigside Avenue</t>
  </si>
  <si>
    <t>202 Saint Nicholas Ave</t>
  </si>
  <si>
    <t>1305 Amsterdam Ave</t>
  </si>
  <si>
    <t>550 W 125th St</t>
  </si>
  <si>
    <t>540 Manhattan Ave</t>
  </si>
  <si>
    <t>2070 7th Ave</t>
  </si>
  <si>
    <t>434 W 120th St</t>
  </si>
  <si>
    <t>393 Lenox Ave</t>
  </si>
  <si>
    <t>172 W 127th St</t>
  </si>
  <si>
    <t>439 W 126th Street 1 B</t>
  </si>
  <si>
    <t>259 W 122nd St</t>
  </si>
  <si>
    <t>145 W 127th St</t>
  </si>
  <si>
    <t>9 W 129th St</t>
  </si>
  <si>
    <t>410 Saint Nicholas Ave</t>
  </si>
  <si>
    <t>1430 Amsterdam Ave</t>
  </si>
  <si>
    <t>75 La Salle St</t>
  </si>
  <si>
    <t>95 Old Broadway</t>
  </si>
  <si>
    <t>412 W 129th St</t>
  </si>
  <si>
    <t>140 W 129th St</t>
  </si>
  <si>
    <t>2467 Frederick Douglass Blvd</t>
  </si>
  <si>
    <t>1315 Amsterdam Ave</t>
  </si>
  <si>
    <t>270 Saint Nicholas Ave</t>
  </si>
  <si>
    <t>351 Saint Nicholas Ave</t>
  </si>
  <si>
    <t>206 W 132nd St</t>
  </si>
  <si>
    <t>3170 Broadway</t>
  </si>
  <si>
    <t>137 W 128th St</t>
  </si>
  <si>
    <t>3163 Broadway</t>
  </si>
  <si>
    <t>545 W 126th St</t>
  </si>
  <si>
    <t>519 W 121st St</t>
  </si>
  <si>
    <t>270 W 124th St</t>
  </si>
  <si>
    <t>419 W 129th St</t>
  </si>
  <si>
    <t>31-33 West 124 Street   Room 2H</t>
  </si>
  <si>
    <t>565 Manhattan Ave</t>
  </si>
  <si>
    <t>550 W 125th st</t>
  </si>
  <si>
    <t>100 W 128th St</t>
  </si>
  <si>
    <t>20 W 129th St # 22</t>
  </si>
  <si>
    <t>65 W 127th St</t>
  </si>
  <si>
    <t>1420 Amsterdam Ave</t>
  </si>
  <si>
    <t>452 Saint Nicholas Ave</t>
  </si>
  <si>
    <t>2411 8th Ave</t>
  </si>
  <si>
    <t>430 W 125th St</t>
  </si>
  <si>
    <t>433 W 126th St</t>
  </si>
  <si>
    <t>101 W 130th St</t>
  </si>
  <si>
    <t>212 Saint Nicholas Ave</t>
  </si>
  <si>
    <t>22 Mount Morris Park W</t>
  </si>
  <si>
    <t>31 W 124th St</t>
  </si>
  <si>
    <t>201 W 121st St</t>
  </si>
  <si>
    <t>16-18 Old Broadway</t>
  </si>
  <si>
    <t>1457 Amsterdam Ave</t>
  </si>
  <si>
    <t>1295 Amsterdam Ave</t>
  </si>
  <si>
    <t>151 W 123rd St</t>
  </si>
  <si>
    <t>171 W 131st St</t>
  </si>
  <si>
    <t>379 w 127th st</t>
  </si>
  <si>
    <t>143 W 132nd St</t>
  </si>
  <si>
    <t>2 West 120th Street 7J</t>
  </si>
  <si>
    <t>49 Saint Nicholas Ave</t>
  </si>
  <si>
    <t>1902 7th Ave</t>
  </si>
  <si>
    <t>123 W 112th st</t>
  </si>
  <si>
    <t>110 w 111th st</t>
  </si>
  <si>
    <t>138 W 117th St</t>
  </si>
  <si>
    <t>123 W 112th St</t>
  </si>
  <si>
    <t>280 W 113th St</t>
  </si>
  <si>
    <t>276 W 115th St</t>
  </si>
  <si>
    <t>120 W 112th St</t>
  </si>
  <si>
    <t>71 W 112th St</t>
  </si>
  <si>
    <t>60 Saint Nicholas Ave</t>
  </si>
  <si>
    <t>45 W 110th St</t>
  </si>
  <si>
    <t>312 Manhattan Ave</t>
  </si>
  <si>
    <t>1880 -1886 Adam Clayton Powell Boulevard</t>
  </si>
  <si>
    <t>282 Manhattan Ave</t>
  </si>
  <si>
    <t>2217 8th Ave</t>
  </si>
  <si>
    <t>41 W 112th St</t>
  </si>
  <si>
    <t>24 W 117th St</t>
  </si>
  <si>
    <t>303 W 117th St</t>
  </si>
  <si>
    <t>205 W 119th St</t>
  </si>
  <si>
    <t>47 Saint Nicholas Ave</t>
  </si>
  <si>
    <t>230-238 West 111th st</t>
  </si>
  <si>
    <t>230-238 W 111th St</t>
  </si>
  <si>
    <t>301 W 114th St</t>
  </si>
  <si>
    <t>200 W 113th St</t>
  </si>
  <si>
    <t>228 W 116th St</t>
  </si>
  <si>
    <t>1990 7th Ave</t>
  </si>
  <si>
    <t>20 morningside Ave</t>
  </si>
  <si>
    <t>305 W 114th St</t>
  </si>
  <si>
    <t>143 W 116th St</t>
  </si>
  <si>
    <t>54 W 119th St</t>
  </si>
  <si>
    <t>10 W 119th St</t>
  </si>
  <si>
    <t>279 W 117th st</t>
  </si>
  <si>
    <t>95 Lenox Ave</t>
  </si>
  <si>
    <t>140 West  117th  Street #1A</t>
  </si>
  <si>
    <t>160 W 116th St</t>
  </si>
  <si>
    <t>20 W 115th St</t>
  </si>
  <si>
    <t>17 W 118th St</t>
  </si>
  <si>
    <t>312 W 116th St</t>
  </si>
  <si>
    <t>21 W 112th st</t>
  </si>
  <si>
    <t>2211 8th Ave</t>
  </si>
  <si>
    <t>73 W 116th St</t>
  </si>
  <si>
    <t>1949 7th Ave</t>
  </si>
  <si>
    <t>40 W 115th St</t>
  </si>
  <si>
    <t>95 Lenox Avenue</t>
  </si>
  <si>
    <t>230 W 111th St</t>
  </si>
  <si>
    <t>70 Lenox Ave</t>
  </si>
  <si>
    <t>130 Malcolm X Blvd</t>
  </si>
  <si>
    <t>110 Lenox Ave</t>
  </si>
  <si>
    <t>27 W 118th St</t>
  </si>
  <si>
    <t>315 W 114th St</t>
  </si>
  <si>
    <t>146 W 111th St</t>
  </si>
  <si>
    <t>1370 5th Ave</t>
  </si>
  <si>
    <t>212 W 111th St</t>
  </si>
  <si>
    <t>207 W 110th St</t>
  </si>
  <si>
    <t>283 W 115th St</t>
  </si>
  <si>
    <t>2177 8th Ave</t>
  </si>
  <si>
    <t>126 W 112th St</t>
  </si>
  <si>
    <t>1917-19 Adam Clayton Powell Blvd</t>
  </si>
  <si>
    <t>16-22 West 111th st</t>
  </si>
  <si>
    <t>8 W 118th St</t>
  </si>
  <si>
    <t>117 W 116th St</t>
  </si>
  <si>
    <t>312 W 112th St</t>
  </si>
  <si>
    <t>135 W 115th St</t>
  </si>
  <si>
    <t>134 W 113th St</t>
  </si>
  <si>
    <t>120 W 116th St</t>
  </si>
  <si>
    <t>1980 Adam Clayton Powell Jr Blvd</t>
  </si>
  <si>
    <t>130 Lenox Ave</t>
  </si>
  <si>
    <t>233 W 111th St</t>
  </si>
  <si>
    <t>350 Manhattan Ave</t>
  </si>
  <si>
    <t>2166 Frederick Douglass Blvd</t>
  </si>
  <si>
    <t>70 W 115th St</t>
  </si>
  <si>
    <t>200 W 111th St</t>
  </si>
  <si>
    <t>1867 7th Ave</t>
  </si>
  <si>
    <t>2430 W 111th St</t>
  </si>
  <si>
    <t>1851 7th Ave</t>
  </si>
  <si>
    <t>56 W 119th St</t>
  </si>
  <si>
    <t>209 W 118th St</t>
  </si>
  <si>
    <t>100 Saint Nicholas Ave</t>
  </si>
  <si>
    <t>101 W 112th St</t>
  </si>
  <si>
    <t>101 West 118th Street 2B</t>
  </si>
  <si>
    <t>875 Columbus Ave</t>
  </si>
  <si>
    <t>15 W 107th St</t>
  </si>
  <si>
    <t>14 W 102nd St</t>
  </si>
  <si>
    <t>310 Riverside Dr</t>
  </si>
  <si>
    <t>533 W 112th St</t>
  </si>
  <si>
    <t>500 W 110th St</t>
  </si>
  <si>
    <t>840 Columbus Ave</t>
  </si>
  <si>
    <t>237 W 105th St</t>
  </si>
  <si>
    <t>18 W 103rd St</t>
  </si>
  <si>
    <t>207 W 107th St</t>
  </si>
  <si>
    <t>50 West 93rd Street, 1L</t>
  </si>
  <si>
    <t>206 W 92nd St</t>
  </si>
  <si>
    <t>201 W 93rd St</t>
  </si>
  <si>
    <t>70 W 95th St</t>
  </si>
  <si>
    <t>230 W 107th st</t>
  </si>
  <si>
    <t>65 W 96th St</t>
  </si>
  <si>
    <t>243 W 99th St</t>
  </si>
  <si>
    <t>830 Amsterdam Ave</t>
  </si>
  <si>
    <t>203 W 107th St</t>
  </si>
  <si>
    <t>67 W 107th St</t>
  </si>
  <si>
    <t>850 Amsterdam Ave</t>
  </si>
  <si>
    <t>230 Riverside Dr</t>
  </si>
  <si>
    <t>216 W 99th St</t>
  </si>
  <si>
    <t>103 W 104th St</t>
  </si>
  <si>
    <t>65 W 104th St</t>
  </si>
  <si>
    <t>66 W 94th St</t>
  </si>
  <si>
    <t>14 W 107th St # 16</t>
  </si>
  <si>
    <t>865 Columbus ave</t>
  </si>
  <si>
    <t>18 W 102nd st</t>
  </si>
  <si>
    <t>3 W 103rd St</t>
  </si>
  <si>
    <t>312 W 93rd St</t>
  </si>
  <si>
    <t>260 W 99th St</t>
  </si>
  <si>
    <t>400 W 113th St</t>
  </si>
  <si>
    <t>930 W End Ave</t>
  </si>
  <si>
    <t>875 Amsterdam Ave</t>
  </si>
  <si>
    <t>319 W 94th St</t>
  </si>
  <si>
    <t>66 W 94th Street 10F</t>
  </si>
  <si>
    <t>868 Amsterdam Ave 3F</t>
  </si>
  <si>
    <t>72 West 109th Street</t>
  </si>
  <si>
    <t>74 W 103rd St</t>
  </si>
  <si>
    <t>865 Amsterdam Ave</t>
  </si>
  <si>
    <t>100 W 93rd St</t>
  </si>
  <si>
    <t>160 W 97th St</t>
  </si>
  <si>
    <t>2612 Broadway</t>
  </si>
  <si>
    <t>305 W 97th St</t>
  </si>
  <si>
    <t>825 Columbus Ave</t>
  </si>
  <si>
    <t>860 Columbus Ave</t>
  </si>
  <si>
    <t>249 W 103rd St</t>
  </si>
  <si>
    <t>210 W 102nd St</t>
  </si>
  <si>
    <t>8 Manhattan Ave</t>
  </si>
  <si>
    <t>70 W 93rd St</t>
  </si>
  <si>
    <t>792 Columbus Ave</t>
  </si>
  <si>
    <t>140 W 104th St</t>
  </si>
  <si>
    <t>424 Cathedral Pkwy</t>
  </si>
  <si>
    <t>225 W 106th St</t>
  </si>
  <si>
    <t>321 W 94th St</t>
  </si>
  <si>
    <t>666 W End Ave</t>
  </si>
  <si>
    <t>74 W 92nd St</t>
  </si>
  <si>
    <t>229 W 97th St</t>
  </si>
  <si>
    <t>400 W 113th st</t>
  </si>
  <si>
    <t>205 W 109th St</t>
  </si>
  <si>
    <t>123 W 104th St</t>
  </si>
  <si>
    <t>410 W 110th st</t>
  </si>
  <si>
    <t>988 Columbus Ave</t>
  </si>
  <si>
    <t>174 W 107th St</t>
  </si>
  <si>
    <t>410 Central Park W</t>
  </si>
  <si>
    <t>870 Columbus Ave</t>
  </si>
  <si>
    <t>147 W 79th St</t>
  </si>
  <si>
    <t>120 W 91st St</t>
  </si>
  <si>
    <t>166 W 87th St</t>
  </si>
  <si>
    <t>107 W 68th St</t>
  </si>
  <si>
    <t>140 W 71st St</t>
  </si>
  <si>
    <t>75 W End Ave</t>
  </si>
  <si>
    <t>429 E 72nd St</t>
  </si>
  <si>
    <t>1391 2nd Ave</t>
  </si>
  <si>
    <t>2 E 75th St</t>
  </si>
  <si>
    <t>309 E 76th St</t>
  </si>
  <si>
    <t>418 W 51st St</t>
  </si>
  <si>
    <t>525 W 52nd St</t>
  </si>
  <si>
    <t>1 Columbus Pl</t>
  </si>
  <si>
    <t>320 W 38th St</t>
  </si>
  <si>
    <t>751 3rd Ave</t>
  </si>
  <si>
    <t>150 E 44th st</t>
  </si>
  <si>
    <t>160 E 48th St</t>
  </si>
  <si>
    <t>344 E 28th St</t>
  </si>
  <si>
    <t>484 2nd Ave</t>
  </si>
  <si>
    <t>225 E 39th St</t>
  </si>
  <si>
    <t>241 6th Ave</t>
  </si>
  <si>
    <t>74 Leonard St</t>
  </si>
  <si>
    <t>450 W 17th St</t>
  </si>
  <si>
    <t>200 W 15th St</t>
  </si>
  <si>
    <t>419 W 17th St</t>
  </si>
  <si>
    <t>255 W 23rd St</t>
  </si>
  <si>
    <t>150 W 21st St</t>
  </si>
  <si>
    <t>401 W 16th St</t>
  </si>
  <si>
    <t>401 W 18th St</t>
  </si>
  <si>
    <t>420 W 19th St</t>
  </si>
  <si>
    <t>330 E 26th St</t>
  </si>
  <si>
    <t>111 E 7th St</t>
  </si>
  <si>
    <t>725 Fdr Dr</t>
  </si>
  <si>
    <t>950 E 4th Walk</t>
  </si>
  <si>
    <t>535 E 11th St</t>
  </si>
  <si>
    <t>103 E 2nd St</t>
  </si>
  <si>
    <t>195 E 2nd St</t>
  </si>
  <si>
    <t>903 E 6th St</t>
  </si>
  <si>
    <t>8 Avenue B # 12</t>
  </si>
  <si>
    <t>530 East 113th st</t>
  </si>
  <si>
    <t>1 Haven Plz</t>
  </si>
  <si>
    <t>118 Avenue D</t>
  </si>
  <si>
    <t>90 Avenue D</t>
  </si>
  <si>
    <t>89 Avenue C</t>
  </si>
  <si>
    <t>742 E 6th St</t>
  </si>
  <si>
    <t>170 Avenue D</t>
  </si>
  <si>
    <t>105 Duane St</t>
  </si>
  <si>
    <t>331 E 5th St</t>
  </si>
  <si>
    <t>4 E 1st St</t>
  </si>
  <si>
    <t>140 Henry St</t>
  </si>
  <si>
    <t>154 Broome St</t>
  </si>
  <si>
    <t>138 Orchard st</t>
  </si>
  <si>
    <t>123 Henry St</t>
  </si>
  <si>
    <t>77 Columbia St</t>
  </si>
  <si>
    <t>188 Ludlow St</t>
  </si>
  <si>
    <t>210 Eldridge St</t>
  </si>
  <si>
    <t>525 Fdr Dr</t>
  </si>
  <si>
    <t>40 Jackson St</t>
  </si>
  <si>
    <t>241 Henry St</t>
  </si>
  <si>
    <t>383 Grand St</t>
  </si>
  <si>
    <t>250 CLINTON ST</t>
  </si>
  <si>
    <t>131 Broome St</t>
  </si>
  <si>
    <t>54-64 Rutaers Street</t>
  </si>
  <si>
    <t>410 Grand St</t>
  </si>
  <si>
    <t>133 Pitt St</t>
  </si>
  <si>
    <t>636 Water St</t>
  </si>
  <si>
    <t>45 Rutgers Street</t>
  </si>
  <si>
    <t>160 Madison St</t>
  </si>
  <si>
    <t>460 Grand St</t>
  </si>
  <si>
    <t>650 Water St</t>
  </si>
  <si>
    <t>75 Allen St</t>
  </si>
  <si>
    <t>240 Madison St</t>
  </si>
  <si>
    <t>435 W 31st St</t>
  </si>
  <si>
    <t>415 W 25th St</t>
  </si>
  <si>
    <t>419 W 34th St</t>
  </si>
  <si>
    <t>38 W 31st St</t>
  </si>
  <si>
    <t>208 W 30th St</t>
  </si>
  <si>
    <t>401 W 25th St</t>
  </si>
  <si>
    <t>288 10th Ave</t>
  </si>
  <si>
    <t>B</t>
  </si>
  <si>
    <t>6D</t>
  </si>
  <si>
    <t>B32</t>
  </si>
  <si>
    <t>4E</t>
  </si>
  <si>
    <t>12J</t>
  </si>
  <si>
    <t>23G</t>
  </si>
  <si>
    <t>23F</t>
  </si>
  <si>
    <t>15f</t>
  </si>
  <si>
    <t>2A</t>
  </si>
  <si>
    <t>11H</t>
  </si>
  <si>
    <t>5S</t>
  </si>
  <si>
    <t>2D</t>
  </si>
  <si>
    <t>2P</t>
  </si>
  <si>
    <t>5C</t>
  </si>
  <si>
    <t>2G</t>
  </si>
  <si>
    <t>3C</t>
  </si>
  <si>
    <t>2F</t>
  </si>
  <si>
    <t>Apt. B5</t>
  </si>
  <si>
    <t>4A</t>
  </si>
  <si>
    <t>1F</t>
  </si>
  <si>
    <t>2L</t>
  </si>
  <si>
    <t>7D</t>
  </si>
  <si>
    <t>1B</t>
  </si>
  <si>
    <t>6A</t>
  </si>
  <si>
    <t>16A</t>
  </si>
  <si>
    <t>1A</t>
  </si>
  <si>
    <t>4J</t>
  </si>
  <si>
    <t>21J</t>
  </si>
  <si>
    <t>3B</t>
  </si>
  <si>
    <t>6H</t>
  </si>
  <si>
    <t>5E</t>
  </si>
  <si>
    <t>4D</t>
  </si>
  <si>
    <t>A22</t>
  </si>
  <si>
    <t>8N</t>
  </si>
  <si>
    <t>5H</t>
  </si>
  <si>
    <t>4F</t>
  </si>
  <si>
    <t>7G</t>
  </si>
  <si>
    <t>10C</t>
  </si>
  <si>
    <t>5M</t>
  </si>
  <si>
    <t>14D</t>
  </si>
  <si>
    <t>12G</t>
  </si>
  <si>
    <t>5B</t>
  </si>
  <si>
    <t>6F</t>
  </si>
  <si>
    <t>3E</t>
  </si>
  <si>
    <t>2M</t>
  </si>
  <si>
    <t>2J</t>
  </si>
  <si>
    <t>6C</t>
  </si>
  <si>
    <t>1L</t>
  </si>
  <si>
    <t>4G</t>
  </si>
  <si>
    <t>4K</t>
  </si>
  <si>
    <t>D4</t>
  </si>
  <si>
    <t>5A</t>
  </si>
  <si>
    <t>1G</t>
  </si>
  <si>
    <t>5-ER</t>
  </si>
  <si>
    <t>6M</t>
  </si>
  <si>
    <t>3J</t>
  </si>
  <si>
    <t>7L</t>
  </si>
  <si>
    <t>18B</t>
  </si>
  <si>
    <t>Bsmt</t>
  </si>
  <si>
    <t>A53</t>
  </si>
  <si>
    <t>6B</t>
  </si>
  <si>
    <t>6G</t>
  </si>
  <si>
    <t>18K</t>
  </si>
  <si>
    <t>9-P</t>
  </si>
  <si>
    <t>4H</t>
  </si>
  <si>
    <t>3D</t>
  </si>
  <si>
    <t>11P</t>
  </si>
  <si>
    <t>2E</t>
  </si>
  <si>
    <t>1C</t>
  </si>
  <si>
    <t>4C</t>
  </si>
  <si>
    <t>1A1</t>
  </si>
  <si>
    <t>1D</t>
  </si>
  <si>
    <t>5-L</t>
  </si>
  <si>
    <t>2C</t>
  </si>
  <si>
    <t>3A</t>
  </si>
  <si>
    <t>23O</t>
  </si>
  <si>
    <t>3F</t>
  </si>
  <si>
    <t>6E</t>
  </si>
  <si>
    <t>5F</t>
  </si>
  <si>
    <t>5I</t>
  </si>
  <si>
    <t>6J</t>
  </si>
  <si>
    <t>2dr</t>
  </si>
  <si>
    <t>2RS</t>
  </si>
  <si>
    <t>E17K</t>
  </si>
  <si>
    <t>B10D</t>
  </si>
  <si>
    <t>2B</t>
  </si>
  <si>
    <t>1I</t>
  </si>
  <si>
    <t>D3J</t>
  </si>
  <si>
    <t>7C</t>
  </si>
  <si>
    <t>9A</t>
  </si>
  <si>
    <t>F</t>
  </si>
  <si>
    <t>F5</t>
  </si>
  <si>
    <t>D5</t>
  </si>
  <si>
    <t>4-A</t>
  </si>
  <si>
    <t>1N</t>
  </si>
  <si>
    <t>4B</t>
  </si>
  <si>
    <t>12G1</t>
  </si>
  <si>
    <t>05C</t>
  </si>
  <si>
    <t>10G</t>
  </si>
  <si>
    <t>6N</t>
  </si>
  <si>
    <t>04D</t>
  </si>
  <si>
    <t>16H</t>
  </si>
  <si>
    <t>19K</t>
  </si>
  <si>
    <t>12K</t>
  </si>
  <si>
    <t>9B</t>
  </si>
  <si>
    <t>5D</t>
  </si>
  <si>
    <t>B3</t>
  </si>
  <si>
    <t>5K</t>
  </si>
  <si>
    <t>9K</t>
  </si>
  <si>
    <t>1O</t>
  </si>
  <si>
    <t>Apt. 10-H</t>
  </si>
  <si>
    <t>9C</t>
  </si>
  <si>
    <t>C5N</t>
  </si>
  <si>
    <t>B6M</t>
  </si>
  <si>
    <t>13B</t>
  </si>
  <si>
    <t>09A</t>
  </si>
  <si>
    <t>09F</t>
  </si>
  <si>
    <t>14H</t>
  </si>
  <si>
    <t>10H</t>
  </si>
  <si>
    <t>2FS</t>
  </si>
  <si>
    <t>2RW</t>
  </si>
  <si>
    <t>2W</t>
  </si>
  <si>
    <t>Top Floor</t>
  </si>
  <si>
    <t>Apt.11-C</t>
  </si>
  <si>
    <t>18E</t>
  </si>
  <si>
    <t>2H</t>
  </si>
  <si>
    <t>3rd Fl</t>
  </si>
  <si>
    <t>2K</t>
  </si>
  <si>
    <t>Patio Apt</t>
  </si>
  <si>
    <t>11D</t>
  </si>
  <si>
    <t>1W</t>
  </si>
  <si>
    <t>14A</t>
  </si>
  <si>
    <t>5J</t>
  </si>
  <si>
    <t>Apt. 4E</t>
  </si>
  <si>
    <t>11B</t>
  </si>
  <si>
    <t>BD</t>
  </si>
  <si>
    <t>6I</t>
  </si>
  <si>
    <t>Apt 3C</t>
  </si>
  <si>
    <t>20J</t>
  </si>
  <si>
    <t>9P</t>
  </si>
  <si>
    <t>18I</t>
  </si>
  <si>
    <t>8C</t>
  </si>
  <si>
    <t>4N</t>
  </si>
  <si>
    <t>10F</t>
  </si>
  <si>
    <t>3b</t>
  </si>
  <si>
    <t>16C</t>
  </si>
  <si>
    <t>02H</t>
  </si>
  <si>
    <t>16 J</t>
  </si>
  <si>
    <t>15F</t>
  </si>
  <si>
    <t>18H</t>
  </si>
  <si>
    <t>06E</t>
  </si>
  <si>
    <t>4B-</t>
  </si>
  <si>
    <t>3-C</t>
  </si>
  <si>
    <t>5-B</t>
  </si>
  <si>
    <t>12-E</t>
  </si>
  <si>
    <t>8G</t>
  </si>
  <si>
    <t>5L</t>
  </si>
  <si>
    <t>5G</t>
  </si>
  <si>
    <t>14-C</t>
  </si>
  <si>
    <t>16-E</t>
  </si>
  <si>
    <t>16F</t>
  </si>
  <si>
    <t>1d</t>
  </si>
  <si>
    <t>13A</t>
  </si>
  <si>
    <t>4k</t>
  </si>
  <si>
    <t>14K</t>
  </si>
  <si>
    <t>21K</t>
  </si>
  <si>
    <t>09E</t>
  </si>
  <si>
    <t>Bmst</t>
  </si>
  <si>
    <t>4W</t>
  </si>
  <si>
    <t>3N</t>
  </si>
  <si>
    <t>08A</t>
  </si>
  <si>
    <t>9E</t>
  </si>
  <si>
    <t>7F</t>
  </si>
  <si>
    <t>55B</t>
  </si>
  <si>
    <t>11O</t>
  </si>
  <si>
    <t>B1</t>
  </si>
  <si>
    <t>10L</t>
  </si>
  <si>
    <t>9D</t>
  </si>
  <si>
    <t>45C</t>
  </si>
  <si>
    <t>14J</t>
  </si>
  <si>
    <t>C</t>
  </si>
  <si>
    <t>01K</t>
  </si>
  <si>
    <t>3G</t>
  </si>
  <si>
    <t>7E</t>
  </si>
  <si>
    <t>5-A</t>
  </si>
  <si>
    <t>15C</t>
  </si>
  <si>
    <t>14j</t>
  </si>
  <si>
    <t>1FR</t>
  </si>
  <si>
    <t>Apt 2B</t>
  </si>
  <si>
    <t>2c</t>
  </si>
  <si>
    <t>3I</t>
  </si>
  <si>
    <t>6-G</t>
  </si>
  <si>
    <t>3H</t>
  </si>
  <si>
    <t>Basement</t>
  </si>
  <si>
    <t>18-H</t>
  </si>
  <si>
    <t>LL-1</t>
  </si>
  <si>
    <t>25D</t>
  </si>
  <si>
    <t>14C</t>
  </si>
  <si>
    <t>8A</t>
  </si>
  <si>
    <t>16D</t>
  </si>
  <si>
    <t>19D</t>
  </si>
  <si>
    <t>1H</t>
  </si>
  <si>
    <t>62D</t>
  </si>
  <si>
    <t>12A</t>
  </si>
  <si>
    <t>C103</t>
  </si>
  <si>
    <t>19E</t>
  </si>
  <si>
    <t>9F</t>
  </si>
  <si>
    <t>14E</t>
  </si>
  <si>
    <t>32D</t>
  </si>
  <si>
    <t>18D</t>
  </si>
  <si>
    <t>17I</t>
  </si>
  <si>
    <t>17B</t>
  </si>
  <si>
    <t>GA</t>
  </si>
  <si>
    <t>6-1</t>
  </si>
  <si>
    <t>4-1</t>
  </si>
  <si>
    <t>22F</t>
  </si>
  <si>
    <t>8O</t>
  </si>
  <si>
    <t>2-E</t>
  </si>
  <si>
    <t>6W</t>
  </si>
  <si>
    <t>8B</t>
  </si>
  <si>
    <t>71E</t>
  </si>
  <si>
    <t>10S</t>
  </si>
  <si>
    <t>3R</t>
  </si>
  <si>
    <t>1R</t>
  </si>
  <si>
    <t>C9L</t>
  </si>
  <si>
    <t>1FW</t>
  </si>
  <si>
    <t>3FE</t>
  </si>
  <si>
    <t>9MN</t>
  </si>
  <si>
    <t>N9I</t>
  </si>
  <si>
    <t>N17I</t>
  </si>
  <si>
    <t>3L</t>
  </si>
  <si>
    <t>Apt. 8-G</t>
  </si>
  <si>
    <t>3AW</t>
  </si>
  <si>
    <t>05A</t>
  </si>
  <si>
    <t>7J</t>
  </si>
  <si>
    <t>14G</t>
  </si>
  <si>
    <t>8i</t>
  </si>
  <si>
    <t>ground fl</t>
  </si>
  <si>
    <t>06H</t>
  </si>
  <si>
    <t>19F</t>
  </si>
  <si>
    <t>7-G</t>
  </si>
  <si>
    <t>10A</t>
  </si>
  <si>
    <t>A2</t>
  </si>
  <si>
    <t>02B</t>
  </si>
  <si>
    <t>16J</t>
  </si>
  <si>
    <t>M703</t>
  </si>
  <si>
    <t>13-H</t>
  </si>
  <si>
    <t>13G</t>
  </si>
  <si>
    <t>18F</t>
  </si>
  <si>
    <t>21C</t>
  </si>
  <si>
    <t>09B</t>
  </si>
  <si>
    <t>13E</t>
  </si>
  <si>
    <t>07B</t>
  </si>
  <si>
    <t>16B</t>
  </si>
  <si>
    <t>13C</t>
  </si>
  <si>
    <t>7K</t>
  </si>
  <si>
    <t>Far Rockaway</t>
  </si>
  <si>
    <t>Ridgewood</t>
  </si>
  <si>
    <t>Brooklyn</t>
  </si>
  <si>
    <t>Bronx</t>
  </si>
  <si>
    <t>New York</t>
  </si>
  <si>
    <t>NEW YORK</t>
  </si>
  <si>
    <t>NY</t>
  </si>
  <si>
    <t xml:space="preserve"> </t>
  </si>
  <si>
    <t>Yes</t>
  </si>
  <si>
    <t>No</t>
  </si>
  <si>
    <t>HRA</t>
  </si>
  <si>
    <t>Other</t>
  </si>
  <si>
    <t>Returning Client</t>
  </si>
  <si>
    <t>Community Organization</t>
  </si>
  <si>
    <t>Court Referral-NON HRA</t>
  </si>
  <si>
    <t>In-House</t>
  </si>
  <si>
    <t>Outreach</t>
  </si>
  <si>
    <t>Friends/Family</t>
  </si>
  <si>
    <t>Self-referred</t>
  </si>
  <si>
    <t>Other City Agency</t>
  </si>
  <si>
    <t>Elected Official</t>
  </si>
  <si>
    <t>LT-064923-19/NY</t>
  </si>
  <si>
    <t>LT-080010-18/NY</t>
  </si>
  <si>
    <t>LT-012069-19/NY</t>
  </si>
  <si>
    <t>LT-019453-18/NY</t>
  </si>
  <si>
    <t>LT-020122-17/NY</t>
  </si>
  <si>
    <t>075312-18/NY</t>
  </si>
  <si>
    <t>LT-013662-19/NY</t>
  </si>
  <si>
    <t>LT-059978-19/NY</t>
  </si>
  <si>
    <t>LT-082076-17/NY</t>
  </si>
  <si>
    <t>LT-053161-19/NY</t>
  </si>
  <si>
    <t>LT-054372-19/NY</t>
  </si>
  <si>
    <t>LT-054563-19/NY</t>
  </si>
  <si>
    <t>LT-055333-17/NY</t>
  </si>
  <si>
    <t>LT-055073-18/MN</t>
  </si>
  <si>
    <t>LT-081345-18/NY</t>
  </si>
  <si>
    <t>LT-056748-19/NY</t>
  </si>
  <si>
    <t>LT-057884-19/NY</t>
  </si>
  <si>
    <t>LT-071816-17/NY</t>
  </si>
  <si>
    <t>LT-065946-19/NY</t>
  </si>
  <si>
    <t>LT-051316-19/NY</t>
  </si>
  <si>
    <t>LT-068037-17/NY</t>
  </si>
  <si>
    <t>LT-055202-19/NY</t>
  </si>
  <si>
    <t>LT-063465-18/NY</t>
  </si>
  <si>
    <t>LT-064037-19/NY</t>
  </si>
  <si>
    <t>LT-064895-19/NY</t>
  </si>
  <si>
    <t>LT-068088-19/NY</t>
  </si>
  <si>
    <t>LT-068866-19/NY</t>
  </si>
  <si>
    <t>LT-079778-18/NY</t>
  </si>
  <si>
    <t>LT-021058-18/NY</t>
  </si>
  <si>
    <t>LT-080159-18/NY</t>
  </si>
  <si>
    <t>LT-055150-19/NY</t>
  </si>
  <si>
    <t>LT-055891-19/NY</t>
  </si>
  <si>
    <t>LT-055755-19/NY</t>
  </si>
  <si>
    <t>LT-080048-18/NY</t>
  </si>
  <si>
    <t>LT-061824-19/NY</t>
  </si>
  <si>
    <t>LT-065881-19/NY</t>
  </si>
  <si>
    <t>LT-068192-19/NY</t>
  </si>
  <si>
    <t>LT-65257-9/NY</t>
  </si>
  <si>
    <t>LT-015335-18/NY</t>
  </si>
  <si>
    <t>LT-014114-19/NY</t>
  </si>
  <si>
    <t>910790-TD-2019</t>
  </si>
  <si>
    <t>906402-NB-2018</t>
  </si>
  <si>
    <t>LT-250713-19/NY</t>
  </si>
  <si>
    <t>LT-210767-19/NY</t>
  </si>
  <si>
    <t>LT-251059-18/NY</t>
  </si>
  <si>
    <t>LT-250678-18/NY</t>
  </si>
  <si>
    <t>LT-211609-18/NY</t>
  </si>
  <si>
    <t>LT-251897-18/HA</t>
  </si>
  <si>
    <t>910569-An-2019</t>
  </si>
  <si>
    <t>LT-079893-18/NY</t>
  </si>
  <si>
    <t>LT-076259-18/NY</t>
  </si>
  <si>
    <t>LT-064874-19/NY</t>
  </si>
  <si>
    <t>LT-250448-19/NY</t>
  </si>
  <si>
    <t>LT-250778-19/NY</t>
  </si>
  <si>
    <t>LT-250962-19/NY</t>
  </si>
  <si>
    <t>LT-211453-16/NY</t>
  </si>
  <si>
    <t>LT-252248-18/NY</t>
  </si>
  <si>
    <t>LT-252351-HA</t>
  </si>
  <si>
    <t>LT-250009-HA</t>
  </si>
  <si>
    <t>LT-250558-19/NY</t>
  </si>
  <si>
    <t>LT-050006-19/NY</t>
  </si>
  <si>
    <t>LT-055406-19/NY</t>
  </si>
  <si>
    <t>LT-051895-19/NY</t>
  </si>
  <si>
    <t>LT-071398-18/NY</t>
  </si>
  <si>
    <t>LT-059192-19/NY</t>
  </si>
  <si>
    <t>LT-064422-19/NY</t>
  </si>
  <si>
    <t>LT-066133-19/NY</t>
  </si>
  <si>
    <t>LT-075009-18/NY</t>
  </si>
  <si>
    <t>LT-055310-19/NY</t>
  </si>
  <si>
    <t>LT-055895-19/NY</t>
  </si>
  <si>
    <t>LT-079032-18/NY</t>
  </si>
  <si>
    <t>LT-055485-19/NY</t>
  </si>
  <si>
    <t>LT-063016-19/NY</t>
  </si>
  <si>
    <t>LT-055486-19/NY</t>
  </si>
  <si>
    <t>LT-051794-19/NY</t>
  </si>
  <si>
    <t>LT-077180</t>
  </si>
  <si>
    <t>LT-016518-16/NY</t>
  </si>
  <si>
    <t>LT-066630-19/NY</t>
  </si>
  <si>
    <t>LT-078059-18/NY</t>
  </si>
  <si>
    <t>LT-051227-19/NY</t>
  </si>
  <si>
    <t>LT-051581-19/NY</t>
  </si>
  <si>
    <t>LT-052424-19/NY</t>
  </si>
  <si>
    <t>LT-051773-19/NY</t>
  </si>
  <si>
    <t>LT-011588-19/NY</t>
  </si>
  <si>
    <t>LT-054279-19/NY</t>
  </si>
  <si>
    <t>LT-064372-19/NY</t>
  </si>
  <si>
    <t>LT-066795-19/NY</t>
  </si>
  <si>
    <t>LT-065548-19/NY</t>
  </si>
  <si>
    <t>LT-078534-18/NY</t>
  </si>
  <si>
    <t>LT-050487-19/NY</t>
  </si>
  <si>
    <t>LT-067937-17/NY</t>
  </si>
  <si>
    <t>LT-079637-18/NY</t>
  </si>
  <si>
    <t>LT-054638-19/NY</t>
  </si>
  <si>
    <t>LT-056363-19/NY</t>
  </si>
  <si>
    <t>LT-057696-19/NY</t>
  </si>
  <si>
    <t>LT-012748-19/NY</t>
  </si>
  <si>
    <t>LT-075925-18/NY</t>
  </si>
  <si>
    <t>LT-063400-19/NY</t>
  </si>
  <si>
    <t>LT-058517-19/NY</t>
  </si>
  <si>
    <t>LT-068887-19/NY</t>
  </si>
  <si>
    <t>LT-050029-19/NY</t>
  </si>
  <si>
    <t>LT-073752-18/NY</t>
  </si>
  <si>
    <t>LT-076806-18/NY</t>
  </si>
  <si>
    <t>LT-050594-19/NY</t>
  </si>
  <si>
    <t>LT-052290-19/NY</t>
  </si>
  <si>
    <t>LT-052680-19/NY</t>
  </si>
  <si>
    <t>LT-053002-19/NY</t>
  </si>
  <si>
    <t>LT-054833-19/NY</t>
  </si>
  <si>
    <t>LT-055629-19/NY</t>
  </si>
  <si>
    <t>LT-054436-19/NY</t>
  </si>
  <si>
    <t>LT-057362-19/NY</t>
  </si>
  <si>
    <t>LT-056525-19/NY</t>
  </si>
  <si>
    <t>LT-057543-19/NY</t>
  </si>
  <si>
    <t>LT-056077-19/NY</t>
  </si>
  <si>
    <t>LT-081325-18/NY</t>
  </si>
  <si>
    <t>LT-057617-19/NY</t>
  </si>
  <si>
    <t>LT-060766-19/NY</t>
  </si>
  <si>
    <t>LT-061442-19/NY</t>
  </si>
  <si>
    <t>LT-057484-19/NY</t>
  </si>
  <si>
    <t>LT-061993-19/NY</t>
  </si>
  <si>
    <t>LT-057907-19/NY</t>
  </si>
  <si>
    <t>LT-060753-19/NY</t>
  </si>
  <si>
    <t>LT-064091-19/NY</t>
  </si>
  <si>
    <t>LT-064209-19/NY</t>
  </si>
  <si>
    <t>LT-064279-19/NY</t>
  </si>
  <si>
    <t>LT-064700-19/NY</t>
  </si>
  <si>
    <t>LT-063077-19/NY</t>
  </si>
  <si>
    <t>LT-065162-19/NY</t>
  </si>
  <si>
    <t>LT-065814-19/NY</t>
  </si>
  <si>
    <t>LT-065631-19/NY</t>
  </si>
  <si>
    <t>LT-063015-19/NY</t>
  </si>
  <si>
    <t>LT-067277-19/NY</t>
  </si>
  <si>
    <t>LT-068954-19/NY</t>
  </si>
  <si>
    <t>LT-013595-19/NY</t>
  </si>
  <si>
    <t>LT-079418-18/NY</t>
  </si>
  <si>
    <t>LT-078915-18/NY</t>
  </si>
  <si>
    <t>LT-080541-18/NY</t>
  </si>
  <si>
    <t>LT-077812-18/NY</t>
  </si>
  <si>
    <t>LT-080967-18/NY</t>
  </si>
  <si>
    <t>LT-050375-19/NY</t>
  </si>
  <si>
    <t>LT-080227-18/NY</t>
  </si>
  <si>
    <t>LT-050976-19/NY</t>
  </si>
  <si>
    <t>LT-050597-19/NY</t>
  </si>
  <si>
    <t>LT-073154-18/NY</t>
  </si>
  <si>
    <t>LT-050329-19/NY</t>
  </si>
  <si>
    <t>LT-079583-18/NY</t>
  </si>
  <si>
    <t>LT-051931-19/NY</t>
  </si>
  <si>
    <t>LT-052467-19/NY</t>
  </si>
  <si>
    <t>LT-052671-19/NY</t>
  </si>
  <si>
    <t>LT-079685-18/NY</t>
  </si>
  <si>
    <t>LT-074698-18/NY</t>
  </si>
  <si>
    <t>LT-052460-19/NY</t>
  </si>
  <si>
    <t>LT-051979-19/NY</t>
  </si>
  <si>
    <t>LT-052658-19/NY</t>
  </si>
  <si>
    <t>LT-079189-18/NY</t>
  </si>
  <si>
    <t>LT-077386-18/NY</t>
  </si>
  <si>
    <t>LT-079886-18/NY</t>
  </si>
  <si>
    <t>LT-052461-19/NY</t>
  </si>
  <si>
    <t>LT-054384-19/NY</t>
  </si>
  <si>
    <t>LT-065019-18/NY</t>
  </si>
  <si>
    <t>LT-050987-19/NY</t>
  </si>
  <si>
    <t>LT-054632-19/NY</t>
  </si>
  <si>
    <t>LT-051577-19/NY</t>
  </si>
  <si>
    <t>LT-053712-19/NY</t>
  </si>
  <si>
    <t>LT-055645-19/NY</t>
  </si>
  <si>
    <t>LT-055214-19/NY</t>
  </si>
  <si>
    <t>LT-054913-19/NY</t>
  </si>
  <si>
    <t>LT-055271-19/NY</t>
  </si>
  <si>
    <t>LT-052102-19/NY</t>
  </si>
  <si>
    <t>LT-080785-18/NY</t>
  </si>
  <si>
    <t>LT-072882-18/NY</t>
  </si>
  <si>
    <t>LT-081001-18/NY</t>
  </si>
  <si>
    <t>LT-056304-19/NY</t>
  </si>
  <si>
    <t>LT-056172-19/NY</t>
  </si>
  <si>
    <t>LT-052280-19/NY</t>
  </si>
  <si>
    <t>LT-057305-19/NY</t>
  </si>
  <si>
    <t>LT-058893-19/NY</t>
  </si>
  <si>
    <t>LT-058012-19/NY</t>
  </si>
  <si>
    <t>LT-058771-19/NY</t>
  </si>
  <si>
    <t>LT-078575-18/NY</t>
  </si>
  <si>
    <t>LT-057297-19/NY</t>
  </si>
  <si>
    <t>LT-058013-19/NY</t>
  </si>
  <si>
    <t>LT-058896-19/NY</t>
  </si>
  <si>
    <t>LT-058894-19/NY</t>
  </si>
  <si>
    <t>LT-068732-18/NY</t>
  </si>
  <si>
    <t>LT-059539-19/NY</t>
  </si>
  <si>
    <t>LT-058416-19/NY</t>
  </si>
  <si>
    <t>LT-060612-19/NY</t>
  </si>
  <si>
    <t>LT-057860-19/NY</t>
  </si>
  <si>
    <t>LT-061483-19/NY</t>
  </si>
  <si>
    <t>LT-062390-19/NY</t>
  </si>
  <si>
    <t>LT-062248-19/NY</t>
  </si>
  <si>
    <t>LT-056467-18/KI</t>
  </si>
  <si>
    <t>LT-062298-19/NY</t>
  </si>
  <si>
    <t>LT-063249-19/NY</t>
  </si>
  <si>
    <t>LT-062075-19/NY</t>
  </si>
  <si>
    <t>LT-063836-19/NY</t>
  </si>
  <si>
    <t>LT-063986-19/NY</t>
  </si>
  <si>
    <t>LT-063992-19/NY</t>
  </si>
  <si>
    <t>LT-063560-19/NY</t>
  </si>
  <si>
    <t>LT-060434-19/NY</t>
  </si>
  <si>
    <t>LT-062096-19/NY</t>
  </si>
  <si>
    <t>LT-055152-19/NY</t>
  </si>
  <si>
    <t>LT-063588-19/NY</t>
  </si>
  <si>
    <t>LT-065663-19/NY</t>
  </si>
  <si>
    <t>LT-065906-19/NY</t>
  </si>
  <si>
    <t>LT-065097-19/NY</t>
  </si>
  <si>
    <t>LT-065081-19/NY</t>
  </si>
  <si>
    <t>LT-066481-19/NY</t>
  </si>
  <si>
    <t>LT-066262-19/NY</t>
  </si>
  <si>
    <t>LT-066683-19/NY</t>
  </si>
  <si>
    <t>LT-066183-19/NY</t>
  </si>
  <si>
    <t>LT-066883-19/NY</t>
  </si>
  <si>
    <t>LT-066688-19/NY</t>
  </si>
  <si>
    <t>LT-066638-19/NY</t>
  </si>
  <si>
    <t>LT-055023-19/NY</t>
  </si>
  <si>
    <t>LT-069028-19/NY</t>
  </si>
  <si>
    <t>LT-067482-19/NY</t>
  </si>
  <si>
    <t>LT-064527-19/NY</t>
  </si>
  <si>
    <t>LT-067823-19/NY</t>
  </si>
  <si>
    <t>LT-067904-19/NY</t>
  </si>
  <si>
    <t>LT-053768-19/NY</t>
  </si>
  <si>
    <t>LT-068132-19/NY</t>
  </si>
  <si>
    <t>0151596/2019</t>
  </si>
  <si>
    <t>LT-062930-19/NY</t>
  </si>
  <si>
    <t>LT-080059-18/NY</t>
  </si>
  <si>
    <t>LT-052564-19/NY</t>
  </si>
  <si>
    <t>LT-068956-18/NY</t>
  </si>
  <si>
    <t>LT-010846-19/NY</t>
  </si>
  <si>
    <t>LT-072374-17/NY</t>
  </si>
  <si>
    <t>LT-013967-19/NY</t>
  </si>
  <si>
    <t>LT-064034-19/NY</t>
  </si>
  <si>
    <t>LT-064714-19/NY</t>
  </si>
  <si>
    <t>LT-066095-19/NY</t>
  </si>
  <si>
    <t>LT-080128-18/NY</t>
  </si>
  <si>
    <t>LT-074376-18/NY</t>
  </si>
  <si>
    <t>LT-063006-18/NY</t>
  </si>
  <si>
    <t>LT-080130-18/NY</t>
  </si>
  <si>
    <t>LT-054719-19/NY</t>
  </si>
  <si>
    <t>LT-062192-19/NY</t>
  </si>
  <si>
    <t>LT-012997-19/NY</t>
  </si>
  <si>
    <t>LT-063580-19/NY</t>
  </si>
  <si>
    <t>LT-069234-19/NY</t>
  </si>
  <si>
    <t>910368-NB-2019</t>
  </si>
  <si>
    <t>LT-078408-18/NY</t>
  </si>
  <si>
    <t>LT-512274-19/NY</t>
  </si>
  <si>
    <t>LT-081373-18/NY</t>
  </si>
  <si>
    <t>LT-054596-19/NY</t>
  </si>
  <si>
    <t>LT-068520-18/NY</t>
  </si>
  <si>
    <t>LT-015095-19/NY</t>
  </si>
  <si>
    <t>LT-013820-19/NY</t>
  </si>
  <si>
    <t>LT-064229-19/NY</t>
  </si>
  <si>
    <t>LT-064296-19/NY</t>
  </si>
  <si>
    <t>LT-066512-19/NY</t>
  </si>
  <si>
    <t>LT-016533-19/NY</t>
  </si>
  <si>
    <t>LT-001028-19/NY</t>
  </si>
  <si>
    <t>LT-077913-18/NY</t>
  </si>
  <si>
    <t>LT-063486-18/NY</t>
  </si>
  <si>
    <t>LT-019027-17/NY</t>
  </si>
  <si>
    <t>LT-020648-18/NY</t>
  </si>
  <si>
    <t>LT-210755-16/HA</t>
  </si>
  <si>
    <t>LT-120362-19/NY</t>
  </si>
  <si>
    <t>LT-012626-19/NY</t>
  </si>
  <si>
    <t>LT-054694-19/NY</t>
  </si>
  <si>
    <t>LT-058043-19/NY</t>
  </si>
  <si>
    <t>LT-058040-19/NY</t>
  </si>
  <si>
    <t>LT-012941-19/NY</t>
  </si>
  <si>
    <t>LT-210372-19/NY</t>
  </si>
  <si>
    <t>LT-021322-18/NY</t>
  </si>
  <si>
    <t>LT-014680-19/NY</t>
  </si>
  <si>
    <t>LT-012965-19/NY</t>
  </si>
  <si>
    <t>LT-010605-18/NY</t>
  </si>
  <si>
    <t>LT-014459-19/NY</t>
  </si>
  <si>
    <t>LT-015411-19/NY</t>
  </si>
  <si>
    <t>LT-012711-19/NY</t>
  </si>
  <si>
    <t>LT-064497-19/NY</t>
  </si>
  <si>
    <t>LT-064830-19/NY</t>
  </si>
  <si>
    <t>LT-051456-19/NY</t>
  </si>
  <si>
    <t>LT-051861-19/NY</t>
  </si>
  <si>
    <t>LT-054997-19/NY</t>
  </si>
  <si>
    <t>LT-077358-18/NY</t>
  </si>
  <si>
    <t>LT-053193-19/NY</t>
  </si>
  <si>
    <t>LT-050207-19/NY</t>
  </si>
  <si>
    <t>LT-054048-19/NY</t>
  </si>
  <si>
    <t>LT-055038-19/NY</t>
  </si>
  <si>
    <t>LT-055037-19/NY</t>
  </si>
  <si>
    <t>LT-012118-19/NY</t>
  </si>
  <si>
    <t>LT-011784-19/NY</t>
  </si>
  <si>
    <t>LT-055374-19/NY</t>
  </si>
  <si>
    <t>LT-012140-19/NY</t>
  </si>
  <si>
    <t>LT-016469-18/NY</t>
  </si>
  <si>
    <t>LT-012119-19/NY</t>
  </si>
  <si>
    <t>LT-059047-19/NY</t>
  </si>
  <si>
    <t>LT-055888-19/NY</t>
  </si>
  <si>
    <t>LT-061140-19/NY</t>
  </si>
  <si>
    <t>LT-054142-19/NY</t>
  </si>
  <si>
    <t>LT-054824-19/NY</t>
  </si>
  <si>
    <t>LT-061738-19/NY</t>
  </si>
  <si>
    <t>LT-063492-19/NY</t>
  </si>
  <si>
    <t>LT-063669-19/NY</t>
  </si>
  <si>
    <t>LT-063980-19/NY</t>
  </si>
  <si>
    <t>LT-064982-19/NY</t>
  </si>
  <si>
    <t>LT-065169-19/NY</t>
  </si>
  <si>
    <t>LT-080298-18/NY</t>
  </si>
  <si>
    <t>LT-079984-18/NY</t>
  </si>
  <si>
    <t>LT-079985-18/NY</t>
  </si>
  <si>
    <t>LT-079782-18/NY</t>
  </si>
  <si>
    <t>LT-020618-18/NY</t>
  </si>
  <si>
    <t>LT-054512-18/NY</t>
  </si>
  <si>
    <t>LT-015196-18/NY</t>
  </si>
  <si>
    <t>LT-079975-18/NY</t>
  </si>
  <si>
    <t>LT-019505-18/NY</t>
  </si>
  <si>
    <t>078920/18</t>
  </si>
  <si>
    <t>LT-080867-18/NY</t>
  </si>
  <si>
    <t>LT-080030-18/NY</t>
  </si>
  <si>
    <t>LT-051659-19/NY</t>
  </si>
  <si>
    <t>LT-051298-19/NY</t>
  </si>
  <si>
    <t>LT-017951-18/NY</t>
  </si>
  <si>
    <t>LT-068842-18/NY</t>
  </si>
  <si>
    <t>LT-080206-18/NY</t>
  </si>
  <si>
    <t>LT-059282-18/NY</t>
  </si>
  <si>
    <t>LT-051031-19/NY</t>
  </si>
  <si>
    <t>LT-077006-18/NY</t>
  </si>
  <si>
    <t>LT-050867-19/NY</t>
  </si>
  <si>
    <t>LT-050868-19/NY</t>
  </si>
  <si>
    <t>LT-069642-18/NY</t>
  </si>
  <si>
    <t>LT-071619-18/NY</t>
  </si>
  <si>
    <t>LT-011380-19/NY</t>
  </si>
  <si>
    <t>LT-052244-19/NY</t>
  </si>
  <si>
    <t>LT-052482-19/NY</t>
  </si>
  <si>
    <t>LT-052950-19/NY</t>
  </si>
  <si>
    <t>LT-050783-19/NY</t>
  </si>
  <si>
    <t>LT-079119-18/NY</t>
  </si>
  <si>
    <t>LT-052240-19/NY</t>
  </si>
  <si>
    <t>LT-052879-19/NY</t>
  </si>
  <si>
    <t>LT-053448-19/NY</t>
  </si>
  <si>
    <t>LT-080332-18/NY</t>
  </si>
  <si>
    <t>LT-078986-18/NY</t>
  </si>
  <si>
    <t>LT-069194-18/NY</t>
  </si>
  <si>
    <t>LT-073449-18/NY</t>
  </si>
  <si>
    <t>LT-078115-16/NY</t>
  </si>
  <si>
    <t>LT-125297-18/NY</t>
  </si>
  <si>
    <t>LT-055634-19/NY</t>
  </si>
  <si>
    <t>LT-012271-19/NY</t>
  </si>
  <si>
    <t>LT-054769-19/NY</t>
  </si>
  <si>
    <t>LT-056404-19/NY</t>
  </si>
  <si>
    <t>LT-055588-19/NY</t>
  </si>
  <si>
    <t>LT-056256-19/NY</t>
  </si>
  <si>
    <t>LT-012268-19/NY</t>
  </si>
  <si>
    <t>LT-055079-19/NY</t>
  </si>
  <si>
    <t>LT-056524-19/NY</t>
  </si>
  <si>
    <t>LT-054183-19/NY</t>
  </si>
  <si>
    <t>LT-081519-18/NY</t>
  </si>
  <si>
    <t>LT-081249-18/NY</t>
  </si>
  <si>
    <t>LT-056797-19/NY</t>
  </si>
  <si>
    <t>LT-056796-19/NY</t>
  </si>
  <si>
    <t>LT-057323-19/NY</t>
  </si>
  <si>
    <t>LT-050846-19/NY</t>
  </si>
  <si>
    <t>LT-056162-19/NY</t>
  </si>
  <si>
    <t>LT-021337-18/NY</t>
  </si>
  <si>
    <t>LT-012781-19/NY</t>
  </si>
  <si>
    <t>LT-018980-18/NY</t>
  </si>
  <si>
    <t>LT-016253-18/NY</t>
  </si>
  <si>
    <t>LT-057248-19/NY</t>
  </si>
  <si>
    <t>LT-057870-19/NY</t>
  </si>
  <si>
    <t>LT-057324-19/NY</t>
  </si>
  <si>
    <t>LT-011388-19/NY</t>
  </si>
  <si>
    <t>LT-058352-19/NY</t>
  </si>
  <si>
    <t>LT-013597-19/NY</t>
  </si>
  <si>
    <t>LT-059234-19/NY</t>
  </si>
  <si>
    <t>LT-059143-19/NY</t>
  </si>
  <si>
    <t>LT-059232-19/NY</t>
  </si>
  <si>
    <t>LT-058684-19/NY</t>
  </si>
  <si>
    <t>LT-013738-19/NY</t>
  </si>
  <si>
    <t>LT-013737-19/NY</t>
  </si>
  <si>
    <t>LT-059512-19/NY</t>
  </si>
  <si>
    <t>LT-059328-19/NY</t>
  </si>
  <si>
    <t>LT-081533-18/NY</t>
  </si>
  <si>
    <t>LT-017112-18/NY</t>
  </si>
  <si>
    <t>LT-058448-19/NY</t>
  </si>
  <si>
    <t>LT-056378-19/NY</t>
  </si>
  <si>
    <t>LT-051189-19/NY</t>
  </si>
  <si>
    <t>LT-059231-19/NY</t>
  </si>
  <si>
    <t>LT-060047-19/NY</t>
  </si>
  <si>
    <t>LT-016284-18/NY</t>
  </si>
  <si>
    <t>LT-014446-19/NY</t>
  </si>
  <si>
    <t>LT-080330-18/NY</t>
  </si>
  <si>
    <t>LT-062851-19/NY</t>
  </si>
  <si>
    <t>LT-058358-19/NY</t>
  </si>
  <si>
    <t>LT-062854-19/NY</t>
  </si>
  <si>
    <t>LT-011386-19/NY</t>
  </si>
  <si>
    <t>LT-015109/19/NY</t>
  </si>
  <si>
    <t>LT-013524-19/NY</t>
  </si>
  <si>
    <t>LT-063169-19/NY</t>
  </si>
  <si>
    <t>LT-061434-19/NY</t>
  </si>
  <si>
    <t>LT-063784-19/NY</t>
  </si>
  <si>
    <t>LT-063235-19/NY</t>
  </si>
  <si>
    <t>LT-063791-19/NY</t>
  </si>
  <si>
    <t>LT-016063-19/NY</t>
  </si>
  <si>
    <t>LT-017991-18/NY</t>
  </si>
  <si>
    <t>LT-018671-17/NY</t>
  </si>
  <si>
    <t>LT-062853-19/NY</t>
  </si>
  <si>
    <t>LT-064503-19/NY</t>
  </si>
  <si>
    <t>LT-016341-19/NY</t>
  </si>
  <si>
    <t>LT-052817-19/NY</t>
  </si>
  <si>
    <t>LT-062643-19/NY</t>
  </si>
  <si>
    <t>LT-013699-18/NY</t>
  </si>
  <si>
    <t>LT-050289-19/NY</t>
  </si>
  <si>
    <t>LT-062388-19/NY</t>
  </si>
  <si>
    <t>LT-065383-19/NY</t>
  </si>
  <si>
    <t>LT-066682-19/NY</t>
  </si>
  <si>
    <t>LT-066846-19/NY</t>
  </si>
  <si>
    <t>LT-066802-19/NY</t>
  </si>
  <si>
    <t>LT-066954-19/NY</t>
  </si>
  <si>
    <t>LT-066962-19/NY</t>
  </si>
  <si>
    <t>LT-016612-19/NY</t>
  </si>
  <si>
    <t>LT-016616-19/NY</t>
  </si>
  <si>
    <t>LT-067858-19/NY</t>
  </si>
  <si>
    <t>LT-067613-19/NY</t>
  </si>
  <si>
    <t>LT-068495-19/NY</t>
  </si>
  <si>
    <t>906305-TD-2018</t>
  </si>
  <si>
    <t>LT-053658-19/NY</t>
  </si>
  <si>
    <t>LT-057307-19/NY</t>
  </si>
  <si>
    <t>LT-050127-19/NY</t>
  </si>
  <si>
    <t>LT-083486-16/NY</t>
  </si>
  <si>
    <t>LT-012152-18/NY</t>
  </si>
  <si>
    <t>LT-050131-19/NY</t>
  </si>
  <si>
    <t>LT-050126-19/NY</t>
  </si>
  <si>
    <t>LT-058757-19/NY</t>
  </si>
  <si>
    <t>LT-083148-15/NY</t>
  </si>
  <si>
    <t>LT-06306-19/NY</t>
  </si>
  <si>
    <t>LT-012800-19/NY</t>
  </si>
  <si>
    <t>LT-063404-19/NY</t>
  </si>
  <si>
    <t>LT-064261-19/NY</t>
  </si>
  <si>
    <t>LT-064012-19/NY</t>
  </si>
  <si>
    <t>LT-067069-19/NY</t>
  </si>
  <si>
    <t>LT-064889-19.NY</t>
  </si>
  <si>
    <t>LT-080629-18/NY</t>
  </si>
  <si>
    <t>LT-018857-18/NY</t>
  </si>
  <si>
    <t>LT-020557-18/NY</t>
  </si>
  <si>
    <t>LT-081235-18/NY</t>
  </si>
  <si>
    <t>LT-076640-18/NY</t>
  </si>
  <si>
    <t>LT-081223-18/NY</t>
  </si>
  <si>
    <t>LT-081339-18/NY</t>
  </si>
  <si>
    <t>LT-081233-18/NY</t>
  </si>
  <si>
    <t>LT-081193-18/NY</t>
  </si>
  <si>
    <t>LT-080730-18/NY</t>
  </si>
  <si>
    <t>LT-080729-18/NY</t>
  </si>
  <si>
    <t>LT-050861-19/NY</t>
  </si>
  <si>
    <t>LT-078828-18/NY</t>
  </si>
  <si>
    <t>LT-051872-19/NY</t>
  </si>
  <si>
    <t>LT-051654-19/NY</t>
  </si>
  <si>
    <t>LT-052377-19/NY</t>
  </si>
  <si>
    <t>LT-051719-19/NY</t>
  </si>
  <si>
    <t>LT-052035-19/NY</t>
  </si>
  <si>
    <t>LT-052077-19/NY</t>
  </si>
  <si>
    <t>LT-052163-19/NY</t>
  </si>
  <si>
    <t>LT-052169-19/NY</t>
  </si>
  <si>
    <t>LT-053275-19/NY</t>
  </si>
  <si>
    <t>LT-054751-19/NY</t>
  </si>
  <si>
    <t>LT-020439-18/NY</t>
  </si>
  <si>
    <t>LT-054648-19/NY</t>
  </si>
  <si>
    <t>LT-020933-18/NY</t>
  </si>
  <si>
    <t>LT-054881-19/NY</t>
  </si>
  <si>
    <t>LT-056081-19/NY</t>
  </si>
  <si>
    <t>LT-012415-19/NY</t>
  </si>
  <si>
    <t>LT-057071-19/NY</t>
  </si>
  <si>
    <t>LT-080488-18/NY</t>
  </si>
  <si>
    <t>LT-051491-19/NY</t>
  </si>
  <si>
    <t>LT-019732-18/NY</t>
  </si>
  <si>
    <t>LT-056981-19/NY</t>
  </si>
  <si>
    <t>LT-054745-19/NY</t>
  </si>
  <si>
    <t>LT-056711-19/NY</t>
  </si>
  <si>
    <t>LT-080720-18/NY</t>
  </si>
  <si>
    <t>LT-013115-19/NY</t>
  </si>
  <si>
    <t>LT-058480-19/NY</t>
  </si>
  <si>
    <t>LT-051041-19/NY</t>
  </si>
  <si>
    <t>LT-058530-19/NY</t>
  </si>
  <si>
    <t>LT-059157-19/NY</t>
  </si>
  <si>
    <t>LT-060054-19/NY</t>
  </si>
  <si>
    <t>LT-059452-19/NY</t>
  </si>
  <si>
    <t>LT-057984-19/NY</t>
  </si>
  <si>
    <t>LT-020893-18/NY</t>
  </si>
  <si>
    <t>LT-019720-18/NY</t>
  </si>
  <si>
    <t>LT-051322-19/NY</t>
  </si>
  <si>
    <t>LT-014490-19/NY</t>
  </si>
  <si>
    <t>LT-057832-19/NY</t>
  </si>
  <si>
    <t>LT-62054/19-NY</t>
  </si>
  <si>
    <t>LT-058293-19/NY</t>
  </si>
  <si>
    <t>LT-062256-19/NY</t>
  </si>
  <si>
    <t>LT-061068-19/NY</t>
  </si>
  <si>
    <t>LT-062657-19/NY</t>
  </si>
  <si>
    <t>LT-062258-19/NY</t>
  </si>
  <si>
    <t>LT-061745-19/NY</t>
  </si>
  <si>
    <t>LT-013103-19/NY</t>
  </si>
  <si>
    <t>LT-063714-19/NY</t>
  </si>
  <si>
    <t>LT-063764-19/NY</t>
  </si>
  <si>
    <t>LT-063772-19/NY</t>
  </si>
  <si>
    <t>LT-063807-19/NY</t>
  </si>
  <si>
    <t>LT-056299-19/NY</t>
  </si>
  <si>
    <t>LT-063738-19/NY</t>
  </si>
  <si>
    <t>LT-061067-19/NY</t>
  </si>
  <si>
    <t>LT-054447-19/NY</t>
  </si>
  <si>
    <t>LT-064108-19/NY</t>
  </si>
  <si>
    <t>LT-061202-19/NY</t>
  </si>
  <si>
    <t>LT-050467-19/NY</t>
  </si>
  <si>
    <t>LT-012377-19/NY</t>
  </si>
  <si>
    <t>LT-063355-19/NY</t>
  </si>
  <si>
    <t>LT-063246-19/NY</t>
  </si>
  <si>
    <t>LT-062661-19/NY</t>
  </si>
  <si>
    <t>LT-066350-19/NY</t>
  </si>
  <si>
    <t>LT-066914-19/NY</t>
  </si>
  <si>
    <t>LT-066280-19/NY</t>
  </si>
  <si>
    <t>LT-068240-19/NY</t>
  </si>
  <si>
    <t>LT-069449-19/NY</t>
  </si>
  <si>
    <t>LT-079227-18/NY</t>
  </si>
  <si>
    <t>LT-072351-18/NY</t>
  </si>
  <si>
    <t>LT-051393-19/NY</t>
  </si>
  <si>
    <t>LT-051231-19/NY</t>
  </si>
  <si>
    <t>LT-052435-19/NY</t>
  </si>
  <si>
    <t>LT-053023-19/NY</t>
  </si>
  <si>
    <t>LT-018977-15/NY</t>
  </si>
  <si>
    <t>LT-073733-18/NY</t>
  </si>
  <si>
    <t>LT-053132-19/NY</t>
  </si>
  <si>
    <t>LT-057355-19/NY</t>
  </si>
  <si>
    <t>LT-052095-19/NY</t>
  </si>
  <si>
    <t>LT-013639-19/NY</t>
  </si>
  <si>
    <t>LT-062286-19/NY</t>
  </si>
  <si>
    <t>LT-063073-19/NY</t>
  </si>
  <si>
    <t>LT-057534-19/NY</t>
  </si>
  <si>
    <t>LT-066163-19/NY</t>
  </si>
  <si>
    <t>LT-079696-18/NY</t>
  </si>
  <si>
    <t>LT-080315-18/NY</t>
  </si>
  <si>
    <t>LT-072476-18/NY</t>
  </si>
  <si>
    <t>LT-010187-19/NY</t>
  </si>
  <si>
    <t>LT-050727-19/NY</t>
  </si>
  <si>
    <t>LT-010190-19/NY</t>
  </si>
  <si>
    <t>LT-079752-18/NY</t>
  </si>
  <si>
    <t>LT-051492-19/NY</t>
  </si>
  <si>
    <t>LT-051962-19/NY</t>
  </si>
  <si>
    <t>LT-051123-19/NY</t>
  </si>
  <si>
    <t>LT-052576-19/NY</t>
  </si>
  <si>
    <t>LT-051341-19/NY</t>
  </si>
  <si>
    <t>LT-079751-18/NY</t>
  </si>
  <si>
    <t>LT-054135-19/NY</t>
  </si>
  <si>
    <t>LT-010749-19/NY</t>
  </si>
  <si>
    <t>LT-401818-19/NY</t>
  </si>
  <si>
    <t>LT-053838-19/NY</t>
  </si>
  <si>
    <t>LT-055065-19/NY</t>
  </si>
  <si>
    <t>LT-055051-19/NY</t>
  </si>
  <si>
    <t>LT-056125-19/NY</t>
  </si>
  <si>
    <t>LT-075138-18/NY</t>
  </si>
  <si>
    <t>LT-011990-19/NY</t>
  </si>
  <si>
    <t>LT-052575-19/NY</t>
  </si>
  <si>
    <t>LT-050365-19/NY</t>
  </si>
  <si>
    <t>LT-056904-19/NY</t>
  </si>
  <si>
    <t>LT-010761-19/NY</t>
  </si>
  <si>
    <t>LT-012760-19/NY</t>
  </si>
  <si>
    <t>LT-057688-19/NY</t>
  </si>
  <si>
    <t>LT-057567-19/NY</t>
  </si>
  <si>
    <t>LT-005900-19/NY</t>
  </si>
  <si>
    <t>LT-058882-19/NY</t>
  </si>
  <si>
    <t>LT-057954-19/NY</t>
  </si>
  <si>
    <t>LT-058500-19/NY</t>
  </si>
  <si>
    <t>LT-059526-19/NY</t>
  </si>
  <si>
    <t>LT-013855-19/NY</t>
  </si>
  <si>
    <t>LT-014625-19/NY</t>
  </si>
  <si>
    <t>LT-010741-18/NY</t>
  </si>
  <si>
    <t>LT-060471-19/NY</t>
  </si>
  <si>
    <t>LT-060316-19/NY</t>
  </si>
  <si>
    <t>LT-060472-19/NY</t>
  </si>
  <si>
    <t>LT-059188-19/NY</t>
  </si>
  <si>
    <t>LT-058411-19/NY</t>
  </si>
  <si>
    <t>LT-010203-19/NY</t>
  </si>
  <si>
    <t>LT-015502-19/NY</t>
  </si>
  <si>
    <t>LT-015677/18/NY</t>
  </si>
  <si>
    <t>LT-062995-19/NY</t>
  </si>
  <si>
    <t>LT-057937-19/NY</t>
  </si>
  <si>
    <t>LT-063432-19/NY</t>
  </si>
  <si>
    <t>LT-080137-16/NY</t>
  </si>
  <si>
    <t>LT-016369-19/NY</t>
  </si>
  <si>
    <t>LT-056901-19/NY</t>
  </si>
  <si>
    <t>LT-057650-19/NY</t>
  </si>
  <si>
    <t>LT-057999-19/NY</t>
  </si>
  <si>
    <t>LT-066011-19/NY</t>
  </si>
  <si>
    <t>LT-065534-19/NY</t>
  </si>
  <si>
    <t>LT-065573-19/NY</t>
  </si>
  <si>
    <t>LT-066009-19/NY</t>
  </si>
  <si>
    <t>LT-057026-19/NY</t>
  </si>
  <si>
    <t>LT-067763-19/NY</t>
  </si>
  <si>
    <t>LT-68914-19/NY</t>
  </si>
  <si>
    <t>LT-067879-19/NY</t>
  </si>
  <si>
    <t>LT-065633-19/NY</t>
  </si>
  <si>
    <t>908628-AN-2019</t>
  </si>
  <si>
    <t>LT-065372-19/NY</t>
  </si>
  <si>
    <t>LT-057274-19/NY</t>
  </si>
  <si>
    <t>HP1000/2019</t>
  </si>
  <si>
    <t>LT-064185-18/NY</t>
  </si>
  <si>
    <t>LT-055554-19/NY</t>
  </si>
  <si>
    <t>LT-063261-19/NY</t>
  </si>
  <si>
    <t>LT-067811-19</t>
  </si>
  <si>
    <t>LT-068578-18/NY</t>
  </si>
  <si>
    <t>LT-065629-19/NY</t>
  </si>
  <si>
    <t>LT-054933-19/NY</t>
  </si>
  <si>
    <t>LT-056120-19/NY</t>
  </si>
  <si>
    <t>LT-066238-19/NY</t>
  </si>
  <si>
    <t>LT-051481-19/NY</t>
  </si>
  <si>
    <t>LT-056311-19/NY</t>
  </si>
  <si>
    <t>LT-076638-18/NY</t>
  </si>
  <si>
    <t>LT-073819-18/NY</t>
  </si>
  <si>
    <t>LT-052986-19/NY</t>
  </si>
  <si>
    <t>LT-061344-19/NY</t>
  </si>
  <si>
    <t>LT-076520-18/NY</t>
  </si>
  <si>
    <t>LT-079088-18/NY</t>
  </si>
  <si>
    <t>LT-057339-19/NY</t>
  </si>
  <si>
    <t>LT-018575-17/NY</t>
  </si>
  <si>
    <t>LT-075868-18/NY</t>
  </si>
  <si>
    <t>LT-058309-19/NY</t>
  </si>
  <si>
    <t>LT-013503-19/NY</t>
  </si>
  <si>
    <t>LT-021212-17/NY</t>
  </si>
  <si>
    <t>LT-013516-19/NY</t>
  </si>
  <si>
    <t>LT-058553-19/NY</t>
  </si>
  <si>
    <t>LT-050204-19/NY</t>
  </si>
  <si>
    <t>LT-016645-18/NY</t>
  </si>
  <si>
    <t>LT-018479-16/NY</t>
  </si>
  <si>
    <t>LT-055522-19/NY</t>
  </si>
  <si>
    <t>LT-065250-19/NY</t>
  </si>
  <si>
    <t>LT-071663-18/NY</t>
  </si>
  <si>
    <t>LT-010547-19/NY</t>
  </si>
  <si>
    <t>LT-080422-18/NY</t>
  </si>
  <si>
    <t>LT-012491-19/NY</t>
  </si>
  <si>
    <t>LT-015798-19/NY</t>
  </si>
  <si>
    <t>LT-016275-19/NY</t>
  </si>
  <si>
    <t>LT-060641-19/NY</t>
  </si>
  <si>
    <t>LT-064541-18/NY</t>
  </si>
  <si>
    <t>LT-157386-18/NY</t>
  </si>
  <si>
    <t>LT-013064-19/NY</t>
  </si>
  <si>
    <t>LT-066431-19/NY</t>
  </si>
  <si>
    <t>LT-064677-19/NY</t>
  </si>
  <si>
    <t>LT-052566-19/NY</t>
  </si>
  <si>
    <t>LT-158718-19/NY</t>
  </si>
  <si>
    <t>LT-001742-18/NY</t>
  </si>
  <si>
    <t>LT-069495-18/NY</t>
  </si>
  <si>
    <t>LT-018606-18/NY</t>
  </si>
  <si>
    <t>LT-010597-19/NY</t>
  </si>
  <si>
    <t>LT-011579-19/NY</t>
  </si>
  <si>
    <t>LT-014292-19/NY</t>
  </si>
  <si>
    <t>LT-058602-19/NY</t>
  </si>
  <si>
    <t>LT-054391-19/NY</t>
  </si>
  <si>
    <t>LT-014172-19/NY</t>
  </si>
  <si>
    <t>LT-065110-19/NY</t>
  </si>
  <si>
    <t>LT-021236-18/NY</t>
  </si>
  <si>
    <t>LT-014957-19/NY</t>
  </si>
  <si>
    <t>LT-052669-19/NY</t>
  </si>
  <si>
    <t>LT-080280-18/NY</t>
  </si>
  <si>
    <t>No Case</t>
  </si>
  <si>
    <t>Sec. 8 Termination</t>
  </si>
  <si>
    <t>Holdover</t>
  </si>
  <si>
    <t>Non-payment</t>
  </si>
  <si>
    <t>HP Action</t>
  </si>
  <si>
    <t>Appeal Supreme</t>
  </si>
  <si>
    <t>NYCHA Housing Termination</t>
  </si>
  <si>
    <t>Mitchell-Lama Termination</t>
  </si>
  <si>
    <t>Illegal Lockout</t>
  </si>
  <si>
    <t>Non-Litigation Advocacy</t>
  </si>
  <si>
    <t>Section 8 other</t>
  </si>
  <si>
    <t>NYCHA Housing Grievance</t>
  </si>
  <si>
    <t>Appeal-Appellate Term</t>
  </si>
  <si>
    <t>Article 78</t>
  </si>
  <si>
    <t>Brief Service</t>
  </si>
  <si>
    <t>Advice</t>
  </si>
  <si>
    <t>Representation - State Court</t>
  </si>
  <si>
    <t>Hold For Review</t>
  </si>
  <si>
    <t>Out-of-Court Advocacy</t>
  </si>
  <si>
    <t>Representation - Admin. Agency</t>
  </si>
  <si>
    <t>Representation - Federal Court</t>
  </si>
  <si>
    <t>B - Limited Action (Brief Service)</t>
  </si>
  <si>
    <t>A - Counsel and Advice</t>
  </si>
  <si>
    <t>G - Negotiated Settlement with Litigation</t>
  </si>
  <si>
    <t>ZZ - Administrative Closing</t>
  </si>
  <si>
    <t>F - Negotiated Settlement w/out Litigation</t>
  </si>
  <si>
    <t>IA - Uncontested Court Decision</t>
  </si>
  <si>
    <t>3115 HPLP-Homelessness Prevention Law Project</t>
  </si>
  <si>
    <t>3123 Universal Access to Counsel – (UAC)</t>
  </si>
  <si>
    <t>5510 CB9 Manhattanville-West Harlem Tenant Advocacy Project</t>
  </si>
  <si>
    <t>3122 Universal Access to Counsel – (UAC)</t>
  </si>
  <si>
    <t>Prefer Not To Answer</t>
  </si>
  <si>
    <t>3018 Tenant Rights Coalition (TRC)</t>
  </si>
  <si>
    <t>3312 Housing Preservation Initiative (HPI)</t>
  </si>
  <si>
    <t>64 Public Housing</t>
  </si>
  <si>
    <t>63 Private Landlord/Tenant</t>
  </si>
  <si>
    <t>61 Federally Subsidized Housing</t>
  </si>
  <si>
    <t>69 Other Housing</t>
  </si>
  <si>
    <t>No Stipulation; No Judgment</t>
  </si>
  <si>
    <t>Post-Judgment, Tenant in Possession-Judgment Due to Default</t>
  </si>
  <si>
    <t>Post-Judgment, Tenant Out of Possession</t>
  </si>
  <si>
    <t>Post-Judgment, Tenant in Possession-Judgment Due to Other</t>
  </si>
  <si>
    <t>On for Trial</t>
  </si>
  <si>
    <t>Post-Stipulation, No Judgment</t>
  </si>
  <si>
    <t>On for Trial, Post-Judgment, Tenant Out of Possession</t>
  </si>
  <si>
    <t>09/01/2019</t>
  </si>
  <si>
    <t>05/16/2019</t>
  </si>
  <si>
    <t>02/12/2019</t>
  </si>
  <si>
    <t>01/11/2018</t>
  </si>
  <si>
    <t>08/01/2019</t>
  </si>
  <si>
    <t>02/14/2019</t>
  </si>
  <si>
    <t>02/01/2019</t>
  </si>
  <si>
    <t>01/13/2019</t>
  </si>
  <si>
    <t>Manhattan Legal Services</t>
  </si>
  <si>
    <t>6006-Prevented denial of public housing tenant's rights</t>
  </si>
  <si>
    <t>6014-Obtained advice and counsel on a Housing matter</t>
  </si>
  <si>
    <t>6015-Obtained non-litgation advocacy services on a Housing  matter</t>
  </si>
  <si>
    <t>6002-Prevented eviction from private housing</t>
  </si>
  <si>
    <t>6017-Obtained other benefit on a Housing matter</t>
  </si>
  <si>
    <t>ZZ-Client Withdrew—For ZZ Adm Closed Reason Closed Cases Only</t>
  </si>
  <si>
    <t>6003-Delayed eviction providing time to seek alternative housing</t>
  </si>
  <si>
    <t>6005-Avoided or delayed foreclosure or other loss of home</t>
  </si>
  <si>
    <t>6001-Prevented eviction from public housing</t>
  </si>
  <si>
    <t>6018-Prevented eviction from subsidized housing</t>
  </si>
  <si>
    <t>6007-Avoided, or obtained redress for charges by landlord</t>
  </si>
  <si>
    <t>09/02/1954</t>
  </si>
  <si>
    <t>06/08/1940</t>
  </si>
  <si>
    <t>05/10/1959</t>
  </si>
  <si>
    <t>07/26/1959</t>
  </si>
  <si>
    <t>04/20/1966</t>
  </si>
  <si>
    <t>09/26/1965</t>
  </si>
  <si>
    <t>11/13/1969</t>
  </si>
  <si>
    <t>11/12/1956</t>
  </si>
  <si>
    <t>04/21/1947</t>
  </si>
  <si>
    <t>10/07/1950</t>
  </si>
  <si>
    <t>05/22/1988</t>
  </si>
  <si>
    <t>06/18/1974</t>
  </si>
  <si>
    <t>01/03/1971</t>
  </si>
  <si>
    <t>01/25/1986</t>
  </si>
  <si>
    <t>11/26/1985</t>
  </si>
  <si>
    <t>04/24/1975</t>
  </si>
  <si>
    <t>01/25/1960</t>
  </si>
  <si>
    <t>10/18/1958</t>
  </si>
  <si>
    <t>12/05/1961</t>
  </si>
  <si>
    <t>07/17/1970</t>
  </si>
  <si>
    <t>02/07/1997</t>
  </si>
  <si>
    <t>06/01/1967</t>
  </si>
  <si>
    <t>10/15/1959</t>
  </si>
  <si>
    <t>03/24/1978</t>
  </si>
  <si>
    <t>03/08/1979</t>
  </si>
  <si>
    <t>10/26/1942</t>
  </si>
  <si>
    <t>05/12/2000</t>
  </si>
  <si>
    <t>03/23/1962</t>
  </si>
  <si>
    <t>06/16/1965</t>
  </si>
  <si>
    <t>02/11/1956</t>
  </si>
  <si>
    <t>06/20/1989</t>
  </si>
  <si>
    <t>05/21/1963</t>
  </si>
  <si>
    <t>07/28/1991</t>
  </si>
  <si>
    <t>07/30/1963</t>
  </si>
  <si>
    <t>04/30/1953</t>
  </si>
  <si>
    <t>04/02/1962</t>
  </si>
  <si>
    <t>06/30/1970</t>
  </si>
  <si>
    <t>10/15/1975</t>
  </si>
  <si>
    <t>02/20/1974</t>
  </si>
  <si>
    <t>06/12/1977</t>
  </si>
  <si>
    <t>05/17/1950</t>
  </si>
  <si>
    <t>11/18/1987</t>
  </si>
  <si>
    <t>06/02/1942</t>
  </si>
  <si>
    <t>05/12/1981</t>
  </si>
  <si>
    <t>10/30/1977</t>
  </si>
  <si>
    <t>03/17/1972</t>
  </si>
  <si>
    <t>04/16/1961</t>
  </si>
  <si>
    <t>01/19/1951</t>
  </si>
  <si>
    <t>06/20/1946</t>
  </si>
  <si>
    <t>01/14/1954</t>
  </si>
  <si>
    <t>03/02/1974</t>
  </si>
  <si>
    <t>02/20/1950</t>
  </si>
  <si>
    <t>11/28/1955</t>
  </si>
  <si>
    <t>07/03/1971</t>
  </si>
  <si>
    <t>01/15/1978</t>
  </si>
  <si>
    <t>11/05/1971</t>
  </si>
  <si>
    <t>11/09/1951</t>
  </si>
  <si>
    <t>04/10/1945</t>
  </si>
  <si>
    <t>06/01/1970</t>
  </si>
  <si>
    <t>11/13/1948</t>
  </si>
  <si>
    <t>07/20/1962</t>
  </si>
  <si>
    <t>11/29/1978</t>
  </si>
  <si>
    <t>01/25/1970</t>
  </si>
  <si>
    <t>05/08/1967</t>
  </si>
  <si>
    <t>09/04/1962</t>
  </si>
  <si>
    <t>04/24/1948</t>
  </si>
  <si>
    <t>06/25/1978</t>
  </si>
  <si>
    <t>07/31/1983</t>
  </si>
  <si>
    <t>04/12/1959</t>
  </si>
  <si>
    <t>12/04/1979</t>
  </si>
  <si>
    <t>05/14/1976</t>
  </si>
  <si>
    <t>02/03/1943</t>
  </si>
  <si>
    <t>02/14/1977</t>
  </si>
  <si>
    <t>06/06/1958</t>
  </si>
  <si>
    <t>08/11/1967</t>
  </si>
  <si>
    <t>02/05/1960</t>
  </si>
  <si>
    <t>12/24/1986</t>
  </si>
  <si>
    <t>04/03/1929</t>
  </si>
  <si>
    <t>08/24/1965</t>
  </si>
  <si>
    <t>03/01/1953</t>
  </si>
  <si>
    <t>07/04/1972</t>
  </si>
  <si>
    <t>02/22/1979</t>
  </si>
  <si>
    <t>01/26/1969</t>
  </si>
  <si>
    <t>09/09/1949</t>
  </si>
  <si>
    <t>11/10/1952</t>
  </si>
  <si>
    <t>07/22/1956</t>
  </si>
  <si>
    <t>12/03/1975</t>
  </si>
  <si>
    <t>03/05/1965</t>
  </si>
  <si>
    <t>04/01/1972</t>
  </si>
  <si>
    <t>09/10/1939</t>
  </si>
  <si>
    <t>03/10/1949</t>
  </si>
  <si>
    <t>03/25/1975</t>
  </si>
  <si>
    <t>03/06/1971</t>
  </si>
  <si>
    <t>09/08/1950</t>
  </si>
  <si>
    <t>11/29/1951</t>
  </si>
  <si>
    <t>12/25/1960</t>
  </si>
  <si>
    <t>10/07/1964</t>
  </si>
  <si>
    <t>06/21/1962</t>
  </si>
  <si>
    <t>06/07/1949</t>
  </si>
  <si>
    <t>01/20/1970</t>
  </si>
  <si>
    <t>07/20/1958</t>
  </si>
  <si>
    <t>02/06/1958</t>
  </si>
  <si>
    <t>06/15/1944</t>
  </si>
  <si>
    <t>12/31/1969</t>
  </si>
  <si>
    <t>10/29/1971</t>
  </si>
  <si>
    <t>08/12/1971</t>
  </si>
  <si>
    <t>11/01/1946</t>
  </si>
  <si>
    <t>06/18/1975</t>
  </si>
  <si>
    <t>03/08/1974</t>
  </si>
  <si>
    <t>05/09/1971</t>
  </si>
  <si>
    <t>11/27/1966</t>
  </si>
  <si>
    <t>02/05/1962</t>
  </si>
  <si>
    <t>08/01/1934</t>
  </si>
  <si>
    <t>06/27/1975</t>
  </si>
  <si>
    <t>01/27/1998</t>
  </si>
  <si>
    <t>11/08/1942</t>
  </si>
  <si>
    <t>02/13/1987</t>
  </si>
  <si>
    <t>03/07/1968</t>
  </si>
  <si>
    <t>11/30/1964</t>
  </si>
  <si>
    <t>11/02/1983</t>
  </si>
  <si>
    <t>09/01/1961</t>
  </si>
  <si>
    <t>02/12/1981</t>
  </si>
  <si>
    <t>10/10/1928</t>
  </si>
  <si>
    <t>01/22/1963</t>
  </si>
  <si>
    <t>03/04/1969</t>
  </si>
  <si>
    <t>02/07/1953</t>
  </si>
  <si>
    <t>07/08/1976</t>
  </si>
  <si>
    <t>04/28/1986</t>
  </si>
  <si>
    <t>04/29/1946</t>
  </si>
  <si>
    <t>07/20/1959</t>
  </si>
  <si>
    <t>01/30/1966</t>
  </si>
  <si>
    <t>04/16/1960</t>
  </si>
  <si>
    <t>03/16/1986</t>
  </si>
  <si>
    <t>04/08/1958</t>
  </si>
  <si>
    <t>09/25/1969</t>
  </si>
  <si>
    <t>12/16/1961</t>
  </si>
  <si>
    <t>05/13/1988</t>
  </si>
  <si>
    <t>03/30/1980</t>
  </si>
  <si>
    <t>02/20/1961</t>
  </si>
  <si>
    <t>04/03/1964</t>
  </si>
  <si>
    <t>06/02/1966</t>
  </si>
  <si>
    <t>04/19/1954</t>
  </si>
  <si>
    <t>04/23/1945</t>
  </si>
  <si>
    <t>10/17/1979</t>
  </si>
  <si>
    <t>06/10/1949</t>
  </si>
  <si>
    <t>05/03/1996</t>
  </si>
  <si>
    <t>03/03/1986</t>
  </si>
  <si>
    <t>05/29/1968</t>
  </si>
  <si>
    <t>01/15/1958</t>
  </si>
  <si>
    <t>10/07/1957</t>
  </si>
  <si>
    <t>01/22/1969</t>
  </si>
  <si>
    <t>01/07/1992</t>
  </si>
  <si>
    <t>09/20/1955</t>
  </si>
  <si>
    <t>10/14/1939</t>
  </si>
  <si>
    <t>03/22/1961</t>
  </si>
  <si>
    <t>10/08/1967</t>
  </si>
  <si>
    <t>11/24/1958</t>
  </si>
  <si>
    <t>10/15/1968</t>
  </si>
  <si>
    <t>02/28/1957</t>
  </si>
  <si>
    <t>02/26/1977</t>
  </si>
  <si>
    <t>12/25/1959</t>
  </si>
  <si>
    <t>12/02/1983</t>
  </si>
  <si>
    <t>08/14/1964</t>
  </si>
  <si>
    <t>08/11/1983</t>
  </si>
  <si>
    <t>09/22/1952</t>
  </si>
  <si>
    <t>01/07/1990</t>
  </si>
  <si>
    <t>04/21/1988</t>
  </si>
  <si>
    <t>07/11/1956</t>
  </si>
  <si>
    <t>10/09/1990</t>
  </si>
  <si>
    <t>02/25/1961</t>
  </si>
  <si>
    <t>08/30/1947</t>
  </si>
  <si>
    <t>10/27/1942</t>
  </si>
  <si>
    <t>12/02/1972</t>
  </si>
  <si>
    <t>03/06/1983</t>
  </si>
  <si>
    <t>09/21/1954</t>
  </si>
  <si>
    <t>10/27/1960</t>
  </si>
  <si>
    <t>08/24/1962</t>
  </si>
  <si>
    <t>09/06/1947</t>
  </si>
  <si>
    <t>02/04/1965</t>
  </si>
  <si>
    <t>02/11/1958</t>
  </si>
  <si>
    <t>06/07/1969</t>
  </si>
  <si>
    <t>09/29/1961</t>
  </si>
  <si>
    <t>08/12/1964</t>
  </si>
  <si>
    <t>10/31/1963</t>
  </si>
  <si>
    <t>02/25/1969</t>
  </si>
  <si>
    <t>02/03/1966</t>
  </si>
  <si>
    <t>10/13/1985</t>
  </si>
  <si>
    <t>03/05/1988</t>
  </si>
  <si>
    <t>02/14/1960</t>
  </si>
  <si>
    <t>07/19/1943</t>
  </si>
  <si>
    <t>01/06/1985</t>
  </si>
  <si>
    <t>01/01/1954</t>
  </si>
  <si>
    <t>09/06/1966</t>
  </si>
  <si>
    <t>08/22/1971</t>
  </si>
  <si>
    <t>07/17/1947</t>
  </si>
  <si>
    <t>05/09/1972</t>
  </si>
  <si>
    <t>09/26/1946</t>
  </si>
  <si>
    <t>01/27/1983</t>
  </si>
  <si>
    <t>02/13/1955</t>
  </si>
  <si>
    <t>05/10/1936</t>
  </si>
  <si>
    <t>06/07/1989</t>
  </si>
  <si>
    <t>04/06/1968</t>
  </si>
  <si>
    <t>07/13/1974</t>
  </si>
  <si>
    <t>11/05/1959</t>
  </si>
  <si>
    <t>03/05/1996</t>
  </si>
  <si>
    <t>06/03/1956</t>
  </si>
  <si>
    <t>02/09/1939</t>
  </si>
  <si>
    <t>02/02/1985</t>
  </si>
  <si>
    <t>07/06/1961</t>
  </si>
  <si>
    <t>12/08/1981</t>
  </si>
  <si>
    <t>01/01/1969</t>
  </si>
  <si>
    <t>06/10/1956</t>
  </si>
  <si>
    <t>11/07/1962</t>
  </si>
  <si>
    <t>10/07/1965</t>
  </si>
  <si>
    <t>02/28/1970</t>
  </si>
  <si>
    <t>07/03/1969</t>
  </si>
  <si>
    <t>06/30/1965</t>
  </si>
  <si>
    <t>04/14/1954</t>
  </si>
  <si>
    <t>11/12/1985</t>
  </si>
  <si>
    <t>07/14/1971</t>
  </si>
  <si>
    <t>10/07/1963</t>
  </si>
  <si>
    <t>01/25/1945</t>
  </si>
  <si>
    <t>08/25/1971</t>
  </si>
  <si>
    <t>07/13/1945</t>
  </si>
  <si>
    <t>05/10/1984</t>
  </si>
  <si>
    <t>11/29/1980</t>
  </si>
  <si>
    <t>04/22/1970</t>
  </si>
  <si>
    <t>06/22/1941</t>
  </si>
  <si>
    <t>09/04/1970</t>
  </si>
  <si>
    <t>02/03/1964</t>
  </si>
  <si>
    <t>06/24/1963</t>
  </si>
  <si>
    <t>05/08/1950</t>
  </si>
  <si>
    <t>10/12/1946</t>
  </si>
  <si>
    <t>01/08/1958</t>
  </si>
  <si>
    <t>09/19/1988</t>
  </si>
  <si>
    <t>07/11/1934</t>
  </si>
  <si>
    <t>07/08/1989</t>
  </si>
  <si>
    <t>12/29/1952</t>
  </si>
  <si>
    <t>08/01/1964</t>
  </si>
  <si>
    <t>05/30/1967</t>
  </si>
  <si>
    <t>05/18/1958</t>
  </si>
  <si>
    <t>03/12/1951</t>
  </si>
  <si>
    <t>09/22/1970</t>
  </si>
  <si>
    <t>11/15/1962</t>
  </si>
  <si>
    <t>04/27/1973</t>
  </si>
  <si>
    <t>01/16/1972</t>
  </si>
  <si>
    <t>02/04/1949</t>
  </si>
  <si>
    <t>08/06/1958</t>
  </si>
  <si>
    <t>02/11/1963</t>
  </si>
  <si>
    <t>08/28/1962</t>
  </si>
  <si>
    <t>09/28/1950</t>
  </si>
  <si>
    <t>07/21/1948</t>
  </si>
  <si>
    <t>07/16/1957</t>
  </si>
  <si>
    <t>12/31/1966</t>
  </si>
  <si>
    <t>02/06/1984</t>
  </si>
  <si>
    <t>11/28/1971</t>
  </si>
  <si>
    <t>08/24/1971</t>
  </si>
  <si>
    <t>01/14/1974</t>
  </si>
  <si>
    <t>01/01/1973</t>
  </si>
  <si>
    <t>05/02/1972</t>
  </si>
  <si>
    <t>12/24/1950</t>
  </si>
  <si>
    <t>06/17/1955</t>
  </si>
  <si>
    <t>06/29/1978</t>
  </si>
  <si>
    <t>10/23/1982</t>
  </si>
  <si>
    <t>06/10/1958</t>
  </si>
  <si>
    <t>05/16/1948</t>
  </si>
  <si>
    <t>12/14/1957</t>
  </si>
  <si>
    <t>05/22/1976</t>
  </si>
  <si>
    <t>10/10/1979</t>
  </si>
  <si>
    <t>08/13/1956</t>
  </si>
  <si>
    <t>01/24/1955</t>
  </si>
  <si>
    <t>01/26/1960</t>
  </si>
  <si>
    <t>06/04/1947</t>
  </si>
  <si>
    <t>03/02/1946</t>
  </si>
  <si>
    <t>10/09/1981</t>
  </si>
  <si>
    <t>03/15/1972</t>
  </si>
  <si>
    <t>07/01/1976</t>
  </si>
  <si>
    <t>01/12/1966</t>
  </si>
  <si>
    <t>02/01/1972</t>
  </si>
  <si>
    <t>09/07/1956</t>
  </si>
  <si>
    <t>06/08/1955</t>
  </si>
  <si>
    <t>06/02/1965</t>
  </si>
  <si>
    <t>09/21/1977</t>
  </si>
  <si>
    <t>08/06/1959</t>
  </si>
  <si>
    <t>08/03/1996</t>
  </si>
  <si>
    <t>12/01/1963</t>
  </si>
  <si>
    <t>07/31/1955</t>
  </si>
  <si>
    <t>01/02/1970</t>
  </si>
  <si>
    <t>05/24/1952</t>
  </si>
  <si>
    <t>08/24/1949</t>
  </si>
  <si>
    <t>11/13/1970</t>
  </si>
  <si>
    <t>04/15/1960</t>
  </si>
  <si>
    <t>03/17/1963</t>
  </si>
  <si>
    <t>01/12/1985</t>
  </si>
  <si>
    <t>05/01/1989</t>
  </si>
  <si>
    <t>12/07/1980</t>
  </si>
  <si>
    <t>04/19/1969</t>
  </si>
  <si>
    <t>05/05/1995</t>
  </si>
  <si>
    <t>01/10/1954</t>
  </si>
  <si>
    <t>02/20/1969</t>
  </si>
  <si>
    <t>07/05/1974</t>
  </si>
  <si>
    <t>04/05/1974</t>
  </si>
  <si>
    <t>07/11/1963</t>
  </si>
  <si>
    <t>05/20/1956</t>
  </si>
  <si>
    <t>06/03/1958</t>
  </si>
  <si>
    <t>09/01/1975</t>
  </si>
  <si>
    <t>12/30/1959</t>
  </si>
  <si>
    <t>10/01/1964</t>
  </si>
  <si>
    <t>05/19/1990</t>
  </si>
  <si>
    <t>07/27/1989</t>
  </si>
  <si>
    <t>03/19/1984</t>
  </si>
  <si>
    <t>01/24/1973</t>
  </si>
  <si>
    <t>08/16/1966</t>
  </si>
  <si>
    <t>10/24/1961</t>
  </si>
  <si>
    <t>07/15/1988</t>
  </si>
  <si>
    <t>07/07/1953</t>
  </si>
  <si>
    <t>03/04/1937</t>
  </si>
  <si>
    <t>03/17/1956</t>
  </si>
  <si>
    <t>12/12/1991</t>
  </si>
  <si>
    <t>03/07/1961</t>
  </si>
  <si>
    <t>05/16/1953</t>
  </si>
  <si>
    <t>09/27/1963</t>
  </si>
  <si>
    <t>05/15/1973</t>
  </si>
  <si>
    <t>04/16/1990</t>
  </si>
  <si>
    <t>06/02/1974</t>
  </si>
  <si>
    <t>11/11/1937</t>
  </si>
  <si>
    <t>11/17/1969</t>
  </si>
  <si>
    <t>02/02/1957</t>
  </si>
  <si>
    <t>02/26/1995</t>
  </si>
  <si>
    <t>06/02/1980</t>
  </si>
  <si>
    <t>03/31/1960</t>
  </si>
  <si>
    <t>12/12/1986</t>
  </si>
  <si>
    <t>01/27/1986</t>
  </si>
  <si>
    <t>01/23/1951</t>
  </si>
  <si>
    <t>10/16/1984</t>
  </si>
  <si>
    <t>05/27/1973</t>
  </si>
  <si>
    <t>11/03/1965</t>
  </si>
  <si>
    <t>02/07/1977</t>
  </si>
  <si>
    <t>10/10/1964</t>
  </si>
  <si>
    <t>10/18/1956</t>
  </si>
  <si>
    <t>07/30/1954</t>
  </si>
  <si>
    <t>08/13/1948</t>
  </si>
  <si>
    <t>01/31/1950</t>
  </si>
  <si>
    <t>11/26/1952</t>
  </si>
  <si>
    <t>07/01/1962</t>
  </si>
  <si>
    <t>06/16/1984</t>
  </si>
  <si>
    <t>08/01/1978</t>
  </si>
  <si>
    <t>02/17/1966</t>
  </si>
  <si>
    <t>02/14/1964</t>
  </si>
  <si>
    <t>03/28/1983</t>
  </si>
  <si>
    <t>02/17/1976</t>
  </si>
  <si>
    <t>06/14/1968</t>
  </si>
  <si>
    <t>11/10/1984</t>
  </si>
  <si>
    <t>05/22/1957</t>
  </si>
  <si>
    <t>05/31/1981</t>
  </si>
  <si>
    <t>03/02/1951</t>
  </si>
  <si>
    <t>05/15/1976</t>
  </si>
  <si>
    <t>03/16/1967</t>
  </si>
  <si>
    <t>03/28/1953</t>
  </si>
  <si>
    <t>12/05/1946</t>
  </si>
  <si>
    <t>05/29/1964</t>
  </si>
  <si>
    <t>06/14/1967</t>
  </si>
  <si>
    <t>05/09/1937</t>
  </si>
  <si>
    <t>03/07/1995</t>
  </si>
  <si>
    <t>12/01/1974</t>
  </si>
  <si>
    <t>06/28/1971</t>
  </si>
  <si>
    <t>01/24/1983</t>
  </si>
  <si>
    <t>02/11/1965</t>
  </si>
  <si>
    <t>12/17/1982</t>
  </si>
  <si>
    <t>03/31/1966</t>
  </si>
  <si>
    <t>04/19/1947</t>
  </si>
  <si>
    <t>03/25/1963</t>
  </si>
  <si>
    <t>12/12/1956</t>
  </si>
  <si>
    <t>03/01/1987</t>
  </si>
  <si>
    <t>02/12/1997</t>
  </si>
  <si>
    <t>07/30/1973</t>
  </si>
  <si>
    <t>01/22/1957</t>
  </si>
  <si>
    <t>06/26/1953</t>
  </si>
  <si>
    <t>12/10/1975</t>
  </si>
  <si>
    <t>08/06/1946</t>
  </si>
  <si>
    <t>12/17/1956</t>
  </si>
  <si>
    <t>02/22/1968</t>
  </si>
  <si>
    <t>10/08/1958</t>
  </si>
  <si>
    <t>11/06/1979</t>
  </si>
  <si>
    <t>10/14/1974</t>
  </si>
  <si>
    <t>04/07/1975</t>
  </si>
  <si>
    <t>10/10/1985</t>
  </si>
  <si>
    <t>09/12/1953</t>
  </si>
  <si>
    <t>10/06/1974</t>
  </si>
  <si>
    <t>02/17/1960</t>
  </si>
  <si>
    <t>03/06/1961</t>
  </si>
  <si>
    <t>07/22/1986</t>
  </si>
  <si>
    <t>05/17/1991</t>
  </si>
  <si>
    <t>03/30/1936</t>
  </si>
  <si>
    <t>01/19/1965</t>
  </si>
  <si>
    <t>06/06/1978</t>
  </si>
  <si>
    <t>05/07/1967</t>
  </si>
  <si>
    <t>08/06/1968</t>
  </si>
  <si>
    <t>11/23/1961</t>
  </si>
  <si>
    <t>05/13/1942</t>
  </si>
  <si>
    <t>07/09/1954</t>
  </si>
  <si>
    <t>07/21/1937</t>
  </si>
  <si>
    <t>11/19/1954</t>
  </si>
  <si>
    <t>09/14/1986</t>
  </si>
  <si>
    <t>01/08/1990</t>
  </si>
  <si>
    <t>10/14/1964</t>
  </si>
  <si>
    <t>12/03/1943</t>
  </si>
  <si>
    <t>08/22/1960</t>
  </si>
  <si>
    <t>03/15/1978</t>
  </si>
  <si>
    <t>06/28/1962</t>
  </si>
  <si>
    <t>08/29/1979</t>
  </si>
  <si>
    <t>09/08/1991</t>
  </si>
  <si>
    <t>12/22/1944</t>
  </si>
  <si>
    <t>08/11/1962</t>
  </si>
  <si>
    <t>12/16/1989</t>
  </si>
  <si>
    <t>12/04/1970</t>
  </si>
  <si>
    <t>04/09/1954</t>
  </si>
  <si>
    <t>07/31/1981</t>
  </si>
  <si>
    <t>11/24/1981</t>
  </si>
  <si>
    <t>06/29/1990</t>
  </si>
  <si>
    <t>09/08/1971</t>
  </si>
  <si>
    <t>05/03/1971</t>
  </si>
  <si>
    <t>08/30/1986</t>
  </si>
  <si>
    <t>01/03/1965</t>
  </si>
  <si>
    <t>01/04/1972</t>
  </si>
  <si>
    <t>03/04/1962</t>
  </si>
  <si>
    <t>06/06/1969</t>
  </si>
  <si>
    <t>04/29/1959</t>
  </si>
  <si>
    <t>08/14/1996</t>
  </si>
  <si>
    <t>07/18/1982</t>
  </si>
  <si>
    <t>07/23/1947</t>
  </si>
  <si>
    <t>05/18/1956</t>
  </si>
  <si>
    <t>11/18/1951</t>
  </si>
  <si>
    <t>10/31/1955</t>
  </si>
  <si>
    <t>08/06/1967</t>
  </si>
  <si>
    <t>07/28/1936</t>
  </si>
  <si>
    <t>06/30/1961</t>
  </si>
  <si>
    <t>05/03/1961</t>
  </si>
  <si>
    <t>08/05/1968</t>
  </si>
  <si>
    <t>09/28/1968</t>
  </si>
  <si>
    <t>12/04/1953</t>
  </si>
  <si>
    <t>02/26/1951</t>
  </si>
  <si>
    <t>06/02/1955</t>
  </si>
  <si>
    <t>11/12/1970</t>
  </si>
  <si>
    <t>10/01/1989</t>
  </si>
  <si>
    <t>03/13/1965</t>
  </si>
  <si>
    <t>09/28/1973</t>
  </si>
  <si>
    <t>07/03/1990</t>
  </si>
  <si>
    <t>05/11/1969</t>
  </si>
  <si>
    <t>06/08/1969</t>
  </si>
  <si>
    <t>08/12/1939</t>
  </si>
  <si>
    <t>07/22/1968</t>
  </si>
  <si>
    <t>07/27/1990</t>
  </si>
  <si>
    <t>01/19/1990</t>
  </si>
  <si>
    <t>02/01/1953</t>
  </si>
  <si>
    <t>08/09/1982</t>
  </si>
  <si>
    <t>06/12/1976</t>
  </si>
  <si>
    <t>10/31/1990</t>
  </si>
  <si>
    <t>04/06/1982</t>
  </si>
  <si>
    <t>12/29/1966</t>
  </si>
  <si>
    <t>03/23/1975</t>
  </si>
  <si>
    <t>02/04/1953</t>
  </si>
  <si>
    <t>04/13/1985</t>
  </si>
  <si>
    <t>03/27/1981</t>
  </si>
  <si>
    <t>05/28/1983</t>
  </si>
  <si>
    <t>06/07/1955</t>
  </si>
  <si>
    <t>12/25/1964</t>
  </si>
  <si>
    <t>07/09/1972</t>
  </si>
  <si>
    <t>08/02/1960</t>
  </si>
  <si>
    <t>11/30/1976</t>
  </si>
  <si>
    <t>01/14/1991</t>
  </si>
  <si>
    <t>10/21/1950</t>
  </si>
  <si>
    <t>11/28/1951</t>
  </si>
  <si>
    <t>04/11/1966</t>
  </si>
  <si>
    <t>11/09/1988</t>
  </si>
  <si>
    <t>04/26/1981</t>
  </si>
  <si>
    <t>09/21/1959</t>
  </si>
  <si>
    <t>08/15/1929</t>
  </si>
  <si>
    <t>06/24/1974</t>
  </si>
  <si>
    <t>11/13/1967</t>
  </si>
  <si>
    <t>08/04/1976</t>
  </si>
  <si>
    <t>12/27/1976</t>
  </si>
  <si>
    <t>06/04/1980</t>
  </si>
  <si>
    <t>02/25/1970</t>
  </si>
  <si>
    <t>11/29/1963</t>
  </si>
  <si>
    <t>07/29/1987</t>
  </si>
  <si>
    <t>12/11/1974</t>
  </si>
  <si>
    <t>11/29/1935</t>
  </si>
  <si>
    <t>01/08/1987</t>
  </si>
  <si>
    <t>02/01/1968</t>
  </si>
  <si>
    <t>06/18/1968</t>
  </si>
  <si>
    <t>08/02/1993</t>
  </si>
  <si>
    <t>07/01/1975</t>
  </si>
  <si>
    <t>09/29/1944</t>
  </si>
  <si>
    <t>09/26/1991</t>
  </si>
  <si>
    <t>01/05/1957</t>
  </si>
  <si>
    <t>07/12/1990</t>
  </si>
  <si>
    <t>11/28/1962</t>
  </si>
  <si>
    <t>03/30/1989</t>
  </si>
  <si>
    <t>04/17/1992</t>
  </si>
  <si>
    <t>03/01/1961</t>
  </si>
  <si>
    <t>01/01/1978</t>
  </si>
  <si>
    <t>04/05/1958</t>
  </si>
  <si>
    <t>05/28/1967</t>
  </si>
  <si>
    <t>07/20/1967</t>
  </si>
  <si>
    <t>09/13/1956</t>
  </si>
  <si>
    <t>02/21/1949</t>
  </si>
  <si>
    <t>05/20/1972</t>
  </si>
  <si>
    <t>07/10/1960</t>
  </si>
  <si>
    <t>06/27/1968</t>
  </si>
  <si>
    <t>03/20/1992</t>
  </si>
  <si>
    <t>05/05/1980</t>
  </si>
  <si>
    <t>08/14/1982</t>
  </si>
  <si>
    <t>07/29/1979</t>
  </si>
  <si>
    <t>04/17/1977</t>
  </si>
  <si>
    <t>07/25/1963</t>
  </si>
  <si>
    <t>06/22/1968</t>
  </si>
  <si>
    <t>03/10/1987</t>
  </si>
  <si>
    <t>06/15/1976</t>
  </si>
  <si>
    <t>03/29/1952</t>
  </si>
  <si>
    <t>04/02/1980</t>
  </si>
  <si>
    <t>09/11/1975</t>
  </si>
  <si>
    <t>12/08/1987</t>
  </si>
  <si>
    <t>03/01/1964</t>
  </si>
  <si>
    <t>10/10/1935</t>
  </si>
  <si>
    <t>05/23/1948</t>
  </si>
  <si>
    <t>10/22/1979</t>
  </si>
  <si>
    <t>01/11/1973</t>
  </si>
  <si>
    <t>02/27/1968</t>
  </si>
  <si>
    <t>01/07/1978</t>
  </si>
  <si>
    <t>09/18/1985</t>
  </si>
  <si>
    <t>07/15/1955</t>
  </si>
  <si>
    <t>09/10/1959</t>
  </si>
  <si>
    <t>07/23/1953</t>
  </si>
  <si>
    <t>04/29/1988</t>
  </si>
  <si>
    <t>03/04/1980</t>
  </si>
  <si>
    <t>03/24/1961</t>
  </si>
  <si>
    <t>10/21/1940</t>
  </si>
  <si>
    <t>12/26/1968</t>
  </si>
  <si>
    <t>08/14/1955</t>
  </si>
  <si>
    <t>12/31/1951</t>
  </si>
  <si>
    <t>11/09/1956</t>
  </si>
  <si>
    <t>12/10/1981</t>
  </si>
  <si>
    <t>08/10/1956</t>
  </si>
  <si>
    <t>09/29/1952</t>
  </si>
  <si>
    <t>09/14/1955</t>
  </si>
  <si>
    <t>05/27/1962</t>
  </si>
  <si>
    <t>11/11/1971</t>
  </si>
  <si>
    <t>04/13/1982</t>
  </si>
  <si>
    <t>12/23/1991</t>
  </si>
  <si>
    <t>03/02/1964</t>
  </si>
  <si>
    <t>04/14/1970</t>
  </si>
  <si>
    <t>12/22/1964</t>
  </si>
  <si>
    <t>10/12/1990</t>
  </si>
  <si>
    <t>10/03/1983</t>
  </si>
  <si>
    <t>07/14/1957</t>
  </si>
  <si>
    <t>02/13/1954</t>
  </si>
  <si>
    <t>08/12/1974</t>
  </si>
  <si>
    <t>01/25/1940</t>
  </si>
  <si>
    <t>02/18/1977</t>
  </si>
  <si>
    <t>01/05/1979</t>
  </si>
  <si>
    <t>07/26/1941</t>
  </si>
  <si>
    <t>06/18/1970</t>
  </si>
  <si>
    <t>06/13/1961</t>
  </si>
  <si>
    <t>02/12/1952</t>
  </si>
  <si>
    <t>01/04/1961</t>
  </si>
  <si>
    <t>04/15/1998</t>
  </si>
  <si>
    <t>04/22/1961</t>
  </si>
  <si>
    <t>04/01/1973</t>
  </si>
  <si>
    <t>07/15/1959</t>
  </si>
  <si>
    <t>11/01/1967</t>
  </si>
  <si>
    <t>05/30/1948</t>
  </si>
  <si>
    <t>02/20/1990</t>
  </si>
  <si>
    <t>07/28/1942</t>
  </si>
  <si>
    <t>09/11/1981</t>
  </si>
  <si>
    <t>11/17/1966</t>
  </si>
  <si>
    <t>08/17/1944</t>
  </si>
  <si>
    <t>04/20/1944</t>
  </si>
  <si>
    <t>03/15/1948</t>
  </si>
  <si>
    <t>06/12/1989</t>
  </si>
  <si>
    <t>07/08/1994</t>
  </si>
  <si>
    <t>10/16/1980</t>
  </si>
  <si>
    <t>10/21/1989</t>
  </si>
  <si>
    <t>04/28/1951</t>
  </si>
  <si>
    <t>08/19/1959</t>
  </si>
  <si>
    <t>09/21/1981</t>
  </si>
  <si>
    <t>04/01/1983</t>
  </si>
  <si>
    <t>11/07/1988</t>
  </si>
  <si>
    <t>02/20/1943</t>
  </si>
  <si>
    <t>07/06/1955</t>
  </si>
  <si>
    <t>07/24/1957</t>
  </si>
  <si>
    <t>05/19/1950</t>
  </si>
  <si>
    <t>08/07/1983</t>
  </si>
  <si>
    <t>12/22/1951</t>
  </si>
  <si>
    <t>08/12/1979</t>
  </si>
  <si>
    <t>11/01/1955</t>
  </si>
  <si>
    <t>12/18/1992</t>
  </si>
  <si>
    <t>10/21/1985</t>
  </si>
  <si>
    <t>11/10/1931</t>
  </si>
  <si>
    <t>05/06/1967</t>
  </si>
  <si>
    <t>06/20/1963</t>
  </si>
  <si>
    <t>08/17/1973</t>
  </si>
  <si>
    <t>06/05/2001</t>
  </si>
  <si>
    <t>09/10/1949</t>
  </si>
  <si>
    <t>04/15/1977</t>
  </si>
  <si>
    <t>03/23/1992</t>
  </si>
  <si>
    <t>02/05/1963</t>
  </si>
  <si>
    <t>04/15/1945</t>
  </si>
  <si>
    <t>08/04/1964</t>
  </si>
  <si>
    <t>12/04/1972</t>
  </si>
  <si>
    <t>10/09/1949</t>
  </si>
  <si>
    <t>10/23/1965</t>
  </si>
  <si>
    <t>02/28/1958</t>
  </si>
  <si>
    <t>07/13/1948</t>
  </si>
  <si>
    <t>07/23/1960</t>
  </si>
  <si>
    <t>10/17/1958</t>
  </si>
  <si>
    <t>07/21/1977</t>
  </si>
  <si>
    <t>03/24/1976</t>
  </si>
  <si>
    <t>03/11/1986</t>
  </si>
  <si>
    <t>09/14/1967</t>
  </si>
  <si>
    <t>01/02/1955</t>
  </si>
  <si>
    <t>10/06/1962</t>
  </si>
  <si>
    <t>07/11/1970</t>
  </si>
  <si>
    <t>01/12/1955</t>
  </si>
  <si>
    <t>11/10/1939</t>
  </si>
  <si>
    <t>09/08/1975</t>
  </si>
  <si>
    <t>06/16/1973</t>
  </si>
  <si>
    <t>06/24/1954</t>
  </si>
  <si>
    <t>03/18/1953</t>
  </si>
  <si>
    <t>11/29/1962</t>
  </si>
  <si>
    <t>08/24/1961</t>
  </si>
  <si>
    <t>01/30/1962</t>
  </si>
  <si>
    <t>04/06/1977</t>
  </si>
  <si>
    <t>11/19/1988</t>
  </si>
  <si>
    <t>02/25/1964</t>
  </si>
  <si>
    <t>09/17/1963</t>
  </si>
  <si>
    <t>05/13/1983</t>
  </si>
  <si>
    <t>08/20/1968</t>
  </si>
  <si>
    <t>01/15/1977</t>
  </si>
  <si>
    <t>07/05/1935</t>
  </si>
  <si>
    <t>10/08/1964</t>
  </si>
  <si>
    <t>01/16/1967</t>
  </si>
  <si>
    <t>09/07/1961</t>
  </si>
  <si>
    <t>04/23/1965</t>
  </si>
  <si>
    <t>10/03/1965</t>
  </si>
  <si>
    <t>07/02/1953</t>
  </si>
  <si>
    <t>08/21/1981</t>
  </si>
  <si>
    <t>11/02/1964</t>
  </si>
  <si>
    <t>02/06/1989</t>
  </si>
  <si>
    <t>10/28/1963</t>
  </si>
  <si>
    <t>06/24/1966</t>
  </si>
  <si>
    <t>12/25/1975</t>
  </si>
  <si>
    <t>07/15/1973</t>
  </si>
  <si>
    <t>08/04/1960</t>
  </si>
  <si>
    <t>09/20/1961</t>
  </si>
  <si>
    <t>11/26/1945</t>
  </si>
  <si>
    <t>12/21/1944</t>
  </si>
  <si>
    <t>12/08/1962</t>
  </si>
  <si>
    <t>06/21/1981</t>
  </si>
  <si>
    <t>09/16/1962</t>
  </si>
  <si>
    <t>08/02/1940</t>
  </si>
  <si>
    <t>04/25/1962</t>
  </si>
  <si>
    <t>05/02/1992</t>
  </si>
  <si>
    <t>10/19/1940</t>
  </si>
  <si>
    <t>01/04/1943</t>
  </si>
  <si>
    <t>02/24/1937</t>
  </si>
  <si>
    <t>05/31/1945</t>
  </si>
  <si>
    <t>08/04/1962</t>
  </si>
  <si>
    <t>04/27/1971</t>
  </si>
  <si>
    <t>12/07/1962</t>
  </si>
  <si>
    <t>01/08/1961</t>
  </si>
  <si>
    <t>08/23/1989</t>
  </si>
  <si>
    <t>07/24/1986</t>
  </si>
  <si>
    <t>06/12/1992</t>
  </si>
  <si>
    <t>04/09/1975</t>
  </si>
  <si>
    <t>09/30/1986</t>
  </si>
  <si>
    <t>02/24/1948</t>
  </si>
  <si>
    <t>07/12/1981</t>
  </si>
  <si>
    <t>10/20/1950</t>
  </si>
  <si>
    <t>01/01/1979</t>
  </si>
  <si>
    <t>01/06/1977</t>
  </si>
  <si>
    <t>05/03/1964</t>
  </si>
  <si>
    <t>07/04/1975</t>
  </si>
  <si>
    <t>06/21/1944</t>
  </si>
  <si>
    <t>03/31/1981</t>
  </si>
  <si>
    <t>05/22/1934</t>
  </si>
  <si>
    <t>007720829G</t>
  </si>
  <si>
    <t>011861834H</t>
  </si>
  <si>
    <t>013019960H</t>
  </si>
  <si>
    <t>002122119H</t>
  </si>
  <si>
    <t>001585725D</t>
  </si>
  <si>
    <t>018333465F</t>
  </si>
  <si>
    <t>001838722F</t>
  </si>
  <si>
    <t>018077200G</t>
  </si>
  <si>
    <t>021130393I</t>
  </si>
  <si>
    <t>004184233H</t>
  </si>
  <si>
    <t>013396172C</t>
  </si>
  <si>
    <t>37596316C</t>
  </si>
  <si>
    <t>018288231G</t>
  </si>
  <si>
    <t>04933681B</t>
  </si>
  <si>
    <t>037084809F</t>
  </si>
  <si>
    <t>0005414339B</t>
  </si>
  <si>
    <t>003469579B</t>
  </si>
  <si>
    <t>036769056H</t>
  </si>
  <si>
    <t>011404706B</t>
  </si>
  <si>
    <t>012055221B</t>
  </si>
  <si>
    <t>000281833E</t>
  </si>
  <si>
    <t>01552167J</t>
  </si>
  <si>
    <t>00013525411I</t>
  </si>
  <si>
    <t>033249486D</t>
  </si>
  <si>
    <t>032331356J</t>
  </si>
  <si>
    <t>011231172F</t>
  </si>
  <si>
    <t>018933017I</t>
  </si>
  <si>
    <t>011753297I</t>
  </si>
  <si>
    <t>00018398679D</t>
  </si>
  <si>
    <t>017613933F</t>
  </si>
  <si>
    <t>00018944519A</t>
  </si>
  <si>
    <t>017669648C</t>
  </si>
  <si>
    <t>035339008B</t>
  </si>
  <si>
    <t>037456777E</t>
  </si>
  <si>
    <t>017876845D</t>
  </si>
  <si>
    <t>034558449E</t>
  </si>
  <si>
    <t>009647319E</t>
  </si>
  <si>
    <t>036299840D</t>
  </si>
  <si>
    <t>008680682F</t>
  </si>
  <si>
    <t>03078891D</t>
  </si>
  <si>
    <t>008698662H</t>
  </si>
  <si>
    <t>016109046J</t>
  </si>
  <si>
    <t>006420842E</t>
  </si>
  <si>
    <t>037095917D</t>
  </si>
  <si>
    <t>016232815H</t>
  </si>
  <si>
    <t>011750847D</t>
  </si>
  <si>
    <t>03438593A</t>
  </si>
  <si>
    <t>033695552B</t>
  </si>
  <si>
    <t>004309619H</t>
  </si>
  <si>
    <t>004212638D</t>
  </si>
  <si>
    <t>00036707049H</t>
  </si>
  <si>
    <t>037658458H</t>
  </si>
  <si>
    <t>036861156C</t>
  </si>
  <si>
    <t>002084336D</t>
  </si>
  <si>
    <t>016116835G</t>
  </si>
  <si>
    <t>18686495F</t>
  </si>
  <si>
    <t>015981942E</t>
  </si>
  <si>
    <t>012480877F</t>
  </si>
  <si>
    <t>012786418j</t>
  </si>
  <si>
    <t>018387194G</t>
  </si>
  <si>
    <t>037528108G</t>
  </si>
  <si>
    <t>00003084404H</t>
  </si>
  <si>
    <t>007550578E</t>
  </si>
  <si>
    <t>018135352F</t>
  </si>
  <si>
    <t>015914465I</t>
  </si>
  <si>
    <t>018515215E</t>
  </si>
  <si>
    <t>01767950B</t>
  </si>
  <si>
    <t>013258172J</t>
  </si>
  <si>
    <t>03356324G</t>
  </si>
  <si>
    <t>015578624H</t>
  </si>
  <si>
    <t>013428365E</t>
  </si>
  <si>
    <t>035114624G</t>
  </si>
  <si>
    <t>006805894A</t>
  </si>
  <si>
    <t>035315469D</t>
  </si>
  <si>
    <t>011273180H</t>
  </si>
  <si>
    <t>013624197D</t>
  </si>
  <si>
    <t>037197935C</t>
  </si>
  <si>
    <t>011215147H</t>
  </si>
  <si>
    <t>00010573119E</t>
  </si>
  <si>
    <t>037461943F</t>
  </si>
  <si>
    <t>7507129A</t>
  </si>
  <si>
    <t>31900754I</t>
  </si>
  <si>
    <t>010624024F</t>
  </si>
  <si>
    <t>013431863D</t>
  </si>
  <si>
    <t>008258844D</t>
  </si>
  <si>
    <t>037091825C</t>
  </si>
  <si>
    <t>0036992671C</t>
  </si>
  <si>
    <t>015969203H</t>
  </si>
  <si>
    <t>014966033E</t>
  </si>
  <si>
    <t>015169194G</t>
  </si>
  <si>
    <t>016854753H</t>
  </si>
  <si>
    <t>018216941H</t>
  </si>
  <si>
    <t>037398146D</t>
  </si>
  <si>
    <t>013410949F</t>
  </si>
  <si>
    <t>004808453G</t>
  </si>
  <si>
    <t>033782639A</t>
  </si>
  <si>
    <t>010669963A</t>
  </si>
  <si>
    <t>013330691A</t>
  </si>
  <si>
    <t>012670060I</t>
  </si>
  <si>
    <t>017829891F</t>
  </si>
  <si>
    <t>37528903A</t>
  </si>
  <si>
    <t>013276839B</t>
  </si>
  <si>
    <t>6004868126286098567</t>
  </si>
  <si>
    <t>018690956A</t>
  </si>
  <si>
    <t>017300002H</t>
  </si>
  <si>
    <t>018726933H</t>
  </si>
  <si>
    <t>000421201F</t>
  </si>
  <si>
    <t>018894019B</t>
  </si>
  <si>
    <t>006258127H</t>
  </si>
  <si>
    <t>011673171C</t>
  </si>
  <si>
    <t>09003455E</t>
  </si>
  <si>
    <t>009923429G</t>
  </si>
  <si>
    <t>018459866C</t>
  </si>
  <si>
    <t>011159567E</t>
  </si>
  <si>
    <t>00007159114D</t>
  </si>
  <si>
    <t>037237125C</t>
  </si>
  <si>
    <t>014376333C</t>
  </si>
  <si>
    <t>017976355C</t>
  </si>
  <si>
    <t>013398178H</t>
  </si>
  <si>
    <t>011227544B</t>
  </si>
  <si>
    <t>001432845E</t>
  </si>
  <si>
    <t>003125335E</t>
  </si>
  <si>
    <t>035614878D</t>
  </si>
  <si>
    <t>012598416B</t>
  </si>
  <si>
    <t>037558794G</t>
  </si>
  <si>
    <t>018340471E</t>
  </si>
  <si>
    <t>017794272J</t>
  </si>
  <si>
    <t>012620221H</t>
  </si>
  <si>
    <t>002679185F</t>
  </si>
  <si>
    <t>036537052H</t>
  </si>
  <si>
    <t>017675015G</t>
  </si>
  <si>
    <t>0095863738E</t>
  </si>
  <si>
    <t>00037507839B</t>
  </si>
  <si>
    <t>001526575E</t>
  </si>
  <si>
    <t>005693723I</t>
  </si>
  <si>
    <t>027475831H</t>
  </si>
  <si>
    <t>0004903537B</t>
  </si>
  <si>
    <t>035554552G</t>
  </si>
  <si>
    <t>001891841H</t>
  </si>
  <si>
    <t>004041445A</t>
  </si>
  <si>
    <t>013808079B</t>
  </si>
  <si>
    <t>016140209E</t>
  </si>
  <si>
    <t>00037139064C</t>
  </si>
  <si>
    <t>008055414A</t>
  </si>
  <si>
    <t>008592549D</t>
  </si>
  <si>
    <t>037674277B</t>
  </si>
  <si>
    <t>011032607B</t>
  </si>
  <si>
    <t>00014373487J</t>
  </si>
  <si>
    <t>032432400D</t>
  </si>
  <si>
    <t>none</t>
  </si>
  <si>
    <t>003947216C</t>
  </si>
  <si>
    <t>00001041553H</t>
  </si>
  <si>
    <t>010793066B</t>
  </si>
  <si>
    <t>005056108D</t>
  </si>
  <si>
    <t>011491059J</t>
  </si>
  <si>
    <t>033140628A</t>
  </si>
  <si>
    <t>11759112D</t>
  </si>
  <si>
    <t>009022525B</t>
  </si>
  <si>
    <t>001258172E</t>
  </si>
  <si>
    <t>018627805H</t>
  </si>
  <si>
    <t>037578530A</t>
  </si>
  <si>
    <t>004872514H</t>
  </si>
  <si>
    <t>015563116B</t>
  </si>
  <si>
    <t>016055797B</t>
  </si>
  <si>
    <t>034324962J</t>
  </si>
  <si>
    <t>013710416C</t>
  </si>
  <si>
    <t>012024063F</t>
  </si>
  <si>
    <t>018248006B</t>
  </si>
  <si>
    <t>008524023C</t>
  </si>
  <si>
    <t>008126081C</t>
  </si>
  <si>
    <t>032185432F</t>
  </si>
  <si>
    <t>09138060A</t>
  </si>
  <si>
    <t>037357074G</t>
  </si>
  <si>
    <t>014014717E</t>
  </si>
  <si>
    <t>009998992D</t>
  </si>
  <si>
    <t>00158625J</t>
  </si>
  <si>
    <t>06962545H</t>
  </si>
  <si>
    <t>037385870D</t>
  </si>
  <si>
    <t>018488035J</t>
  </si>
  <si>
    <t>018416430J</t>
  </si>
  <si>
    <t>114-62-0333</t>
  </si>
  <si>
    <t>096-48-4772</t>
  </si>
  <si>
    <t>126-48-4974</t>
  </si>
  <si>
    <t>060-62-5550</t>
  </si>
  <si>
    <t>584-29-0558</t>
  </si>
  <si>
    <t>101-50-9761</t>
  </si>
  <si>
    <t>095-54-5436</t>
  </si>
  <si>
    <t>000-00-6100</t>
  </si>
  <si>
    <t>067-80-0807</t>
  </si>
  <si>
    <t>214-21-9825</t>
  </si>
  <si>
    <t>054-80-9269</t>
  </si>
  <si>
    <t>086-70-5208</t>
  </si>
  <si>
    <t>774-41-5901</t>
  </si>
  <si>
    <t>198-04-3076</t>
  </si>
  <si>
    <t>095-86-1694</t>
  </si>
  <si>
    <t>056-48-6794</t>
  </si>
  <si>
    <t>129-70-4701</t>
  </si>
  <si>
    <t>730-12-4589</t>
  </si>
  <si>
    <t>598-05-8739</t>
  </si>
  <si>
    <t>087-86-4402</t>
  </si>
  <si>
    <t>128-82-2553</t>
  </si>
  <si>
    <t>006-97-4948</t>
  </si>
  <si>
    <t>106-68-6137</t>
  </si>
  <si>
    <t>050-96-0487</t>
  </si>
  <si>
    <t>126-42-3497</t>
  </si>
  <si>
    <t>059-90-1235</t>
  </si>
  <si>
    <t>101-56-1448</t>
  </si>
  <si>
    <t>133-90-0489</t>
  </si>
  <si>
    <t>589-60-9297</t>
  </si>
  <si>
    <t>076-76-5523</t>
  </si>
  <si>
    <t>115-58-2392</t>
  </si>
  <si>
    <t>131-78-2652</t>
  </si>
  <si>
    <t>065-58-5890</t>
  </si>
  <si>
    <t>250-04-4650</t>
  </si>
  <si>
    <t>243-89-2110</t>
  </si>
  <si>
    <t>591-58-8637</t>
  </si>
  <si>
    <t>500-96-6308</t>
  </si>
  <si>
    <t>060-68-6638</t>
  </si>
  <si>
    <t>102-64-1767</t>
  </si>
  <si>
    <t>063-42-2029</t>
  </si>
  <si>
    <t>113-74-1313</t>
  </si>
  <si>
    <t>118-34-3530</t>
  </si>
  <si>
    <t>071-82-9771</t>
  </si>
  <si>
    <t>058-90-6025</t>
  </si>
  <si>
    <t>090-96-5384</t>
  </si>
  <si>
    <t>077-54-6569</t>
  </si>
  <si>
    <t>079-56-9843</t>
  </si>
  <si>
    <t>079-52-9496</t>
  </si>
  <si>
    <t>215-17-3070</t>
  </si>
  <si>
    <t>082-40-4491</t>
  </si>
  <si>
    <t>157-66-1883</t>
  </si>
  <si>
    <t>477-89-1919</t>
  </si>
  <si>
    <t>134-60-7019</t>
  </si>
  <si>
    <t>091-56-4547</t>
  </si>
  <si>
    <t>583-46-1454</t>
  </si>
  <si>
    <t>059-36-8266</t>
  </si>
  <si>
    <t>075-86-8721</t>
  </si>
  <si>
    <t>127-42-3816</t>
  </si>
  <si>
    <t>068-60-0172</t>
  </si>
  <si>
    <t>408-69-3046</t>
  </si>
  <si>
    <t>157-56-1823</t>
  </si>
  <si>
    <t>102-58-1032</t>
  </si>
  <si>
    <t>115-56-0318</t>
  </si>
  <si>
    <t>050-38-4727</t>
  </si>
  <si>
    <t>077-02-4306</t>
  </si>
  <si>
    <t>060-70-2064</t>
  </si>
  <si>
    <t>068-52-7414</t>
  </si>
  <si>
    <t>068-64-1333</t>
  </si>
  <si>
    <t>051-84-7827</t>
  </si>
  <si>
    <t>061-96-4089</t>
  </si>
  <si>
    <t>129-82-0168</t>
  </si>
  <si>
    <t>582-85-4349</t>
  </si>
  <si>
    <t>056-58-0867</t>
  </si>
  <si>
    <t>103-60-7312</t>
  </si>
  <si>
    <t>060-82-4139</t>
  </si>
  <si>
    <t>063-46-2692</t>
  </si>
  <si>
    <t>122-58-9016</t>
  </si>
  <si>
    <t>108-64-3432</t>
  </si>
  <si>
    <t>215-23-5552</t>
  </si>
  <si>
    <t>101-68-7901</t>
  </si>
  <si>
    <t>118-80-5425</t>
  </si>
  <si>
    <t>105-84-4205</t>
  </si>
  <si>
    <t>581-71-4686</t>
  </si>
  <si>
    <t>136-44-2982</t>
  </si>
  <si>
    <t>055-60-1207</t>
  </si>
  <si>
    <t>584-08-2150</t>
  </si>
  <si>
    <t>102-80-2657</t>
  </si>
  <si>
    <t>092-32-6892</t>
  </si>
  <si>
    <t>103-48-5472</t>
  </si>
  <si>
    <t>114-92-5712</t>
  </si>
  <si>
    <t>598-18-1171</t>
  </si>
  <si>
    <t>083-80-8887</t>
  </si>
  <si>
    <t>112-44-3278</t>
  </si>
  <si>
    <t>061-66-0530</t>
  </si>
  <si>
    <t>135-66-8052</t>
  </si>
  <si>
    <t>053-60-2846</t>
  </si>
  <si>
    <t>584-24-1390</t>
  </si>
  <si>
    <t>101-56-7909</t>
  </si>
  <si>
    <t>053-70-2483</t>
  </si>
  <si>
    <t>050-54-1744</t>
  </si>
  <si>
    <t>124-62-4817</t>
  </si>
  <si>
    <t>063-58-1176</t>
  </si>
  <si>
    <t>597-34-8760</t>
  </si>
  <si>
    <t>122-68-8620</t>
  </si>
  <si>
    <t>246-68-4160</t>
  </si>
  <si>
    <t>102-94-4041</t>
  </si>
  <si>
    <t>066-58-1175</t>
  </si>
  <si>
    <t>147-56-0132</t>
  </si>
  <si>
    <t>042-88-2902</t>
  </si>
  <si>
    <t>583-27-5232</t>
  </si>
  <si>
    <t>063-68-7253</t>
  </si>
  <si>
    <t>095-96-4625</t>
  </si>
  <si>
    <t>132-86-2907</t>
  </si>
  <si>
    <t>255-68-7755</t>
  </si>
  <si>
    <t>061-72-5935</t>
  </si>
  <si>
    <t>078-94-9304</t>
  </si>
  <si>
    <t>149-78-9894</t>
  </si>
  <si>
    <t>078-68-7431</t>
  </si>
  <si>
    <t>067-62-7953</t>
  </si>
  <si>
    <t>648-82-1547</t>
  </si>
  <si>
    <t>103-88-8256</t>
  </si>
  <si>
    <t>060-82-3601</t>
  </si>
  <si>
    <t>225-17-8362</t>
  </si>
  <si>
    <t>117-56-3984</t>
  </si>
  <si>
    <t>197-99-5372</t>
  </si>
  <si>
    <t>075-60-8386</t>
  </si>
  <si>
    <t>589-44-6799</t>
  </si>
  <si>
    <t>584-17-7165</t>
  </si>
  <si>
    <t>114-70-1589</t>
  </si>
  <si>
    <t>105-82-0815</t>
  </si>
  <si>
    <t>115-54-0704</t>
  </si>
  <si>
    <t>103-70-6335</t>
  </si>
  <si>
    <t>088-84-2679</t>
  </si>
  <si>
    <t>113-88-5521</t>
  </si>
  <si>
    <t>096-74-0073</t>
  </si>
  <si>
    <t>084-64-2094</t>
  </si>
  <si>
    <t>059-86-5981</t>
  </si>
  <si>
    <t>245-13-3051</t>
  </si>
  <si>
    <t>055-58-8323</t>
  </si>
  <si>
    <t>103-44-7644</t>
  </si>
  <si>
    <t>096-60-9441</t>
  </si>
  <si>
    <t>132-66-4544</t>
  </si>
  <si>
    <t>054-62-1328</t>
  </si>
  <si>
    <t>132-84-5684</t>
  </si>
  <si>
    <t>129-70-7365</t>
  </si>
  <si>
    <t>090-68-8697</t>
  </si>
  <si>
    <t>091-94-3957</t>
  </si>
  <si>
    <t>107-60-7386</t>
  </si>
  <si>
    <t>058-60-2696</t>
  </si>
  <si>
    <t>072-80-4509</t>
  </si>
  <si>
    <t>133-64-2452</t>
  </si>
  <si>
    <t>154-50-7300</t>
  </si>
  <si>
    <t>079-74-9371</t>
  </si>
  <si>
    <t>094-98-6382</t>
  </si>
  <si>
    <t>141-64-7625</t>
  </si>
  <si>
    <t>057-62-1255</t>
  </si>
  <si>
    <t>113-70-3037</t>
  </si>
  <si>
    <t>117-54-8627</t>
  </si>
  <si>
    <t>074-68-7931</t>
  </si>
  <si>
    <t>086-54-2759</t>
  </si>
  <si>
    <t>814-25-3957</t>
  </si>
  <si>
    <t>066-80-1909</t>
  </si>
  <si>
    <t>073-68-9331</t>
  </si>
  <si>
    <t>130-42-5894</t>
  </si>
  <si>
    <t>095-80-0551</t>
  </si>
  <si>
    <t>758-29-8864</t>
  </si>
  <si>
    <t>085-70-2994</t>
  </si>
  <si>
    <t>091-78-8001</t>
  </si>
  <si>
    <t>083-56-3146</t>
  </si>
  <si>
    <t>044-36-8581</t>
  </si>
  <si>
    <t>094-74-8387</t>
  </si>
  <si>
    <t>088-88-7054</t>
  </si>
  <si>
    <t>070-44-9680</t>
  </si>
  <si>
    <t>128-54-9627</t>
  </si>
  <si>
    <t>138-84-1567</t>
  </si>
  <si>
    <t>092-38-3349</t>
  </si>
  <si>
    <t>079-64-5235</t>
  </si>
  <si>
    <t>139-52-5507</t>
  </si>
  <si>
    <t>070-84-0970</t>
  </si>
  <si>
    <t>084-58-8285</t>
  </si>
  <si>
    <t>088-62-5287</t>
  </si>
  <si>
    <t>075-52-3445</t>
  </si>
  <si>
    <t>121-70-1390</t>
  </si>
  <si>
    <t>095-86-0753</t>
  </si>
  <si>
    <t>025-66-0751</t>
  </si>
  <si>
    <t>004-92-3801</t>
  </si>
  <si>
    <t>113-70-4430</t>
  </si>
  <si>
    <t>494-50-3857</t>
  </si>
  <si>
    <t>154-45-0800</t>
  </si>
  <si>
    <t>112-64-2500</t>
  </si>
  <si>
    <t>096-90-2408</t>
  </si>
  <si>
    <t>091-62-2657</t>
  </si>
  <si>
    <t>596-01-4288</t>
  </si>
  <si>
    <t>385-88-8596</t>
  </si>
  <si>
    <t>368-50-3783</t>
  </si>
  <si>
    <t>420-31-6877</t>
  </si>
  <si>
    <t>575-72-1120</t>
  </si>
  <si>
    <t>096-30-3788</t>
  </si>
  <si>
    <t>065-76-9244</t>
  </si>
  <si>
    <t>056-58-1097</t>
  </si>
  <si>
    <t>115-74-1716</t>
  </si>
  <si>
    <t>100-80-3501</t>
  </si>
  <si>
    <t>130-84-9281</t>
  </si>
  <si>
    <t>077-52-5194</t>
  </si>
  <si>
    <t>082-40-5764</t>
  </si>
  <si>
    <t>063-70-7055</t>
  </si>
  <si>
    <t>080-52-3365</t>
  </si>
  <si>
    <t>084-66-0268</t>
  </si>
  <si>
    <t>100-54-2439</t>
  </si>
  <si>
    <t>109-54-5104</t>
  </si>
  <si>
    <t>075-56-7462</t>
  </si>
  <si>
    <t>130-66-6880</t>
  </si>
  <si>
    <t>053-66-4996</t>
  </si>
  <si>
    <t>093-74-7398</t>
  </si>
  <si>
    <t>115-56-1846</t>
  </si>
  <si>
    <t>116-64-0078</t>
  </si>
  <si>
    <t>410-77-1252</t>
  </si>
  <si>
    <t>077-62-5804</t>
  </si>
  <si>
    <t>133-98-8208</t>
  </si>
  <si>
    <t>128-58-1683</t>
  </si>
  <si>
    <t>062-58-7314</t>
  </si>
  <si>
    <t>129-34-0746</t>
  </si>
  <si>
    <t>121-68-8014</t>
  </si>
  <si>
    <t>218-15-9945</t>
  </si>
  <si>
    <t>638-51-5025</t>
  </si>
  <si>
    <t>246-66-3866</t>
  </si>
  <si>
    <t>127-88-1352</t>
  </si>
  <si>
    <t>065-58-1639</t>
  </si>
  <si>
    <t>060-86-9242</t>
  </si>
  <si>
    <t>051-90-4978</t>
  </si>
  <si>
    <t>113-48-9823</t>
  </si>
  <si>
    <t>113-74-1464</t>
  </si>
  <si>
    <t>000-00-0000</t>
  </si>
  <si>
    <t>090-76-0625</t>
  </si>
  <si>
    <t>075-44-5688</t>
  </si>
  <si>
    <t>240-31-9130</t>
  </si>
  <si>
    <t>115-56-9928</t>
  </si>
  <si>
    <t>126-48-1352</t>
  </si>
  <si>
    <t>074-42-2251</t>
  </si>
  <si>
    <t>094-52-8972</t>
  </si>
  <si>
    <t>116-56-4949</t>
  </si>
  <si>
    <t>107-80-5800</t>
  </si>
  <si>
    <t>465-49-7977</t>
  </si>
  <si>
    <t>247-06-3267</t>
  </si>
  <si>
    <t>134-68-9435</t>
  </si>
  <si>
    <t>053-42-1332</t>
  </si>
  <si>
    <t>110-52-9682</t>
  </si>
  <si>
    <t>102-54-2564</t>
  </si>
  <si>
    <t>073-52-2636</t>
  </si>
  <si>
    <t>123-42-4584</t>
  </si>
  <si>
    <t>111-38-6089</t>
  </si>
  <si>
    <t>128-48-4311</t>
  </si>
  <si>
    <t>051-30-6077</t>
  </si>
  <si>
    <t>080-02-3287</t>
  </si>
  <si>
    <t>114-60-4317</t>
  </si>
  <si>
    <t>124-70-6162</t>
  </si>
  <si>
    <t>118-70-6478</t>
  </si>
  <si>
    <t>126-80-9921</t>
  </si>
  <si>
    <t>059-41-3801</t>
  </si>
  <si>
    <t>251-92-1027</t>
  </si>
  <si>
    <t>098-46-1764</t>
  </si>
  <si>
    <t>110-62-4831</t>
  </si>
  <si>
    <t>319-41-3152</t>
  </si>
  <si>
    <t>121-78-3442</t>
  </si>
  <si>
    <t>091-40-2162</t>
  </si>
  <si>
    <t>083-86-0414</t>
  </si>
  <si>
    <t>118-46-4133</t>
  </si>
  <si>
    <t>090-73-9980</t>
  </si>
  <si>
    <t>083-46-8344</t>
  </si>
  <si>
    <t>083-46-2747</t>
  </si>
  <si>
    <t>096-56-0742</t>
  </si>
  <si>
    <t>090-60-7967</t>
  </si>
  <si>
    <t>114-36-7437</t>
  </si>
  <si>
    <t>090-66-0866</t>
  </si>
  <si>
    <t>584-67-3186</t>
  </si>
  <si>
    <t>124-88-1123</t>
  </si>
  <si>
    <t>080-60-0944</t>
  </si>
  <si>
    <t>597-10-8125</t>
  </si>
  <si>
    <t>050-48-6037</t>
  </si>
  <si>
    <t>265-19-7826</t>
  </si>
  <si>
    <t>101-50-9902</t>
  </si>
  <si>
    <t>124-60-5761</t>
  </si>
  <si>
    <t>126-50-9103</t>
  </si>
  <si>
    <t>068-86-4909</t>
  </si>
  <si>
    <t>128-90-7212</t>
  </si>
  <si>
    <t>081-46-5846</t>
  </si>
  <si>
    <t>090-60-9105</t>
  </si>
  <si>
    <t>000-00-5007</t>
  </si>
  <si>
    <t>119-42-7956</t>
  </si>
  <si>
    <t>085-62-0807</t>
  </si>
  <si>
    <t>040-68-0333</t>
  </si>
  <si>
    <t>108-78-3624</t>
  </si>
  <si>
    <t>594-32-6989</t>
  </si>
  <si>
    <t>644-09-0540</t>
  </si>
  <si>
    <t>102-64-5296</t>
  </si>
  <si>
    <t>120-74-3557</t>
  </si>
  <si>
    <t>097-84-4514</t>
  </si>
  <si>
    <t>053-78-1010</t>
  </si>
  <si>
    <t>062-58-8111</t>
  </si>
  <si>
    <t>060-68-3694</t>
  </si>
  <si>
    <t>072-76-5744</t>
  </si>
  <si>
    <t>056-64-1386</t>
  </si>
  <si>
    <t>583-78-1783</t>
  </si>
  <si>
    <t>058-50-8449</t>
  </si>
  <si>
    <t>451-91-6232</t>
  </si>
  <si>
    <t>118-96-2607</t>
  </si>
  <si>
    <t>097-54-6313</t>
  </si>
  <si>
    <t>128-76-6956</t>
  </si>
  <si>
    <t>052-84-4489</t>
  </si>
  <si>
    <t>052-84-5160</t>
  </si>
  <si>
    <t>202-52-8921</t>
  </si>
  <si>
    <t>683-78-6072</t>
  </si>
  <si>
    <t>071-54-5016</t>
  </si>
  <si>
    <t>124-74-5121</t>
  </si>
  <si>
    <t>070-44-3186</t>
  </si>
  <si>
    <t>073-50-0345</t>
  </si>
  <si>
    <t>126-48-4376</t>
  </si>
  <si>
    <t>598-42-7655</t>
  </si>
  <si>
    <t>079-86-2667</t>
  </si>
  <si>
    <t>054-44-7380</t>
  </si>
  <si>
    <t>064-54-8785</t>
  </si>
  <si>
    <t>090-56-5013</t>
  </si>
  <si>
    <t>056-78-6354</t>
  </si>
  <si>
    <t>075-58-6883</t>
  </si>
  <si>
    <t>248-50-6851</t>
  </si>
  <si>
    <t>233-21-4533</t>
  </si>
  <si>
    <t>134-82-9464</t>
  </si>
  <si>
    <t>128-84-3180</t>
  </si>
  <si>
    <t>075-56-3534</t>
  </si>
  <si>
    <t>123-66-1203</t>
  </si>
  <si>
    <t>100-54-1547</t>
  </si>
  <si>
    <t>198-73-3115</t>
  </si>
  <si>
    <t>100-42-7165</t>
  </si>
  <si>
    <t>127-68-6257</t>
  </si>
  <si>
    <t>081-66-0381</t>
  </si>
  <si>
    <t>103-64-7354</t>
  </si>
  <si>
    <t>079-64-9286</t>
  </si>
  <si>
    <t>105-16-1458</t>
  </si>
  <si>
    <t>070-50-7117</t>
  </si>
  <si>
    <t>078-74-1455</t>
  </si>
  <si>
    <t>082-40-4213</t>
  </si>
  <si>
    <t>117-40-1020</t>
  </si>
  <si>
    <t>212-60-4275</t>
  </si>
  <si>
    <t>256-25-3442</t>
  </si>
  <si>
    <t>117-68-4651</t>
  </si>
  <si>
    <t>115-62-4114</t>
  </si>
  <si>
    <t>072-60-3861</t>
  </si>
  <si>
    <t>097-56-7596</t>
  </si>
  <si>
    <t>050-68-0146</t>
  </si>
  <si>
    <t>110-58-9327</t>
  </si>
  <si>
    <t>109-66-0043</t>
  </si>
  <si>
    <t>122-68-8174</t>
  </si>
  <si>
    <t>073-50-5138</t>
  </si>
  <si>
    <t>085-66-7278</t>
  </si>
  <si>
    <t>132-80-8741</t>
  </si>
  <si>
    <t>105-60-4316</t>
  </si>
  <si>
    <t>058-58-9747</t>
  </si>
  <si>
    <t>244-92-7549</t>
  </si>
  <si>
    <t>094-40-5455</t>
  </si>
  <si>
    <t>121-56-5156</t>
  </si>
  <si>
    <t>060-58-4053</t>
  </si>
  <si>
    <t>260-62-9265</t>
  </si>
  <si>
    <t>082-84-9272</t>
  </si>
  <si>
    <t>105-94-1688</t>
  </si>
  <si>
    <t>122-82-4174</t>
  </si>
  <si>
    <t>067-59-0182</t>
  </si>
  <si>
    <t>115-76-4201</t>
  </si>
  <si>
    <t>119-66-6526</t>
  </si>
  <si>
    <t>098-66-4408</t>
  </si>
  <si>
    <t>103-66-1606</t>
  </si>
  <si>
    <t>051-88-2400</t>
  </si>
  <si>
    <t>111-46-2703</t>
  </si>
  <si>
    <t>068-72-0964</t>
  </si>
  <si>
    <t>126-86-3127</t>
  </si>
  <si>
    <t>108-84-2273</t>
  </si>
  <si>
    <t>101-54-2663</t>
  </si>
  <si>
    <t>277-50-4973</t>
  </si>
  <si>
    <t>091-58-1601</t>
  </si>
  <si>
    <t>096-36-4512</t>
  </si>
  <si>
    <t>061-44-7463</t>
  </si>
  <si>
    <t>066-86-3005</t>
  </si>
  <si>
    <t>077-54-9124</t>
  </si>
  <si>
    <t>067-64-4240</t>
  </si>
  <si>
    <t>134-50-5200</t>
  </si>
  <si>
    <t>076-60-0259</t>
  </si>
  <si>
    <t>084-70-6098</t>
  </si>
  <si>
    <t>082-54-8061</t>
  </si>
  <si>
    <t>130-58-5021</t>
  </si>
  <si>
    <t>132-62-8033</t>
  </si>
  <si>
    <t>089-58-9672</t>
  </si>
  <si>
    <t>053-72-4849</t>
  </si>
  <si>
    <t>127-80-3728</t>
  </si>
  <si>
    <t>528-88-6951</t>
  </si>
  <si>
    <t>580-08-9947</t>
  </si>
  <si>
    <t>113-64-5118</t>
  </si>
  <si>
    <t>057-60-9676</t>
  </si>
  <si>
    <t>132-64-4170</t>
  </si>
  <si>
    <t>088-52-5022</t>
  </si>
  <si>
    <t>264-72-8253</t>
  </si>
  <si>
    <t>579-74-5654</t>
  </si>
  <si>
    <t>093-54-3485</t>
  </si>
  <si>
    <t>126-70-6635</t>
  </si>
  <si>
    <t>121-76-2781</t>
  </si>
  <si>
    <t>264-33-2178</t>
  </si>
  <si>
    <t>062-46-9787</t>
  </si>
  <si>
    <t>103-54-2957</t>
  </si>
  <si>
    <t>102-62-1978</t>
  </si>
  <si>
    <t>076-64-1570</t>
  </si>
  <si>
    <t>084-80-5013</t>
  </si>
  <si>
    <t>122-64-3956</t>
  </si>
  <si>
    <t>129-78-2722</t>
  </si>
  <si>
    <t>117-34-3243</t>
  </si>
  <si>
    <t>074-60-0612</t>
  </si>
  <si>
    <t>087-88-3565</t>
  </si>
  <si>
    <t>079-66-9930</t>
  </si>
  <si>
    <t>118-44-2731</t>
  </si>
  <si>
    <t>064-66-1028</t>
  </si>
  <si>
    <t>070-66-3835</t>
  </si>
  <si>
    <t>033-72-7061</t>
  </si>
  <si>
    <t>062-58-0034</t>
  </si>
  <si>
    <t>186-56-3012</t>
  </si>
  <si>
    <t>063-72-1690</t>
  </si>
  <si>
    <t>113-54-2643</t>
  </si>
  <si>
    <t>112-56-0460</t>
  </si>
  <si>
    <t>069-56-6290</t>
  </si>
  <si>
    <t>053-64-9507</t>
  </si>
  <si>
    <t>099-52-9131</t>
  </si>
  <si>
    <t>058-86-9267</t>
  </si>
  <si>
    <t>087-72-7955</t>
  </si>
  <si>
    <t>243-74-7618</t>
  </si>
  <si>
    <t>000-00-2277</t>
  </si>
  <si>
    <t>125-44-0274</t>
  </si>
  <si>
    <t>378-64-4029</t>
  </si>
  <si>
    <t>122-28-2336</t>
  </si>
  <si>
    <t>582-47-7160</t>
  </si>
  <si>
    <t>070-56-9716</t>
  </si>
  <si>
    <t>115-56-8175</t>
  </si>
  <si>
    <t>116-56-0278</t>
  </si>
  <si>
    <t>079-46-9798</t>
  </si>
  <si>
    <t>061-44-5382</t>
  </si>
  <si>
    <t>050-74-6484</t>
  </si>
  <si>
    <t>589-21-0009</t>
  </si>
  <si>
    <t>100-76-5378</t>
  </si>
  <si>
    <t>077-50-8493</t>
  </si>
  <si>
    <t>078-72-4853</t>
  </si>
  <si>
    <t>146-92-0194</t>
  </si>
  <si>
    <t>062-58-8341</t>
  </si>
  <si>
    <t>043-62-1209</t>
  </si>
  <si>
    <t>053-58-5342</t>
  </si>
  <si>
    <t>124-58-3712</t>
  </si>
  <si>
    <t>071-82-7640</t>
  </si>
  <si>
    <t>121-76-1172</t>
  </si>
  <si>
    <t>081-72-3948</t>
  </si>
  <si>
    <t>059-68-0419</t>
  </si>
  <si>
    <t>066-88-1430</t>
  </si>
  <si>
    <t>086-78-2272</t>
  </si>
  <si>
    <t>104-70-1633</t>
  </si>
  <si>
    <t>733-05-9446</t>
  </si>
  <si>
    <t>087-82-1623</t>
  </si>
  <si>
    <t>070-44-2606</t>
  </si>
  <si>
    <t>055-70-2322</t>
  </si>
  <si>
    <t>050-72-4627</t>
  </si>
  <si>
    <t>081-70-4481</t>
  </si>
  <si>
    <t>134-52-5482</t>
  </si>
  <si>
    <t>129-58-0193</t>
  </si>
  <si>
    <t>112-82-1443</t>
  </si>
  <si>
    <t>098-54-9661</t>
  </si>
  <si>
    <t>051-60-5708</t>
  </si>
  <si>
    <t>097-78-0773</t>
  </si>
  <si>
    <t>082-40-6876</t>
  </si>
  <si>
    <t>073-58-0817</t>
  </si>
  <si>
    <t>059-76-8081</t>
  </si>
  <si>
    <t>086-70-9264</t>
  </si>
  <si>
    <t>057-66-0447</t>
  </si>
  <si>
    <t>098-54-3025</t>
  </si>
  <si>
    <t>060-56-0177</t>
  </si>
  <si>
    <t>074-26-4961</t>
  </si>
  <si>
    <t>539-97-8535</t>
  </si>
  <si>
    <t>100-58-3142</t>
  </si>
  <si>
    <t>071-60-4832</t>
  </si>
  <si>
    <t>068-72-5551</t>
  </si>
  <si>
    <t>081-64-7758</t>
  </si>
  <si>
    <t>072-92-8225</t>
  </si>
  <si>
    <t>567-51-9881</t>
  </si>
  <si>
    <t>088-78-3799</t>
  </si>
  <si>
    <t>051-60-5777</t>
  </si>
  <si>
    <t>262-86-4574</t>
  </si>
  <si>
    <t>053-72-6848</t>
  </si>
  <si>
    <t>092-60-0795</t>
  </si>
  <si>
    <t>190-52-1625</t>
  </si>
  <si>
    <t>074-82-1560</t>
  </si>
  <si>
    <t>072-76-3981</t>
  </si>
  <si>
    <t>011-34-0770</t>
  </si>
  <si>
    <t>052-80-9923</t>
  </si>
  <si>
    <t>126-46-9829</t>
  </si>
  <si>
    <t>094-94-4191</t>
  </si>
  <si>
    <t>105-54-7293</t>
  </si>
  <si>
    <t>184-76-4980</t>
  </si>
  <si>
    <t>185-70-7368</t>
  </si>
  <si>
    <t>077-80-7718</t>
  </si>
  <si>
    <t>088-86-3821</t>
  </si>
  <si>
    <t>114-68-7244</t>
  </si>
  <si>
    <t>053-50-9365</t>
  </si>
  <si>
    <t>092-56-1149</t>
  </si>
  <si>
    <t>065-66-8813</t>
  </si>
  <si>
    <t>116-46-4869</t>
  </si>
  <si>
    <t>114-72-3265</t>
  </si>
  <si>
    <t>068-62-8316</t>
  </si>
  <si>
    <t>089-64-1488</t>
  </si>
  <si>
    <t>064-72-8032</t>
  </si>
  <si>
    <t>068-84-4361</t>
  </si>
  <si>
    <t>120-86-1122</t>
  </si>
  <si>
    <t>114-84-6814</t>
  </si>
  <si>
    <t>133-46-6454</t>
  </si>
  <si>
    <t>371-02-0875</t>
  </si>
  <si>
    <t>070-64-3736</t>
  </si>
  <si>
    <t>102-62-2178</t>
  </si>
  <si>
    <t>057-60-9812</t>
  </si>
  <si>
    <t>108-66-8695</t>
  </si>
  <si>
    <t>116-64-1813</t>
  </si>
  <si>
    <t>410-65-0510</t>
  </si>
  <si>
    <t>082-88-4339</t>
  </si>
  <si>
    <t>103-44-1558</t>
  </si>
  <si>
    <t>069-70-9635</t>
  </si>
  <si>
    <t>117-74-5533</t>
  </si>
  <si>
    <t>052-82-5525</t>
  </si>
  <si>
    <t>098-56-7296</t>
  </si>
  <si>
    <t>403-56-1993</t>
  </si>
  <si>
    <t>063-40-4088</t>
  </si>
  <si>
    <t>051-88-1854</t>
  </si>
  <si>
    <t>078-72-5432</t>
  </si>
  <si>
    <t>137-66-5369</t>
  </si>
  <si>
    <t>096-62-9993</t>
  </si>
  <si>
    <t>594-36-4594</t>
  </si>
  <si>
    <t>057-56-1547</t>
  </si>
  <si>
    <t>249-23-9903</t>
  </si>
  <si>
    <t>099-46-4064</t>
  </si>
  <si>
    <t>098-74-4841</t>
  </si>
  <si>
    <t>051-98-5130</t>
  </si>
  <si>
    <t>262-27-8124</t>
  </si>
  <si>
    <t>089-74-1679</t>
  </si>
  <si>
    <t>059-54-9523</t>
  </si>
  <si>
    <t>253-90-6541</t>
  </si>
  <si>
    <t>131-48-0390</t>
  </si>
  <si>
    <t>129-68-1839</t>
  </si>
  <si>
    <t>218-56-5853</t>
  </si>
  <si>
    <t>074-62-4042</t>
  </si>
  <si>
    <t>098-46-1221</t>
  </si>
  <si>
    <t>117-54-4462</t>
  </si>
  <si>
    <t>581-41-8591</t>
  </si>
  <si>
    <t>000-00-3507</t>
  </si>
  <si>
    <t>054-80-5150</t>
  </si>
  <si>
    <t>086-62-0102</t>
  </si>
  <si>
    <t>120-58-4691</t>
  </si>
  <si>
    <t>064-58-1516</t>
  </si>
  <si>
    <t>078-80-6937</t>
  </si>
  <si>
    <t>123-68-0105</t>
  </si>
  <si>
    <t>039-42-8350</t>
  </si>
  <si>
    <t>050-88-6480</t>
  </si>
  <si>
    <t>408-49-8367</t>
  </si>
  <si>
    <t>115-40-9247</t>
  </si>
  <si>
    <t>123-60-5202</t>
  </si>
  <si>
    <t>122-82-4971</t>
  </si>
  <si>
    <t>581-76-8437</t>
  </si>
  <si>
    <t>096-58-5203</t>
  </si>
  <si>
    <t>105-72-2989</t>
  </si>
  <si>
    <t>094-52-7762</t>
  </si>
  <si>
    <t>076-88-6150</t>
  </si>
  <si>
    <t>095-84-2880</t>
  </si>
  <si>
    <t>810-91-1246</t>
  </si>
  <si>
    <t>125-50-6822</t>
  </si>
  <si>
    <t>580-17-2718</t>
  </si>
  <si>
    <t>000-00-1201</t>
  </si>
  <si>
    <t>121-76-5330</t>
  </si>
  <si>
    <t>124-32-5515</t>
  </si>
  <si>
    <t>072-96-3363</t>
  </si>
  <si>
    <t>053-60-6261</t>
  </si>
  <si>
    <t>112-34-1089</t>
  </si>
  <si>
    <t>263-62-1799</t>
  </si>
  <si>
    <t>097-36-9889</t>
  </si>
  <si>
    <t>064-76-5307</t>
  </si>
  <si>
    <t>119-82-7182</t>
  </si>
  <si>
    <t>053-78-2192</t>
  </si>
  <si>
    <t>115-76-4354</t>
  </si>
  <si>
    <t>072-42-9090</t>
  </si>
  <si>
    <t>069-56-7340</t>
  </si>
  <si>
    <t>082-68-7685</t>
  </si>
  <si>
    <t>055-68-9240</t>
  </si>
  <si>
    <t>134-74-4803</t>
  </si>
  <si>
    <t>097-64-5387</t>
  </si>
  <si>
    <t>318-52-7710</t>
  </si>
  <si>
    <t>407-90-0955</t>
  </si>
  <si>
    <t>112-40-3796</t>
  </si>
  <si>
    <t>077-68-5171</t>
  </si>
  <si>
    <t>064-46-7845</t>
  </si>
  <si>
    <t>122-60-0938</t>
  </si>
  <si>
    <t>087-48-0443</t>
  </si>
  <si>
    <t>131-80-1767</t>
  </si>
  <si>
    <t>377-96-2734</t>
  </si>
  <si>
    <t>146-66-4715</t>
  </si>
  <si>
    <t>098-62-0232</t>
  </si>
  <si>
    <t>131-68-8782</t>
  </si>
  <si>
    <t>070-60-6062</t>
  </si>
  <si>
    <t>126-84-0397</t>
  </si>
  <si>
    <t>106-90-9437</t>
  </si>
  <si>
    <t>263-90-9981</t>
  </si>
  <si>
    <t>099-68-3529</t>
  </si>
  <si>
    <t>086-90-7663</t>
  </si>
  <si>
    <t>065-56-1102</t>
  </si>
  <si>
    <t>078-32-1113</t>
  </si>
  <si>
    <t>131-54-4818</t>
  </si>
  <si>
    <t>080-72-9082</t>
  </si>
  <si>
    <t>126-42-5549</t>
  </si>
  <si>
    <t>081-86-3596</t>
  </si>
  <si>
    <t>090-38-5362</t>
  </si>
  <si>
    <t>074-46-6735</t>
  </si>
  <si>
    <t>110-54-8821</t>
  </si>
  <si>
    <t>060-54-2293</t>
  </si>
  <si>
    <t>118-62-0389</t>
  </si>
  <si>
    <t>482-23-0409</t>
  </si>
  <si>
    <t>050-60-5969</t>
  </si>
  <si>
    <t>154-50-9446</t>
  </si>
  <si>
    <t>247-33-5645</t>
  </si>
  <si>
    <t>093-58-0837</t>
  </si>
  <si>
    <t>083-46-4323</t>
  </si>
  <si>
    <t>134-30-6863</t>
  </si>
  <si>
    <t>077-62-1706</t>
  </si>
  <si>
    <t>065-58-5035</t>
  </si>
  <si>
    <t>265-11-5963</t>
  </si>
  <si>
    <t>072-44-2053</t>
  </si>
  <si>
    <t>480-58-2851</t>
  </si>
  <si>
    <t>133-56-3784</t>
  </si>
  <si>
    <t>105-56-4754</t>
  </si>
  <si>
    <t>118-60-3997</t>
  </si>
  <si>
    <t>114-74-7143</t>
  </si>
  <si>
    <t>127-54-5978</t>
  </si>
  <si>
    <t>112-60-0881</t>
  </si>
  <si>
    <t>106-68-8385</t>
  </si>
  <si>
    <t>115-62-4053</t>
  </si>
  <si>
    <t>064-66-9586</t>
  </si>
  <si>
    <t>100-28-5597</t>
  </si>
  <si>
    <t>583-31-8067</t>
  </si>
  <si>
    <t>060-58-2589</t>
  </si>
  <si>
    <t>098-56-2585</t>
  </si>
  <si>
    <t>123-78-5781</t>
  </si>
  <si>
    <t>082-64-0854</t>
  </si>
  <si>
    <t>073-66-3645</t>
  </si>
  <si>
    <t>054-58-9288</t>
  </si>
  <si>
    <t>060-78-3270</t>
  </si>
  <si>
    <t>206-48-8604</t>
  </si>
  <si>
    <t>117-56-5511</t>
  </si>
  <si>
    <t>155-68-4533</t>
  </si>
  <si>
    <t>107-46-1647</t>
  </si>
  <si>
    <t>254-29-1947</t>
  </si>
  <si>
    <t>057-02-6827</t>
  </si>
  <si>
    <t>123-54-6190</t>
  </si>
  <si>
    <t>582-94-6227</t>
  </si>
  <si>
    <t>137-88-0774</t>
  </si>
  <si>
    <t>142-62-0545</t>
  </si>
  <si>
    <t>134-64-8778</t>
  </si>
  <si>
    <t>056-58-4517</t>
  </si>
  <si>
    <t>582-66-5931</t>
  </si>
  <si>
    <t>072-58-2228</t>
  </si>
  <si>
    <t>091-80-5720</t>
  </si>
  <si>
    <t>000-00-4738</t>
  </si>
  <si>
    <t>053-62-6486</t>
  </si>
  <si>
    <t>580-70-4951</t>
  </si>
  <si>
    <t>053-66-0967</t>
  </si>
  <si>
    <t>339-58-6983</t>
  </si>
  <si>
    <t>065-56-2844</t>
  </si>
  <si>
    <t>229-53-2550</t>
  </si>
  <si>
    <t>058-74-4194</t>
  </si>
  <si>
    <t>124-98-7250</t>
  </si>
  <si>
    <t>054-64-8978</t>
  </si>
  <si>
    <t>132-70-1122</t>
  </si>
  <si>
    <t>580-07-0279</t>
  </si>
  <si>
    <t>092-42-1317</t>
  </si>
  <si>
    <t>583-63-7183</t>
  </si>
  <si>
    <t>077-60-7676</t>
  </si>
  <si>
    <t>065-62-1047</t>
  </si>
  <si>
    <t>064-98-5766</t>
  </si>
  <si>
    <t>076-74-2387</t>
  </si>
  <si>
    <t>061-66-9164</t>
  </si>
  <si>
    <t>107-40-4098</t>
  </si>
  <si>
    <t>Rent Stabilized</t>
  </si>
  <si>
    <t>Public Housing</t>
  </si>
  <si>
    <t>Unknown</t>
  </si>
  <si>
    <t>Public Housing/NYCHA</t>
  </si>
  <si>
    <t>Unregulated</t>
  </si>
  <si>
    <t>Rent Controlled</t>
  </si>
  <si>
    <t>Mitchell-Lama</t>
  </si>
  <si>
    <t>Low Income Tax Credit</t>
  </si>
  <si>
    <t>HDFC</t>
  </si>
  <si>
    <t>Other Subsidized Housing</t>
  </si>
  <si>
    <t>Project-based Sec. 8</t>
  </si>
  <si>
    <t>Unregulated – Co-Op</t>
  </si>
  <si>
    <t>08/12/2019</t>
  </si>
  <si>
    <t>04/26/2019</t>
  </si>
  <si>
    <t>07/15/2019</t>
  </si>
  <si>
    <t>Zip Code Waiver</t>
  </si>
  <si>
    <t>Income Waiver</t>
  </si>
  <si>
    <t>Childless Household</t>
  </si>
  <si>
    <t>Household with Minors with Eligible Benefit (Cash Assistance and/or SNAP)</t>
  </si>
  <si>
    <t>Household with Minors with No Eligible Benefit</t>
  </si>
  <si>
    <t>None</t>
  </si>
  <si>
    <t>DRIE/SCRIE</t>
  </si>
  <si>
    <t>Section 8</t>
  </si>
  <si>
    <t>HASA</t>
  </si>
  <si>
    <t>FEPS</t>
  </si>
  <si>
    <t>LINC</t>
  </si>
  <si>
    <t>HUD VASH</t>
  </si>
  <si>
    <t>City FEPS</t>
  </si>
  <si>
    <t>SEPS</t>
  </si>
  <si>
    <t>Chinese/Cantonese</t>
  </si>
  <si>
    <t>English</t>
  </si>
  <si>
    <t>Spanish</t>
  </si>
  <si>
    <t>Chinese/Mandarin</t>
  </si>
  <si>
    <t>Cantonese</t>
  </si>
  <si>
    <t>French</t>
  </si>
  <si>
    <t>Slovak</t>
  </si>
  <si>
    <t>Arabic</t>
  </si>
  <si>
    <t>Italian</t>
  </si>
  <si>
    <t>Korean</t>
  </si>
  <si>
    <t>Bengali</t>
  </si>
  <si>
    <t>Russian</t>
  </si>
  <si>
    <t>Mandarin</t>
  </si>
  <si>
    <t xml:space="preserve">Chinese </t>
  </si>
  <si>
    <t>Benitez, Vicenta</t>
  </si>
  <si>
    <t>Sanchez, Dennis</t>
  </si>
  <si>
    <t>Garcia, Diana</t>
  </si>
  <si>
    <t>Vergeli, Evelyn</t>
  </si>
  <si>
    <t>Djourab, Atteib</t>
  </si>
  <si>
    <t>Velasquez, Diana</t>
  </si>
  <si>
    <t>Garcia, Keiannis</t>
  </si>
  <si>
    <t>Garcia, Alexandra</t>
  </si>
  <si>
    <t>Garcia, Delci</t>
  </si>
  <si>
    <t>Acosta, Rosa</t>
  </si>
  <si>
    <t>Encarnacion-Badru, Bea</t>
  </si>
  <si>
    <t>Vogltanz, Amy</t>
  </si>
  <si>
    <t>Ascher, Ann</t>
  </si>
  <si>
    <t>Baldova, Maria</t>
  </si>
  <si>
    <t>Guerra, Yolanda</t>
  </si>
  <si>
    <t>Counsel Assisted in Filing or Refiling of Answer</t>
  </si>
  <si>
    <t>Filed for an Emergency Order to Show Cause</t>
  </si>
  <si>
    <t>Filed/Argued/Supplemented Dispositive or other Substantive Motion</t>
  </si>
  <si>
    <t>Commenced Trial</t>
  </si>
  <si>
    <t>Counsel Assisted in Filing or Refiling of Answer, Filed/Argued/Supplemented Dispositive or other Substantive Motion</t>
  </si>
  <si>
    <t>Case Discontinued/Dismissed/Landlord Fails to Prosecute</t>
  </si>
  <si>
    <t>Case Resolved without Judgment of Eviction Against Client, Other, Secured 6 Months or Longer in Residence, Secured Order or Agreement for Repairs in Apartment/Building</t>
  </si>
  <si>
    <t>Case Resolved without Judgment of Eviction Against Client</t>
  </si>
  <si>
    <t>Case Discontinued/Dismissed/Landlord Fails to Prosecute, Restored Access to Personal Property</t>
  </si>
  <si>
    <t>Obtained Negotiated Buyout</t>
  </si>
  <si>
    <t>Case Discontinued/Dismissed/Landlord Fails to Prosecute, Case Resolved without Judgment of Eviction Against Client</t>
  </si>
  <si>
    <t>Secured Rent Abatement</t>
  </si>
  <si>
    <t>Case Discontinued/Dismissed/Landlord Fails to Prosecute, Case Resolved without Judgment of Eviction Against Client, Secured Order or Agreement for Repairs in Apartment/Building</t>
  </si>
  <si>
    <t>Case Discontinued/Dismissed/Landlord Fails to Prosecute, Secured Order or Agreement for Repairs in Apartment/Building</t>
  </si>
  <si>
    <t>Case Resolved without Judgment of Eviction Against Client, Secured 6 Months or Longer in Residence, Secured Order or Agreement for Repairs in Apartment/Building</t>
  </si>
  <si>
    <t>Secured Rent Reduction</t>
  </si>
  <si>
    <t>Case Discontinued/Dismissed/Landlord Fails to Prosecute, Case Resolved without Judgment of Eviction Against Client, Obtained Negotiated Buyout, Other</t>
  </si>
  <si>
    <t>Social Security</t>
  </si>
  <si>
    <t>Social Security, Social Security Retirement</t>
  </si>
  <si>
    <t>Employment, Employment (Self-Employed), Social Security Retirement</t>
  </si>
  <si>
    <t>Food Stamps (SNAP), Social Security Disability</t>
  </si>
  <si>
    <t>Food Stamps (SNAP), Welfare - Fam. Assis.</t>
  </si>
  <si>
    <t>Social Security Disability</t>
  </si>
  <si>
    <t>Employment, Food Stamps (SNAP)</t>
  </si>
  <si>
    <t>SSI</t>
  </si>
  <si>
    <t>No Income</t>
  </si>
  <si>
    <t>Food Stamps (SNAP), Social Security Disability, SSI</t>
  </si>
  <si>
    <t>Employment, Employment (Self-Employed)</t>
  </si>
  <si>
    <t>Child Support, Employment, Food Stamps (SNAP)</t>
  </si>
  <si>
    <t>Employment, Social Security</t>
  </si>
  <si>
    <t>Disability, Food Stamps (SNAP), Other, Social Security</t>
  </si>
  <si>
    <t>Employment (Self-Employed)</t>
  </si>
  <si>
    <t>Employment</t>
  </si>
  <si>
    <t>Food Stamps (SNAP)</t>
  </si>
  <si>
    <t>Food Stamps (SNAP), SSI</t>
  </si>
  <si>
    <t>Employment, Social Security Disability</t>
  </si>
  <si>
    <t>Food Stamps (SNAP), Social Security, SSI</t>
  </si>
  <si>
    <t>Food Stamps (SNAP), General Assistance</t>
  </si>
  <si>
    <t>Social Security Retirement</t>
  </si>
  <si>
    <t>Employment, Food Stamps (SNAP), Social Security</t>
  </si>
  <si>
    <t>Employment, Food Stamps (SNAP), SSI</t>
  </si>
  <si>
    <t>Employment, General Assistance</t>
  </si>
  <si>
    <t>Worker's Compensation</t>
  </si>
  <si>
    <t>Food Stamps (SNAP), General Assistance, Other</t>
  </si>
  <si>
    <t>Social Security, Worker's Compensation</t>
  </si>
  <si>
    <t>Food Stamps (SNAP), Social Security Retirement</t>
  </si>
  <si>
    <t>Food Stamps (SNAP), Social Security</t>
  </si>
  <si>
    <t>Food Stamps (SNAP), Social Security Disability, Unemployment Compensation</t>
  </si>
  <si>
    <t>Food Stamps (SNAP), Other</t>
  </si>
  <si>
    <t>Food Stamps (SNAP), Worker's Compensation</t>
  </si>
  <si>
    <t>Food Stamps (SNAP), Welfare</t>
  </si>
  <si>
    <t>Food Stamps (SNAP), General Assistance, SSI</t>
  </si>
  <si>
    <t>Child Support, Food Stamps (SNAP), SSI, Welfare - Fam. Assis.</t>
  </si>
  <si>
    <t>Child Support, Food Stamps (SNAP)</t>
  </si>
  <si>
    <t>Social Security Disability, SSI</t>
  </si>
  <si>
    <t>Disability, Food Stamps (SNAP)</t>
  </si>
  <si>
    <t>Food Stamps (SNAP), Other, Social Security Disability</t>
  </si>
  <si>
    <t>Food Stamps (SNAP), Other, SSI</t>
  </si>
  <si>
    <t>Social Security, SSI</t>
  </si>
  <si>
    <t>Disability, Employment</t>
  </si>
  <si>
    <t>Disability</t>
  </si>
  <si>
    <t>Employment, Other, Welfare</t>
  </si>
  <si>
    <t>Employment, Food Stamps (SNAP), SSI, Unemployment Compensation</t>
  </si>
  <si>
    <t>Alimony, Social Security Disability</t>
  </si>
  <si>
    <t>Other, Social Security Retirement</t>
  </si>
  <si>
    <t>Employment, Pension/Retirement (Not Soc. Sec.), Social Security</t>
  </si>
  <si>
    <t>Employment, Unemployment Compensation</t>
  </si>
  <si>
    <t>Employment, SSI</t>
  </si>
  <si>
    <t>Pension/Retirement (Not Soc. Sec.), Social Security Retirement</t>
  </si>
  <si>
    <t>Employment, SN/HASA, SSI</t>
  </si>
  <si>
    <t>Employment, Food Stamps (SNAP), General Assistance</t>
  </si>
  <si>
    <t>Food Stamps (SNAP), Pension/Retirement (Not Soc. Sec.), Social Security</t>
  </si>
  <si>
    <t>Pension/Retirement (Not Soc. Sec.), Social Security</t>
  </si>
  <si>
    <t>Employment (Self-Employed), Food Stamps (SNAP), Social Security Retirement</t>
  </si>
  <si>
    <t>Both SSI and SSD, Food Stamps (SNAP), Other</t>
  </si>
  <si>
    <t>Welfare</t>
  </si>
  <si>
    <t>Both SSI and SSD, Food Stamps (SNAP)</t>
  </si>
  <si>
    <t>Food Stamps (SNAP), Welfare - Safety Net</t>
  </si>
  <si>
    <t>Employment, Other</t>
  </si>
  <si>
    <t>Employment, Social Security, Unemployment Compensation</t>
  </si>
  <si>
    <t>Employment, Food Stamps (SNAP), Social Security Retirement, SSI</t>
  </si>
  <si>
    <t>Disability, Food Stamps (SNAP), General Assistance</t>
  </si>
  <si>
    <t>Employment, Social Security, Social Security Disability</t>
  </si>
  <si>
    <t>Unemployment Compensation</t>
  </si>
  <si>
    <t>Employment (Self-Employed), Other</t>
  </si>
  <si>
    <t>Employment, Social Security Retirement</t>
  </si>
  <si>
    <t>Food Stamps (SNAP), SSI, Welfare - Fam. Assis.</t>
  </si>
  <si>
    <t>Social Security, Social Security Disability, Social Security Retirement</t>
  </si>
  <si>
    <t>Food Stamps (SNAP), Unemployment Compensation</t>
  </si>
  <si>
    <t>Food Stamps (SNAP), Social Security Disability, Workers Compensation</t>
  </si>
  <si>
    <t>Employment, Employment (Self-Employed), Social Security</t>
  </si>
  <si>
    <t>Pension/Retirement (Not Soc. Sec.)</t>
  </si>
  <si>
    <t>Employment, Food Stamps (SNAP), Welfare - Fam. Assis.</t>
  </si>
  <si>
    <t>Child Support, Employment</t>
  </si>
  <si>
    <t>Employment, Food Stamps (SNAP), Social Security Retirement</t>
  </si>
  <si>
    <t>Food Stamps (SNAP), Pension/Retirement (Not Soc. Sec.)</t>
  </si>
  <si>
    <t>Food Stamps (SNAP), TANF</t>
  </si>
  <si>
    <t>Disability, SSI</t>
  </si>
  <si>
    <t>Food Stamps (SNAP), SSI, Welfare</t>
  </si>
  <si>
    <t>Employment (Self-Employed), Pension/Retirement (Not Soc. Sec.), Social Security, Social Security Retirement</t>
  </si>
  <si>
    <t>Employment (Self-Employed), Social Security</t>
  </si>
  <si>
    <t>Other, Social Security</t>
  </si>
  <si>
    <t>Food Stamps (SNAP), Other, Welfare - Fam. Assis.</t>
  </si>
  <si>
    <t>Employment (Self-Employed), Food Stamps (SNAP)</t>
  </si>
  <si>
    <t>Food Stamps (SNAP), Other, Social Security Retirement</t>
  </si>
  <si>
    <t>Other, Pension/Retirement (Not Soc. Sec.), Social Security</t>
  </si>
  <si>
    <t>Workers Compensation</t>
  </si>
  <si>
    <t>Social Security, Veterans Benefits</t>
  </si>
  <si>
    <t>Both SSI and SSD</t>
  </si>
  <si>
    <t>Employment, Pension/Retirement (Not Soc. Sec.), Social Security Retirement</t>
  </si>
  <si>
    <t>Pension/Retirement (Not Soc. Sec.), Social Security Disability</t>
  </si>
  <si>
    <t>Social Security Retirement, SSI</t>
  </si>
  <si>
    <t>Food Stamps (SNAP), Other, Social Security</t>
  </si>
  <si>
    <t>Welfare - Fam. Assis.</t>
  </si>
  <si>
    <t>Child Support, Food Stamps (SNAP), Social Security, Social Security Disability</t>
  </si>
  <si>
    <t>Employment, Employment (Self-Employed), Social Security Disability</t>
  </si>
  <si>
    <t>Food Stamps (SNAP), General Assistance, Social Security, SSI</t>
  </si>
  <si>
    <t>Both SSI and SSD, SSI</t>
  </si>
  <si>
    <t>Client Allowed to Remain in Residence</t>
  </si>
  <si>
    <t>Client Required to be Displaced from Residence</t>
  </si>
  <si>
    <t>Attorney Withdrew</t>
  </si>
  <si>
    <t>2019-06-12</t>
  </si>
  <si>
    <t>2019-04-19</t>
  </si>
  <si>
    <t>2019-03-28</t>
  </si>
  <si>
    <t>2019-04-15</t>
  </si>
  <si>
    <t>2019-08-08</t>
  </si>
  <si>
    <t>2019-05-15</t>
  </si>
  <si>
    <t>2019-09-27</t>
  </si>
  <si>
    <t>2019-05-08</t>
  </si>
  <si>
    <t>2019-04-24</t>
  </si>
  <si>
    <t>2019-03-21</t>
  </si>
  <si>
    <t>2019-04-23</t>
  </si>
  <si>
    <t>2019-08-07</t>
  </si>
  <si>
    <t>2019-04-25</t>
  </si>
  <si>
    <t>2019-05-07</t>
  </si>
  <si>
    <t>2019-05-24</t>
  </si>
  <si>
    <t>2019-05-31</t>
  </si>
  <si>
    <t>2019-03-06</t>
  </si>
  <si>
    <t>2019-03-13</t>
  </si>
  <si>
    <t>2019-07-09</t>
  </si>
  <si>
    <t>2019-05-22</t>
  </si>
  <si>
    <t>2019-07-23</t>
  </si>
  <si>
    <t>2019-07-08</t>
  </si>
  <si>
    <t>2019-06-28</t>
  </si>
  <si>
    <t>2019-08-02</t>
  </si>
  <si>
    <t>2019-04-30</t>
  </si>
  <si>
    <t>2019-04-22</t>
  </si>
  <si>
    <t>2019-06-20</t>
  </si>
  <si>
    <t>2019-05-30</t>
  </si>
  <si>
    <t>2019-08-29</t>
  </si>
  <si>
    <t>2019-08-16</t>
  </si>
  <si>
    <t>2019-05-21</t>
  </si>
  <si>
    <t>2019-07-19</t>
  </si>
  <si>
    <t>2019-08-06</t>
  </si>
  <si>
    <t>2019-03-12</t>
  </si>
  <si>
    <t>2019-05-28</t>
  </si>
  <si>
    <t>09/26/2019</t>
  </si>
  <si>
    <t>02/28/2019</t>
  </si>
  <si>
    <t>09/03/2019</t>
  </si>
  <si>
    <t>09/12/2019</t>
  </si>
  <si>
    <t>09/05/2019</t>
  </si>
  <si>
    <t>06/07/2019</t>
  </si>
  <si>
    <t>09/09/2019</t>
  </si>
  <si>
    <t>09/23/2019</t>
  </si>
  <si>
    <t>10/03/2019</t>
  </si>
  <si>
    <t>07/25/2019</t>
  </si>
  <si>
    <t>07/02/2019</t>
  </si>
  <si>
    <t>08/05/2019</t>
  </si>
  <si>
    <t>05/09/2019</t>
  </si>
  <si>
    <t>07/05/2019</t>
  </si>
  <si>
    <t>10/15/2019</t>
  </si>
  <si>
    <t>01/31/2019</t>
  </si>
  <si>
    <t>04/11/2019</t>
  </si>
  <si>
    <t>03/11/2019</t>
  </si>
  <si>
    <t>03/18/2019</t>
  </si>
  <si>
    <t>09/17/2019</t>
  </si>
  <si>
    <t>04/12/2019</t>
  </si>
  <si>
    <t>03/04/2019</t>
  </si>
  <si>
    <t>06/27/2019</t>
  </si>
  <si>
    <t>01/14/2019</t>
  </si>
  <si>
    <t>02/05/2019</t>
  </si>
  <si>
    <t>02/04/2019</t>
  </si>
  <si>
    <t>08/22/2019</t>
  </si>
  <si>
    <t>08/06/2019</t>
  </si>
  <si>
    <t>07/19/2019</t>
  </si>
  <si>
    <t>08/27/2019</t>
  </si>
  <si>
    <t>02/07/2019</t>
  </si>
  <si>
    <t>01/22/2019</t>
  </si>
  <si>
    <t>05/19/2016</t>
  </si>
  <si>
    <t>DHCI Form</t>
  </si>
  <si>
    <t>Active CA/SNAP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</si>
</sst>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u/>
      <sz val="11"/>
      <color rgb="FF0000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E719"/>
  <sheetViews>
    <sheetView tabSelected="1" workbookViewId="0"/>
  </sheetViews>
  <sheetFormatPr defaultRowHeight="15"/>
  <cols>
    <col min="1" max="1" width="20.7109375" style="1" customWidth="1"/>
  </cols>
  <sheetData>
    <row r="1" spans="1:5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</row>
    <row r="2" spans="1:57">
      <c r="A2" s="1">
        <f>HYPERLINK("https://lsnyc.legalserver.org/matter/dynamic-profile/view/1894898","19-1894898")</f>
        <v>0</v>
      </c>
      <c r="B2" t="s">
        <v>57</v>
      </c>
      <c r="C2" t="s">
        <v>92</v>
      </c>
      <c r="D2" t="s">
        <v>94</v>
      </c>
      <c r="E2" t="s">
        <v>162</v>
      </c>
      <c r="F2" t="s">
        <v>237</v>
      </c>
      <c r="G2" t="s">
        <v>788</v>
      </c>
      <c r="H2" t="s">
        <v>1303</v>
      </c>
      <c r="I2">
        <v>510</v>
      </c>
      <c r="J2" t="s">
        <v>2165</v>
      </c>
      <c r="K2" t="s">
        <v>2171</v>
      </c>
      <c r="L2">
        <v>11691</v>
      </c>
      <c r="M2" t="s">
        <v>2172</v>
      </c>
      <c r="N2" t="s">
        <v>2172</v>
      </c>
      <c r="Q2">
        <v>0</v>
      </c>
      <c r="R2" t="s">
        <v>2841</v>
      </c>
      <c r="S2" t="s">
        <v>2855</v>
      </c>
      <c r="T2" t="s">
        <v>2862</v>
      </c>
      <c r="U2" t="s">
        <v>2868</v>
      </c>
      <c r="V2" t="s">
        <v>2174</v>
      </c>
      <c r="Y2" t="s">
        <v>2875</v>
      </c>
      <c r="AB2">
        <v>0</v>
      </c>
      <c r="AC2">
        <v>613</v>
      </c>
      <c r="AD2">
        <v>0.3</v>
      </c>
      <c r="AE2" t="s">
        <v>2894</v>
      </c>
      <c r="AF2" t="s">
        <v>2895</v>
      </c>
      <c r="AG2" t="s">
        <v>2906</v>
      </c>
      <c r="AI2" t="s">
        <v>3772</v>
      </c>
      <c r="AJ2">
        <v>0</v>
      </c>
      <c r="AL2">
        <v>1</v>
      </c>
      <c r="AM2">
        <v>0</v>
      </c>
      <c r="AN2">
        <v>61.3</v>
      </c>
      <c r="AS2" t="s">
        <v>4485</v>
      </c>
      <c r="AT2">
        <v>7656</v>
      </c>
      <c r="AX2" t="s">
        <v>4499</v>
      </c>
      <c r="BA2" t="s">
        <v>4531</v>
      </c>
      <c r="BD2" t="s">
        <v>144</v>
      </c>
    </row>
    <row r="3" spans="1:57">
      <c r="A3" s="1">
        <f>HYPERLINK("https://lsnyc.legalserver.org/matter/dynamic-profile/view/1900146","19-1900146")</f>
        <v>0</v>
      </c>
      <c r="B3" t="s">
        <v>58</v>
      </c>
      <c r="C3" t="s">
        <v>92</v>
      </c>
      <c r="D3" t="s">
        <v>95</v>
      </c>
      <c r="E3" t="s">
        <v>212</v>
      </c>
      <c r="F3" t="s">
        <v>238</v>
      </c>
      <c r="G3" t="s">
        <v>789</v>
      </c>
      <c r="H3" t="s">
        <v>1304</v>
      </c>
      <c r="J3" t="s">
        <v>2166</v>
      </c>
      <c r="K3" t="s">
        <v>2171</v>
      </c>
      <c r="L3">
        <v>11385</v>
      </c>
      <c r="M3" t="s">
        <v>2173</v>
      </c>
      <c r="N3" t="s">
        <v>2172</v>
      </c>
      <c r="Q3">
        <v>8</v>
      </c>
      <c r="R3" t="s">
        <v>2841</v>
      </c>
      <c r="S3" t="s">
        <v>2856</v>
      </c>
      <c r="T3" t="s">
        <v>2863</v>
      </c>
      <c r="U3" t="s">
        <v>2868</v>
      </c>
      <c r="V3" t="s">
        <v>2174</v>
      </c>
      <c r="Y3" t="s">
        <v>2876</v>
      </c>
      <c r="AA3" t="s">
        <v>2886</v>
      </c>
      <c r="AB3">
        <v>0</v>
      </c>
      <c r="AC3">
        <v>920</v>
      </c>
      <c r="AD3">
        <v>1</v>
      </c>
      <c r="AE3" t="s">
        <v>2894</v>
      </c>
      <c r="AF3" t="s">
        <v>2896</v>
      </c>
      <c r="AG3" t="s">
        <v>2907</v>
      </c>
      <c r="AJ3">
        <v>0</v>
      </c>
      <c r="AL3">
        <v>2</v>
      </c>
      <c r="AM3">
        <v>0</v>
      </c>
      <c r="AN3">
        <v>202.96</v>
      </c>
      <c r="AS3" t="s">
        <v>4486</v>
      </c>
      <c r="AT3">
        <v>34320</v>
      </c>
      <c r="AX3" t="s">
        <v>4499</v>
      </c>
      <c r="BA3" t="s">
        <v>4532</v>
      </c>
      <c r="BD3" t="s">
        <v>95</v>
      </c>
      <c r="BE3" t="s">
        <v>4703</v>
      </c>
    </row>
    <row r="4" spans="1:57">
      <c r="A4" s="1">
        <f>HYPERLINK("https://lsnyc.legalserver.org/matter/dynamic-profile/view/1909679","19-1909679")</f>
        <v>0</v>
      </c>
      <c r="B4" t="s">
        <v>59</v>
      </c>
      <c r="C4" t="s">
        <v>93</v>
      </c>
      <c r="D4" t="s">
        <v>96</v>
      </c>
      <c r="F4" t="s">
        <v>239</v>
      </c>
      <c r="G4" t="s">
        <v>790</v>
      </c>
      <c r="H4" t="s">
        <v>1305</v>
      </c>
      <c r="I4" t="s">
        <v>1909</v>
      </c>
      <c r="J4" t="s">
        <v>2167</v>
      </c>
      <c r="K4" t="s">
        <v>2171</v>
      </c>
      <c r="L4">
        <v>11212</v>
      </c>
      <c r="M4" t="s">
        <v>2172</v>
      </c>
      <c r="N4" t="s">
        <v>2172</v>
      </c>
      <c r="Q4">
        <v>0</v>
      </c>
      <c r="R4" t="s">
        <v>2842</v>
      </c>
      <c r="U4" t="s">
        <v>2868</v>
      </c>
      <c r="V4" t="s">
        <v>2174</v>
      </c>
      <c r="Y4" t="s">
        <v>2876</v>
      </c>
      <c r="AB4">
        <v>0</v>
      </c>
      <c r="AC4">
        <v>0</v>
      </c>
      <c r="AD4">
        <v>1</v>
      </c>
      <c r="AE4" t="s">
        <v>2894</v>
      </c>
      <c r="AG4" t="s">
        <v>2908</v>
      </c>
      <c r="AI4" t="s">
        <v>3773</v>
      </c>
      <c r="AJ4">
        <v>0</v>
      </c>
      <c r="AL4">
        <v>6</v>
      </c>
      <c r="AM4">
        <v>1</v>
      </c>
      <c r="AN4">
        <v>157.34</v>
      </c>
      <c r="AS4" t="s">
        <v>4486</v>
      </c>
      <c r="AT4">
        <v>61380</v>
      </c>
      <c r="AX4" t="s">
        <v>4500</v>
      </c>
      <c r="BA4" t="s">
        <v>4533</v>
      </c>
      <c r="BD4" t="s">
        <v>96</v>
      </c>
    </row>
    <row r="5" spans="1:57">
      <c r="A5" s="1">
        <f>HYPERLINK("https://lsnyc.legalserver.org/matter/dynamic-profile/view/1909726","19-1909726")</f>
        <v>0</v>
      </c>
      <c r="B5" t="s">
        <v>60</v>
      </c>
      <c r="C5" t="s">
        <v>92</v>
      </c>
      <c r="D5" t="s">
        <v>97</v>
      </c>
      <c r="E5" t="s">
        <v>97</v>
      </c>
      <c r="F5" t="s">
        <v>240</v>
      </c>
      <c r="G5" t="s">
        <v>791</v>
      </c>
      <c r="H5" t="s">
        <v>1306</v>
      </c>
      <c r="I5" t="s">
        <v>1910</v>
      </c>
      <c r="J5" t="s">
        <v>2167</v>
      </c>
      <c r="K5" t="s">
        <v>2171</v>
      </c>
      <c r="L5">
        <v>11205</v>
      </c>
      <c r="M5" t="s">
        <v>2172</v>
      </c>
      <c r="N5" t="s">
        <v>2172</v>
      </c>
      <c r="Q5">
        <v>0</v>
      </c>
      <c r="T5" t="s">
        <v>2863</v>
      </c>
      <c r="U5" t="s">
        <v>2868</v>
      </c>
      <c r="V5" t="s">
        <v>2174</v>
      </c>
      <c r="Y5" t="s">
        <v>2875</v>
      </c>
      <c r="AB5">
        <v>0</v>
      </c>
      <c r="AC5">
        <v>0</v>
      </c>
      <c r="AD5">
        <v>1.75</v>
      </c>
      <c r="AE5" t="s">
        <v>2894</v>
      </c>
      <c r="AF5" t="s">
        <v>2896</v>
      </c>
      <c r="AG5" t="s">
        <v>2909</v>
      </c>
      <c r="AI5" t="s">
        <v>3774</v>
      </c>
      <c r="AJ5">
        <v>0</v>
      </c>
      <c r="AL5">
        <v>1</v>
      </c>
      <c r="AM5">
        <v>0</v>
      </c>
      <c r="AN5">
        <v>74.08</v>
      </c>
      <c r="AS5" t="s">
        <v>4486</v>
      </c>
      <c r="AT5">
        <v>9252</v>
      </c>
      <c r="AX5" t="s">
        <v>4500</v>
      </c>
      <c r="BA5" t="s">
        <v>4534</v>
      </c>
      <c r="BD5" t="s">
        <v>97</v>
      </c>
    </row>
    <row r="6" spans="1:57">
      <c r="A6" s="1">
        <f>HYPERLINK("https://lsnyc.legalserver.org/matter/dynamic-profile/view/1909029","19-1909029")</f>
        <v>0</v>
      </c>
      <c r="B6" t="s">
        <v>61</v>
      </c>
      <c r="C6" t="s">
        <v>93</v>
      </c>
      <c r="D6" t="s">
        <v>98</v>
      </c>
      <c r="F6" t="s">
        <v>241</v>
      </c>
      <c r="G6" t="s">
        <v>792</v>
      </c>
      <c r="H6" t="s">
        <v>1307</v>
      </c>
      <c r="I6" t="s">
        <v>1911</v>
      </c>
      <c r="J6" t="s">
        <v>2168</v>
      </c>
      <c r="K6" t="s">
        <v>2171</v>
      </c>
      <c r="L6">
        <v>10463</v>
      </c>
      <c r="M6" t="s">
        <v>2173</v>
      </c>
      <c r="N6" t="s">
        <v>2172</v>
      </c>
      <c r="O6" t="s">
        <v>2175</v>
      </c>
      <c r="P6" t="s">
        <v>2186</v>
      </c>
      <c r="Q6">
        <v>25</v>
      </c>
      <c r="R6" t="s">
        <v>2843</v>
      </c>
      <c r="S6" t="s">
        <v>2857</v>
      </c>
      <c r="U6" t="s">
        <v>2868</v>
      </c>
      <c r="V6" t="s">
        <v>2174</v>
      </c>
      <c r="W6" t="s">
        <v>2174</v>
      </c>
      <c r="Y6" t="s">
        <v>2876</v>
      </c>
      <c r="AA6" t="s">
        <v>98</v>
      </c>
      <c r="AB6">
        <v>0</v>
      </c>
      <c r="AC6">
        <v>1054</v>
      </c>
      <c r="AD6">
        <v>11.7</v>
      </c>
      <c r="AE6" t="s">
        <v>2894</v>
      </c>
      <c r="AG6" t="s">
        <v>2910</v>
      </c>
      <c r="AH6" t="s">
        <v>3592</v>
      </c>
      <c r="AI6" t="s">
        <v>3775</v>
      </c>
      <c r="AJ6">
        <v>0</v>
      </c>
      <c r="AK6" t="s">
        <v>4456</v>
      </c>
      <c r="AL6">
        <v>1</v>
      </c>
      <c r="AM6">
        <v>0</v>
      </c>
      <c r="AN6">
        <v>110.49</v>
      </c>
      <c r="AR6" t="s">
        <v>4476</v>
      </c>
      <c r="AS6" t="s">
        <v>4486</v>
      </c>
      <c r="AT6">
        <v>13800</v>
      </c>
      <c r="AX6" t="s">
        <v>4501</v>
      </c>
      <c r="BA6" t="s">
        <v>4534</v>
      </c>
      <c r="BD6" t="s">
        <v>117</v>
      </c>
      <c r="BE6" t="s">
        <v>4704</v>
      </c>
    </row>
    <row r="7" spans="1:57">
      <c r="A7" s="1">
        <f>HYPERLINK("https://lsnyc.legalserver.org/matter/dynamic-profile/view/1887730","19-1887730")</f>
        <v>0</v>
      </c>
      <c r="B7" t="s">
        <v>62</v>
      </c>
      <c r="C7" t="s">
        <v>92</v>
      </c>
      <c r="D7" t="s">
        <v>99</v>
      </c>
      <c r="E7" t="s">
        <v>213</v>
      </c>
      <c r="F7" t="s">
        <v>242</v>
      </c>
      <c r="G7" t="s">
        <v>793</v>
      </c>
      <c r="H7" t="s">
        <v>1308</v>
      </c>
      <c r="I7" t="s">
        <v>1912</v>
      </c>
      <c r="J7" t="s">
        <v>2168</v>
      </c>
      <c r="K7" t="s">
        <v>2171</v>
      </c>
      <c r="L7">
        <v>10463</v>
      </c>
      <c r="M7" t="s">
        <v>2173</v>
      </c>
      <c r="N7" t="s">
        <v>2173</v>
      </c>
      <c r="O7" t="s">
        <v>2175</v>
      </c>
      <c r="P7" t="s">
        <v>2187</v>
      </c>
      <c r="Q7">
        <v>31</v>
      </c>
      <c r="R7" t="s">
        <v>2841</v>
      </c>
      <c r="S7" t="s">
        <v>2856</v>
      </c>
      <c r="T7" t="s">
        <v>2863</v>
      </c>
      <c r="U7" t="s">
        <v>2868</v>
      </c>
      <c r="V7" t="s">
        <v>2174</v>
      </c>
      <c r="W7" t="s">
        <v>2174</v>
      </c>
      <c r="Y7" t="s">
        <v>2876</v>
      </c>
      <c r="Z7" t="s">
        <v>2879</v>
      </c>
      <c r="AA7" t="s">
        <v>99</v>
      </c>
      <c r="AB7">
        <v>0</v>
      </c>
      <c r="AC7">
        <v>961</v>
      </c>
      <c r="AD7">
        <v>0</v>
      </c>
      <c r="AE7" t="s">
        <v>2894</v>
      </c>
      <c r="AF7" t="s">
        <v>2896</v>
      </c>
      <c r="AG7" t="s">
        <v>2911</v>
      </c>
      <c r="AI7" t="s">
        <v>3776</v>
      </c>
      <c r="AJ7">
        <v>55</v>
      </c>
      <c r="AK7" t="s">
        <v>4456</v>
      </c>
      <c r="AL7">
        <v>1</v>
      </c>
      <c r="AM7">
        <v>0</v>
      </c>
      <c r="AN7">
        <v>42.83</v>
      </c>
      <c r="AQ7" t="s">
        <v>4473</v>
      </c>
      <c r="AR7" t="s">
        <v>4476</v>
      </c>
      <c r="AS7" t="s">
        <v>4486</v>
      </c>
      <c r="AT7">
        <v>5200</v>
      </c>
      <c r="AX7" t="s">
        <v>4502</v>
      </c>
      <c r="BA7" t="s">
        <v>2176</v>
      </c>
      <c r="BD7" t="s">
        <v>4670</v>
      </c>
      <c r="BE7" t="s">
        <v>4703</v>
      </c>
    </row>
    <row r="8" spans="1:57">
      <c r="A8" s="1">
        <f>HYPERLINK("https://lsnyc.legalserver.org/matter/dynamic-profile/view/1896053","19-1896053")</f>
        <v>0</v>
      </c>
      <c r="B8" t="s">
        <v>63</v>
      </c>
      <c r="C8" t="s">
        <v>92</v>
      </c>
      <c r="D8" t="s">
        <v>100</v>
      </c>
      <c r="E8" t="s">
        <v>214</v>
      </c>
      <c r="F8" t="s">
        <v>243</v>
      </c>
      <c r="G8" t="s">
        <v>794</v>
      </c>
      <c r="H8" t="s">
        <v>1309</v>
      </c>
      <c r="I8" t="s">
        <v>1913</v>
      </c>
      <c r="J8" t="s">
        <v>2168</v>
      </c>
      <c r="K8" t="s">
        <v>2171</v>
      </c>
      <c r="L8">
        <v>10463</v>
      </c>
      <c r="M8" t="s">
        <v>2173</v>
      </c>
      <c r="N8" t="s">
        <v>2173</v>
      </c>
      <c r="O8" t="s">
        <v>2175</v>
      </c>
      <c r="P8" t="s">
        <v>2188</v>
      </c>
      <c r="Q8">
        <v>22</v>
      </c>
      <c r="R8" t="s">
        <v>2844</v>
      </c>
      <c r="S8" t="s">
        <v>2856</v>
      </c>
      <c r="T8" t="s">
        <v>2863</v>
      </c>
      <c r="U8" t="s">
        <v>2868</v>
      </c>
      <c r="V8" t="s">
        <v>2174</v>
      </c>
      <c r="W8" t="s">
        <v>2174</v>
      </c>
      <c r="Y8" t="s">
        <v>2875</v>
      </c>
      <c r="Z8" t="s">
        <v>2879</v>
      </c>
      <c r="AA8" t="s">
        <v>100</v>
      </c>
      <c r="AB8">
        <v>0</v>
      </c>
      <c r="AC8">
        <v>283</v>
      </c>
      <c r="AD8">
        <v>0.7</v>
      </c>
      <c r="AE8" t="s">
        <v>2894</v>
      </c>
      <c r="AF8" t="s">
        <v>2896</v>
      </c>
      <c r="AG8" t="s">
        <v>2912</v>
      </c>
      <c r="AI8" t="s">
        <v>3777</v>
      </c>
      <c r="AJ8">
        <v>0</v>
      </c>
      <c r="AK8" t="s">
        <v>4457</v>
      </c>
      <c r="AL8">
        <v>1</v>
      </c>
      <c r="AM8">
        <v>1</v>
      </c>
      <c r="AN8">
        <v>16.76</v>
      </c>
      <c r="AQ8" t="s">
        <v>4474</v>
      </c>
      <c r="AR8" t="s">
        <v>4476</v>
      </c>
      <c r="AS8" t="s">
        <v>4486</v>
      </c>
      <c r="AT8">
        <v>2834</v>
      </c>
      <c r="AX8" t="s">
        <v>4502</v>
      </c>
      <c r="BA8" t="s">
        <v>4535</v>
      </c>
      <c r="BD8" t="s">
        <v>100</v>
      </c>
    </row>
    <row r="9" spans="1:57">
      <c r="A9" s="1">
        <f>HYPERLINK("https://lsnyc.legalserver.org/matter/dynamic-profile/view/1890362","19-1890362")</f>
        <v>0</v>
      </c>
      <c r="B9" t="s">
        <v>64</v>
      </c>
      <c r="C9" t="s">
        <v>93</v>
      </c>
      <c r="D9" t="s">
        <v>101</v>
      </c>
      <c r="F9" t="s">
        <v>244</v>
      </c>
      <c r="G9" t="s">
        <v>795</v>
      </c>
      <c r="H9" t="s">
        <v>1310</v>
      </c>
      <c r="I9" t="s">
        <v>1914</v>
      </c>
      <c r="J9" t="s">
        <v>2169</v>
      </c>
      <c r="K9" t="s">
        <v>2171</v>
      </c>
      <c r="L9">
        <v>10128</v>
      </c>
      <c r="M9" t="s">
        <v>2173</v>
      </c>
      <c r="N9" t="s">
        <v>2173</v>
      </c>
      <c r="O9" t="s">
        <v>2175</v>
      </c>
      <c r="P9" t="s">
        <v>2189</v>
      </c>
      <c r="Q9">
        <v>15</v>
      </c>
      <c r="R9" t="s">
        <v>2843</v>
      </c>
      <c r="S9" t="s">
        <v>2856</v>
      </c>
      <c r="U9" t="s">
        <v>2868</v>
      </c>
      <c r="V9" t="s">
        <v>2174</v>
      </c>
      <c r="W9" t="s">
        <v>2174</v>
      </c>
      <c r="Y9" t="s">
        <v>2875</v>
      </c>
      <c r="AA9" t="s">
        <v>101</v>
      </c>
      <c r="AB9">
        <v>0</v>
      </c>
      <c r="AC9">
        <v>400</v>
      </c>
      <c r="AD9">
        <v>0.25</v>
      </c>
      <c r="AE9" t="s">
        <v>2894</v>
      </c>
      <c r="AG9" t="s">
        <v>2913</v>
      </c>
      <c r="AI9" t="s">
        <v>3778</v>
      </c>
      <c r="AJ9">
        <v>0</v>
      </c>
      <c r="AL9">
        <v>1</v>
      </c>
      <c r="AM9">
        <v>0</v>
      </c>
      <c r="AN9">
        <v>105.68</v>
      </c>
      <c r="AQ9" t="s">
        <v>4473</v>
      </c>
      <c r="AR9" t="s">
        <v>4476</v>
      </c>
      <c r="AS9" t="s">
        <v>4486</v>
      </c>
      <c r="AT9">
        <v>13200</v>
      </c>
      <c r="AX9" t="s">
        <v>4501</v>
      </c>
      <c r="BA9" t="s">
        <v>4536</v>
      </c>
      <c r="BD9" t="s">
        <v>126</v>
      </c>
    </row>
    <row r="10" spans="1:57">
      <c r="A10" s="1">
        <f>HYPERLINK("https://lsnyc.legalserver.org/matter/dynamic-profile/view/1897056","19-1897056")</f>
        <v>0</v>
      </c>
      <c r="B10" t="s">
        <v>65</v>
      </c>
      <c r="C10" t="s">
        <v>92</v>
      </c>
      <c r="D10" t="s">
        <v>102</v>
      </c>
      <c r="E10" t="s">
        <v>156</v>
      </c>
      <c r="F10" t="s">
        <v>245</v>
      </c>
      <c r="G10" t="s">
        <v>796</v>
      </c>
      <c r="H10" t="s">
        <v>1311</v>
      </c>
      <c r="I10" t="s">
        <v>1915</v>
      </c>
      <c r="J10" t="s">
        <v>2169</v>
      </c>
      <c r="K10" t="s">
        <v>2171</v>
      </c>
      <c r="L10">
        <v>10128</v>
      </c>
      <c r="M10" t="s">
        <v>2173</v>
      </c>
      <c r="N10" t="s">
        <v>2172</v>
      </c>
      <c r="O10" t="s">
        <v>2176</v>
      </c>
      <c r="Q10">
        <v>21</v>
      </c>
      <c r="R10" t="s">
        <v>2845</v>
      </c>
      <c r="S10" t="s">
        <v>2855</v>
      </c>
      <c r="T10" t="s">
        <v>2862</v>
      </c>
      <c r="U10" t="s">
        <v>2868</v>
      </c>
      <c r="V10" t="s">
        <v>2174</v>
      </c>
      <c r="W10" t="s">
        <v>2174</v>
      </c>
      <c r="Y10" t="s">
        <v>2876</v>
      </c>
      <c r="AA10" t="s">
        <v>2887</v>
      </c>
      <c r="AB10">
        <v>0</v>
      </c>
      <c r="AC10">
        <v>1345.79</v>
      </c>
      <c r="AD10">
        <v>0.5</v>
      </c>
      <c r="AE10" t="s">
        <v>2894</v>
      </c>
      <c r="AF10" t="s">
        <v>2897</v>
      </c>
      <c r="AG10" t="s">
        <v>2914</v>
      </c>
      <c r="AI10" t="s">
        <v>3779</v>
      </c>
      <c r="AJ10">
        <v>432</v>
      </c>
      <c r="AK10" t="s">
        <v>4458</v>
      </c>
      <c r="AL10">
        <v>1</v>
      </c>
      <c r="AM10">
        <v>0</v>
      </c>
      <c r="AN10">
        <v>247.88</v>
      </c>
      <c r="AR10" t="s">
        <v>4477</v>
      </c>
      <c r="AS10" t="s">
        <v>4486</v>
      </c>
      <c r="AT10">
        <v>30960</v>
      </c>
      <c r="AX10" t="s">
        <v>4503</v>
      </c>
      <c r="BA10" t="s">
        <v>4537</v>
      </c>
      <c r="BD10" t="s">
        <v>102</v>
      </c>
      <c r="BE10" t="s">
        <v>4703</v>
      </c>
    </row>
    <row r="11" spans="1:57">
      <c r="A11" s="1">
        <f>HYPERLINK("https://lsnyc.legalserver.org/matter/dynamic-profile/view/1888410","19-1888410")</f>
        <v>0</v>
      </c>
      <c r="B11" t="s">
        <v>66</v>
      </c>
      <c r="C11" t="s">
        <v>92</v>
      </c>
      <c r="D11" t="s">
        <v>103</v>
      </c>
      <c r="E11" t="s">
        <v>215</v>
      </c>
      <c r="F11" t="s">
        <v>246</v>
      </c>
      <c r="G11" t="s">
        <v>797</v>
      </c>
      <c r="H11" t="s">
        <v>1310</v>
      </c>
      <c r="I11" t="s">
        <v>1916</v>
      </c>
      <c r="J11" t="s">
        <v>2169</v>
      </c>
      <c r="K11" t="s">
        <v>2171</v>
      </c>
      <c r="L11">
        <v>10128</v>
      </c>
      <c r="M11" t="s">
        <v>2173</v>
      </c>
      <c r="N11" t="s">
        <v>2173</v>
      </c>
      <c r="O11" t="s">
        <v>2175</v>
      </c>
      <c r="P11" t="s">
        <v>2190</v>
      </c>
      <c r="Q11">
        <v>23</v>
      </c>
      <c r="R11" t="s">
        <v>2844</v>
      </c>
      <c r="S11" t="s">
        <v>2856</v>
      </c>
      <c r="T11" t="s">
        <v>2863</v>
      </c>
      <c r="U11" t="s">
        <v>2868</v>
      </c>
      <c r="V11" t="s">
        <v>2174</v>
      </c>
      <c r="W11" t="s">
        <v>2174</v>
      </c>
      <c r="Y11" t="s">
        <v>2875</v>
      </c>
      <c r="AA11" t="s">
        <v>103</v>
      </c>
      <c r="AB11">
        <v>0</v>
      </c>
      <c r="AC11">
        <v>580</v>
      </c>
      <c r="AD11">
        <v>1.2</v>
      </c>
      <c r="AE11" t="s">
        <v>2894</v>
      </c>
      <c r="AF11" t="s">
        <v>2896</v>
      </c>
      <c r="AG11" t="s">
        <v>2915</v>
      </c>
      <c r="AI11" t="s">
        <v>3780</v>
      </c>
      <c r="AJ11">
        <v>636</v>
      </c>
      <c r="AK11" t="s">
        <v>4459</v>
      </c>
      <c r="AL11">
        <v>2</v>
      </c>
      <c r="AM11">
        <v>0</v>
      </c>
      <c r="AN11">
        <v>109.36</v>
      </c>
      <c r="AQ11" t="s">
        <v>4473</v>
      </c>
      <c r="AR11" t="s">
        <v>4476</v>
      </c>
      <c r="AS11" t="s">
        <v>2176</v>
      </c>
      <c r="AT11">
        <v>18000</v>
      </c>
      <c r="AX11" t="s">
        <v>4501</v>
      </c>
      <c r="BA11" t="s">
        <v>4538</v>
      </c>
      <c r="BD11" t="s">
        <v>103</v>
      </c>
      <c r="BE11" t="s">
        <v>4703</v>
      </c>
    </row>
    <row r="12" spans="1:57">
      <c r="A12" s="1">
        <f>HYPERLINK("https://lsnyc.legalserver.org/matter/dynamic-profile/view/1888429","19-1888429")</f>
        <v>0</v>
      </c>
      <c r="B12" t="s">
        <v>57</v>
      </c>
      <c r="C12" t="s">
        <v>92</v>
      </c>
      <c r="D12" t="s">
        <v>103</v>
      </c>
      <c r="E12" t="s">
        <v>216</v>
      </c>
      <c r="F12" t="s">
        <v>247</v>
      </c>
      <c r="G12" t="s">
        <v>798</v>
      </c>
      <c r="H12" t="s">
        <v>1312</v>
      </c>
      <c r="I12" t="s">
        <v>1917</v>
      </c>
      <c r="J12" t="s">
        <v>2169</v>
      </c>
      <c r="K12" t="s">
        <v>2171</v>
      </c>
      <c r="L12">
        <v>10128</v>
      </c>
      <c r="M12" t="s">
        <v>2172</v>
      </c>
      <c r="N12" t="s">
        <v>2172</v>
      </c>
      <c r="O12" t="s">
        <v>2175</v>
      </c>
      <c r="P12" t="s">
        <v>2191</v>
      </c>
      <c r="Q12">
        <v>2</v>
      </c>
      <c r="R12" t="s">
        <v>2844</v>
      </c>
      <c r="S12" t="s">
        <v>2856</v>
      </c>
      <c r="T12" t="s">
        <v>2863</v>
      </c>
      <c r="U12" t="s">
        <v>2868</v>
      </c>
      <c r="V12" t="s">
        <v>2174</v>
      </c>
      <c r="Y12" t="s">
        <v>2876</v>
      </c>
      <c r="AB12">
        <v>0</v>
      </c>
      <c r="AC12">
        <v>2295</v>
      </c>
      <c r="AD12">
        <v>0.1</v>
      </c>
      <c r="AE12" t="s">
        <v>2894</v>
      </c>
      <c r="AF12" t="s">
        <v>2896</v>
      </c>
      <c r="AG12" t="s">
        <v>2916</v>
      </c>
      <c r="AI12" t="s">
        <v>3781</v>
      </c>
      <c r="AJ12">
        <v>26</v>
      </c>
      <c r="AL12">
        <v>1</v>
      </c>
      <c r="AM12">
        <v>0</v>
      </c>
      <c r="AN12">
        <v>0</v>
      </c>
      <c r="AS12" t="s">
        <v>4486</v>
      </c>
      <c r="AT12">
        <v>0</v>
      </c>
      <c r="AX12" t="s">
        <v>4499</v>
      </c>
      <c r="BA12" t="s">
        <v>4539</v>
      </c>
      <c r="BD12" t="s">
        <v>4671</v>
      </c>
    </row>
    <row r="13" spans="1:57">
      <c r="A13" s="1">
        <f>HYPERLINK("https://lsnyc.legalserver.org/matter/dynamic-profile/view/1901189","19-1901189")</f>
        <v>0</v>
      </c>
      <c r="B13" t="s">
        <v>67</v>
      </c>
      <c r="C13" t="s">
        <v>93</v>
      </c>
      <c r="D13" t="s">
        <v>104</v>
      </c>
      <c r="F13" t="s">
        <v>248</v>
      </c>
      <c r="G13" t="s">
        <v>799</v>
      </c>
      <c r="H13" t="s">
        <v>1313</v>
      </c>
      <c r="I13" t="s">
        <v>1918</v>
      </c>
      <c r="J13" t="s">
        <v>2169</v>
      </c>
      <c r="K13" t="s">
        <v>2171</v>
      </c>
      <c r="L13">
        <v>10128</v>
      </c>
      <c r="M13" t="s">
        <v>2173</v>
      </c>
      <c r="N13" t="s">
        <v>2172</v>
      </c>
      <c r="O13" t="s">
        <v>2175</v>
      </c>
      <c r="P13" t="s">
        <v>2192</v>
      </c>
      <c r="Q13">
        <v>12</v>
      </c>
      <c r="R13" t="s">
        <v>2844</v>
      </c>
      <c r="S13" t="s">
        <v>2856</v>
      </c>
      <c r="U13" t="s">
        <v>2868</v>
      </c>
      <c r="V13" t="s">
        <v>2174</v>
      </c>
      <c r="W13" t="s">
        <v>2174</v>
      </c>
      <c r="Y13" t="s">
        <v>2875</v>
      </c>
      <c r="AA13" t="s">
        <v>104</v>
      </c>
      <c r="AB13">
        <v>0</v>
      </c>
      <c r="AC13">
        <v>488.1</v>
      </c>
      <c r="AD13">
        <v>0.2</v>
      </c>
      <c r="AE13" t="s">
        <v>2894</v>
      </c>
      <c r="AG13" t="s">
        <v>2917</v>
      </c>
      <c r="AH13" t="s">
        <v>3593</v>
      </c>
      <c r="AI13" t="s">
        <v>3782</v>
      </c>
      <c r="AJ13">
        <v>538</v>
      </c>
      <c r="AK13" t="s">
        <v>4459</v>
      </c>
      <c r="AL13">
        <v>2</v>
      </c>
      <c r="AM13">
        <v>1</v>
      </c>
      <c r="AN13">
        <v>88.95</v>
      </c>
      <c r="AR13" t="s">
        <v>4476</v>
      </c>
      <c r="AS13" t="s">
        <v>4487</v>
      </c>
      <c r="AT13">
        <v>18972</v>
      </c>
      <c r="AX13" t="s">
        <v>4501</v>
      </c>
      <c r="BA13" t="s">
        <v>4540</v>
      </c>
      <c r="BD13" t="s">
        <v>124</v>
      </c>
      <c r="BE13" t="s">
        <v>4704</v>
      </c>
    </row>
    <row r="14" spans="1:57">
      <c r="A14" s="1">
        <f>HYPERLINK("https://lsnyc.legalserver.org/matter/dynamic-profile/view/1907899","19-1907899")</f>
        <v>0</v>
      </c>
      <c r="B14" t="s">
        <v>68</v>
      </c>
      <c r="C14" t="s">
        <v>93</v>
      </c>
      <c r="D14" t="s">
        <v>105</v>
      </c>
      <c r="F14" t="s">
        <v>249</v>
      </c>
      <c r="G14" t="s">
        <v>800</v>
      </c>
      <c r="H14" t="s">
        <v>1314</v>
      </c>
      <c r="I14" t="s">
        <v>1919</v>
      </c>
      <c r="J14" t="s">
        <v>2169</v>
      </c>
      <c r="K14" t="s">
        <v>2171</v>
      </c>
      <c r="L14">
        <v>10128</v>
      </c>
      <c r="M14" t="s">
        <v>2173</v>
      </c>
      <c r="N14" t="s">
        <v>2172</v>
      </c>
      <c r="O14" t="s">
        <v>2175</v>
      </c>
      <c r="P14" t="s">
        <v>2193</v>
      </c>
      <c r="Q14">
        <v>6</v>
      </c>
      <c r="R14" t="s">
        <v>2844</v>
      </c>
      <c r="S14" t="s">
        <v>2857</v>
      </c>
      <c r="U14" t="s">
        <v>2868</v>
      </c>
      <c r="V14" t="s">
        <v>2174</v>
      </c>
      <c r="W14" t="s">
        <v>2174</v>
      </c>
      <c r="Y14" t="s">
        <v>2876</v>
      </c>
      <c r="Z14" t="s">
        <v>2880</v>
      </c>
      <c r="AA14" t="s">
        <v>105</v>
      </c>
      <c r="AB14">
        <v>0</v>
      </c>
      <c r="AC14">
        <v>2111</v>
      </c>
      <c r="AD14">
        <v>5.9</v>
      </c>
      <c r="AE14" t="s">
        <v>2894</v>
      </c>
      <c r="AG14" t="s">
        <v>2918</v>
      </c>
      <c r="AI14" t="s">
        <v>3783</v>
      </c>
      <c r="AJ14">
        <v>0</v>
      </c>
      <c r="AK14" t="s">
        <v>4460</v>
      </c>
      <c r="AL14">
        <v>1</v>
      </c>
      <c r="AM14">
        <v>1</v>
      </c>
      <c r="AN14">
        <v>195.15</v>
      </c>
      <c r="AR14" t="s">
        <v>4478</v>
      </c>
      <c r="AS14" t="s">
        <v>4486</v>
      </c>
      <c r="AT14">
        <v>33000</v>
      </c>
      <c r="AX14" t="s">
        <v>4504</v>
      </c>
      <c r="BA14" t="s">
        <v>4541</v>
      </c>
      <c r="BD14" t="s">
        <v>4672</v>
      </c>
      <c r="BE14" t="s">
        <v>4703</v>
      </c>
    </row>
    <row r="15" spans="1:57">
      <c r="A15" s="1">
        <f>HYPERLINK("https://lsnyc.legalserver.org/matter/dynamic-profile/view/1899175","19-1899175")</f>
        <v>0</v>
      </c>
      <c r="B15" t="s">
        <v>69</v>
      </c>
      <c r="C15" t="s">
        <v>93</v>
      </c>
      <c r="D15" t="s">
        <v>106</v>
      </c>
      <c r="F15" t="s">
        <v>250</v>
      </c>
      <c r="G15" t="s">
        <v>801</v>
      </c>
      <c r="H15" t="s">
        <v>1315</v>
      </c>
      <c r="I15">
        <v>55</v>
      </c>
      <c r="J15" t="s">
        <v>2169</v>
      </c>
      <c r="K15" t="s">
        <v>2171</v>
      </c>
      <c r="L15">
        <v>10040</v>
      </c>
      <c r="M15" t="s">
        <v>2172</v>
      </c>
      <c r="N15" t="s">
        <v>2172</v>
      </c>
      <c r="O15" t="s">
        <v>2177</v>
      </c>
      <c r="P15" t="s">
        <v>2194</v>
      </c>
      <c r="Q15">
        <v>4</v>
      </c>
      <c r="R15" t="s">
        <v>2846</v>
      </c>
      <c r="S15" t="s">
        <v>2857</v>
      </c>
      <c r="U15" t="s">
        <v>2868</v>
      </c>
      <c r="V15" t="s">
        <v>2174</v>
      </c>
      <c r="Y15" t="s">
        <v>2876</v>
      </c>
      <c r="AB15">
        <v>0</v>
      </c>
      <c r="AC15">
        <v>1325</v>
      </c>
      <c r="AD15">
        <v>69.59999999999999</v>
      </c>
      <c r="AE15" t="s">
        <v>2894</v>
      </c>
      <c r="AG15" t="s">
        <v>2919</v>
      </c>
      <c r="AI15" t="s">
        <v>3784</v>
      </c>
      <c r="AJ15">
        <v>0</v>
      </c>
      <c r="AK15" t="s">
        <v>4456</v>
      </c>
      <c r="AL15">
        <v>1</v>
      </c>
      <c r="AM15">
        <v>2</v>
      </c>
      <c r="AN15">
        <v>117.21</v>
      </c>
      <c r="AR15" t="s">
        <v>4476</v>
      </c>
      <c r="AS15" t="s">
        <v>4487</v>
      </c>
      <c r="AT15">
        <v>25000</v>
      </c>
      <c r="AX15" t="s">
        <v>4504</v>
      </c>
      <c r="BA15" t="s">
        <v>4542</v>
      </c>
      <c r="BD15" t="s">
        <v>4673</v>
      </c>
    </row>
    <row r="16" spans="1:57">
      <c r="A16" s="1">
        <f>HYPERLINK("https://lsnyc.legalserver.org/matter/dynamic-profile/view/1891614","19-1891614")</f>
        <v>0</v>
      </c>
      <c r="B16" t="s">
        <v>63</v>
      </c>
      <c r="C16" t="s">
        <v>92</v>
      </c>
      <c r="D16" t="s">
        <v>107</v>
      </c>
      <c r="E16" t="s">
        <v>214</v>
      </c>
      <c r="F16" t="s">
        <v>251</v>
      </c>
      <c r="G16" t="s">
        <v>802</v>
      </c>
      <c r="H16" t="s">
        <v>1316</v>
      </c>
      <c r="I16" t="s">
        <v>1920</v>
      </c>
      <c r="J16" t="s">
        <v>2169</v>
      </c>
      <c r="K16" t="s">
        <v>2171</v>
      </c>
      <c r="L16">
        <v>10040</v>
      </c>
      <c r="M16" t="s">
        <v>2173</v>
      </c>
      <c r="N16" t="s">
        <v>2173</v>
      </c>
      <c r="O16" t="s">
        <v>2175</v>
      </c>
      <c r="P16" t="s">
        <v>2195</v>
      </c>
      <c r="Q16">
        <v>6</v>
      </c>
      <c r="R16" t="s">
        <v>2843</v>
      </c>
      <c r="S16" t="s">
        <v>2856</v>
      </c>
      <c r="T16" t="s">
        <v>2863</v>
      </c>
      <c r="U16" t="s">
        <v>2868</v>
      </c>
      <c r="V16" t="s">
        <v>2174</v>
      </c>
      <c r="W16" t="s">
        <v>2174</v>
      </c>
      <c r="Y16" t="s">
        <v>2876</v>
      </c>
      <c r="Z16" t="s">
        <v>2879</v>
      </c>
      <c r="AA16" t="s">
        <v>107</v>
      </c>
      <c r="AB16">
        <v>0</v>
      </c>
      <c r="AC16">
        <v>775</v>
      </c>
      <c r="AD16">
        <v>1.6</v>
      </c>
      <c r="AE16" t="s">
        <v>2894</v>
      </c>
      <c r="AF16" t="s">
        <v>2896</v>
      </c>
      <c r="AG16" t="s">
        <v>2920</v>
      </c>
      <c r="AI16" t="s">
        <v>3785</v>
      </c>
      <c r="AJ16">
        <v>0</v>
      </c>
      <c r="AK16" t="s">
        <v>4456</v>
      </c>
      <c r="AL16">
        <v>1</v>
      </c>
      <c r="AM16">
        <v>1</v>
      </c>
      <c r="AN16">
        <v>130.69</v>
      </c>
      <c r="AQ16" t="s">
        <v>4474</v>
      </c>
      <c r="AR16" t="s">
        <v>4476</v>
      </c>
      <c r="AS16" t="s">
        <v>4487</v>
      </c>
      <c r="AT16">
        <v>22100</v>
      </c>
      <c r="AX16" t="s">
        <v>4502</v>
      </c>
      <c r="BA16" t="s">
        <v>4537</v>
      </c>
      <c r="BD16" t="s">
        <v>214</v>
      </c>
    </row>
    <row r="17" spans="1:57">
      <c r="A17" s="1">
        <f>HYPERLINK("https://lsnyc.legalserver.org/matter/dynamic-profile/view/1893139","19-1893139")</f>
        <v>0</v>
      </c>
      <c r="B17" t="s">
        <v>67</v>
      </c>
      <c r="C17" t="s">
        <v>92</v>
      </c>
      <c r="D17" t="s">
        <v>108</v>
      </c>
      <c r="E17" t="s">
        <v>217</v>
      </c>
      <c r="F17" t="s">
        <v>252</v>
      </c>
      <c r="G17" t="s">
        <v>803</v>
      </c>
      <c r="H17" t="s">
        <v>1317</v>
      </c>
      <c r="I17" t="s">
        <v>1921</v>
      </c>
      <c r="J17" t="s">
        <v>2169</v>
      </c>
      <c r="K17" t="s">
        <v>2171</v>
      </c>
      <c r="L17">
        <v>10040</v>
      </c>
      <c r="M17" t="s">
        <v>2173</v>
      </c>
      <c r="N17" t="s">
        <v>2173</v>
      </c>
      <c r="O17" t="s">
        <v>2175</v>
      </c>
      <c r="P17" t="s">
        <v>2196</v>
      </c>
      <c r="Q17">
        <v>12</v>
      </c>
      <c r="R17" t="s">
        <v>2843</v>
      </c>
      <c r="S17" t="s">
        <v>2856</v>
      </c>
      <c r="T17" t="s">
        <v>2863</v>
      </c>
      <c r="U17" t="s">
        <v>2868</v>
      </c>
      <c r="V17" t="s">
        <v>2174</v>
      </c>
      <c r="W17" t="s">
        <v>2174</v>
      </c>
      <c r="Y17" t="s">
        <v>2876</v>
      </c>
      <c r="AA17" t="s">
        <v>108</v>
      </c>
      <c r="AB17">
        <v>0</v>
      </c>
      <c r="AC17">
        <v>1037</v>
      </c>
      <c r="AD17">
        <v>2.6</v>
      </c>
      <c r="AE17" t="s">
        <v>2894</v>
      </c>
      <c r="AF17" t="s">
        <v>2896</v>
      </c>
      <c r="AG17" t="s">
        <v>2921</v>
      </c>
      <c r="AH17" t="s">
        <v>3594</v>
      </c>
      <c r="AI17" t="s">
        <v>3786</v>
      </c>
      <c r="AJ17">
        <v>103</v>
      </c>
      <c r="AK17" t="s">
        <v>4458</v>
      </c>
      <c r="AL17">
        <v>2</v>
      </c>
      <c r="AM17">
        <v>0</v>
      </c>
      <c r="AN17">
        <v>170.72</v>
      </c>
      <c r="AQ17" t="s">
        <v>4473</v>
      </c>
      <c r="AR17" t="s">
        <v>4476</v>
      </c>
      <c r="AS17" t="s">
        <v>4487</v>
      </c>
      <c r="AT17">
        <v>28869</v>
      </c>
      <c r="AX17" t="s">
        <v>4501</v>
      </c>
      <c r="BA17" t="s">
        <v>4543</v>
      </c>
      <c r="BD17" t="s">
        <v>4674</v>
      </c>
      <c r="BE17" t="s">
        <v>4704</v>
      </c>
    </row>
    <row r="18" spans="1:57">
      <c r="A18" s="1">
        <f>HYPERLINK("https://lsnyc.legalserver.org/matter/dynamic-profile/view/1898859","19-1898859")</f>
        <v>0</v>
      </c>
      <c r="B18" t="s">
        <v>67</v>
      </c>
      <c r="C18" t="s">
        <v>93</v>
      </c>
      <c r="D18" t="s">
        <v>109</v>
      </c>
      <c r="F18" t="s">
        <v>253</v>
      </c>
      <c r="G18" t="s">
        <v>804</v>
      </c>
      <c r="H18" t="s">
        <v>1318</v>
      </c>
      <c r="I18" t="s">
        <v>1922</v>
      </c>
      <c r="J18" t="s">
        <v>2169</v>
      </c>
      <c r="K18" t="s">
        <v>2171</v>
      </c>
      <c r="L18">
        <v>10040</v>
      </c>
      <c r="M18" t="s">
        <v>2173</v>
      </c>
      <c r="N18" t="s">
        <v>2173</v>
      </c>
      <c r="O18" t="s">
        <v>2175</v>
      </c>
      <c r="P18" t="s">
        <v>2197</v>
      </c>
      <c r="Q18">
        <v>30</v>
      </c>
      <c r="R18" t="s">
        <v>2843</v>
      </c>
      <c r="S18" t="s">
        <v>2856</v>
      </c>
      <c r="U18" t="s">
        <v>2868</v>
      </c>
      <c r="V18" t="s">
        <v>2174</v>
      </c>
      <c r="W18" t="s">
        <v>2174</v>
      </c>
      <c r="Y18" t="s">
        <v>2876</v>
      </c>
      <c r="AA18" t="s">
        <v>109</v>
      </c>
      <c r="AB18">
        <v>0</v>
      </c>
      <c r="AC18">
        <v>1430</v>
      </c>
      <c r="AD18">
        <v>2.2</v>
      </c>
      <c r="AE18" t="s">
        <v>2894</v>
      </c>
      <c r="AG18" t="s">
        <v>2922</v>
      </c>
      <c r="AI18" t="s">
        <v>3787</v>
      </c>
      <c r="AJ18">
        <v>125</v>
      </c>
      <c r="AK18" t="s">
        <v>4461</v>
      </c>
      <c r="AL18">
        <v>2</v>
      </c>
      <c r="AM18">
        <v>0</v>
      </c>
      <c r="AN18">
        <v>92.25</v>
      </c>
      <c r="AR18" t="s">
        <v>4476</v>
      </c>
      <c r="AS18" t="s">
        <v>4486</v>
      </c>
      <c r="AT18">
        <v>15600</v>
      </c>
      <c r="AX18" t="s">
        <v>4504</v>
      </c>
      <c r="BA18" t="s">
        <v>4541</v>
      </c>
      <c r="BD18" t="s">
        <v>124</v>
      </c>
      <c r="BE18" t="s">
        <v>4703</v>
      </c>
    </row>
    <row r="19" spans="1:57">
      <c r="A19" s="1">
        <f>HYPERLINK("https://lsnyc.legalserver.org/matter/dynamic-profile/view/1888259","19-1888259")</f>
        <v>0</v>
      </c>
      <c r="B19" t="s">
        <v>57</v>
      </c>
      <c r="C19" t="s">
        <v>93</v>
      </c>
      <c r="D19" t="s">
        <v>110</v>
      </c>
      <c r="F19" t="s">
        <v>254</v>
      </c>
      <c r="G19" t="s">
        <v>805</v>
      </c>
      <c r="H19" t="s">
        <v>1319</v>
      </c>
      <c r="I19" t="s">
        <v>1923</v>
      </c>
      <c r="J19" t="s">
        <v>2169</v>
      </c>
      <c r="K19" t="s">
        <v>2171</v>
      </c>
      <c r="L19">
        <v>10040</v>
      </c>
      <c r="M19" t="s">
        <v>2173</v>
      </c>
      <c r="N19" t="s">
        <v>2173</v>
      </c>
      <c r="O19" t="s">
        <v>2175</v>
      </c>
      <c r="P19" t="s">
        <v>2198</v>
      </c>
      <c r="Q19">
        <v>18</v>
      </c>
      <c r="R19" t="s">
        <v>2844</v>
      </c>
      <c r="S19" t="s">
        <v>2857</v>
      </c>
      <c r="U19" t="s">
        <v>2868</v>
      </c>
      <c r="V19" t="s">
        <v>2174</v>
      </c>
      <c r="W19" t="s">
        <v>2174</v>
      </c>
      <c r="Y19" t="s">
        <v>2876</v>
      </c>
      <c r="AA19" t="s">
        <v>103</v>
      </c>
      <c r="AB19">
        <v>0</v>
      </c>
      <c r="AC19">
        <v>1008</v>
      </c>
      <c r="AD19">
        <v>15.4</v>
      </c>
      <c r="AE19" t="s">
        <v>2894</v>
      </c>
      <c r="AG19" t="s">
        <v>2923</v>
      </c>
      <c r="AH19" t="s">
        <v>3595</v>
      </c>
      <c r="AI19" t="s">
        <v>3788</v>
      </c>
      <c r="AJ19">
        <v>50</v>
      </c>
      <c r="AK19" t="s">
        <v>4456</v>
      </c>
      <c r="AL19">
        <v>1</v>
      </c>
      <c r="AM19">
        <v>0</v>
      </c>
      <c r="AN19">
        <v>154.89</v>
      </c>
      <c r="AQ19" t="s">
        <v>4473</v>
      </c>
      <c r="AR19" t="s">
        <v>4477</v>
      </c>
      <c r="AS19" t="s">
        <v>4487</v>
      </c>
      <c r="AT19">
        <v>18804</v>
      </c>
      <c r="AX19" t="s">
        <v>4504</v>
      </c>
      <c r="BA19" t="s">
        <v>4544</v>
      </c>
      <c r="BD19" t="s">
        <v>4675</v>
      </c>
      <c r="BE19" t="s">
        <v>4704</v>
      </c>
    </row>
    <row r="20" spans="1:57">
      <c r="A20" s="1">
        <f>HYPERLINK("https://lsnyc.legalserver.org/matter/dynamic-profile/view/1896385","19-1896385")</f>
        <v>0</v>
      </c>
      <c r="B20" t="s">
        <v>70</v>
      </c>
      <c r="C20" t="s">
        <v>93</v>
      </c>
      <c r="D20" t="s">
        <v>111</v>
      </c>
      <c r="F20" t="s">
        <v>255</v>
      </c>
      <c r="G20" t="s">
        <v>806</v>
      </c>
      <c r="H20" t="s">
        <v>1320</v>
      </c>
      <c r="I20" t="s">
        <v>1924</v>
      </c>
      <c r="J20" t="s">
        <v>2169</v>
      </c>
      <c r="K20" t="s">
        <v>2171</v>
      </c>
      <c r="L20">
        <v>10040</v>
      </c>
      <c r="M20" t="s">
        <v>2173</v>
      </c>
      <c r="N20" t="s">
        <v>2172</v>
      </c>
      <c r="O20" t="s">
        <v>2177</v>
      </c>
      <c r="P20" t="s">
        <v>2199</v>
      </c>
      <c r="Q20">
        <v>11</v>
      </c>
      <c r="R20" t="s">
        <v>2844</v>
      </c>
      <c r="S20" t="s">
        <v>2857</v>
      </c>
      <c r="U20" t="s">
        <v>2868</v>
      </c>
      <c r="V20" t="s">
        <v>2174</v>
      </c>
      <c r="W20" t="s">
        <v>2174</v>
      </c>
      <c r="X20" t="s">
        <v>2873</v>
      </c>
      <c r="Y20" t="s">
        <v>2876</v>
      </c>
      <c r="AA20" t="s">
        <v>111</v>
      </c>
      <c r="AB20">
        <v>0</v>
      </c>
      <c r="AC20">
        <v>2300</v>
      </c>
      <c r="AD20">
        <v>117.35</v>
      </c>
      <c r="AE20" t="s">
        <v>2894</v>
      </c>
      <c r="AG20" t="s">
        <v>2912</v>
      </c>
      <c r="AJ20">
        <v>55</v>
      </c>
      <c r="AK20" t="s">
        <v>4456</v>
      </c>
      <c r="AL20">
        <v>2</v>
      </c>
      <c r="AM20">
        <v>2</v>
      </c>
      <c r="AN20">
        <v>262.52</v>
      </c>
      <c r="AR20" t="s">
        <v>4476</v>
      </c>
      <c r="AS20" t="s">
        <v>4487</v>
      </c>
      <c r="AT20">
        <v>67600</v>
      </c>
      <c r="AX20" t="s">
        <v>4499</v>
      </c>
      <c r="BA20" t="s">
        <v>4545</v>
      </c>
      <c r="BD20" t="s">
        <v>167</v>
      </c>
      <c r="BE20" t="s">
        <v>4703</v>
      </c>
    </row>
    <row r="21" spans="1:57">
      <c r="A21" s="1">
        <f>HYPERLINK("https://lsnyc.legalserver.org/matter/dynamic-profile/view/1897425","19-1897425")</f>
        <v>0</v>
      </c>
      <c r="B21" t="s">
        <v>62</v>
      </c>
      <c r="C21" t="s">
        <v>92</v>
      </c>
      <c r="D21" t="s">
        <v>112</v>
      </c>
      <c r="E21" t="s">
        <v>112</v>
      </c>
      <c r="F21" t="s">
        <v>251</v>
      </c>
      <c r="G21" t="s">
        <v>807</v>
      </c>
      <c r="H21" t="s">
        <v>1321</v>
      </c>
      <c r="I21" t="s">
        <v>1925</v>
      </c>
      <c r="J21" t="s">
        <v>2169</v>
      </c>
      <c r="K21" t="s">
        <v>2171</v>
      </c>
      <c r="L21">
        <v>10040</v>
      </c>
      <c r="M21" t="s">
        <v>2173</v>
      </c>
      <c r="N21" t="s">
        <v>2173</v>
      </c>
      <c r="O21" t="s">
        <v>2175</v>
      </c>
      <c r="P21" t="s">
        <v>2200</v>
      </c>
      <c r="Q21">
        <v>10</v>
      </c>
      <c r="R21" t="s">
        <v>2844</v>
      </c>
      <c r="S21" t="s">
        <v>2856</v>
      </c>
      <c r="T21" t="s">
        <v>2862</v>
      </c>
      <c r="U21" t="s">
        <v>2868</v>
      </c>
      <c r="V21" t="s">
        <v>2174</v>
      </c>
      <c r="W21" t="s">
        <v>2174</v>
      </c>
      <c r="Y21" t="s">
        <v>2876</v>
      </c>
      <c r="AA21" t="s">
        <v>112</v>
      </c>
      <c r="AB21">
        <v>0</v>
      </c>
      <c r="AC21">
        <v>1353.8</v>
      </c>
      <c r="AD21">
        <v>0.1</v>
      </c>
      <c r="AE21" t="s">
        <v>2894</v>
      </c>
      <c r="AF21" t="s">
        <v>2896</v>
      </c>
      <c r="AG21" t="s">
        <v>2924</v>
      </c>
      <c r="AI21" t="s">
        <v>3789</v>
      </c>
      <c r="AJ21">
        <v>42</v>
      </c>
      <c r="AK21" t="s">
        <v>4456</v>
      </c>
      <c r="AL21">
        <v>3</v>
      </c>
      <c r="AM21">
        <v>3</v>
      </c>
      <c r="AN21">
        <v>87.48999999999999</v>
      </c>
      <c r="AR21" t="s">
        <v>4476</v>
      </c>
      <c r="AS21" t="s">
        <v>4487</v>
      </c>
      <c r="AT21">
        <v>30264</v>
      </c>
      <c r="AX21" t="s">
        <v>4501</v>
      </c>
      <c r="BA21" t="s">
        <v>4546</v>
      </c>
      <c r="BD21" t="s">
        <v>112</v>
      </c>
    </row>
    <row r="22" spans="1:57">
      <c r="A22" s="1">
        <f>HYPERLINK("https://lsnyc.legalserver.org/matter/dynamic-profile/view/1897458","19-1897458")</f>
        <v>0</v>
      </c>
      <c r="B22" t="s">
        <v>66</v>
      </c>
      <c r="C22" t="s">
        <v>93</v>
      </c>
      <c r="D22" t="s">
        <v>112</v>
      </c>
      <c r="F22" t="s">
        <v>256</v>
      </c>
      <c r="G22" t="s">
        <v>808</v>
      </c>
      <c r="H22" t="s">
        <v>1322</v>
      </c>
      <c r="I22" t="s">
        <v>1926</v>
      </c>
      <c r="J22" t="s">
        <v>2169</v>
      </c>
      <c r="K22" t="s">
        <v>2171</v>
      </c>
      <c r="L22">
        <v>10040</v>
      </c>
      <c r="M22" t="s">
        <v>2173</v>
      </c>
      <c r="N22" t="s">
        <v>2173</v>
      </c>
      <c r="O22" t="s">
        <v>2175</v>
      </c>
      <c r="P22" t="s">
        <v>2201</v>
      </c>
      <c r="Q22">
        <v>20</v>
      </c>
      <c r="R22" t="s">
        <v>2844</v>
      </c>
      <c r="S22" t="s">
        <v>2856</v>
      </c>
      <c r="U22" t="s">
        <v>2868</v>
      </c>
      <c r="V22" t="s">
        <v>2174</v>
      </c>
      <c r="W22" t="s">
        <v>2174</v>
      </c>
      <c r="Y22" t="s">
        <v>2876</v>
      </c>
      <c r="AA22" t="s">
        <v>112</v>
      </c>
      <c r="AB22">
        <v>0</v>
      </c>
      <c r="AC22">
        <v>883.22</v>
      </c>
      <c r="AD22">
        <v>1.2</v>
      </c>
      <c r="AE22" t="s">
        <v>2894</v>
      </c>
      <c r="AG22" t="s">
        <v>2925</v>
      </c>
      <c r="AH22" t="s">
        <v>3596</v>
      </c>
      <c r="AI22" t="s">
        <v>3790</v>
      </c>
      <c r="AJ22">
        <v>88</v>
      </c>
      <c r="AK22" t="s">
        <v>4456</v>
      </c>
      <c r="AL22">
        <v>3</v>
      </c>
      <c r="AM22">
        <v>0</v>
      </c>
      <c r="AN22">
        <v>0</v>
      </c>
      <c r="AR22" t="s">
        <v>4476</v>
      </c>
      <c r="AS22" t="s">
        <v>4487</v>
      </c>
      <c r="AT22">
        <v>0</v>
      </c>
      <c r="AX22" t="s">
        <v>4501</v>
      </c>
      <c r="BA22" t="s">
        <v>4547</v>
      </c>
      <c r="BD22" t="s">
        <v>118</v>
      </c>
    </row>
    <row r="23" spans="1:57">
      <c r="A23" s="1">
        <f>HYPERLINK("https://lsnyc.legalserver.org/matter/dynamic-profile/view/1898876","19-1898876")</f>
        <v>0</v>
      </c>
      <c r="B23" t="s">
        <v>57</v>
      </c>
      <c r="C23" t="s">
        <v>92</v>
      </c>
      <c r="D23" t="s">
        <v>109</v>
      </c>
      <c r="E23" t="s">
        <v>216</v>
      </c>
      <c r="F23" t="s">
        <v>257</v>
      </c>
      <c r="G23" t="s">
        <v>809</v>
      </c>
      <c r="H23" t="s">
        <v>1323</v>
      </c>
      <c r="I23" t="s">
        <v>1927</v>
      </c>
      <c r="J23" t="s">
        <v>2169</v>
      </c>
      <c r="K23" t="s">
        <v>2171</v>
      </c>
      <c r="L23">
        <v>10040</v>
      </c>
      <c r="M23" t="s">
        <v>2173</v>
      </c>
      <c r="N23" t="s">
        <v>2173</v>
      </c>
      <c r="O23" t="s">
        <v>2175</v>
      </c>
      <c r="P23" t="s">
        <v>2202</v>
      </c>
      <c r="Q23">
        <v>13</v>
      </c>
      <c r="R23" t="s">
        <v>2844</v>
      </c>
      <c r="S23" t="s">
        <v>2856</v>
      </c>
      <c r="T23" t="s">
        <v>2863</v>
      </c>
      <c r="U23" t="s">
        <v>2868</v>
      </c>
      <c r="V23" t="s">
        <v>2174</v>
      </c>
      <c r="W23" t="s">
        <v>2174</v>
      </c>
      <c r="Y23" t="s">
        <v>2876</v>
      </c>
      <c r="AA23" t="s">
        <v>109</v>
      </c>
      <c r="AB23">
        <v>0</v>
      </c>
      <c r="AC23">
        <v>995</v>
      </c>
      <c r="AD23">
        <v>0.1</v>
      </c>
      <c r="AE23" t="s">
        <v>2894</v>
      </c>
      <c r="AF23" t="s">
        <v>2896</v>
      </c>
      <c r="AG23" t="s">
        <v>2926</v>
      </c>
      <c r="AH23" t="s">
        <v>3597</v>
      </c>
      <c r="AI23" t="s">
        <v>3791</v>
      </c>
      <c r="AJ23">
        <v>0</v>
      </c>
      <c r="AK23" t="s">
        <v>4456</v>
      </c>
      <c r="AL23">
        <v>2</v>
      </c>
      <c r="AM23">
        <v>2</v>
      </c>
      <c r="AN23">
        <v>171.65</v>
      </c>
      <c r="AR23" t="s">
        <v>4476</v>
      </c>
      <c r="AS23" t="s">
        <v>4486</v>
      </c>
      <c r="AT23">
        <v>44200</v>
      </c>
      <c r="AX23" t="s">
        <v>4501</v>
      </c>
      <c r="BA23" t="s">
        <v>4546</v>
      </c>
      <c r="BD23" t="s">
        <v>95</v>
      </c>
    </row>
    <row r="24" spans="1:57">
      <c r="A24" s="1">
        <f>HYPERLINK("https://lsnyc.legalserver.org/matter/dynamic-profile/view/1899282","19-1899282")</f>
        <v>0</v>
      </c>
      <c r="B24" t="s">
        <v>64</v>
      </c>
      <c r="C24" t="s">
        <v>93</v>
      </c>
      <c r="D24" t="s">
        <v>113</v>
      </c>
      <c r="F24" t="s">
        <v>258</v>
      </c>
      <c r="G24" t="s">
        <v>810</v>
      </c>
      <c r="H24" t="s">
        <v>1324</v>
      </c>
      <c r="I24" t="s">
        <v>1928</v>
      </c>
      <c r="J24" t="s">
        <v>2169</v>
      </c>
      <c r="K24" t="s">
        <v>2171</v>
      </c>
      <c r="L24">
        <v>10040</v>
      </c>
      <c r="M24" t="s">
        <v>2173</v>
      </c>
      <c r="N24" t="s">
        <v>2172</v>
      </c>
      <c r="O24" t="s">
        <v>2175</v>
      </c>
      <c r="P24" t="s">
        <v>2203</v>
      </c>
      <c r="Q24">
        <v>25</v>
      </c>
      <c r="R24" t="s">
        <v>2844</v>
      </c>
      <c r="S24" t="s">
        <v>2858</v>
      </c>
      <c r="U24" t="s">
        <v>2868</v>
      </c>
      <c r="V24" t="s">
        <v>2174</v>
      </c>
      <c r="W24" t="s">
        <v>2174</v>
      </c>
      <c r="Y24" t="s">
        <v>2876</v>
      </c>
      <c r="Z24" t="s">
        <v>2881</v>
      </c>
      <c r="AA24" t="s">
        <v>113</v>
      </c>
      <c r="AB24">
        <v>0</v>
      </c>
      <c r="AC24">
        <v>925</v>
      </c>
      <c r="AD24">
        <v>0</v>
      </c>
      <c r="AE24" t="s">
        <v>2894</v>
      </c>
      <c r="AG24" t="s">
        <v>2927</v>
      </c>
      <c r="AI24" t="s">
        <v>3792</v>
      </c>
      <c r="AJ24">
        <v>42</v>
      </c>
      <c r="AK24" t="s">
        <v>4461</v>
      </c>
      <c r="AL24">
        <v>1</v>
      </c>
      <c r="AM24">
        <v>0</v>
      </c>
      <c r="AN24">
        <v>80.06</v>
      </c>
      <c r="AR24" t="s">
        <v>4477</v>
      </c>
      <c r="AS24" t="s">
        <v>4486</v>
      </c>
      <c r="AT24">
        <v>10000</v>
      </c>
      <c r="AX24" t="s">
        <v>4504</v>
      </c>
      <c r="BA24" t="s">
        <v>4546</v>
      </c>
      <c r="BE24" t="s">
        <v>4703</v>
      </c>
    </row>
    <row r="25" spans="1:57">
      <c r="A25" s="1">
        <f>HYPERLINK("https://lsnyc.legalserver.org/matter/dynamic-profile/view/1910192","19-1910192")</f>
        <v>0</v>
      </c>
      <c r="B25" t="s">
        <v>62</v>
      </c>
      <c r="C25" t="s">
        <v>92</v>
      </c>
      <c r="D25" t="s">
        <v>114</v>
      </c>
      <c r="E25" t="s">
        <v>213</v>
      </c>
      <c r="F25" t="s">
        <v>259</v>
      </c>
      <c r="G25" t="s">
        <v>802</v>
      </c>
      <c r="H25" t="s">
        <v>1325</v>
      </c>
      <c r="I25" t="s">
        <v>1929</v>
      </c>
      <c r="J25" t="s">
        <v>2169</v>
      </c>
      <c r="K25" t="s">
        <v>2171</v>
      </c>
      <c r="L25">
        <v>10040</v>
      </c>
      <c r="M25" t="s">
        <v>2173</v>
      </c>
      <c r="N25" t="s">
        <v>2172</v>
      </c>
      <c r="O25" t="s">
        <v>2175</v>
      </c>
      <c r="P25" t="s">
        <v>2204</v>
      </c>
      <c r="Q25">
        <v>27</v>
      </c>
      <c r="R25" t="s">
        <v>2844</v>
      </c>
      <c r="S25" t="s">
        <v>2856</v>
      </c>
      <c r="T25" t="s">
        <v>2863</v>
      </c>
      <c r="U25" t="s">
        <v>2868</v>
      </c>
      <c r="V25" t="s">
        <v>2174</v>
      </c>
      <c r="W25" t="s">
        <v>2174</v>
      </c>
      <c r="Y25" t="s">
        <v>2876</v>
      </c>
      <c r="AA25" t="s">
        <v>114</v>
      </c>
      <c r="AB25">
        <v>0</v>
      </c>
      <c r="AC25">
        <v>693.42</v>
      </c>
      <c r="AD25">
        <v>0</v>
      </c>
      <c r="AE25" t="s">
        <v>2894</v>
      </c>
      <c r="AF25" t="s">
        <v>2896</v>
      </c>
      <c r="AG25" t="s">
        <v>2928</v>
      </c>
      <c r="AH25" t="s">
        <v>3598</v>
      </c>
      <c r="AI25" t="s">
        <v>3793</v>
      </c>
      <c r="AJ25">
        <v>62</v>
      </c>
      <c r="AK25" t="s">
        <v>4456</v>
      </c>
      <c r="AL25">
        <v>2</v>
      </c>
      <c r="AM25">
        <v>0</v>
      </c>
      <c r="AN25">
        <v>56.77</v>
      </c>
      <c r="AR25" t="s">
        <v>4477</v>
      </c>
      <c r="AS25" t="s">
        <v>4487</v>
      </c>
      <c r="AT25">
        <v>9600</v>
      </c>
      <c r="AX25" t="s">
        <v>4504</v>
      </c>
      <c r="BA25" t="s">
        <v>4548</v>
      </c>
      <c r="BD25" t="s">
        <v>4670</v>
      </c>
      <c r="BE25" t="s">
        <v>4704</v>
      </c>
    </row>
    <row r="26" spans="1:57">
      <c r="A26" s="1">
        <f>HYPERLINK("https://lsnyc.legalserver.org/matter/dynamic-profile/view/1890367","19-1890367")</f>
        <v>0</v>
      </c>
      <c r="B26" t="s">
        <v>71</v>
      </c>
      <c r="C26" t="s">
        <v>93</v>
      </c>
      <c r="D26" t="s">
        <v>101</v>
      </c>
      <c r="F26" t="s">
        <v>260</v>
      </c>
      <c r="G26" t="s">
        <v>811</v>
      </c>
      <c r="H26" t="s">
        <v>1326</v>
      </c>
      <c r="I26" t="s">
        <v>1930</v>
      </c>
      <c r="J26" t="s">
        <v>2169</v>
      </c>
      <c r="K26" t="s">
        <v>2171</v>
      </c>
      <c r="L26">
        <v>10039</v>
      </c>
      <c r="M26" t="s">
        <v>2173</v>
      </c>
      <c r="N26" t="s">
        <v>2173</v>
      </c>
      <c r="O26" t="s">
        <v>2175</v>
      </c>
      <c r="P26" t="s">
        <v>2205</v>
      </c>
      <c r="Q26">
        <v>40</v>
      </c>
      <c r="R26" t="s">
        <v>2843</v>
      </c>
      <c r="S26" t="s">
        <v>2856</v>
      </c>
      <c r="U26" t="s">
        <v>2868</v>
      </c>
      <c r="V26" t="s">
        <v>2174</v>
      </c>
      <c r="W26" t="s">
        <v>2174</v>
      </c>
      <c r="Y26" t="s">
        <v>2876</v>
      </c>
      <c r="AA26" t="s">
        <v>101</v>
      </c>
      <c r="AB26">
        <v>0</v>
      </c>
      <c r="AC26">
        <v>811</v>
      </c>
      <c r="AD26">
        <v>0</v>
      </c>
      <c r="AE26" t="s">
        <v>2894</v>
      </c>
      <c r="AG26" t="s">
        <v>2929</v>
      </c>
      <c r="AH26" t="s">
        <v>3599</v>
      </c>
      <c r="AI26" t="s">
        <v>3794</v>
      </c>
      <c r="AJ26">
        <v>0</v>
      </c>
      <c r="AK26" t="s">
        <v>4462</v>
      </c>
      <c r="AL26">
        <v>2</v>
      </c>
      <c r="AM26">
        <v>2</v>
      </c>
      <c r="AN26">
        <v>55.53</v>
      </c>
      <c r="AQ26" t="s">
        <v>4474</v>
      </c>
      <c r="AR26" t="s">
        <v>4476</v>
      </c>
      <c r="AS26" t="s">
        <v>4486</v>
      </c>
      <c r="AT26">
        <v>14300</v>
      </c>
      <c r="AX26" t="s">
        <v>4501</v>
      </c>
      <c r="BA26" t="s">
        <v>4537</v>
      </c>
    </row>
    <row r="27" spans="1:57">
      <c r="A27" s="1">
        <f>HYPERLINK("https://lsnyc.legalserver.org/matter/dynamic-profile/view/1897421","19-1897421")</f>
        <v>0</v>
      </c>
      <c r="B27" t="s">
        <v>62</v>
      </c>
      <c r="C27" t="s">
        <v>93</v>
      </c>
      <c r="D27" t="s">
        <v>112</v>
      </c>
      <c r="F27" t="s">
        <v>261</v>
      </c>
      <c r="G27" t="s">
        <v>812</v>
      </c>
      <c r="H27" t="s">
        <v>1327</v>
      </c>
      <c r="I27" t="s">
        <v>1931</v>
      </c>
      <c r="J27" t="s">
        <v>2169</v>
      </c>
      <c r="K27" t="s">
        <v>2171</v>
      </c>
      <c r="L27">
        <v>10039</v>
      </c>
      <c r="M27" t="s">
        <v>2173</v>
      </c>
      <c r="N27" t="s">
        <v>2173</v>
      </c>
      <c r="O27" t="s">
        <v>2178</v>
      </c>
      <c r="P27" t="s">
        <v>2206</v>
      </c>
      <c r="Q27">
        <v>10</v>
      </c>
      <c r="R27" t="s">
        <v>2843</v>
      </c>
      <c r="S27" t="s">
        <v>2856</v>
      </c>
      <c r="U27" t="s">
        <v>2868</v>
      </c>
      <c r="V27" t="s">
        <v>2174</v>
      </c>
      <c r="W27" t="s">
        <v>2174</v>
      </c>
      <c r="Y27" t="s">
        <v>2876</v>
      </c>
      <c r="AA27" t="s">
        <v>112</v>
      </c>
      <c r="AB27">
        <v>0</v>
      </c>
      <c r="AC27">
        <v>735</v>
      </c>
      <c r="AD27">
        <v>1.1</v>
      </c>
      <c r="AE27" t="s">
        <v>2894</v>
      </c>
      <c r="AG27" t="s">
        <v>2930</v>
      </c>
      <c r="AH27" t="s">
        <v>3600</v>
      </c>
      <c r="AI27" t="s">
        <v>3795</v>
      </c>
      <c r="AJ27">
        <v>25</v>
      </c>
      <c r="AK27" t="s">
        <v>4458</v>
      </c>
      <c r="AL27">
        <v>1</v>
      </c>
      <c r="AM27">
        <v>3</v>
      </c>
      <c r="AN27">
        <v>112.83</v>
      </c>
      <c r="AR27" t="s">
        <v>4476</v>
      </c>
      <c r="AS27" t="s">
        <v>4487</v>
      </c>
      <c r="AT27">
        <v>29055</v>
      </c>
      <c r="AX27" t="s">
        <v>4501</v>
      </c>
      <c r="BA27" t="s">
        <v>4537</v>
      </c>
      <c r="BD27" t="s">
        <v>2887</v>
      </c>
    </row>
    <row r="28" spans="1:57">
      <c r="A28" s="1">
        <f>HYPERLINK("https://lsnyc.legalserver.org/matter/dynamic-profile/view/1897482","19-1897482")</f>
        <v>0</v>
      </c>
      <c r="B28" t="s">
        <v>66</v>
      </c>
      <c r="C28" t="s">
        <v>93</v>
      </c>
      <c r="D28" t="s">
        <v>112</v>
      </c>
      <c r="F28" t="s">
        <v>262</v>
      </c>
      <c r="G28" t="s">
        <v>813</v>
      </c>
      <c r="H28" t="s">
        <v>1328</v>
      </c>
      <c r="I28">
        <v>11</v>
      </c>
      <c r="J28" t="s">
        <v>2169</v>
      </c>
      <c r="K28" t="s">
        <v>2171</v>
      </c>
      <c r="L28">
        <v>10039</v>
      </c>
      <c r="M28" t="s">
        <v>2173</v>
      </c>
      <c r="N28" t="s">
        <v>2173</v>
      </c>
      <c r="O28" t="s">
        <v>2175</v>
      </c>
      <c r="P28" t="s">
        <v>2207</v>
      </c>
      <c r="Q28">
        <v>18</v>
      </c>
      <c r="R28" t="s">
        <v>2843</v>
      </c>
      <c r="S28" t="s">
        <v>2855</v>
      </c>
      <c r="U28" t="s">
        <v>2868</v>
      </c>
      <c r="V28" t="s">
        <v>2174</v>
      </c>
      <c r="W28" t="s">
        <v>2174</v>
      </c>
      <c r="Y28" t="s">
        <v>2876</v>
      </c>
      <c r="AA28" t="s">
        <v>112</v>
      </c>
      <c r="AB28">
        <v>0</v>
      </c>
      <c r="AC28">
        <v>0</v>
      </c>
      <c r="AD28">
        <v>0</v>
      </c>
      <c r="AE28" t="s">
        <v>2894</v>
      </c>
      <c r="AG28" t="s">
        <v>2931</v>
      </c>
      <c r="AI28" t="s">
        <v>3796</v>
      </c>
      <c r="AJ28">
        <v>19</v>
      </c>
      <c r="AK28" t="s">
        <v>4456</v>
      </c>
      <c r="AL28">
        <v>1</v>
      </c>
      <c r="AM28">
        <v>0</v>
      </c>
      <c r="AN28">
        <v>0</v>
      </c>
      <c r="AR28" t="s">
        <v>4476</v>
      </c>
      <c r="AS28" t="s">
        <v>4487</v>
      </c>
      <c r="AT28">
        <v>0</v>
      </c>
      <c r="AX28" t="s">
        <v>4505</v>
      </c>
      <c r="BA28" t="s">
        <v>4539</v>
      </c>
    </row>
    <row r="29" spans="1:57">
      <c r="A29" s="1">
        <f>HYPERLINK("https://lsnyc.legalserver.org/matter/dynamic-profile/view/1907886","19-1907886")</f>
        <v>0</v>
      </c>
      <c r="B29" t="s">
        <v>57</v>
      </c>
      <c r="C29" t="s">
        <v>93</v>
      </c>
      <c r="D29" t="s">
        <v>105</v>
      </c>
      <c r="F29" t="s">
        <v>263</v>
      </c>
      <c r="G29" t="s">
        <v>814</v>
      </c>
      <c r="H29" t="s">
        <v>1329</v>
      </c>
      <c r="I29" t="s">
        <v>1932</v>
      </c>
      <c r="J29" t="s">
        <v>2169</v>
      </c>
      <c r="K29" t="s">
        <v>2171</v>
      </c>
      <c r="L29">
        <v>10039</v>
      </c>
      <c r="M29" t="s">
        <v>2173</v>
      </c>
      <c r="N29" t="s">
        <v>2172</v>
      </c>
      <c r="O29" t="s">
        <v>2175</v>
      </c>
      <c r="P29" t="s">
        <v>2208</v>
      </c>
      <c r="Q29">
        <v>14</v>
      </c>
      <c r="R29" t="s">
        <v>2843</v>
      </c>
      <c r="S29" t="s">
        <v>2857</v>
      </c>
      <c r="U29" t="s">
        <v>2868</v>
      </c>
      <c r="V29" t="s">
        <v>2174</v>
      </c>
      <c r="W29" t="s">
        <v>2174</v>
      </c>
      <c r="Y29" t="s">
        <v>2876</v>
      </c>
      <c r="AA29" t="s">
        <v>105</v>
      </c>
      <c r="AB29">
        <v>0</v>
      </c>
      <c r="AC29">
        <v>989.15</v>
      </c>
      <c r="AD29">
        <v>7.7</v>
      </c>
      <c r="AE29" t="s">
        <v>2894</v>
      </c>
      <c r="AG29" t="s">
        <v>2932</v>
      </c>
      <c r="AI29" t="s">
        <v>3797</v>
      </c>
      <c r="AJ29">
        <v>35</v>
      </c>
      <c r="AK29" t="s">
        <v>4456</v>
      </c>
      <c r="AL29">
        <v>1</v>
      </c>
      <c r="AM29">
        <v>0</v>
      </c>
      <c r="AN29">
        <v>0</v>
      </c>
      <c r="AR29" t="s">
        <v>4476</v>
      </c>
      <c r="AS29" t="s">
        <v>4486</v>
      </c>
      <c r="AT29">
        <v>0</v>
      </c>
      <c r="AX29" t="s">
        <v>4501</v>
      </c>
      <c r="BA29" t="s">
        <v>4539</v>
      </c>
      <c r="BD29" t="s">
        <v>4676</v>
      </c>
      <c r="BE29" t="s">
        <v>4703</v>
      </c>
    </row>
    <row r="30" spans="1:57">
      <c r="A30" s="1">
        <f>HYPERLINK("https://lsnyc.legalserver.org/matter/dynamic-profile/view/1908046","19-1908046")</f>
        <v>0</v>
      </c>
      <c r="B30" t="s">
        <v>66</v>
      </c>
      <c r="C30" t="s">
        <v>93</v>
      </c>
      <c r="D30" t="s">
        <v>115</v>
      </c>
      <c r="F30" t="s">
        <v>264</v>
      </c>
      <c r="G30" t="s">
        <v>815</v>
      </c>
      <c r="H30" t="s">
        <v>1330</v>
      </c>
      <c r="I30" t="s">
        <v>1933</v>
      </c>
      <c r="J30" t="s">
        <v>2169</v>
      </c>
      <c r="K30" t="s">
        <v>2171</v>
      </c>
      <c r="L30">
        <v>10039</v>
      </c>
      <c r="M30" t="s">
        <v>2173</v>
      </c>
      <c r="N30" t="s">
        <v>2172</v>
      </c>
      <c r="O30" t="s">
        <v>2178</v>
      </c>
      <c r="P30" t="s">
        <v>2209</v>
      </c>
      <c r="Q30">
        <v>2</v>
      </c>
      <c r="R30" t="s">
        <v>2843</v>
      </c>
      <c r="S30" t="s">
        <v>2856</v>
      </c>
      <c r="U30" t="s">
        <v>2868</v>
      </c>
      <c r="V30" t="s">
        <v>2174</v>
      </c>
      <c r="W30" t="s">
        <v>2174</v>
      </c>
      <c r="Y30" t="s">
        <v>2876</v>
      </c>
      <c r="AA30" t="s">
        <v>115</v>
      </c>
      <c r="AB30">
        <v>0</v>
      </c>
      <c r="AC30">
        <v>845</v>
      </c>
      <c r="AD30">
        <v>1.5</v>
      </c>
      <c r="AE30" t="s">
        <v>2894</v>
      </c>
      <c r="AG30" t="s">
        <v>2933</v>
      </c>
      <c r="AI30" t="s">
        <v>3798</v>
      </c>
      <c r="AJ30">
        <v>312</v>
      </c>
      <c r="AK30" t="s">
        <v>4458</v>
      </c>
      <c r="AL30">
        <v>2</v>
      </c>
      <c r="AM30">
        <v>0</v>
      </c>
      <c r="AN30">
        <v>342.99</v>
      </c>
      <c r="AR30" t="s">
        <v>4476</v>
      </c>
      <c r="AS30" t="s">
        <v>4486</v>
      </c>
      <c r="AT30">
        <v>58000</v>
      </c>
      <c r="AX30" t="s">
        <v>4501</v>
      </c>
      <c r="BA30" t="s">
        <v>4546</v>
      </c>
      <c r="BD30" t="s">
        <v>115</v>
      </c>
      <c r="BE30" t="s">
        <v>4703</v>
      </c>
    </row>
    <row r="31" spans="1:57">
      <c r="A31" s="1">
        <f>HYPERLINK("https://lsnyc.legalserver.org/matter/dynamic-profile/view/1910238","19-1910238")</f>
        <v>0</v>
      </c>
      <c r="B31" t="s">
        <v>62</v>
      </c>
      <c r="C31" t="s">
        <v>93</v>
      </c>
      <c r="D31" t="s">
        <v>114</v>
      </c>
      <c r="F31" t="s">
        <v>265</v>
      </c>
      <c r="G31" t="s">
        <v>816</v>
      </c>
      <c r="H31" t="s">
        <v>1331</v>
      </c>
      <c r="I31" t="s">
        <v>1934</v>
      </c>
      <c r="J31" t="s">
        <v>2169</v>
      </c>
      <c r="K31" t="s">
        <v>2171</v>
      </c>
      <c r="L31">
        <v>10039</v>
      </c>
      <c r="M31" t="s">
        <v>2173</v>
      </c>
      <c r="N31" t="s">
        <v>2172</v>
      </c>
      <c r="O31" t="s">
        <v>2178</v>
      </c>
      <c r="P31" t="s">
        <v>2210</v>
      </c>
      <c r="Q31">
        <v>18</v>
      </c>
      <c r="R31" t="s">
        <v>2843</v>
      </c>
      <c r="S31" t="s">
        <v>2858</v>
      </c>
      <c r="U31" t="s">
        <v>2868</v>
      </c>
      <c r="V31" t="s">
        <v>2174</v>
      </c>
      <c r="W31" t="s">
        <v>2174</v>
      </c>
      <c r="Y31" t="s">
        <v>2876</v>
      </c>
      <c r="AA31" t="s">
        <v>114</v>
      </c>
      <c r="AB31">
        <v>0</v>
      </c>
      <c r="AC31">
        <v>400</v>
      </c>
      <c r="AD31">
        <v>1.5</v>
      </c>
      <c r="AE31" t="s">
        <v>2894</v>
      </c>
      <c r="AG31" t="s">
        <v>2934</v>
      </c>
      <c r="AI31" t="s">
        <v>3799</v>
      </c>
      <c r="AJ31">
        <v>0</v>
      </c>
      <c r="AK31" t="s">
        <v>4463</v>
      </c>
      <c r="AL31">
        <v>2</v>
      </c>
      <c r="AM31">
        <v>0</v>
      </c>
      <c r="AN31">
        <v>179.07</v>
      </c>
      <c r="AR31" t="s">
        <v>4476</v>
      </c>
      <c r="AS31" t="s">
        <v>4486</v>
      </c>
      <c r="AT31">
        <v>30280</v>
      </c>
      <c r="AX31" t="s">
        <v>4501</v>
      </c>
      <c r="BA31" t="s">
        <v>4549</v>
      </c>
      <c r="BD31" t="s">
        <v>217</v>
      </c>
      <c r="BE31" t="s">
        <v>4703</v>
      </c>
    </row>
    <row r="32" spans="1:57">
      <c r="A32" s="1">
        <f>HYPERLINK("https://lsnyc.legalserver.org/matter/dynamic-profile/view/1911227","19-1911227")</f>
        <v>0</v>
      </c>
      <c r="B32" t="s">
        <v>64</v>
      </c>
      <c r="C32" t="s">
        <v>93</v>
      </c>
      <c r="D32" t="s">
        <v>116</v>
      </c>
      <c r="F32" t="s">
        <v>266</v>
      </c>
      <c r="G32" t="s">
        <v>817</v>
      </c>
      <c r="H32" t="s">
        <v>1332</v>
      </c>
      <c r="I32">
        <v>4</v>
      </c>
      <c r="J32" t="s">
        <v>2169</v>
      </c>
      <c r="K32" t="s">
        <v>2171</v>
      </c>
      <c r="L32">
        <v>10039</v>
      </c>
      <c r="M32" t="s">
        <v>2173</v>
      </c>
      <c r="N32" t="s">
        <v>2172</v>
      </c>
      <c r="O32" t="s">
        <v>2175</v>
      </c>
      <c r="P32" t="s">
        <v>2211</v>
      </c>
      <c r="Q32">
        <v>8</v>
      </c>
      <c r="R32" t="s">
        <v>2843</v>
      </c>
      <c r="S32" t="s">
        <v>2856</v>
      </c>
      <c r="U32" t="s">
        <v>2868</v>
      </c>
      <c r="V32" t="s">
        <v>2174</v>
      </c>
      <c r="W32" t="s">
        <v>2174</v>
      </c>
      <c r="Y32" t="s">
        <v>2876</v>
      </c>
      <c r="AA32" t="s">
        <v>116</v>
      </c>
      <c r="AB32">
        <v>0</v>
      </c>
      <c r="AC32">
        <v>0</v>
      </c>
      <c r="AD32">
        <v>1.8</v>
      </c>
      <c r="AE32" t="s">
        <v>2894</v>
      </c>
      <c r="AG32" t="s">
        <v>2935</v>
      </c>
      <c r="AI32" t="s">
        <v>3800</v>
      </c>
      <c r="AJ32">
        <v>0</v>
      </c>
      <c r="AK32" t="s">
        <v>4458</v>
      </c>
      <c r="AL32">
        <v>2</v>
      </c>
      <c r="AM32">
        <v>1</v>
      </c>
      <c r="AN32">
        <v>0</v>
      </c>
      <c r="AR32" t="s">
        <v>4476</v>
      </c>
      <c r="AS32" t="s">
        <v>4487</v>
      </c>
      <c r="AT32">
        <v>0</v>
      </c>
      <c r="AX32" t="s">
        <v>4501</v>
      </c>
      <c r="BA32" t="s">
        <v>4539</v>
      </c>
      <c r="BD32" t="s">
        <v>116</v>
      </c>
      <c r="BE32" t="s">
        <v>4703</v>
      </c>
    </row>
    <row r="33" spans="1:57">
      <c r="A33" s="1">
        <f>HYPERLINK("https://lsnyc.legalserver.org/matter/dynamic-profile/view/1911780","19-1911780")</f>
        <v>0</v>
      </c>
      <c r="B33" t="s">
        <v>68</v>
      </c>
      <c r="C33" t="s">
        <v>93</v>
      </c>
      <c r="D33" t="s">
        <v>117</v>
      </c>
      <c r="F33" t="s">
        <v>267</v>
      </c>
      <c r="G33" t="s">
        <v>818</v>
      </c>
      <c r="H33" t="s">
        <v>1333</v>
      </c>
      <c r="I33" t="s">
        <v>1935</v>
      </c>
      <c r="J33" t="s">
        <v>2169</v>
      </c>
      <c r="K33" t="s">
        <v>2171</v>
      </c>
      <c r="L33">
        <v>10039</v>
      </c>
      <c r="M33" t="s">
        <v>2173</v>
      </c>
      <c r="N33" t="s">
        <v>2172</v>
      </c>
      <c r="O33" t="s">
        <v>2178</v>
      </c>
      <c r="P33" t="s">
        <v>2212</v>
      </c>
      <c r="Q33">
        <v>3</v>
      </c>
      <c r="R33" t="s">
        <v>2843</v>
      </c>
      <c r="S33" t="s">
        <v>2858</v>
      </c>
      <c r="U33" t="s">
        <v>2868</v>
      </c>
      <c r="V33" t="s">
        <v>2174</v>
      </c>
      <c r="W33" t="s">
        <v>2174</v>
      </c>
      <c r="Y33" t="s">
        <v>2876</v>
      </c>
      <c r="AA33" t="s">
        <v>117</v>
      </c>
      <c r="AB33">
        <v>0</v>
      </c>
      <c r="AC33">
        <v>1630</v>
      </c>
      <c r="AD33">
        <v>1.55</v>
      </c>
      <c r="AE33" t="s">
        <v>2894</v>
      </c>
      <c r="AG33" t="s">
        <v>2936</v>
      </c>
      <c r="AI33" t="s">
        <v>3801</v>
      </c>
      <c r="AJ33">
        <v>0</v>
      </c>
      <c r="AK33" t="s">
        <v>4456</v>
      </c>
      <c r="AL33">
        <v>1</v>
      </c>
      <c r="AM33">
        <v>0</v>
      </c>
      <c r="AN33">
        <v>76.86</v>
      </c>
      <c r="AR33" t="s">
        <v>4476</v>
      </c>
      <c r="AS33" t="s">
        <v>4486</v>
      </c>
      <c r="AT33">
        <v>9600</v>
      </c>
      <c r="AX33" t="s">
        <v>4501</v>
      </c>
      <c r="BA33" t="s">
        <v>4545</v>
      </c>
      <c r="BD33" t="s">
        <v>117</v>
      </c>
      <c r="BE33" t="s">
        <v>4703</v>
      </c>
    </row>
    <row r="34" spans="1:57">
      <c r="A34" s="1">
        <f>HYPERLINK("https://lsnyc.legalserver.org/matter/dynamic-profile/view/1910899","19-1910899")</f>
        <v>0</v>
      </c>
      <c r="B34" t="s">
        <v>62</v>
      </c>
      <c r="C34" t="s">
        <v>93</v>
      </c>
      <c r="D34" t="s">
        <v>118</v>
      </c>
      <c r="F34" t="s">
        <v>268</v>
      </c>
      <c r="G34" t="s">
        <v>819</v>
      </c>
      <c r="H34" t="s">
        <v>1334</v>
      </c>
      <c r="I34" t="s">
        <v>1910</v>
      </c>
      <c r="J34" t="s">
        <v>2169</v>
      </c>
      <c r="K34" t="s">
        <v>2171</v>
      </c>
      <c r="L34">
        <v>10039</v>
      </c>
      <c r="M34" t="s">
        <v>2173</v>
      </c>
      <c r="N34" t="s">
        <v>2172</v>
      </c>
      <c r="Q34">
        <v>11</v>
      </c>
      <c r="R34" t="s">
        <v>2841</v>
      </c>
      <c r="S34" t="s">
        <v>2859</v>
      </c>
      <c r="U34" t="s">
        <v>2868</v>
      </c>
      <c r="V34" t="s">
        <v>2174</v>
      </c>
      <c r="W34" t="s">
        <v>2174</v>
      </c>
      <c r="Y34" t="s">
        <v>2876</v>
      </c>
      <c r="AA34" t="s">
        <v>118</v>
      </c>
      <c r="AB34">
        <v>0</v>
      </c>
      <c r="AC34">
        <v>725.4299999999999</v>
      </c>
      <c r="AD34">
        <v>3.4</v>
      </c>
      <c r="AE34" t="s">
        <v>2894</v>
      </c>
      <c r="AG34" t="s">
        <v>2937</v>
      </c>
      <c r="AI34" t="s">
        <v>3802</v>
      </c>
      <c r="AJ34">
        <v>0</v>
      </c>
      <c r="AK34" t="s">
        <v>4456</v>
      </c>
      <c r="AL34">
        <v>1</v>
      </c>
      <c r="AM34">
        <v>0</v>
      </c>
      <c r="AN34">
        <v>96.08</v>
      </c>
      <c r="AR34" t="s">
        <v>4478</v>
      </c>
      <c r="AS34" t="s">
        <v>4486</v>
      </c>
      <c r="AT34">
        <v>12000</v>
      </c>
      <c r="AX34" t="s">
        <v>4501</v>
      </c>
      <c r="BA34" t="s">
        <v>4550</v>
      </c>
      <c r="BD34" t="s">
        <v>210</v>
      </c>
      <c r="BE34" t="s">
        <v>4703</v>
      </c>
    </row>
    <row r="35" spans="1:57">
      <c r="A35" s="1">
        <f>HYPERLINK("https://lsnyc.legalserver.org/matter/dynamic-profile/view/1887703","19-1887703")</f>
        <v>0</v>
      </c>
      <c r="B35" t="s">
        <v>62</v>
      </c>
      <c r="C35" t="s">
        <v>93</v>
      </c>
      <c r="D35" t="s">
        <v>99</v>
      </c>
      <c r="F35" t="s">
        <v>269</v>
      </c>
      <c r="G35" t="s">
        <v>820</v>
      </c>
      <c r="H35" t="s">
        <v>1335</v>
      </c>
      <c r="I35" t="s">
        <v>1912</v>
      </c>
      <c r="J35" t="s">
        <v>2169</v>
      </c>
      <c r="K35" t="s">
        <v>2171</v>
      </c>
      <c r="L35">
        <v>10039</v>
      </c>
      <c r="M35" t="s">
        <v>2173</v>
      </c>
      <c r="N35" t="s">
        <v>2173</v>
      </c>
      <c r="O35" t="s">
        <v>2175</v>
      </c>
      <c r="P35" t="s">
        <v>2213</v>
      </c>
      <c r="Q35">
        <v>2</v>
      </c>
      <c r="R35" t="s">
        <v>2844</v>
      </c>
      <c r="S35" t="s">
        <v>2856</v>
      </c>
      <c r="U35" t="s">
        <v>2868</v>
      </c>
      <c r="V35" t="s">
        <v>2174</v>
      </c>
      <c r="W35" t="s">
        <v>2174</v>
      </c>
      <c r="Y35" t="s">
        <v>2876</v>
      </c>
      <c r="AA35" t="s">
        <v>99</v>
      </c>
      <c r="AB35">
        <v>0</v>
      </c>
      <c r="AC35">
        <v>1100</v>
      </c>
      <c r="AD35">
        <v>0</v>
      </c>
      <c r="AE35" t="s">
        <v>2894</v>
      </c>
      <c r="AG35" t="s">
        <v>2938</v>
      </c>
      <c r="AI35" t="s">
        <v>3803</v>
      </c>
      <c r="AJ35">
        <v>0</v>
      </c>
      <c r="AK35" t="s">
        <v>4458</v>
      </c>
      <c r="AL35">
        <v>1</v>
      </c>
      <c r="AM35">
        <v>0</v>
      </c>
      <c r="AN35">
        <v>257</v>
      </c>
      <c r="AQ35" t="s">
        <v>4473</v>
      </c>
      <c r="AR35" t="s">
        <v>4476</v>
      </c>
      <c r="AS35" t="s">
        <v>4486</v>
      </c>
      <c r="AT35">
        <v>31200</v>
      </c>
      <c r="AX35" t="s">
        <v>4501</v>
      </c>
      <c r="BA35" t="s">
        <v>4546</v>
      </c>
    </row>
    <row r="36" spans="1:57">
      <c r="A36" s="1">
        <f>HYPERLINK("https://lsnyc.legalserver.org/matter/dynamic-profile/view/1890448","19-1890448")</f>
        <v>0</v>
      </c>
      <c r="B36" t="s">
        <v>64</v>
      </c>
      <c r="C36" t="s">
        <v>93</v>
      </c>
      <c r="D36" t="s">
        <v>101</v>
      </c>
      <c r="F36" t="s">
        <v>270</v>
      </c>
      <c r="G36" t="s">
        <v>821</v>
      </c>
      <c r="H36" t="s">
        <v>1336</v>
      </c>
      <c r="I36" t="s">
        <v>1936</v>
      </c>
      <c r="J36" t="s">
        <v>2169</v>
      </c>
      <c r="K36" t="s">
        <v>2171</v>
      </c>
      <c r="L36">
        <v>10039</v>
      </c>
      <c r="M36" t="s">
        <v>2173</v>
      </c>
      <c r="N36" t="s">
        <v>2173</v>
      </c>
      <c r="O36" t="s">
        <v>2175</v>
      </c>
      <c r="P36" t="s">
        <v>2214</v>
      </c>
      <c r="Q36">
        <v>10</v>
      </c>
      <c r="R36" t="s">
        <v>2844</v>
      </c>
      <c r="S36" t="s">
        <v>2856</v>
      </c>
      <c r="U36" t="s">
        <v>2868</v>
      </c>
      <c r="V36" t="s">
        <v>2174</v>
      </c>
      <c r="W36" t="s">
        <v>2174</v>
      </c>
      <c r="Y36" t="s">
        <v>2875</v>
      </c>
      <c r="Z36" t="s">
        <v>2879</v>
      </c>
      <c r="AA36" t="s">
        <v>101</v>
      </c>
      <c r="AB36">
        <v>0</v>
      </c>
      <c r="AC36">
        <v>220</v>
      </c>
      <c r="AD36">
        <v>0.5</v>
      </c>
      <c r="AE36" t="s">
        <v>2894</v>
      </c>
      <c r="AG36" t="s">
        <v>2939</v>
      </c>
      <c r="AI36" t="s">
        <v>3804</v>
      </c>
      <c r="AJ36">
        <v>0</v>
      </c>
      <c r="AK36" t="s">
        <v>4457</v>
      </c>
      <c r="AL36">
        <v>1</v>
      </c>
      <c r="AM36">
        <v>0</v>
      </c>
      <c r="AN36">
        <v>71.29000000000001</v>
      </c>
      <c r="AQ36" t="s">
        <v>4473</v>
      </c>
      <c r="AR36" t="s">
        <v>4476</v>
      </c>
      <c r="AS36" t="s">
        <v>4486</v>
      </c>
      <c r="AT36">
        <v>8904</v>
      </c>
      <c r="AX36" t="s">
        <v>4502</v>
      </c>
      <c r="BA36" t="s">
        <v>4548</v>
      </c>
      <c r="BD36" t="s">
        <v>101</v>
      </c>
    </row>
    <row r="37" spans="1:57">
      <c r="A37" s="1">
        <f>HYPERLINK("https://lsnyc.legalserver.org/matter/dynamic-profile/view/1891573","19-1891573")</f>
        <v>0</v>
      </c>
      <c r="B37" t="s">
        <v>62</v>
      </c>
      <c r="C37" t="s">
        <v>93</v>
      </c>
      <c r="D37" t="s">
        <v>107</v>
      </c>
      <c r="F37" t="s">
        <v>271</v>
      </c>
      <c r="G37" t="s">
        <v>822</v>
      </c>
      <c r="H37" t="s">
        <v>1337</v>
      </c>
      <c r="I37" t="s">
        <v>1937</v>
      </c>
      <c r="J37" t="s">
        <v>2169</v>
      </c>
      <c r="K37" t="s">
        <v>2171</v>
      </c>
      <c r="L37">
        <v>10039</v>
      </c>
      <c r="M37" t="s">
        <v>2173</v>
      </c>
      <c r="N37" t="s">
        <v>2173</v>
      </c>
      <c r="O37" t="s">
        <v>2175</v>
      </c>
      <c r="P37" t="s">
        <v>2215</v>
      </c>
      <c r="Q37">
        <v>2</v>
      </c>
      <c r="R37" t="s">
        <v>2844</v>
      </c>
      <c r="S37" t="s">
        <v>2856</v>
      </c>
      <c r="U37" t="s">
        <v>2868</v>
      </c>
      <c r="V37" t="s">
        <v>2174</v>
      </c>
      <c r="W37" t="s">
        <v>2174</v>
      </c>
      <c r="Y37" t="s">
        <v>2876</v>
      </c>
      <c r="AA37" t="s">
        <v>107</v>
      </c>
      <c r="AB37">
        <v>0</v>
      </c>
      <c r="AC37">
        <v>500.88</v>
      </c>
      <c r="AD37">
        <v>0.1</v>
      </c>
      <c r="AE37" t="s">
        <v>2894</v>
      </c>
      <c r="AG37" t="s">
        <v>2940</v>
      </c>
      <c r="AH37" t="s">
        <v>3601</v>
      </c>
      <c r="AI37" t="s">
        <v>3805</v>
      </c>
      <c r="AJ37">
        <v>0</v>
      </c>
      <c r="AK37" t="s">
        <v>4458</v>
      </c>
      <c r="AL37">
        <v>1</v>
      </c>
      <c r="AM37">
        <v>0</v>
      </c>
      <c r="AN37">
        <v>90.89</v>
      </c>
      <c r="AQ37" t="s">
        <v>4473</v>
      </c>
      <c r="AS37" t="s">
        <v>4486</v>
      </c>
      <c r="AT37">
        <v>11352</v>
      </c>
      <c r="AX37" t="s">
        <v>4501</v>
      </c>
      <c r="BA37" t="s">
        <v>4534</v>
      </c>
      <c r="BD37" t="s">
        <v>107</v>
      </c>
    </row>
    <row r="38" spans="1:57">
      <c r="A38" s="1">
        <f>HYPERLINK("https://lsnyc.legalserver.org/matter/dynamic-profile/view/1894660","19-1894660")</f>
        <v>0</v>
      </c>
      <c r="B38" t="s">
        <v>71</v>
      </c>
      <c r="C38" t="s">
        <v>93</v>
      </c>
      <c r="D38" t="s">
        <v>119</v>
      </c>
      <c r="F38" t="s">
        <v>272</v>
      </c>
      <c r="G38" t="s">
        <v>823</v>
      </c>
      <c r="H38" t="s">
        <v>1338</v>
      </c>
      <c r="I38" t="s">
        <v>1938</v>
      </c>
      <c r="J38" t="s">
        <v>2169</v>
      </c>
      <c r="K38" t="s">
        <v>2171</v>
      </c>
      <c r="L38">
        <v>10039</v>
      </c>
      <c r="M38" t="s">
        <v>2173</v>
      </c>
      <c r="N38" t="s">
        <v>2173</v>
      </c>
      <c r="O38" t="s">
        <v>2175</v>
      </c>
      <c r="P38" t="s">
        <v>2216</v>
      </c>
      <c r="Q38">
        <v>11</v>
      </c>
      <c r="R38" t="s">
        <v>2844</v>
      </c>
      <c r="S38" t="s">
        <v>2856</v>
      </c>
      <c r="U38" t="s">
        <v>2868</v>
      </c>
      <c r="V38" t="s">
        <v>2174</v>
      </c>
      <c r="W38" t="s">
        <v>2174</v>
      </c>
      <c r="Y38" t="s">
        <v>2876</v>
      </c>
      <c r="Z38" t="s">
        <v>2879</v>
      </c>
      <c r="AA38" t="s">
        <v>119</v>
      </c>
      <c r="AB38">
        <v>0</v>
      </c>
      <c r="AC38">
        <v>1470.59</v>
      </c>
      <c r="AD38">
        <v>1</v>
      </c>
      <c r="AE38" t="s">
        <v>2894</v>
      </c>
      <c r="AG38" t="s">
        <v>2941</v>
      </c>
      <c r="AI38" t="s">
        <v>3806</v>
      </c>
      <c r="AJ38">
        <v>0</v>
      </c>
      <c r="AK38" t="s">
        <v>4456</v>
      </c>
      <c r="AL38">
        <v>2</v>
      </c>
      <c r="AM38">
        <v>0</v>
      </c>
      <c r="AN38">
        <v>153.76</v>
      </c>
      <c r="AQ38" t="s">
        <v>4473</v>
      </c>
      <c r="AR38" t="s">
        <v>4476</v>
      </c>
      <c r="AS38" t="s">
        <v>4486</v>
      </c>
      <c r="AT38">
        <v>26000</v>
      </c>
      <c r="AX38" t="s">
        <v>4502</v>
      </c>
      <c r="BA38" t="s">
        <v>4546</v>
      </c>
      <c r="BD38" t="s">
        <v>119</v>
      </c>
    </row>
    <row r="39" spans="1:57">
      <c r="A39" s="1">
        <f>HYPERLINK("https://lsnyc.legalserver.org/matter/dynamic-profile/view/1897427","19-1897427")</f>
        <v>0</v>
      </c>
      <c r="B39" t="s">
        <v>64</v>
      </c>
      <c r="C39" t="s">
        <v>93</v>
      </c>
      <c r="D39" t="s">
        <v>112</v>
      </c>
      <c r="F39" t="s">
        <v>273</v>
      </c>
      <c r="G39" t="s">
        <v>824</v>
      </c>
      <c r="H39" t="s">
        <v>1334</v>
      </c>
      <c r="I39" t="s">
        <v>1939</v>
      </c>
      <c r="J39" t="s">
        <v>2169</v>
      </c>
      <c r="K39" t="s">
        <v>2171</v>
      </c>
      <c r="L39">
        <v>10039</v>
      </c>
      <c r="M39" t="s">
        <v>2173</v>
      </c>
      <c r="N39" t="s">
        <v>2173</v>
      </c>
      <c r="O39" t="s">
        <v>2175</v>
      </c>
      <c r="P39" t="s">
        <v>2217</v>
      </c>
      <c r="Q39">
        <v>24</v>
      </c>
      <c r="R39" t="s">
        <v>2844</v>
      </c>
      <c r="S39" t="s">
        <v>2857</v>
      </c>
      <c r="U39" t="s">
        <v>2868</v>
      </c>
      <c r="V39" t="s">
        <v>2174</v>
      </c>
      <c r="W39" t="s">
        <v>2174</v>
      </c>
      <c r="Y39" t="s">
        <v>2876</v>
      </c>
      <c r="AA39" t="s">
        <v>112</v>
      </c>
      <c r="AB39">
        <v>0</v>
      </c>
      <c r="AC39">
        <v>478</v>
      </c>
      <c r="AD39">
        <v>15.1</v>
      </c>
      <c r="AE39" t="s">
        <v>2894</v>
      </c>
      <c r="AG39" t="s">
        <v>2942</v>
      </c>
      <c r="AI39" t="s">
        <v>3807</v>
      </c>
      <c r="AJ39">
        <v>44</v>
      </c>
      <c r="AK39" t="s">
        <v>4456</v>
      </c>
      <c r="AL39">
        <v>1</v>
      </c>
      <c r="AM39">
        <v>0</v>
      </c>
      <c r="AN39">
        <v>36.73</v>
      </c>
      <c r="AR39" t="s">
        <v>4478</v>
      </c>
      <c r="AS39" t="s">
        <v>4486</v>
      </c>
      <c r="AT39">
        <v>4587.7</v>
      </c>
      <c r="AX39" t="s">
        <v>4505</v>
      </c>
      <c r="BA39" t="s">
        <v>4535</v>
      </c>
      <c r="BD39" t="s">
        <v>4677</v>
      </c>
      <c r="BE39" t="s">
        <v>4703</v>
      </c>
    </row>
    <row r="40" spans="1:57">
      <c r="A40" s="1">
        <f>HYPERLINK("https://lsnyc.legalserver.org/matter/dynamic-profile/view/1897511","19-1897511")</f>
        <v>0</v>
      </c>
      <c r="B40" t="s">
        <v>66</v>
      </c>
      <c r="C40" t="s">
        <v>92</v>
      </c>
      <c r="D40" t="s">
        <v>112</v>
      </c>
      <c r="E40" t="s">
        <v>112</v>
      </c>
      <c r="F40" t="s">
        <v>274</v>
      </c>
      <c r="G40" t="s">
        <v>825</v>
      </c>
      <c r="H40" t="s">
        <v>1339</v>
      </c>
      <c r="I40">
        <v>30</v>
      </c>
      <c r="J40" t="s">
        <v>2169</v>
      </c>
      <c r="K40" t="s">
        <v>2171</v>
      </c>
      <c r="L40">
        <v>10039</v>
      </c>
      <c r="M40" t="s">
        <v>2173</v>
      </c>
      <c r="N40" t="s">
        <v>2173</v>
      </c>
      <c r="O40" t="s">
        <v>2175</v>
      </c>
      <c r="P40" t="s">
        <v>2218</v>
      </c>
      <c r="Q40">
        <v>7</v>
      </c>
      <c r="R40" t="s">
        <v>2844</v>
      </c>
      <c r="S40" t="s">
        <v>2855</v>
      </c>
      <c r="T40" t="s">
        <v>2862</v>
      </c>
      <c r="U40" t="s">
        <v>2868</v>
      </c>
      <c r="V40" t="s">
        <v>2174</v>
      </c>
      <c r="W40" t="s">
        <v>2174</v>
      </c>
      <c r="Y40" t="s">
        <v>2876</v>
      </c>
      <c r="AB40">
        <v>0</v>
      </c>
      <c r="AC40">
        <v>1495</v>
      </c>
      <c r="AD40">
        <v>0.1</v>
      </c>
      <c r="AE40" t="s">
        <v>2894</v>
      </c>
      <c r="AF40" t="s">
        <v>2896</v>
      </c>
      <c r="AG40" t="s">
        <v>2943</v>
      </c>
      <c r="AI40" t="s">
        <v>3808</v>
      </c>
      <c r="AJ40">
        <v>0</v>
      </c>
      <c r="AK40" t="s">
        <v>4456</v>
      </c>
      <c r="AL40">
        <v>1</v>
      </c>
      <c r="AM40">
        <v>0</v>
      </c>
      <c r="AN40">
        <v>19.02</v>
      </c>
      <c r="AR40" t="s">
        <v>4479</v>
      </c>
      <c r="AS40" t="s">
        <v>4486</v>
      </c>
      <c r="AT40">
        <v>2376</v>
      </c>
      <c r="AX40" t="s">
        <v>4504</v>
      </c>
      <c r="BA40" t="s">
        <v>4551</v>
      </c>
      <c r="BD40" t="s">
        <v>112</v>
      </c>
    </row>
    <row r="41" spans="1:57">
      <c r="A41" s="1">
        <f>HYPERLINK("https://lsnyc.legalserver.org/matter/dynamic-profile/view/1898814","19-1898814")</f>
        <v>0</v>
      </c>
      <c r="B41" t="s">
        <v>57</v>
      </c>
      <c r="C41" t="s">
        <v>92</v>
      </c>
      <c r="D41" t="s">
        <v>109</v>
      </c>
      <c r="E41" t="s">
        <v>216</v>
      </c>
      <c r="F41" t="s">
        <v>275</v>
      </c>
      <c r="G41" t="s">
        <v>826</v>
      </c>
      <c r="H41" t="s">
        <v>1340</v>
      </c>
      <c r="I41" t="s">
        <v>1931</v>
      </c>
      <c r="J41" t="s">
        <v>2169</v>
      </c>
      <c r="K41" t="s">
        <v>2171</v>
      </c>
      <c r="L41">
        <v>10039</v>
      </c>
      <c r="M41" t="s">
        <v>2173</v>
      </c>
      <c r="N41" t="s">
        <v>2173</v>
      </c>
      <c r="O41" t="s">
        <v>2175</v>
      </c>
      <c r="P41" t="s">
        <v>2219</v>
      </c>
      <c r="Q41">
        <v>21</v>
      </c>
      <c r="R41" t="s">
        <v>2844</v>
      </c>
      <c r="S41" t="s">
        <v>2856</v>
      </c>
      <c r="T41" t="s">
        <v>2863</v>
      </c>
      <c r="U41" t="s">
        <v>2868</v>
      </c>
      <c r="V41" t="s">
        <v>2174</v>
      </c>
      <c r="W41" t="s">
        <v>2174</v>
      </c>
      <c r="Y41" t="s">
        <v>2876</v>
      </c>
      <c r="AA41" t="s">
        <v>109</v>
      </c>
      <c r="AB41">
        <v>0</v>
      </c>
      <c r="AC41">
        <v>595</v>
      </c>
      <c r="AD41">
        <v>0.5</v>
      </c>
      <c r="AE41" t="s">
        <v>2894</v>
      </c>
      <c r="AF41" t="s">
        <v>2896</v>
      </c>
      <c r="AG41" t="s">
        <v>2944</v>
      </c>
      <c r="AI41" t="s">
        <v>3809</v>
      </c>
      <c r="AJ41">
        <v>117</v>
      </c>
      <c r="AK41" t="s">
        <v>4458</v>
      </c>
      <c r="AL41">
        <v>2</v>
      </c>
      <c r="AM41">
        <v>0</v>
      </c>
      <c r="AN41">
        <v>159.67</v>
      </c>
      <c r="AR41" t="s">
        <v>2176</v>
      </c>
      <c r="AS41" t="s">
        <v>4486</v>
      </c>
      <c r="AT41">
        <v>27000</v>
      </c>
      <c r="AX41" t="s">
        <v>4501</v>
      </c>
      <c r="BA41" t="s">
        <v>4546</v>
      </c>
      <c r="BD41" t="s">
        <v>156</v>
      </c>
      <c r="BE41" t="s">
        <v>4703</v>
      </c>
    </row>
    <row r="42" spans="1:57">
      <c r="A42" s="1">
        <f>HYPERLINK("https://lsnyc.legalserver.org/matter/dynamic-profile/view/1909006","19-1909006")</f>
        <v>0</v>
      </c>
      <c r="B42" t="s">
        <v>62</v>
      </c>
      <c r="C42" t="s">
        <v>93</v>
      </c>
      <c r="D42" t="s">
        <v>98</v>
      </c>
      <c r="F42" t="s">
        <v>276</v>
      </c>
      <c r="G42" t="s">
        <v>827</v>
      </c>
      <c r="H42" t="s">
        <v>1341</v>
      </c>
      <c r="I42" t="s">
        <v>1940</v>
      </c>
      <c r="J42" t="s">
        <v>2169</v>
      </c>
      <c r="K42" t="s">
        <v>2171</v>
      </c>
      <c r="L42">
        <v>10039</v>
      </c>
      <c r="M42" t="s">
        <v>2173</v>
      </c>
      <c r="N42" t="s">
        <v>2172</v>
      </c>
      <c r="O42" t="s">
        <v>2179</v>
      </c>
      <c r="P42" t="s">
        <v>2220</v>
      </c>
      <c r="Q42">
        <v>22</v>
      </c>
      <c r="R42" t="s">
        <v>2844</v>
      </c>
      <c r="S42" t="s">
        <v>2856</v>
      </c>
      <c r="U42" t="s">
        <v>2868</v>
      </c>
      <c r="V42" t="s">
        <v>2174</v>
      </c>
      <c r="W42" t="s">
        <v>2174</v>
      </c>
      <c r="Y42" t="s">
        <v>2876</v>
      </c>
      <c r="Z42" t="s">
        <v>2879</v>
      </c>
      <c r="AA42" t="s">
        <v>98</v>
      </c>
      <c r="AB42">
        <v>0</v>
      </c>
      <c r="AC42">
        <v>1057.41</v>
      </c>
      <c r="AD42">
        <v>0.1</v>
      </c>
      <c r="AE42" t="s">
        <v>2894</v>
      </c>
      <c r="AG42" t="s">
        <v>2945</v>
      </c>
      <c r="AI42" t="s">
        <v>3810</v>
      </c>
      <c r="AJ42">
        <v>27</v>
      </c>
      <c r="AK42" t="s">
        <v>4462</v>
      </c>
      <c r="AL42">
        <v>1</v>
      </c>
      <c r="AM42">
        <v>0</v>
      </c>
      <c r="AN42">
        <v>90.79000000000001</v>
      </c>
      <c r="AR42" t="s">
        <v>4478</v>
      </c>
      <c r="AS42" t="s">
        <v>4486</v>
      </c>
      <c r="AT42">
        <v>11340</v>
      </c>
      <c r="AX42" t="s">
        <v>4502</v>
      </c>
      <c r="BA42" t="s">
        <v>4534</v>
      </c>
      <c r="BD42" t="s">
        <v>98</v>
      </c>
      <c r="BE42" t="s">
        <v>4703</v>
      </c>
    </row>
    <row r="43" spans="1:57">
      <c r="A43" s="1">
        <f>HYPERLINK("https://lsnyc.legalserver.org/matter/dynamic-profile/view/1910166","19-1910166")</f>
        <v>0</v>
      </c>
      <c r="B43" t="s">
        <v>72</v>
      </c>
      <c r="C43" t="s">
        <v>93</v>
      </c>
      <c r="D43" t="s">
        <v>114</v>
      </c>
      <c r="F43" t="s">
        <v>277</v>
      </c>
      <c r="G43" t="s">
        <v>828</v>
      </c>
      <c r="H43" t="s">
        <v>1342</v>
      </c>
      <c r="I43" t="s">
        <v>1931</v>
      </c>
      <c r="J43" t="s">
        <v>2169</v>
      </c>
      <c r="K43" t="s">
        <v>2171</v>
      </c>
      <c r="L43">
        <v>10039</v>
      </c>
      <c r="M43" t="s">
        <v>2173</v>
      </c>
      <c r="N43" t="s">
        <v>2172</v>
      </c>
      <c r="O43" t="s">
        <v>2175</v>
      </c>
      <c r="P43" t="s">
        <v>2221</v>
      </c>
      <c r="Q43">
        <v>18</v>
      </c>
      <c r="R43" t="s">
        <v>2844</v>
      </c>
      <c r="S43" t="s">
        <v>2856</v>
      </c>
      <c r="U43" t="s">
        <v>2868</v>
      </c>
      <c r="V43" t="s">
        <v>2174</v>
      </c>
      <c r="W43" t="s">
        <v>2174</v>
      </c>
      <c r="Y43" t="s">
        <v>2876</v>
      </c>
      <c r="AA43" t="s">
        <v>114</v>
      </c>
      <c r="AB43">
        <v>0</v>
      </c>
      <c r="AC43">
        <v>1096</v>
      </c>
      <c r="AD43">
        <v>2.75</v>
      </c>
      <c r="AE43" t="s">
        <v>2894</v>
      </c>
      <c r="AG43" t="s">
        <v>2946</v>
      </c>
      <c r="AI43" t="s">
        <v>3811</v>
      </c>
      <c r="AJ43">
        <v>0</v>
      </c>
      <c r="AK43" t="s">
        <v>4456</v>
      </c>
      <c r="AL43">
        <v>2</v>
      </c>
      <c r="AM43">
        <v>0</v>
      </c>
      <c r="AN43">
        <v>88.7</v>
      </c>
      <c r="AR43" t="s">
        <v>4477</v>
      </c>
      <c r="AS43" t="s">
        <v>4487</v>
      </c>
      <c r="AT43">
        <v>15000</v>
      </c>
      <c r="AX43" t="s">
        <v>4501</v>
      </c>
      <c r="BA43" t="s">
        <v>4552</v>
      </c>
      <c r="BD43" t="s">
        <v>4678</v>
      </c>
      <c r="BE43" t="s">
        <v>4703</v>
      </c>
    </row>
    <row r="44" spans="1:57">
      <c r="A44" s="1">
        <f>HYPERLINK("https://lsnyc.legalserver.org/matter/dynamic-profile/view/1911840","19-1911840")</f>
        <v>0</v>
      </c>
      <c r="B44" t="s">
        <v>68</v>
      </c>
      <c r="C44" t="s">
        <v>93</v>
      </c>
      <c r="D44" t="s">
        <v>117</v>
      </c>
      <c r="F44" t="s">
        <v>278</v>
      </c>
      <c r="G44" t="s">
        <v>829</v>
      </c>
      <c r="H44" t="s">
        <v>1343</v>
      </c>
      <c r="I44" t="s">
        <v>1937</v>
      </c>
      <c r="J44" t="s">
        <v>2169</v>
      </c>
      <c r="K44" t="s">
        <v>2171</v>
      </c>
      <c r="L44">
        <v>10039</v>
      </c>
      <c r="M44" t="s">
        <v>2173</v>
      </c>
      <c r="N44" t="s">
        <v>2172</v>
      </c>
      <c r="O44" t="s">
        <v>2178</v>
      </c>
      <c r="Q44">
        <v>7</v>
      </c>
      <c r="R44" t="s">
        <v>2844</v>
      </c>
      <c r="S44" t="s">
        <v>2858</v>
      </c>
      <c r="U44" t="s">
        <v>2868</v>
      </c>
      <c r="V44" t="s">
        <v>2174</v>
      </c>
      <c r="W44" t="s">
        <v>2174</v>
      </c>
      <c r="Y44" t="s">
        <v>2876</v>
      </c>
      <c r="AB44">
        <v>0</v>
      </c>
      <c r="AC44">
        <v>795.1900000000001</v>
      </c>
      <c r="AD44">
        <v>0</v>
      </c>
      <c r="AE44" t="s">
        <v>2894</v>
      </c>
      <c r="AG44" t="s">
        <v>2947</v>
      </c>
      <c r="AI44" t="s">
        <v>3812</v>
      </c>
      <c r="AJ44">
        <v>0</v>
      </c>
      <c r="AK44" t="s">
        <v>4456</v>
      </c>
      <c r="AL44">
        <v>1</v>
      </c>
      <c r="AM44">
        <v>2</v>
      </c>
      <c r="AN44">
        <v>175.53</v>
      </c>
      <c r="AS44" t="s">
        <v>4486</v>
      </c>
      <c r="AT44">
        <v>37440</v>
      </c>
      <c r="AX44" t="s">
        <v>4500</v>
      </c>
      <c r="BA44" t="s">
        <v>4537</v>
      </c>
    </row>
    <row r="45" spans="1:57">
      <c r="A45" s="1">
        <f>HYPERLINK("https://lsnyc.legalserver.org/matter/dynamic-profile/view/1912294","19-1912294")</f>
        <v>0</v>
      </c>
      <c r="B45" t="s">
        <v>73</v>
      </c>
      <c r="C45" t="s">
        <v>93</v>
      </c>
      <c r="D45" t="s">
        <v>120</v>
      </c>
      <c r="F45" t="s">
        <v>279</v>
      </c>
      <c r="G45" t="s">
        <v>830</v>
      </c>
      <c r="H45" t="s">
        <v>1338</v>
      </c>
      <c r="J45" t="s">
        <v>2169</v>
      </c>
      <c r="K45" t="s">
        <v>2171</v>
      </c>
      <c r="L45">
        <v>10039</v>
      </c>
      <c r="M45" t="s">
        <v>2173</v>
      </c>
      <c r="N45" t="s">
        <v>2172</v>
      </c>
      <c r="O45" t="s">
        <v>2175</v>
      </c>
      <c r="P45" t="s">
        <v>2222</v>
      </c>
      <c r="Q45">
        <v>2</v>
      </c>
      <c r="R45" t="s">
        <v>2844</v>
      </c>
      <c r="S45" t="s">
        <v>2858</v>
      </c>
      <c r="U45" t="s">
        <v>2868</v>
      </c>
      <c r="V45" t="s">
        <v>2174</v>
      </c>
      <c r="W45" t="s">
        <v>2174</v>
      </c>
      <c r="Y45" t="s">
        <v>2876</v>
      </c>
      <c r="Z45" t="s">
        <v>2879</v>
      </c>
      <c r="AA45" t="s">
        <v>120</v>
      </c>
      <c r="AB45">
        <v>0</v>
      </c>
      <c r="AC45">
        <v>1545.3</v>
      </c>
      <c r="AD45">
        <v>0</v>
      </c>
      <c r="AE45" t="s">
        <v>2894</v>
      </c>
      <c r="AG45" t="s">
        <v>2948</v>
      </c>
      <c r="AI45" t="s">
        <v>3813</v>
      </c>
      <c r="AJ45">
        <v>0</v>
      </c>
      <c r="AK45" t="s">
        <v>4456</v>
      </c>
      <c r="AL45">
        <v>3</v>
      </c>
      <c r="AM45">
        <v>0</v>
      </c>
      <c r="AN45">
        <v>338.18</v>
      </c>
      <c r="AR45" t="s">
        <v>4476</v>
      </c>
      <c r="AS45" t="s">
        <v>4486</v>
      </c>
      <c r="AT45">
        <v>72132.8</v>
      </c>
      <c r="AX45" t="s">
        <v>4502</v>
      </c>
      <c r="BA45" t="s">
        <v>4553</v>
      </c>
      <c r="BE45" t="s">
        <v>4703</v>
      </c>
    </row>
    <row r="46" spans="1:57">
      <c r="A46" s="1">
        <f>HYPERLINK("https://lsnyc.legalserver.org/matter/dynamic-profile/view/1897092","19-1897092")</f>
        <v>0</v>
      </c>
      <c r="B46" t="s">
        <v>74</v>
      </c>
      <c r="C46" t="s">
        <v>93</v>
      </c>
      <c r="D46" t="s">
        <v>121</v>
      </c>
      <c r="F46" t="s">
        <v>280</v>
      </c>
      <c r="G46" t="s">
        <v>806</v>
      </c>
      <c r="H46" t="s">
        <v>1344</v>
      </c>
      <c r="I46" t="s">
        <v>1941</v>
      </c>
      <c r="J46" t="s">
        <v>2169</v>
      </c>
      <c r="K46" t="s">
        <v>2171</v>
      </c>
      <c r="L46">
        <v>10039</v>
      </c>
      <c r="M46" t="s">
        <v>2174</v>
      </c>
      <c r="N46" t="s">
        <v>2174</v>
      </c>
      <c r="O46" t="s">
        <v>2180</v>
      </c>
      <c r="Q46">
        <v>10</v>
      </c>
      <c r="S46" t="s">
        <v>2858</v>
      </c>
      <c r="U46" t="s">
        <v>2868</v>
      </c>
      <c r="V46" t="s">
        <v>2174</v>
      </c>
      <c r="Y46" t="s">
        <v>2876</v>
      </c>
      <c r="AB46">
        <v>0</v>
      </c>
      <c r="AC46">
        <v>1064</v>
      </c>
      <c r="AD46">
        <v>0.5</v>
      </c>
      <c r="AE46" t="s">
        <v>2894</v>
      </c>
      <c r="AG46" t="s">
        <v>2949</v>
      </c>
      <c r="AI46" t="s">
        <v>3814</v>
      </c>
      <c r="AJ46">
        <v>0</v>
      </c>
      <c r="AK46" t="s">
        <v>4456</v>
      </c>
      <c r="AL46">
        <v>1</v>
      </c>
      <c r="AM46">
        <v>3</v>
      </c>
      <c r="AN46">
        <v>170.1</v>
      </c>
      <c r="AR46" t="s">
        <v>4480</v>
      </c>
      <c r="AS46" t="s">
        <v>4486</v>
      </c>
      <c r="AT46">
        <v>43800</v>
      </c>
      <c r="AX46" t="s">
        <v>4504</v>
      </c>
      <c r="BA46" t="s">
        <v>4554</v>
      </c>
      <c r="BD46" t="s">
        <v>170</v>
      </c>
    </row>
    <row r="47" spans="1:57">
      <c r="A47" s="1">
        <f>HYPERLINK("https://lsnyc.legalserver.org/matter/dynamic-profile/view/1905004","19-1905004")</f>
        <v>0</v>
      </c>
      <c r="B47" t="s">
        <v>75</v>
      </c>
      <c r="C47" t="s">
        <v>93</v>
      </c>
      <c r="D47" t="s">
        <v>122</v>
      </c>
      <c r="F47" t="s">
        <v>281</v>
      </c>
      <c r="G47" t="s">
        <v>831</v>
      </c>
      <c r="H47" t="s">
        <v>1345</v>
      </c>
      <c r="I47" t="s">
        <v>1942</v>
      </c>
      <c r="J47" t="s">
        <v>2169</v>
      </c>
      <c r="K47" t="s">
        <v>2171</v>
      </c>
      <c r="L47">
        <v>10039</v>
      </c>
      <c r="M47" t="s">
        <v>2172</v>
      </c>
      <c r="N47" t="s">
        <v>2172</v>
      </c>
      <c r="Q47">
        <v>0</v>
      </c>
      <c r="S47" t="s">
        <v>2857</v>
      </c>
      <c r="U47" t="s">
        <v>2869</v>
      </c>
      <c r="V47" t="s">
        <v>2174</v>
      </c>
      <c r="W47" t="s">
        <v>2174</v>
      </c>
      <c r="Y47" t="s">
        <v>2875</v>
      </c>
      <c r="AB47">
        <v>0</v>
      </c>
      <c r="AC47">
        <v>0</v>
      </c>
      <c r="AD47">
        <v>4.5</v>
      </c>
      <c r="AE47" t="s">
        <v>2894</v>
      </c>
      <c r="AG47" t="s">
        <v>2932</v>
      </c>
      <c r="AI47" t="s">
        <v>3815</v>
      </c>
      <c r="AJ47">
        <v>0</v>
      </c>
      <c r="AL47">
        <v>2</v>
      </c>
      <c r="AM47">
        <v>2</v>
      </c>
      <c r="AN47">
        <v>77.45</v>
      </c>
      <c r="AS47" t="s">
        <v>4486</v>
      </c>
      <c r="AT47">
        <v>19944</v>
      </c>
      <c r="AX47" t="s">
        <v>86</v>
      </c>
      <c r="BA47" t="s">
        <v>4555</v>
      </c>
      <c r="BD47" t="s">
        <v>128</v>
      </c>
    </row>
    <row r="48" spans="1:57">
      <c r="A48" s="1">
        <f>HYPERLINK("https://lsnyc.legalserver.org/matter/dynamic-profile/view/1911220","19-1911220")</f>
        <v>0</v>
      </c>
      <c r="B48" t="s">
        <v>67</v>
      </c>
      <c r="C48" t="s">
        <v>93</v>
      </c>
      <c r="D48" t="s">
        <v>116</v>
      </c>
      <c r="F48" t="s">
        <v>282</v>
      </c>
      <c r="G48" t="s">
        <v>832</v>
      </c>
      <c r="H48" t="s">
        <v>1346</v>
      </c>
      <c r="J48" t="s">
        <v>2169</v>
      </c>
      <c r="K48" t="s">
        <v>2171</v>
      </c>
      <c r="L48">
        <v>10038</v>
      </c>
      <c r="M48" t="s">
        <v>2172</v>
      </c>
      <c r="N48" t="s">
        <v>2172</v>
      </c>
      <c r="O48" t="s">
        <v>2175</v>
      </c>
      <c r="P48" t="s">
        <v>2223</v>
      </c>
      <c r="Q48">
        <v>10</v>
      </c>
      <c r="R48" t="s">
        <v>2843</v>
      </c>
      <c r="S48" t="s">
        <v>2858</v>
      </c>
      <c r="U48" t="s">
        <v>2868</v>
      </c>
      <c r="V48" t="s">
        <v>2174</v>
      </c>
      <c r="W48" t="s">
        <v>2174</v>
      </c>
      <c r="Y48" t="s">
        <v>2875</v>
      </c>
      <c r="Z48" t="s">
        <v>2879</v>
      </c>
      <c r="AA48" t="s">
        <v>116</v>
      </c>
      <c r="AB48">
        <v>0</v>
      </c>
      <c r="AC48">
        <v>1100</v>
      </c>
      <c r="AD48">
        <v>0</v>
      </c>
      <c r="AE48" t="s">
        <v>2894</v>
      </c>
      <c r="AG48" t="s">
        <v>2950</v>
      </c>
      <c r="AI48" t="s">
        <v>3816</v>
      </c>
      <c r="AJ48">
        <v>0</v>
      </c>
      <c r="AK48" t="s">
        <v>4457</v>
      </c>
      <c r="AL48">
        <v>3</v>
      </c>
      <c r="AM48">
        <v>0</v>
      </c>
      <c r="AN48">
        <v>146.27</v>
      </c>
      <c r="AR48" t="s">
        <v>4476</v>
      </c>
      <c r="AS48" t="s">
        <v>4488</v>
      </c>
      <c r="AT48">
        <v>31200</v>
      </c>
      <c r="AX48" t="s">
        <v>4502</v>
      </c>
      <c r="BA48" t="s">
        <v>4546</v>
      </c>
      <c r="BE48" t="s">
        <v>4703</v>
      </c>
    </row>
    <row r="49" spans="1:57">
      <c r="A49" s="1">
        <f>HYPERLINK("https://lsnyc.legalserver.org/matter/dynamic-profile/view/1910503","19-1910503")</f>
        <v>0</v>
      </c>
      <c r="B49" t="s">
        <v>75</v>
      </c>
      <c r="C49" t="s">
        <v>93</v>
      </c>
      <c r="D49" t="s">
        <v>123</v>
      </c>
      <c r="F49" t="s">
        <v>283</v>
      </c>
      <c r="G49" t="s">
        <v>833</v>
      </c>
      <c r="H49" t="s">
        <v>1347</v>
      </c>
      <c r="J49" t="s">
        <v>2169</v>
      </c>
      <c r="K49" t="s">
        <v>2171</v>
      </c>
      <c r="L49">
        <v>10038</v>
      </c>
      <c r="M49" t="s">
        <v>2173</v>
      </c>
      <c r="N49" t="s">
        <v>2172</v>
      </c>
      <c r="O49" t="s">
        <v>2181</v>
      </c>
      <c r="Q49">
        <v>21</v>
      </c>
      <c r="R49" t="s">
        <v>2841</v>
      </c>
      <c r="S49" t="s">
        <v>2858</v>
      </c>
      <c r="U49" t="s">
        <v>2868</v>
      </c>
      <c r="V49" t="s">
        <v>2174</v>
      </c>
      <c r="Y49" t="s">
        <v>2875</v>
      </c>
      <c r="AB49">
        <v>0</v>
      </c>
      <c r="AC49">
        <v>333</v>
      </c>
      <c r="AD49">
        <v>0</v>
      </c>
      <c r="AE49" t="s">
        <v>2894</v>
      </c>
      <c r="AG49" t="s">
        <v>2951</v>
      </c>
      <c r="AI49" t="s">
        <v>3817</v>
      </c>
      <c r="AJ49">
        <v>0</v>
      </c>
      <c r="AK49" t="s">
        <v>4458</v>
      </c>
      <c r="AL49">
        <v>1</v>
      </c>
      <c r="AM49">
        <v>0</v>
      </c>
      <c r="AN49">
        <v>215.24</v>
      </c>
      <c r="AR49" t="s">
        <v>4476</v>
      </c>
      <c r="AS49" t="s">
        <v>4486</v>
      </c>
      <c r="AT49">
        <v>26884</v>
      </c>
      <c r="AX49" t="s">
        <v>4504</v>
      </c>
      <c r="BA49" t="s">
        <v>4556</v>
      </c>
      <c r="BE49" t="s">
        <v>4703</v>
      </c>
    </row>
    <row r="50" spans="1:57">
      <c r="A50" s="1">
        <f>HYPERLINK("https://lsnyc.legalserver.org/matter/dynamic-profile/view/1897467","19-1897467")</f>
        <v>0</v>
      </c>
      <c r="B50" t="s">
        <v>66</v>
      </c>
      <c r="C50" t="s">
        <v>93</v>
      </c>
      <c r="D50" t="s">
        <v>112</v>
      </c>
      <c r="F50" t="s">
        <v>284</v>
      </c>
      <c r="G50" t="s">
        <v>834</v>
      </c>
      <c r="H50" t="s">
        <v>1348</v>
      </c>
      <c r="I50" t="s">
        <v>1943</v>
      </c>
      <c r="J50" t="s">
        <v>2169</v>
      </c>
      <c r="K50" t="s">
        <v>2171</v>
      </c>
      <c r="L50">
        <v>10038</v>
      </c>
      <c r="M50" t="s">
        <v>2173</v>
      </c>
      <c r="N50" t="s">
        <v>2173</v>
      </c>
      <c r="O50" t="s">
        <v>2175</v>
      </c>
      <c r="P50" t="s">
        <v>2224</v>
      </c>
      <c r="Q50">
        <v>24</v>
      </c>
      <c r="R50" t="s">
        <v>2844</v>
      </c>
      <c r="S50" t="s">
        <v>2856</v>
      </c>
      <c r="U50" t="s">
        <v>2868</v>
      </c>
      <c r="V50" t="s">
        <v>2174</v>
      </c>
      <c r="W50" t="s">
        <v>2174</v>
      </c>
      <c r="Y50" t="s">
        <v>2876</v>
      </c>
      <c r="AA50" t="s">
        <v>112</v>
      </c>
      <c r="AB50">
        <v>0</v>
      </c>
      <c r="AC50">
        <v>575</v>
      </c>
      <c r="AD50">
        <v>0.1</v>
      </c>
      <c r="AE50" t="s">
        <v>2894</v>
      </c>
      <c r="AG50" t="s">
        <v>2952</v>
      </c>
      <c r="AH50" t="s">
        <v>3602</v>
      </c>
      <c r="AI50" t="s">
        <v>3818</v>
      </c>
      <c r="AJ50">
        <v>0</v>
      </c>
      <c r="AK50" t="s">
        <v>4459</v>
      </c>
      <c r="AL50">
        <v>3</v>
      </c>
      <c r="AM50">
        <v>1</v>
      </c>
      <c r="AN50">
        <v>34.49</v>
      </c>
      <c r="AR50" t="s">
        <v>4476</v>
      </c>
      <c r="AS50" t="s">
        <v>4486</v>
      </c>
      <c r="AT50">
        <v>8880</v>
      </c>
      <c r="AX50" t="s">
        <v>4501</v>
      </c>
      <c r="BA50" t="s">
        <v>4548</v>
      </c>
      <c r="BD50" t="s">
        <v>112</v>
      </c>
    </row>
    <row r="51" spans="1:57">
      <c r="A51" s="1">
        <f>HYPERLINK("https://lsnyc.legalserver.org/matter/dynamic-profile/view/1901981","19-1901981")</f>
        <v>0</v>
      </c>
      <c r="B51" t="s">
        <v>71</v>
      </c>
      <c r="C51" t="s">
        <v>93</v>
      </c>
      <c r="D51" t="s">
        <v>124</v>
      </c>
      <c r="F51" t="s">
        <v>285</v>
      </c>
      <c r="G51" t="s">
        <v>835</v>
      </c>
      <c r="H51" t="s">
        <v>1349</v>
      </c>
      <c r="I51" t="s">
        <v>1944</v>
      </c>
      <c r="J51" t="s">
        <v>2169</v>
      </c>
      <c r="K51" t="s">
        <v>2171</v>
      </c>
      <c r="L51">
        <v>10038</v>
      </c>
      <c r="M51" t="s">
        <v>2173</v>
      </c>
      <c r="N51" t="s">
        <v>2172</v>
      </c>
      <c r="O51" t="s">
        <v>2175</v>
      </c>
      <c r="P51" t="s">
        <v>2225</v>
      </c>
      <c r="Q51">
        <v>17</v>
      </c>
      <c r="R51" t="s">
        <v>2844</v>
      </c>
      <c r="S51" t="s">
        <v>2856</v>
      </c>
      <c r="U51" t="s">
        <v>2868</v>
      </c>
      <c r="V51" t="s">
        <v>2174</v>
      </c>
      <c r="W51" t="s">
        <v>2174</v>
      </c>
      <c r="Y51" t="s">
        <v>2875</v>
      </c>
      <c r="AA51" t="s">
        <v>124</v>
      </c>
      <c r="AB51">
        <v>0</v>
      </c>
      <c r="AC51">
        <v>263</v>
      </c>
      <c r="AD51">
        <v>0.75</v>
      </c>
      <c r="AE51" t="s">
        <v>2894</v>
      </c>
      <c r="AG51" t="s">
        <v>2953</v>
      </c>
      <c r="AI51" t="s">
        <v>3819</v>
      </c>
      <c r="AJ51">
        <v>0</v>
      </c>
      <c r="AK51" t="s">
        <v>4459</v>
      </c>
      <c r="AL51">
        <v>1</v>
      </c>
      <c r="AM51">
        <v>0</v>
      </c>
      <c r="AN51">
        <v>74.36</v>
      </c>
      <c r="AR51" t="s">
        <v>4476</v>
      </c>
      <c r="AS51" t="s">
        <v>4486</v>
      </c>
      <c r="AT51">
        <v>9288</v>
      </c>
      <c r="AX51" t="s">
        <v>4501</v>
      </c>
      <c r="BA51" t="s">
        <v>4550</v>
      </c>
      <c r="BD51" t="s">
        <v>4679</v>
      </c>
      <c r="BE51" t="s">
        <v>4703</v>
      </c>
    </row>
    <row r="52" spans="1:57">
      <c r="A52" s="1">
        <f>HYPERLINK("https://lsnyc.legalserver.org/matter/dynamic-profile/view/1906916","19-1906916")</f>
        <v>0</v>
      </c>
      <c r="B52" t="s">
        <v>73</v>
      </c>
      <c r="C52" t="s">
        <v>93</v>
      </c>
      <c r="D52" t="s">
        <v>125</v>
      </c>
      <c r="F52" t="s">
        <v>286</v>
      </c>
      <c r="G52" t="s">
        <v>836</v>
      </c>
      <c r="H52" t="s">
        <v>1350</v>
      </c>
      <c r="I52" t="s">
        <v>1945</v>
      </c>
      <c r="J52" t="s">
        <v>2169</v>
      </c>
      <c r="K52" t="s">
        <v>2171</v>
      </c>
      <c r="L52">
        <v>10038</v>
      </c>
      <c r="M52" t="s">
        <v>2173</v>
      </c>
      <c r="N52" t="s">
        <v>2172</v>
      </c>
      <c r="O52" t="s">
        <v>2181</v>
      </c>
      <c r="P52" t="s">
        <v>2226</v>
      </c>
      <c r="Q52">
        <v>20</v>
      </c>
      <c r="R52" t="s">
        <v>2847</v>
      </c>
      <c r="S52" t="s">
        <v>2860</v>
      </c>
      <c r="U52" t="s">
        <v>2868</v>
      </c>
      <c r="V52" t="s">
        <v>2174</v>
      </c>
      <c r="W52" t="s">
        <v>2174</v>
      </c>
      <c r="Y52" t="s">
        <v>2875</v>
      </c>
      <c r="AA52" t="s">
        <v>2886</v>
      </c>
      <c r="AB52">
        <v>0</v>
      </c>
      <c r="AC52">
        <v>350</v>
      </c>
      <c r="AD52">
        <v>20.8</v>
      </c>
      <c r="AE52" t="s">
        <v>2894</v>
      </c>
      <c r="AG52" t="s">
        <v>2954</v>
      </c>
      <c r="AJ52">
        <v>149</v>
      </c>
      <c r="AK52" t="s">
        <v>4459</v>
      </c>
      <c r="AL52">
        <v>2</v>
      </c>
      <c r="AM52">
        <v>0</v>
      </c>
      <c r="AN52">
        <v>70.95999999999999</v>
      </c>
      <c r="AR52" t="s">
        <v>4476</v>
      </c>
      <c r="AS52" t="s">
        <v>4489</v>
      </c>
      <c r="AT52">
        <v>12000</v>
      </c>
      <c r="AX52" t="s">
        <v>4504</v>
      </c>
      <c r="BA52" t="s">
        <v>4538</v>
      </c>
      <c r="BD52" t="s">
        <v>217</v>
      </c>
      <c r="BE52" t="s">
        <v>4703</v>
      </c>
    </row>
    <row r="53" spans="1:57">
      <c r="A53" s="1">
        <f>HYPERLINK("https://lsnyc.legalserver.org/matter/dynamic-profile/view/1909776","19-1909776")</f>
        <v>0</v>
      </c>
      <c r="B53" t="s">
        <v>59</v>
      </c>
      <c r="C53" t="s">
        <v>93</v>
      </c>
      <c r="D53" t="s">
        <v>97</v>
      </c>
      <c r="F53" t="s">
        <v>287</v>
      </c>
      <c r="G53" t="s">
        <v>837</v>
      </c>
      <c r="H53" t="s">
        <v>1346</v>
      </c>
      <c r="I53" t="s">
        <v>1946</v>
      </c>
      <c r="J53" t="s">
        <v>2169</v>
      </c>
      <c r="K53" t="s">
        <v>2171</v>
      </c>
      <c r="L53">
        <v>10038</v>
      </c>
      <c r="M53" t="s">
        <v>2172</v>
      </c>
      <c r="N53" t="s">
        <v>2172</v>
      </c>
      <c r="P53" t="s">
        <v>2227</v>
      </c>
      <c r="Q53">
        <v>0</v>
      </c>
      <c r="R53" t="s">
        <v>2847</v>
      </c>
      <c r="S53" t="s">
        <v>2860</v>
      </c>
      <c r="U53" t="s">
        <v>2868</v>
      </c>
      <c r="V53" t="s">
        <v>2174</v>
      </c>
      <c r="W53" t="s">
        <v>2174</v>
      </c>
      <c r="Y53" t="s">
        <v>2875</v>
      </c>
      <c r="AB53">
        <v>0</v>
      </c>
      <c r="AC53">
        <v>0</v>
      </c>
      <c r="AD53">
        <v>2.8</v>
      </c>
      <c r="AE53" t="s">
        <v>2894</v>
      </c>
      <c r="AG53" t="s">
        <v>2955</v>
      </c>
      <c r="AJ53">
        <v>0</v>
      </c>
      <c r="AL53">
        <v>1</v>
      </c>
      <c r="AM53">
        <v>0</v>
      </c>
      <c r="AN53">
        <v>76.86</v>
      </c>
      <c r="AS53" t="s">
        <v>4486</v>
      </c>
      <c r="AT53">
        <v>9600</v>
      </c>
      <c r="AX53" t="s">
        <v>4500</v>
      </c>
      <c r="BA53" t="s">
        <v>4538</v>
      </c>
      <c r="BD53" t="s">
        <v>208</v>
      </c>
    </row>
    <row r="54" spans="1:57">
      <c r="A54" s="1">
        <f>HYPERLINK("https://lsnyc.legalserver.org/matter/dynamic-profile/view/1898754","19-1898754")</f>
        <v>0</v>
      </c>
      <c r="B54" t="s">
        <v>75</v>
      </c>
      <c r="C54" t="s">
        <v>93</v>
      </c>
      <c r="D54" t="s">
        <v>126</v>
      </c>
      <c r="F54" t="s">
        <v>288</v>
      </c>
      <c r="G54" t="s">
        <v>838</v>
      </c>
      <c r="H54" t="s">
        <v>1351</v>
      </c>
      <c r="I54" t="s">
        <v>1947</v>
      </c>
      <c r="J54" t="s">
        <v>2169</v>
      </c>
      <c r="K54" t="s">
        <v>2171</v>
      </c>
      <c r="L54">
        <v>10037</v>
      </c>
      <c r="M54" t="s">
        <v>2174</v>
      </c>
      <c r="N54" t="s">
        <v>2172</v>
      </c>
      <c r="O54" t="s">
        <v>2177</v>
      </c>
      <c r="P54" t="s">
        <v>2228</v>
      </c>
      <c r="Q54">
        <v>8</v>
      </c>
      <c r="R54" t="s">
        <v>2843</v>
      </c>
      <c r="S54" t="s">
        <v>2857</v>
      </c>
      <c r="U54" t="s">
        <v>2868</v>
      </c>
      <c r="V54" t="s">
        <v>2174</v>
      </c>
      <c r="W54" t="s">
        <v>2174</v>
      </c>
      <c r="Y54" t="s">
        <v>2876</v>
      </c>
      <c r="Z54" t="s">
        <v>2879</v>
      </c>
      <c r="AB54">
        <v>0</v>
      </c>
      <c r="AC54">
        <v>1925</v>
      </c>
      <c r="AD54">
        <v>18.7</v>
      </c>
      <c r="AE54" t="s">
        <v>2894</v>
      </c>
      <c r="AG54" t="s">
        <v>2956</v>
      </c>
      <c r="AI54" t="s">
        <v>3820</v>
      </c>
      <c r="AJ54">
        <v>0</v>
      </c>
      <c r="AK54" t="s">
        <v>4460</v>
      </c>
      <c r="AL54">
        <v>1</v>
      </c>
      <c r="AM54">
        <v>0</v>
      </c>
      <c r="AN54">
        <v>0</v>
      </c>
      <c r="AR54" t="s">
        <v>4476</v>
      </c>
      <c r="AS54" t="s">
        <v>4486</v>
      </c>
      <c r="AT54">
        <v>0</v>
      </c>
      <c r="AX54" t="s">
        <v>4504</v>
      </c>
      <c r="BA54" t="s">
        <v>4539</v>
      </c>
      <c r="BD54" t="s">
        <v>116</v>
      </c>
      <c r="BE54" t="s">
        <v>4476</v>
      </c>
    </row>
    <row r="55" spans="1:57">
      <c r="A55" s="1">
        <f>HYPERLINK("https://lsnyc.legalserver.org/matter/dynamic-profile/view/1910150","19-1910150")</f>
        <v>0</v>
      </c>
      <c r="B55" t="s">
        <v>62</v>
      </c>
      <c r="C55" t="s">
        <v>93</v>
      </c>
      <c r="D55" t="s">
        <v>114</v>
      </c>
      <c r="F55" t="s">
        <v>289</v>
      </c>
      <c r="G55" t="s">
        <v>297</v>
      </c>
      <c r="H55" t="s">
        <v>1352</v>
      </c>
      <c r="I55" t="s">
        <v>1948</v>
      </c>
      <c r="J55" t="s">
        <v>2169</v>
      </c>
      <c r="K55" t="s">
        <v>2171</v>
      </c>
      <c r="L55">
        <v>10037</v>
      </c>
      <c r="M55" t="s">
        <v>2173</v>
      </c>
      <c r="N55" t="s">
        <v>2172</v>
      </c>
      <c r="O55" t="s">
        <v>2178</v>
      </c>
      <c r="P55" t="s">
        <v>2229</v>
      </c>
      <c r="Q55">
        <v>20</v>
      </c>
      <c r="R55" t="s">
        <v>2843</v>
      </c>
      <c r="S55" t="s">
        <v>2856</v>
      </c>
      <c r="U55" t="s">
        <v>2868</v>
      </c>
      <c r="V55" t="s">
        <v>2174</v>
      </c>
      <c r="W55" t="s">
        <v>2174</v>
      </c>
      <c r="Y55" t="s">
        <v>2875</v>
      </c>
      <c r="AA55" t="s">
        <v>114</v>
      </c>
      <c r="AB55">
        <v>0</v>
      </c>
      <c r="AC55">
        <v>450</v>
      </c>
      <c r="AD55">
        <v>1</v>
      </c>
      <c r="AE55" t="s">
        <v>2894</v>
      </c>
      <c r="AG55" t="s">
        <v>2957</v>
      </c>
      <c r="AI55" t="s">
        <v>3821</v>
      </c>
      <c r="AJ55">
        <v>0</v>
      </c>
      <c r="AK55" t="s">
        <v>4459</v>
      </c>
      <c r="AL55">
        <v>1</v>
      </c>
      <c r="AM55">
        <v>0</v>
      </c>
      <c r="AN55">
        <v>172.94</v>
      </c>
      <c r="AR55" t="s">
        <v>4476</v>
      </c>
      <c r="AS55" t="s">
        <v>4486</v>
      </c>
      <c r="AT55">
        <v>21600</v>
      </c>
      <c r="AX55" t="s">
        <v>4501</v>
      </c>
      <c r="BA55" t="s">
        <v>4536</v>
      </c>
      <c r="BD55" t="s">
        <v>114</v>
      </c>
      <c r="BE55" t="s">
        <v>4703</v>
      </c>
    </row>
    <row r="56" spans="1:57">
      <c r="A56" s="1">
        <f>HYPERLINK("https://lsnyc.legalserver.org/matter/dynamic-profile/view/1896098","19-1896098")</f>
        <v>0</v>
      </c>
      <c r="B56" t="s">
        <v>63</v>
      </c>
      <c r="C56" t="s">
        <v>93</v>
      </c>
      <c r="D56" t="s">
        <v>100</v>
      </c>
      <c r="F56" t="s">
        <v>290</v>
      </c>
      <c r="G56" t="s">
        <v>839</v>
      </c>
      <c r="H56" t="s">
        <v>1353</v>
      </c>
      <c r="I56" t="s">
        <v>1949</v>
      </c>
      <c r="J56" t="s">
        <v>2169</v>
      </c>
      <c r="K56" t="s">
        <v>2171</v>
      </c>
      <c r="L56">
        <v>10037</v>
      </c>
      <c r="M56" t="s">
        <v>2173</v>
      </c>
      <c r="N56" t="s">
        <v>2173</v>
      </c>
      <c r="O56" t="s">
        <v>2178</v>
      </c>
      <c r="P56" t="s">
        <v>2230</v>
      </c>
      <c r="Q56">
        <v>3</v>
      </c>
      <c r="R56" t="s">
        <v>2841</v>
      </c>
      <c r="S56" t="s">
        <v>2856</v>
      </c>
      <c r="U56" t="s">
        <v>2868</v>
      </c>
      <c r="V56" t="s">
        <v>2174</v>
      </c>
      <c r="W56" t="s">
        <v>2174</v>
      </c>
      <c r="Y56" t="s">
        <v>2876</v>
      </c>
      <c r="Z56" t="s">
        <v>2879</v>
      </c>
      <c r="AA56" t="s">
        <v>100</v>
      </c>
      <c r="AB56">
        <v>0</v>
      </c>
      <c r="AC56">
        <v>2300</v>
      </c>
      <c r="AD56">
        <v>0.7</v>
      </c>
      <c r="AE56" t="s">
        <v>2894</v>
      </c>
      <c r="AG56" t="s">
        <v>2958</v>
      </c>
      <c r="AI56" t="s">
        <v>3822</v>
      </c>
      <c r="AJ56">
        <v>0</v>
      </c>
      <c r="AK56" t="s">
        <v>4456</v>
      </c>
      <c r="AL56">
        <v>2</v>
      </c>
      <c r="AM56">
        <v>1</v>
      </c>
      <c r="AN56">
        <v>225.04</v>
      </c>
      <c r="AQ56" t="s">
        <v>4475</v>
      </c>
      <c r="AR56" t="s">
        <v>4476</v>
      </c>
      <c r="AS56" t="s">
        <v>4486</v>
      </c>
      <c r="AT56">
        <v>48000</v>
      </c>
      <c r="AX56" t="s">
        <v>4502</v>
      </c>
      <c r="BA56" t="s">
        <v>4546</v>
      </c>
      <c r="BD56" t="s">
        <v>100</v>
      </c>
    </row>
    <row r="57" spans="1:57">
      <c r="A57" s="1">
        <f>HYPERLINK("https://lsnyc.legalserver.org/matter/dynamic-profile/view/1911819","19-1911819")</f>
        <v>0</v>
      </c>
      <c r="B57" t="s">
        <v>76</v>
      </c>
      <c r="C57" t="s">
        <v>93</v>
      </c>
      <c r="D57" t="s">
        <v>117</v>
      </c>
      <c r="F57" t="s">
        <v>291</v>
      </c>
      <c r="G57" t="s">
        <v>840</v>
      </c>
      <c r="H57" t="s">
        <v>1354</v>
      </c>
      <c r="I57" t="s">
        <v>1925</v>
      </c>
      <c r="J57" t="s">
        <v>2169</v>
      </c>
      <c r="K57" t="s">
        <v>2171</v>
      </c>
      <c r="L57">
        <v>10037</v>
      </c>
      <c r="M57" t="s">
        <v>2173</v>
      </c>
      <c r="N57" t="s">
        <v>2172</v>
      </c>
      <c r="O57" t="s">
        <v>2178</v>
      </c>
      <c r="Q57">
        <v>-1</v>
      </c>
      <c r="R57" t="s">
        <v>2841</v>
      </c>
      <c r="S57" t="s">
        <v>2858</v>
      </c>
      <c r="U57" t="s">
        <v>2868</v>
      </c>
      <c r="V57" t="s">
        <v>2174</v>
      </c>
      <c r="W57" t="s">
        <v>2174</v>
      </c>
      <c r="Y57" t="s">
        <v>2875</v>
      </c>
      <c r="AA57" t="s">
        <v>117</v>
      </c>
      <c r="AB57">
        <v>0</v>
      </c>
      <c r="AC57">
        <v>195</v>
      </c>
      <c r="AD57">
        <v>0.2</v>
      </c>
      <c r="AE57" t="s">
        <v>2894</v>
      </c>
      <c r="AG57" t="s">
        <v>2959</v>
      </c>
      <c r="AI57" t="s">
        <v>3823</v>
      </c>
      <c r="AJ57">
        <v>0</v>
      </c>
      <c r="AK57" t="s">
        <v>4457</v>
      </c>
      <c r="AL57">
        <v>1</v>
      </c>
      <c r="AM57">
        <v>2</v>
      </c>
      <c r="AN57">
        <v>87.76000000000001</v>
      </c>
      <c r="AS57" t="s">
        <v>4487</v>
      </c>
      <c r="AT57">
        <v>18720</v>
      </c>
      <c r="AX57" t="s">
        <v>4500</v>
      </c>
      <c r="BA57" t="s">
        <v>4546</v>
      </c>
      <c r="BD57" t="s">
        <v>210</v>
      </c>
    </row>
    <row r="58" spans="1:57">
      <c r="A58" s="1">
        <f>HYPERLINK("https://lsnyc.legalserver.org/matter/dynamic-profile/view/1898884","19-1898884")</f>
        <v>0</v>
      </c>
      <c r="B58" t="s">
        <v>72</v>
      </c>
      <c r="C58" t="s">
        <v>92</v>
      </c>
      <c r="D58" t="s">
        <v>109</v>
      </c>
      <c r="E58" t="s">
        <v>218</v>
      </c>
      <c r="F58" t="s">
        <v>292</v>
      </c>
      <c r="G58" t="s">
        <v>841</v>
      </c>
      <c r="H58" t="s">
        <v>1355</v>
      </c>
      <c r="I58" t="s">
        <v>1950</v>
      </c>
      <c r="J58" t="s">
        <v>2169</v>
      </c>
      <c r="K58" t="s">
        <v>2171</v>
      </c>
      <c r="L58">
        <v>10037</v>
      </c>
      <c r="M58" t="s">
        <v>2173</v>
      </c>
      <c r="N58" t="s">
        <v>2173</v>
      </c>
      <c r="O58" t="s">
        <v>2180</v>
      </c>
      <c r="P58" t="s">
        <v>2231</v>
      </c>
      <c r="Q58">
        <v>28</v>
      </c>
      <c r="R58" t="s">
        <v>2844</v>
      </c>
      <c r="S58" t="s">
        <v>2856</v>
      </c>
      <c r="T58" t="s">
        <v>2863</v>
      </c>
      <c r="U58" t="s">
        <v>2868</v>
      </c>
      <c r="V58" t="s">
        <v>2174</v>
      </c>
      <c r="W58" t="s">
        <v>2174</v>
      </c>
      <c r="Y58" t="s">
        <v>2876</v>
      </c>
      <c r="Z58" t="s">
        <v>2882</v>
      </c>
      <c r="AA58" t="s">
        <v>109</v>
      </c>
      <c r="AB58">
        <v>0</v>
      </c>
      <c r="AC58">
        <v>1119.1</v>
      </c>
      <c r="AD58">
        <v>8.5</v>
      </c>
      <c r="AE58" t="s">
        <v>2894</v>
      </c>
      <c r="AF58" t="s">
        <v>2896</v>
      </c>
      <c r="AG58" t="s">
        <v>2960</v>
      </c>
      <c r="AI58" t="s">
        <v>3824</v>
      </c>
      <c r="AJ58">
        <v>0</v>
      </c>
      <c r="AK58" t="s">
        <v>4456</v>
      </c>
      <c r="AL58">
        <v>1</v>
      </c>
      <c r="AM58">
        <v>0</v>
      </c>
      <c r="AN58">
        <v>161.67</v>
      </c>
      <c r="AR58" t="s">
        <v>4476</v>
      </c>
      <c r="AS58" t="s">
        <v>4486</v>
      </c>
      <c r="AT58">
        <v>20192</v>
      </c>
      <c r="AX58" t="s">
        <v>4504</v>
      </c>
      <c r="AZ58" t="s">
        <v>2176</v>
      </c>
      <c r="BA58" t="s">
        <v>4537</v>
      </c>
      <c r="BD58" t="s">
        <v>4680</v>
      </c>
      <c r="BE58" t="s">
        <v>4703</v>
      </c>
    </row>
    <row r="59" spans="1:57">
      <c r="A59" s="1">
        <f>HYPERLINK("https://lsnyc.legalserver.org/matter/dynamic-profile/view/1905987","19-1905987")</f>
        <v>0</v>
      </c>
      <c r="B59" t="s">
        <v>62</v>
      </c>
      <c r="C59" t="s">
        <v>93</v>
      </c>
      <c r="D59" t="s">
        <v>127</v>
      </c>
      <c r="F59" t="s">
        <v>293</v>
      </c>
      <c r="G59" t="s">
        <v>842</v>
      </c>
      <c r="H59" t="s">
        <v>1352</v>
      </c>
      <c r="I59" t="s">
        <v>1951</v>
      </c>
      <c r="J59" t="s">
        <v>2169</v>
      </c>
      <c r="K59" t="s">
        <v>2171</v>
      </c>
      <c r="L59">
        <v>10037</v>
      </c>
      <c r="M59" t="s">
        <v>2173</v>
      </c>
      <c r="N59" t="s">
        <v>2172</v>
      </c>
      <c r="O59" t="s">
        <v>2178</v>
      </c>
      <c r="P59" t="s">
        <v>2232</v>
      </c>
      <c r="Q59">
        <v>21</v>
      </c>
      <c r="R59" t="s">
        <v>2844</v>
      </c>
      <c r="S59" t="s">
        <v>2856</v>
      </c>
      <c r="U59" t="s">
        <v>2868</v>
      </c>
      <c r="V59" t="s">
        <v>2174</v>
      </c>
      <c r="W59" t="s">
        <v>2174</v>
      </c>
      <c r="Y59" t="s">
        <v>2875</v>
      </c>
      <c r="AA59" t="s">
        <v>127</v>
      </c>
      <c r="AB59">
        <v>0</v>
      </c>
      <c r="AC59">
        <v>460</v>
      </c>
      <c r="AD59">
        <v>0.1</v>
      </c>
      <c r="AE59" t="s">
        <v>2894</v>
      </c>
      <c r="AG59" t="s">
        <v>2961</v>
      </c>
      <c r="AH59" t="s">
        <v>3603</v>
      </c>
      <c r="AI59" t="s">
        <v>3825</v>
      </c>
      <c r="AJ59">
        <v>710</v>
      </c>
      <c r="AK59" t="s">
        <v>4459</v>
      </c>
      <c r="AL59">
        <v>4</v>
      </c>
      <c r="AM59">
        <v>2</v>
      </c>
      <c r="AN59">
        <v>20.32</v>
      </c>
      <c r="AR59" t="s">
        <v>4476</v>
      </c>
      <c r="AS59" t="s">
        <v>4486</v>
      </c>
      <c r="AT59">
        <v>7030</v>
      </c>
      <c r="AX59" t="s">
        <v>4501</v>
      </c>
      <c r="BA59" t="s">
        <v>4557</v>
      </c>
      <c r="BD59" t="s">
        <v>127</v>
      </c>
      <c r="BE59" t="s">
        <v>4704</v>
      </c>
    </row>
    <row r="60" spans="1:57">
      <c r="A60" s="1">
        <f>HYPERLINK("https://lsnyc.legalserver.org/matter/dynamic-profile/view/1910216","19-1910216")</f>
        <v>0</v>
      </c>
      <c r="B60" t="s">
        <v>72</v>
      </c>
      <c r="C60" t="s">
        <v>93</v>
      </c>
      <c r="D60" t="s">
        <v>114</v>
      </c>
      <c r="F60" t="s">
        <v>294</v>
      </c>
      <c r="G60" t="s">
        <v>843</v>
      </c>
      <c r="H60" t="s">
        <v>1356</v>
      </c>
      <c r="I60" t="s">
        <v>1952</v>
      </c>
      <c r="J60" t="s">
        <v>2169</v>
      </c>
      <c r="K60" t="s">
        <v>2171</v>
      </c>
      <c r="L60">
        <v>10037</v>
      </c>
      <c r="M60" t="s">
        <v>2173</v>
      </c>
      <c r="N60" t="s">
        <v>2172</v>
      </c>
      <c r="O60" t="s">
        <v>2177</v>
      </c>
      <c r="P60" t="s">
        <v>2233</v>
      </c>
      <c r="Q60">
        <v>9</v>
      </c>
      <c r="R60" t="s">
        <v>2844</v>
      </c>
      <c r="S60" t="s">
        <v>2856</v>
      </c>
      <c r="U60" t="s">
        <v>2868</v>
      </c>
      <c r="V60" t="s">
        <v>2174</v>
      </c>
      <c r="W60" t="s">
        <v>2174</v>
      </c>
      <c r="Y60" t="s">
        <v>2876</v>
      </c>
      <c r="AA60" t="s">
        <v>114</v>
      </c>
      <c r="AB60">
        <v>0</v>
      </c>
      <c r="AC60">
        <v>723</v>
      </c>
      <c r="AD60">
        <v>1.5</v>
      </c>
      <c r="AE60" t="s">
        <v>2894</v>
      </c>
      <c r="AG60" t="s">
        <v>2962</v>
      </c>
      <c r="AI60" t="s">
        <v>3826</v>
      </c>
      <c r="AJ60">
        <v>0</v>
      </c>
      <c r="AK60" t="s">
        <v>4456</v>
      </c>
      <c r="AL60">
        <v>1</v>
      </c>
      <c r="AM60">
        <v>0</v>
      </c>
      <c r="AN60">
        <v>243.11</v>
      </c>
      <c r="AR60" t="s">
        <v>4476</v>
      </c>
      <c r="AS60" t="s">
        <v>4487</v>
      </c>
      <c r="AT60">
        <v>30364</v>
      </c>
      <c r="AX60" t="s">
        <v>4504</v>
      </c>
      <c r="BA60" t="s">
        <v>4558</v>
      </c>
      <c r="BD60" t="s">
        <v>118</v>
      </c>
      <c r="BE60" t="s">
        <v>4703</v>
      </c>
    </row>
    <row r="61" spans="1:57">
      <c r="A61" s="1">
        <f>HYPERLINK("https://lsnyc.legalserver.org/matter/dynamic-profile/view/1907054","19-1907054")</f>
        <v>0</v>
      </c>
      <c r="B61" t="s">
        <v>59</v>
      </c>
      <c r="C61" t="s">
        <v>93</v>
      </c>
      <c r="D61" t="s">
        <v>128</v>
      </c>
      <c r="F61" t="s">
        <v>295</v>
      </c>
      <c r="G61" t="s">
        <v>844</v>
      </c>
      <c r="H61" t="s">
        <v>1357</v>
      </c>
      <c r="I61" t="s">
        <v>1912</v>
      </c>
      <c r="J61" t="s">
        <v>2169</v>
      </c>
      <c r="K61" t="s">
        <v>2171</v>
      </c>
      <c r="L61">
        <v>10037</v>
      </c>
      <c r="M61" t="s">
        <v>2173</v>
      </c>
      <c r="N61" t="s">
        <v>2172</v>
      </c>
      <c r="O61" t="s">
        <v>2178</v>
      </c>
      <c r="P61" t="s">
        <v>2234</v>
      </c>
      <c r="Q61">
        <v>23</v>
      </c>
      <c r="R61" t="s">
        <v>2847</v>
      </c>
      <c r="S61" t="s">
        <v>2860</v>
      </c>
      <c r="U61" t="s">
        <v>2868</v>
      </c>
      <c r="V61" t="s">
        <v>2174</v>
      </c>
      <c r="W61" t="s">
        <v>2174</v>
      </c>
      <c r="Y61" t="s">
        <v>2875</v>
      </c>
      <c r="Z61" t="s">
        <v>2879</v>
      </c>
      <c r="AA61" t="s">
        <v>128</v>
      </c>
      <c r="AB61">
        <v>0</v>
      </c>
      <c r="AC61">
        <v>822</v>
      </c>
      <c r="AD61">
        <v>14.4</v>
      </c>
      <c r="AE61" t="s">
        <v>2894</v>
      </c>
      <c r="AG61" t="s">
        <v>2963</v>
      </c>
      <c r="AI61" t="s">
        <v>3827</v>
      </c>
      <c r="AJ61">
        <v>710</v>
      </c>
      <c r="AK61" t="s">
        <v>4457</v>
      </c>
      <c r="AL61">
        <v>2</v>
      </c>
      <c r="AM61">
        <v>0</v>
      </c>
      <c r="AN61">
        <v>120.85</v>
      </c>
      <c r="AR61" t="s">
        <v>4476</v>
      </c>
      <c r="AS61" t="s">
        <v>4486</v>
      </c>
      <c r="AT61">
        <v>20436</v>
      </c>
      <c r="AX61" t="s">
        <v>4502</v>
      </c>
      <c r="BA61" t="s">
        <v>4549</v>
      </c>
      <c r="BD61" t="s">
        <v>4678</v>
      </c>
      <c r="BE61" t="s">
        <v>4703</v>
      </c>
    </row>
    <row r="62" spans="1:57">
      <c r="A62" s="1">
        <f>HYPERLINK("https://lsnyc.legalserver.org/matter/dynamic-profile/view/1887712","19-1887712")</f>
        <v>0</v>
      </c>
      <c r="B62" t="s">
        <v>68</v>
      </c>
      <c r="C62" t="s">
        <v>92</v>
      </c>
      <c r="D62" t="s">
        <v>99</v>
      </c>
      <c r="E62" t="s">
        <v>217</v>
      </c>
      <c r="F62" t="s">
        <v>296</v>
      </c>
      <c r="G62" t="s">
        <v>845</v>
      </c>
      <c r="H62" t="s">
        <v>1358</v>
      </c>
      <c r="I62" t="s">
        <v>1952</v>
      </c>
      <c r="J62" t="s">
        <v>2169</v>
      </c>
      <c r="K62" t="s">
        <v>2171</v>
      </c>
      <c r="L62">
        <v>10036</v>
      </c>
      <c r="M62" t="s">
        <v>2173</v>
      </c>
      <c r="N62" t="s">
        <v>2173</v>
      </c>
      <c r="O62" t="s">
        <v>2175</v>
      </c>
      <c r="P62" t="s">
        <v>2235</v>
      </c>
      <c r="Q62">
        <v>24</v>
      </c>
      <c r="R62" t="s">
        <v>2843</v>
      </c>
      <c r="S62" t="s">
        <v>2856</v>
      </c>
      <c r="T62" t="s">
        <v>2863</v>
      </c>
      <c r="U62" t="s">
        <v>2868</v>
      </c>
      <c r="V62" t="s">
        <v>2174</v>
      </c>
      <c r="W62" t="s">
        <v>2174</v>
      </c>
      <c r="Y62" t="s">
        <v>2876</v>
      </c>
      <c r="AA62" t="s">
        <v>99</v>
      </c>
      <c r="AB62">
        <v>0</v>
      </c>
      <c r="AC62">
        <v>1220</v>
      </c>
      <c r="AD62">
        <v>0.7</v>
      </c>
      <c r="AE62" t="s">
        <v>2894</v>
      </c>
      <c r="AF62" t="s">
        <v>2896</v>
      </c>
      <c r="AG62" t="s">
        <v>2964</v>
      </c>
      <c r="AI62" t="s">
        <v>3828</v>
      </c>
      <c r="AJ62">
        <v>0</v>
      </c>
      <c r="AK62" t="s">
        <v>4456</v>
      </c>
      <c r="AL62">
        <v>2</v>
      </c>
      <c r="AM62">
        <v>3</v>
      </c>
      <c r="AN62">
        <v>237.93</v>
      </c>
      <c r="AQ62" t="s">
        <v>4475</v>
      </c>
      <c r="AR62" t="s">
        <v>4476</v>
      </c>
      <c r="AS62" t="s">
        <v>4487</v>
      </c>
      <c r="AT62">
        <v>70000</v>
      </c>
      <c r="AX62" t="s">
        <v>4501</v>
      </c>
      <c r="BA62" t="s">
        <v>4546</v>
      </c>
      <c r="BD62" t="s">
        <v>103</v>
      </c>
      <c r="BE62" t="s">
        <v>4703</v>
      </c>
    </row>
    <row r="63" spans="1:57">
      <c r="A63" s="1">
        <f>HYPERLINK("https://lsnyc.legalserver.org/matter/dynamic-profile/view/1898883","19-1898883")</f>
        <v>0</v>
      </c>
      <c r="B63" t="s">
        <v>57</v>
      </c>
      <c r="C63" t="s">
        <v>93</v>
      </c>
      <c r="D63" t="s">
        <v>109</v>
      </c>
      <c r="F63" t="s">
        <v>297</v>
      </c>
      <c r="G63" t="s">
        <v>846</v>
      </c>
      <c r="H63" t="s">
        <v>1359</v>
      </c>
      <c r="I63" t="s">
        <v>1953</v>
      </c>
      <c r="J63" t="s">
        <v>2169</v>
      </c>
      <c r="K63" t="s">
        <v>2171</v>
      </c>
      <c r="L63">
        <v>10036</v>
      </c>
      <c r="M63" t="s">
        <v>2173</v>
      </c>
      <c r="N63" t="s">
        <v>2173</v>
      </c>
      <c r="O63" t="s">
        <v>2175</v>
      </c>
      <c r="P63" t="s">
        <v>2236</v>
      </c>
      <c r="Q63">
        <v>15</v>
      </c>
      <c r="R63" t="s">
        <v>2844</v>
      </c>
      <c r="S63" t="s">
        <v>2855</v>
      </c>
      <c r="U63" t="s">
        <v>2868</v>
      </c>
      <c r="V63" t="s">
        <v>2174</v>
      </c>
      <c r="W63" t="s">
        <v>2174</v>
      </c>
      <c r="Y63" t="s">
        <v>2876</v>
      </c>
      <c r="AA63" t="s">
        <v>109</v>
      </c>
      <c r="AB63">
        <v>0</v>
      </c>
      <c r="AC63">
        <v>800</v>
      </c>
      <c r="AD63">
        <v>3.5</v>
      </c>
      <c r="AE63" t="s">
        <v>2894</v>
      </c>
      <c r="AG63" t="s">
        <v>2965</v>
      </c>
      <c r="AI63" t="s">
        <v>3829</v>
      </c>
      <c r="AJ63">
        <v>87</v>
      </c>
      <c r="AK63" t="s">
        <v>4456</v>
      </c>
      <c r="AL63">
        <v>1</v>
      </c>
      <c r="AM63">
        <v>0</v>
      </c>
      <c r="AN63">
        <v>59.09</v>
      </c>
      <c r="AR63" t="s">
        <v>4478</v>
      </c>
      <c r="AS63" t="s">
        <v>4487</v>
      </c>
      <c r="AT63">
        <v>7380</v>
      </c>
      <c r="AX63" t="s">
        <v>4501</v>
      </c>
      <c r="BA63" t="s">
        <v>4559</v>
      </c>
      <c r="BD63" t="s">
        <v>172</v>
      </c>
      <c r="BE63" t="s">
        <v>4703</v>
      </c>
    </row>
    <row r="64" spans="1:57">
      <c r="A64" s="1">
        <f>HYPERLINK("https://lsnyc.legalserver.org/matter/dynamic-profile/view/1907000","19-1907000")</f>
        <v>0</v>
      </c>
      <c r="B64" t="s">
        <v>64</v>
      </c>
      <c r="C64" t="s">
        <v>93</v>
      </c>
      <c r="D64" t="s">
        <v>128</v>
      </c>
      <c r="F64" t="s">
        <v>298</v>
      </c>
      <c r="G64" t="s">
        <v>847</v>
      </c>
      <c r="H64" t="s">
        <v>1360</v>
      </c>
      <c r="I64" t="s">
        <v>1954</v>
      </c>
      <c r="J64" t="s">
        <v>2169</v>
      </c>
      <c r="K64" t="s">
        <v>2171</v>
      </c>
      <c r="L64">
        <v>10036</v>
      </c>
      <c r="M64" t="s">
        <v>2173</v>
      </c>
      <c r="N64" t="s">
        <v>2172</v>
      </c>
      <c r="O64" t="s">
        <v>2175</v>
      </c>
      <c r="P64" t="s">
        <v>2237</v>
      </c>
      <c r="Q64">
        <v>8</v>
      </c>
      <c r="R64" t="s">
        <v>2844</v>
      </c>
      <c r="S64" t="s">
        <v>2856</v>
      </c>
      <c r="U64" t="s">
        <v>2868</v>
      </c>
      <c r="V64" t="s">
        <v>2174</v>
      </c>
      <c r="W64" t="s">
        <v>2174</v>
      </c>
      <c r="Y64" t="s">
        <v>2876</v>
      </c>
      <c r="Z64" t="s">
        <v>2879</v>
      </c>
      <c r="AA64" t="s">
        <v>128</v>
      </c>
      <c r="AB64">
        <v>0</v>
      </c>
      <c r="AC64">
        <v>503</v>
      </c>
      <c r="AD64">
        <v>2.2</v>
      </c>
      <c r="AE64" t="s">
        <v>2894</v>
      </c>
      <c r="AG64" t="s">
        <v>2966</v>
      </c>
      <c r="AI64" t="s">
        <v>3830</v>
      </c>
      <c r="AJ64">
        <v>683</v>
      </c>
      <c r="AK64" t="s">
        <v>4461</v>
      </c>
      <c r="AL64">
        <v>1</v>
      </c>
      <c r="AM64">
        <v>0</v>
      </c>
      <c r="AN64">
        <v>122.79</v>
      </c>
      <c r="AR64" t="s">
        <v>4476</v>
      </c>
      <c r="AS64" t="s">
        <v>4486</v>
      </c>
      <c r="AT64">
        <v>15336</v>
      </c>
      <c r="AX64" t="s">
        <v>4502</v>
      </c>
      <c r="BA64" t="s">
        <v>4536</v>
      </c>
      <c r="BD64" t="s">
        <v>199</v>
      </c>
      <c r="BE64" t="s">
        <v>4703</v>
      </c>
    </row>
    <row r="65" spans="1:57">
      <c r="A65" s="1">
        <f>HYPERLINK("https://lsnyc.legalserver.org/matter/dynamic-profile/view/1898869","19-1898869")</f>
        <v>0</v>
      </c>
      <c r="B65" t="s">
        <v>67</v>
      </c>
      <c r="C65" t="s">
        <v>92</v>
      </c>
      <c r="D65" t="s">
        <v>109</v>
      </c>
      <c r="E65" t="s">
        <v>208</v>
      </c>
      <c r="F65" t="s">
        <v>299</v>
      </c>
      <c r="G65" t="s">
        <v>848</v>
      </c>
      <c r="H65" t="s">
        <v>1361</v>
      </c>
      <c r="I65" t="s">
        <v>1955</v>
      </c>
      <c r="J65" t="s">
        <v>2169</v>
      </c>
      <c r="K65" t="s">
        <v>2171</v>
      </c>
      <c r="L65">
        <v>10035</v>
      </c>
      <c r="M65" t="s">
        <v>2173</v>
      </c>
      <c r="N65" t="s">
        <v>2173</v>
      </c>
      <c r="O65" t="s">
        <v>2178</v>
      </c>
      <c r="P65" t="s">
        <v>2238</v>
      </c>
      <c r="Q65">
        <v>6</v>
      </c>
      <c r="R65" t="s">
        <v>2843</v>
      </c>
      <c r="S65" t="s">
        <v>2856</v>
      </c>
      <c r="T65" t="s">
        <v>2863</v>
      </c>
      <c r="U65" t="s">
        <v>2868</v>
      </c>
      <c r="V65" t="s">
        <v>2174</v>
      </c>
      <c r="W65" t="s">
        <v>2174</v>
      </c>
      <c r="Y65" t="s">
        <v>2876</v>
      </c>
      <c r="AA65" t="s">
        <v>109</v>
      </c>
      <c r="AB65">
        <v>0</v>
      </c>
      <c r="AC65">
        <v>1133.6</v>
      </c>
      <c r="AD65">
        <v>4.1</v>
      </c>
      <c r="AE65" t="s">
        <v>2894</v>
      </c>
      <c r="AF65" t="s">
        <v>2896</v>
      </c>
      <c r="AG65" t="s">
        <v>2967</v>
      </c>
      <c r="AI65" t="s">
        <v>3831</v>
      </c>
      <c r="AJ65">
        <v>72</v>
      </c>
      <c r="AK65" t="s">
        <v>4456</v>
      </c>
      <c r="AL65">
        <v>2</v>
      </c>
      <c r="AM65">
        <v>0</v>
      </c>
      <c r="AN65">
        <v>94.62</v>
      </c>
      <c r="AR65" t="s">
        <v>4476</v>
      </c>
      <c r="AS65" t="s">
        <v>4486</v>
      </c>
      <c r="AT65">
        <v>16000</v>
      </c>
      <c r="AX65" t="s">
        <v>4501</v>
      </c>
      <c r="BA65" t="s">
        <v>4546</v>
      </c>
      <c r="BD65" t="s">
        <v>208</v>
      </c>
      <c r="BE65" t="s">
        <v>4703</v>
      </c>
    </row>
    <row r="66" spans="1:57">
      <c r="A66" s="1">
        <f>HYPERLINK("https://lsnyc.legalserver.org/matter/dynamic-profile/view/1905976","19-1905976")</f>
        <v>0</v>
      </c>
      <c r="B66" t="s">
        <v>67</v>
      </c>
      <c r="C66" t="s">
        <v>93</v>
      </c>
      <c r="D66" t="s">
        <v>127</v>
      </c>
      <c r="F66" t="s">
        <v>300</v>
      </c>
      <c r="G66" t="s">
        <v>842</v>
      </c>
      <c r="H66" t="s">
        <v>1362</v>
      </c>
      <c r="I66" t="s">
        <v>1923</v>
      </c>
      <c r="J66" t="s">
        <v>2169</v>
      </c>
      <c r="K66" t="s">
        <v>2171</v>
      </c>
      <c r="L66">
        <v>10035</v>
      </c>
      <c r="M66" t="s">
        <v>2173</v>
      </c>
      <c r="N66" t="s">
        <v>2172</v>
      </c>
      <c r="O66" t="s">
        <v>2178</v>
      </c>
      <c r="P66" t="s">
        <v>2239</v>
      </c>
      <c r="Q66">
        <v>7</v>
      </c>
      <c r="R66" t="s">
        <v>2843</v>
      </c>
      <c r="S66" t="s">
        <v>2856</v>
      </c>
      <c r="U66" t="s">
        <v>2868</v>
      </c>
      <c r="V66" t="s">
        <v>2174</v>
      </c>
      <c r="W66" t="s">
        <v>2174</v>
      </c>
      <c r="Y66" t="s">
        <v>2875</v>
      </c>
      <c r="AA66" t="s">
        <v>127</v>
      </c>
      <c r="AB66">
        <v>0</v>
      </c>
      <c r="AC66">
        <v>214</v>
      </c>
      <c r="AD66">
        <v>0.9</v>
      </c>
      <c r="AE66" t="s">
        <v>2894</v>
      </c>
      <c r="AG66" t="s">
        <v>2968</v>
      </c>
      <c r="AH66" t="s">
        <v>3604</v>
      </c>
      <c r="AI66" t="s">
        <v>3832</v>
      </c>
      <c r="AJ66">
        <v>36</v>
      </c>
      <c r="AK66" t="s">
        <v>4459</v>
      </c>
      <c r="AL66">
        <v>1</v>
      </c>
      <c r="AM66">
        <v>0</v>
      </c>
      <c r="AN66">
        <v>62.45</v>
      </c>
      <c r="AR66" t="s">
        <v>4476</v>
      </c>
      <c r="AS66" t="s">
        <v>4486</v>
      </c>
      <c r="AT66">
        <v>7800</v>
      </c>
      <c r="AX66" t="s">
        <v>4501</v>
      </c>
      <c r="BA66" t="s">
        <v>4546</v>
      </c>
      <c r="BD66" t="s">
        <v>4681</v>
      </c>
      <c r="BE66" t="s">
        <v>4704</v>
      </c>
    </row>
    <row r="67" spans="1:57">
      <c r="A67" s="1">
        <f>HYPERLINK("https://lsnyc.legalserver.org/matter/dynamic-profile/view/1908996","19-1908996")</f>
        <v>0</v>
      </c>
      <c r="B67" t="s">
        <v>62</v>
      </c>
      <c r="C67" t="s">
        <v>93</v>
      </c>
      <c r="D67" t="s">
        <v>98</v>
      </c>
      <c r="F67" t="s">
        <v>301</v>
      </c>
      <c r="G67" t="s">
        <v>849</v>
      </c>
      <c r="H67" t="s">
        <v>1363</v>
      </c>
      <c r="I67">
        <v>1006</v>
      </c>
      <c r="J67" t="s">
        <v>2169</v>
      </c>
      <c r="K67" t="s">
        <v>2171</v>
      </c>
      <c r="L67">
        <v>10035</v>
      </c>
      <c r="M67" t="s">
        <v>2173</v>
      </c>
      <c r="N67" t="s">
        <v>2172</v>
      </c>
      <c r="O67" t="s">
        <v>2175</v>
      </c>
      <c r="P67" t="s">
        <v>2240</v>
      </c>
      <c r="Q67">
        <v>6</v>
      </c>
      <c r="R67" t="s">
        <v>2843</v>
      </c>
      <c r="S67" t="s">
        <v>2856</v>
      </c>
      <c r="U67" t="s">
        <v>2868</v>
      </c>
      <c r="V67" t="s">
        <v>2174</v>
      </c>
      <c r="W67" t="s">
        <v>2174</v>
      </c>
      <c r="Y67" t="s">
        <v>2876</v>
      </c>
      <c r="Z67" t="s">
        <v>2879</v>
      </c>
      <c r="AA67" t="s">
        <v>98</v>
      </c>
      <c r="AB67">
        <v>0</v>
      </c>
      <c r="AC67">
        <v>219</v>
      </c>
      <c r="AD67">
        <v>0.1</v>
      </c>
      <c r="AE67" t="s">
        <v>2894</v>
      </c>
      <c r="AG67" t="s">
        <v>2969</v>
      </c>
      <c r="AI67" t="s">
        <v>3833</v>
      </c>
      <c r="AJ67">
        <v>0</v>
      </c>
      <c r="AK67" t="s">
        <v>4464</v>
      </c>
      <c r="AL67">
        <v>1</v>
      </c>
      <c r="AM67">
        <v>0</v>
      </c>
      <c r="AN67">
        <v>82.63</v>
      </c>
      <c r="AR67" t="s">
        <v>4476</v>
      </c>
      <c r="AS67" t="s">
        <v>4486</v>
      </c>
      <c r="AT67">
        <v>10320</v>
      </c>
      <c r="AX67" t="s">
        <v>4502</v>
      </c>
      <c r="BA67" t="s">
        <v>4536</v>
      </c>
      <c r="BD67" t="s">
        <v>98</v>
      </c>
      <c r="BE67" t="s">
        <v>4703</v>
      </c>
    </row>
    <row r="68" spans="1:57">
      <c r="A68" s="1">
        <f>HYPERLINK("https://lsnyc.legalserver.org/matter/dynamic-profile/view/1908999","19-1908999")</f>
        <v>0</v>
      </c>
      <c r="B68" t="s">
        <v>71</v>
      </c>
      <c r="C68" t="s">
        <v>93</v>
      </c>
      <c r="D68" t="s">
        <v>98</v>
      </c>
      <c r="F68" t="s">
        <v>302</v>
      </c>
      <c r="G68" t="s">
        <v>850</v>
      </c>
      <c r="H68" t="s">
        <v>1364</v>
      </c>
      <c r="I68" t="s">
        <v>1920</v>
      </c>
      <c r="J68" t="s">
        <v>2169</v>
      </c>
      <c r="K68" t="s">
        <v>2171</v>
      </c>
      <c r="L68">
        <v>10035</v>
      </c>
      <c r="M68" t="s">
        <v>2173</v>
      </c>
      <c r="N68" t="s">
        <v>2172</v>
      </c>
      <c r="O68" t="s">
        <v>2178</v>
      </c>
      <c r="P68" t="s">
        <v>2241</v>
      </c>
      <c r="Q68">
        <v>4</v>
      </c>
      <c r="R68" t="s">
        <v>2843</v>
      </c>
      <c r="S68" t="s">
        <v>2856</v>
      </c>
      <c r="U68" t="s">
        <v>2868</v>
      </c>
      <c r="V68" t="s">
        <v>2174</v>
      </c>
      <c r="W68" t="s">
        <v>2174</v>
      </c>
      <c r="Y68" t="s">
        <v>2875</v>
      </c>
      <c r="AB68">
        <v>0</v>
      </c>
      <c r="AC68">
        <v>193</v>
      </c>
      <c r="AD68">
        <v>0.1</v>
      </c>
      <c r="AE68" t="s">
        <v>2894</v>
      </c>
      <c r="AG68" t="s">
        <v>2970</v>
      </c>
      <c r="AI68" t="s">
        <v>3834</v>
      </c>
      <c r="AJ68">
        <v>0</v>
      </c>
      <c r="AK68" t="s">
        <v>4459</v>
      </c>
      <c r="AL68">
        <v>2</v>
      </c>
      <c r="AM68">
        <v>0</v>
      </c>
      <c r="AN68">
        <v>45.84</v>
      </c>
      <c r="AS68" t="s">
        <v>4486</v>
      </c>
      <c r="AT68">
        <v>7752</v>
      </c>
      <c r="AX68" t="s">
        <v>4501</v>
      </c>
      <c r="BA68" t="s">
        <v>4560</v>
      </c>
      <c r="BD68" t="s">
        <v>98</v>
      </c>
      <c r="BE68" t="s">
        <v>4703</v>
      </c>
    </row>
    <row r="69" spans="1:57">
      <c r="A69" s="1">
        <f>HYPERLINK("https://lsnyc.legalserver.org/matter/dynamic-profile/view/1911783","19-1911783")</f>
        <v>0</v>
      </c>
      <c r="B69" t="s">
        <v>76</v>
      </c>
      <c r="C69" t="s">
        <v>93</v>
      </c>
      <c r="D69" t="s">
        <v>117</v>
      </c>
      <c r="F69" t="s">
        <v>264</v>
      </c>
      <c r="G69" t="s">
        <v>851</v>
      </c>
      <c r="H69" t="s">
        <v>1365</v>
      </c>
      <c r="I69" t="s">
        <v>1956</v>
      </c>
      <c r="J69" t="s">
        <v>2169</v>
      </c>
      <c r="K69" t="s">
        <v>2171</v>
      </c>
      <c r="L69">
        <v>10035</v>
      </c>
      <c r="M69" t="s">
        <v>2173</v>
      </c>
      <c r="N69" t="s">
        <v>2172</v>
      </c>
      <c r="O69" t="s">
        <v>2178</v>
      </c>
      <c r="Q69">
        <v>5</v>
      </c>
      <c r="R69" t="s">
        <v>2841</v>
      </c>
      <c r="S69" t="s">
        <v>2858</v>
      </c>
      <c r="U69" t="s">
        <v>2868</v>
      </c>
      <c r="V69" t="s">
        <v>2174</v>
      </c>
      <c r="W69" t="s">
        <v>2174</v>
      </c>
      <c r="Y69" t="s">
        <v>2875</v>
      </c>
      <c r="AA69" t="s">
        <v>117</v>
      </c>
      <c r="AB69">
        <v>0</v>
      </c>
      <c r="AC69">
        <v>198</v>
      </c>
      <c r="AD69">
        <v>0</v>
      </c>
      <c r="AE69" t="s">
        <v>2894</v>
      </c>
      <c r="AG69" t="s">
        <v>2971</v>
      </c>
      <c r="AI69" t="s">
        <v>3835</v>
      </c>
      <c r="AJ69">
        <v>0</v>
      </c>
      <c r="AK69" t="s">
        <v>4459</v>
      </c>
      <c r="AL69">
        <v>1</v>
      </c>
      <c r="AM69">
        <v>0</v>
      </c>
      <c r="AN69">
        <v>81.09</v>
      </c>
      <c r="AS69" t="s">
        <v>4486</v>
      </c>
      <c r="AT69">
        <v>10128</v>
      </c>
      <c r="AX69" t="s">
        <v>4500</v>
      </c>
      <c r="BA69" t="s">
        <v>4560</v>
      </c>
    </row>
    <row r="70" spans="1:57">
      <c r="A70" s="1">
        <f>HYPERLINK("https://lsnyc.legalserver.org/matter/dynamic-profile/view/1889479","19-1889479")</f>
        <v>0</v>
      </c>
      <c r="B70" t="s">
        <v>57</v>
      </c>
      <c r="C70" t="s">
        <v>93</v>
      </c>
      <c r="D70" t="s">
        <v>129</v>
      </c>
      <c r="F70" t="s">
        <v>303</v>
      </c>
      <c r="G70" t="s">
        <v>852</v>
      </c>
      <c r="H70" t="s">
        <v>1366</v>
      </c>
      <c r="I70" t="s">
        <v>1927</v>
      </c>
      <c r="J70" t="s">
        <v>2169</v>
      </c>
      <c r="K70" t="s">
        <v>2171</v>
      </c>
      <c r="L70">
        <v>10035</v>
      </c>
      <c r="M70" t="s">
        <v>2173</v>
      </c>
      <c r="N70" t="s">
        <v>2173</v>
      </c>
      <c r="O70" t="s">
        <v>2177</v>
      </c>
      <c r="P70" t="s">
        <v>2242</v>
      </c>
      <c r="Q70">
        <v>5</v>
      </c>
      <c r="R70" t="s">
        <v>2844</v>
      </c>
      <c r="S70" t="s">
        <v>2857</v>
      </c>
      <c r="U70" t="s">
        <v>2868</v>
      </c>
      <c r="V70" t="s">
        <v>2174</v>
      </c>
      <c r="W70" t="s">
        <v>2174</v>
      </c>
      <c r="Y70" t="s">
        <v>2876</v>
      </c>
      <c r="Z70" t="s">
        <v>2879</v>
      </c>
      <c r="AA70" t="s">
        <v>129</v>
      </c>
      <c r="AB70">
        <v>0</v>
      </c>
      <c r="AC70">
        <v>756.34</v>
      </c>
      <c r="AD70">
        <v>12.4</v>
      </c>
      <c r="AE70" t="s">
        <v>2894</v>
      </c>
      <c r="AG70" t="s">
        <v>2972</v>
      </c>
      <c r="AI70" t="s">
        <v>3836</v>
      </c>
      <c r="AJ70">
        <v>18</v>
      </c>
      <c r="AK70" t="s">
        <v>4458</v>
      </c>
      <c r="AL70">
        <v>1</v>
      </c>
      <c r="AM70">
        <v>3</v>
      </c>
      <c r="AN70">
        <v>6.52</v>
      </c>
      <c r="AQ70" t="s">
        <v>4474</v>
      </c>
      <c r="AR70" t="s">
        <v>4476</v>
      </c>
      <c r="AS70" t="s">
        <v>4487</v>
      </c>
      <c r="AT70">
        <v>1680</v>
      </c>
      <c r="AX70" t="s">
        <v>4502</v>
      </c>
      <c r="BA70" t="s">
        <v>4535</v>
      </c>
      <c r="BD70" t="s">
        <v>4672</v>
      </c>
      <c r="BE70" t="s">
        <v>4703</v>
      </c>
    </row>
    <row r="71" spans="1:57">
      <c r="A71" s="1">
        <f>HYPERLINK("https://lsnyc.legalserver.org/matter/dynamic-profile/view/1907028","19-1907028")</f>
        <v>0</v>
      </c>
      <c r="B71" t="s">
        <v>77</v>
      </c>
      <c r="C71" t="s">
        <v>92</v>
      </c>
      <c r="D71" t="s">
        <v>128</v>
      </c>
      <c r="E71" t="s">
        <v>219</v>
      </c>
      <c r="F71" t="s">
        <v>304</v>
      </c>
      <c r="G71" t="s">
        <v>853</v>
      </c>
      <c r="H71" t="s">
        <v>1367</v>
      </c>
      <c r="I71">
        <v>1</v>
      </c>
      <c r="J71" t="s">
        <v>2169</v>
      </c>
      <c r="K71" t="s">
        <v>2171</v>
      </c>
      <c r="L71">
        <v>10035</v>
      </c>
      <c r="M71" t="s">
        <v>2173</v>
      </c>
      <c r="N71" t="s">
        <v>2172</v>
      </c>
      <c r="O71" t="s">
        <v>2178</v>
      </c>
      <c r="P71" t="s">
        <v>2243</v>
      </c>
      <c r="Q71">
        <v>10</v>
      </c>
      <c r="R71" t="s">
        <v>2844</v>
      </c>
      <c r="S71" t="s">
        <v>2856</v>
      </c>
      <c r="T71" t="s">
        <v>2863</v>
      </c>
      <c r="U71" t="s">
        <v>2868</v>
      </c>
      <c r="V71" t="s">
        <v>2174</v>
      </c>
      <c r="W71" t="s">
        <v>2174</v>
      </c>
      <c r="Y71" t="s">
        <v>2877</v>
      </c>
      <c r="AA71" t="s">
        <v>128</v>
      </c>
      <c r="AB71">
        <v>0</v>
      </c>
      <c r="AC71">
        <v>612</v>
      </c>
      <c r="AD71">
        <v>0.2</v>
      </c>
      <c r="AE71" t="s">
        <v>2894</v>
      </c>
      <c r="AF71" t="s">
        <v>2896</v>
      </c>
      <c r="AG71" t="s">
        <v>2973</v>
      </c>
      <c r="AH71" t="s">
        <v>3605</v>
      </c>
      <c r="AI71" t="s">
        <v>3837</v>
      </c>
      <c r="AJ71">
        <v>4</v>
      </c>
      <c r="AK71" t="s">
        <v>4465</v>
      </c>
      <c r="AL71">
        <v>2</v>
      </c>
      <c r="AM71">
        <v>0</v>
      </c>
      <c r="AN71">
        <v>15.07</v>
      </c>
      <c r="AR71" t="s">
        <v>2176</v>
      </c>
      <c r="AS71" t="s">
        <v>4486</v>
      </c>
      <c r="AT71">
        <v>2548</v>
      </c>
      <c r="AX71" t="s">
        <v>4501</v>
      </c>
      <c r="BA71" t="s">
        <v>4551</v>
      </c>
      <c r="BD71" t="s">
        <v>219</v>
      </c>
      <c r="BE71" t="s">
        <v>4704</v>
      </c>
    </row>
    <row r="72" spans="1:57">
      <c r="A72" s="1">
        <f>HYPERLINK("https://lsnyc.legalserver.org/matter/dynamic-profile/view/1907050","19-1907050")</f>
        <v>0</v>
      </c>
      <c r="B72" t="s">
        <v>67</v>
      </c>
      <c r="C72" t="s">
        <v>92</v>
      </c>
      <c r="D72" t="s">
        <v>128</v>
      </c>
      <c r="E72" t="s">
        <v>217</v>
      </c>
      <c r="F72" t="s">
        <v>305</v>
      </c>
      <c r="G72" t="s">
        <v>854</v>
      </c>
      <c r="H72" t="s">
        <v>1368</v>
      </c>
      <c r="I72" t="s">
        <v>1933</v>
      </c>
      <c r="J72" t="s">
        <v>2169</v>
      </c>
      <c r="K72" t="s">
        <v>2171</v>
      </c>
      <c r="L72">
        <v>10035</v>
      </c>
      <c r="M72" t="s">
        <v>2173</v>
      </c>
      <c r="N72" t="s">
        <v>2172</v>
      </c>
      <c r="O72" t="s">
        <v>2178</v>
      </c>
      <c r="P72" t="s">
        <v>2244</v>
      </c>
      <c r="Q72">
        <v>20</v>
      </c>
      <c r="R72" t="s">
        <v>2844</v>
      </c>
      <c r="S72" t="s">
        <v>2856</v>
      </c>
      <c r="T72" t="s">
        <v>2863</v>
      </c>
      <c r="U72" t="s">
        <v>2868</v>
      </c>
      <c r="V72" t="s">
        <v>2174</v>
      </c>
      <c r="W72" t="s">
        <v>2174</v>
      </c>
      <c r="Y72" t="s">
        <v>2876</v>
      </c>
      <c r="AA72" t="s">
        <v>128</v>
      </c>
      <c r="AB72">
        <v>0</v>
      </c>
      <c r="AC72">
        <v>3257</v>
      </c>
      <c r="AD72">
        <v>0.1</v>
      </c>
      <c r="AE72" t="s">
        <v>2894</v>
      </c>
      <c r="AF72" t="s">
        <v>2896</v>
      </c>
      <c r="AG72" t="s">
        <v>2974</v>
      </c>
      <c r="AH72" t="s">
        <v>3606</v>
      </c>
      <c r="AI72" t="s">
        <v>3838</v>
      </c>
      <c r="AJ72">
        <v>135</v>
      </c>
      <c r="AK72" t="s">
        <v>4463</v>
      </c>
      <c r="AL72">
        <v>2</v>
      </c>
      <c r="AM72">
        <v>0</v>
      </c>
      <c r="AN72">
        <v>131.87</v>
      </c>
      <c r="AR72" t="s">
        <v>4478</v>
      </c>
      <c r="AS72" t="s">
        <v>4486</v>
      </c>
      <c r="AT72">
        <v>22300</v>
      </c>
      <c r="AX72" t="s">
        <v>4501</v>
      </c>
      <c r="BA72" t="s">
        <v>4561</v>
      </c>
      <c r="BD72" t="s">
        <v>217</v>
      </c>
      <c r="BE72" t="s">
        <v>4704</v>
      </c>
    </row>
    <row r="73" spans="1:57">
      <c r="A73" s="1">
        <f>HYPERLINK("https://lsnyc.legalserver.org/matter/dynamic-profile/view/1910245","19-1910245")</f>
        <v>0</v>
      </c>
      <c r="B73" t="s">
        <v>62</v>
      </c>
      <c r="C73" t="s">
        <v>92</v>
      </c>
      <c r="D73" t="s">
        <v>114</v>
      </c>
      <c r="E73" t="s">
        <v>213</v>
      </c>
      <c r="F73" t="s">
        <v>306</v>
      </c>
      <c r="G73" t="s">
        <v>821</v>
      </c>
      <c r="H73" t="s">
        <v>1369</v>
      </c>
      <c r="I73" t="s">
        <v>1932</v>
      </c>
      <c r="J73" t="s">
        <v>2169</v>
      </c>
      <c r="K73" t="s">
        <v>2171</v>
      </c>
      <c r="L73">
        <v>10035</v>
      </c>
      <c r="M73" t="s">
        <v>2173</v>
      </c>
      <c r="N73" t="s">
        <v>2172</v>
      </c>
      <c r="O73" t="s">
        <v>2178</v>
      </c>
      <c r="P73" t="s">
        <v>2245</v>
      </c>
      <c r="Q73">
        <v>3</v>
      </c>
      <c r="R73" t="s">
        <v>2844</v>
      </c>
      <c r="S73" t="s">
        <v>2856</v>
      </c>
      <c r="T73" t="s">
        <v>2863</v>
      </c>
      <c r="U73" t="s">
        <v>2868</v>
      </c>
      <c r="V73" t="s">
        <v>2174</v>
      </c>
      <c r="W73" t="s">
        <v>2174</v>
      </c>
      <c r="Y73" t="s">
        <v>2876</v>
      </c>
      <c r="AA73" t="s">
        <v>114</v>
      </c>
      <c r="AB73">
        <v>0</v>
      </c>
      <c r="AC73">
        <v>1530</v>
      </c>
      <c r="AD73">
        <v>0</v>
      </c>
      <c r="AE73" t="s">
        <v>2894</v>
      </c>
      <c r="AF73" t="s">
        <v>2896</v>
      </c>
      <c r="AG73" t="s">
        <v>2975</v>
      </c>
      <c r="AH73" t="s">
        <v>3607</v>
      </c>
      <c r="AI73" t="s">
        <v>3839</v>
      </c>
      <c r="AJ73">
        <v>35</v>
      </c>
      <c r="AK73" t="s">
        <v>4456</v>
      </c>
      <c r="AL73">
        <v>2</v>
      </c>
      <c r="AM73">
        <v>3</v>
      </c>
      <c r="AN73">
        <v>17.24</v>
      </c>
      <c r="AR73" t="s">
        <v>4480</v>
      </c>
      <c r="AS73" t="s">
        <v>4486</v>
      </c>
      <c r="AT73">
        <v>5200</v>
      </c>
      <c r="AX73" t="s">
        <v>4501</v>
      </c>
      <c r="BA73" t="s">
        <v>4551</v>
      </c>
      <c r="BD73" t="s">
        <v>4670</v>
      </c>
      <c r="BE73" t="s">
        <v>4704</v>
      </c>
    </row>
    <row r="74" spans="1:57">
      <c r="A74" s="1">
        <f>HYPERLINK("https://lsnyc.legalserver.org/matter/dynamic-profile/view/1888407","19-1888407")</f>
        <v>0</v>
      </c>
      <c r="B74" t="s">
        <v>70</v>
      </c>
      <c r="C74" t="s">
        <v>93</v>
      </c>
      <c r="D74" t="s">
        <v>103</v>
      </c>
      <c r="F74" t="s">
        <v>307</v>
      </c>
      <c r="G74" t="s">
        <v>855</v>
      </c>
      <c r="H74" t="s">
        <v>1370</v>
      </c>
      <c r="I74" t="s">
        <v>1937</v>
      </c>
      <c r="J74" t="s">
        <v>2169</v>
      </c>
      <c r="K74" t="s">
        <v>2171</v>
      </c>
      <c r="L74">
        <v>10034</v>
      </c>
      <c r="M74" t="s">
        <v>2173</v>
      </c>
      <c r="N74" t="s">
        <v>2173</v>
      </c>
      <c r="O74" t="s">
        <v>2175</v>
      </c>
      <c r="P74" t="s">
        <v>2246</v>
      </c>
      <c r="Q74">
        <v>8</v>
      </c>
      <c r="R74" t="s">
        <v>2843</v>
      </c>
      <c r="S74" t="s">
        <v>2856</v>
      </c>
      <c r="U74" t="s">
        <v>2868</v>
      </c>
      <c r="V74" t="s">
        <v>2174</v>
      </c>
      <c r="W74" t="s">
        <v>2174</v>
      </c>
      <c r="Y74" t="s">
        <v>2876</v>
      </c>
      <c r="AA74" t="s">
        <v>103</v>
      </c>
      <c r="AB74">
        <v>0</v>
      </c>
      <c r="AC74">
        <v>2400</v>
      </c>
      <c r="AD74">
        <v>8.5</v>
      </c>
      <c r="AE74" t="s">
        <v>2894</v>
      </c>
      <c r="AG74" t="s">
        <v>2976</v>
      </c>
      <c r="AI74" t="s">
        <v>3840</v>
      </c>
      <c r="AJ74">
        <v>46</v>
      </c>
      <c r="AK74" t="s">
        <v>4458</v>
      </c>
      <c r="AL74">
        <v>1</v>
      </c>
      <c r="AM74">
        <v>1</v>
      </c>
      <c r="AN74">
        <v>189.84</v>
      </c>
      <c r="AQ74" t="s">
        <v>4475</v>
      </c>
      <c r="AR74" t="s">
        <v>4476</v>
      </c>
      <c r="AS74" t="s">
        <v>4487</v>
      </c>
      <c r="AT74">
        <v>31248</v>
      </c>
      <c r="AX74" t="s">
        <v>4501</v>
      </c>
      <c r="BA74" t="s">
        <v>4546</v>
      </c>
      <c r="BD74" t="s">
        <v>155</v>
      </c>
    </row>
    <row r="75" spans="1:57">
      <c r="A75" s="1">
        <f>HYPERLINK("https://lsnyc.legalserver.org/matter/dynamic-profile/view/1894694","19-1894694")</f>
        <v>0</v>
      </c>
      <c r="B75" t="s">
        <v>57</v>
      </c>
      <c r="C75" t="s">
        <v>93</v>
      </c>
      <c r="D75" t="s">
        <v>119</v>
      </c>
      <c r="F75" t="s">
        <v>308</v>
      </c>
      <c r="G75" t="s">
        <v>856</v>
      </c>
      <c r="H75" t="s">
        <v>1371</v>
      </c>
      <c r="I75">
        <v>45</v>
      </c>
      <c r="J75" t="s">
        <v>2169</v>
      </c>
      <c r="K75" t="s">
        <v>2171</v>
      </c>
      <c r="L75">
        <v>10034</v>
      </c>
      <c r="M75" t="s">
        <v>2173</v>
      </c>
      <c r="N75" t="s">
        <v>2173</v>
      </c>
      <c r="O75" t="s">
        <v>2175</v>
      </c>
      <c r="P75" t="s">
        <v>2247</v>
      </c>
      <c r="Q75">
        <v>9</v>
      </c>
      <c r="R75" t="s">
        <v>2843</v>
      </c>
      <c r="S75" t="s">
        <v>2856</v>
      </c>
      <c r="U75" t="s">
        <v>2868</v>
      </c>
      <c r="V75" t="s">
        <v>2174</v>
      </c>
      <c r="W75" t="s">
        <v>2174</v>
      </c>
      <c r="Y75" t="s">
        <v>2876</v>
      </c>
      <c r="Z75" t="s">
        <v>2879</v>
      </c>
      <c r="AA75" t="s">
        <v>119</v>
      </c>
      <c r="AB75">
        <v>0</v>
      </c>
      <c r="AC75">
        <v>846</v>
      </c>
      <c r="AD75">
        <v>17.75</v>
      </c>
      <c r="AE75" t="s">
        <v>2894</v>
      </c>
      <c r="AG75" t="s">
        <v>2977</v>
      </c>
      <c r="AI75" t="s">
        <v>3841</v>
      </c>
      <c r="AJ75">
        <v>0</v>
      </c>
      <c r="AK75" t="s">
        <v>4458</v>
      </c>
      <c r="AL75">
        <v>2</v>
      </c>
      <c r="AM75">
        <v>0</v>
      </c>
      <c r="AN75">
        <v>21.29</v>
      </c>
      <c r="AQ75" t="s">
        <v>4473</v>
      </c>
      <c r="AR75" t="s">
        <v>4476</v>
      </c>
      <c r="AS75" t="s">
        <v>4487</v>
      </c>
      <c r="AT75">
        <v>3600</v>
      </c>
      <c r="AX75" t="s">
        <v>4502</v>
      </c>
      <c r="BA75" t="s">
        <v>4562</v>
      </c>
      <c r="BD75" t="s">
        <v>210</v>
      </c>
    </row>
    <row r="76" spans="1:57">
      <c r="A76" s="1">
        <f>HYPERLINK("https://lsnyc.legalserver.org/matter/dynamic-profile/view/1893155","19-1893155")</f>
        <v>0</v>
      </c>
      <c r="B76" t="s">
        <v>64</v>
      </c>
      <c r="C76" t="s">
        <v>93</v>
      </c>
      <c r="D76" t="s">
        <v>130</v>
      </c>
      <c r="F76" t="s">
        <v>309</v>
      </c>
      <c r="G76" t="s">
        <v>857</v>
      </c>
      <c r="H76" t="s">
        <v>1372</v>
      </c>
      <c r="I76">
        <v>54</v>
      </c>
      <c r="J76" t="s">
        <v>2169</v>
      </c>
      <c r="K76" t="s">
        <v>2171</v>
      </c>
      <c r="L76">
        <v>10034</v>
      </c>
      <c r="M76" t="s">
        <v>2173</v>
      </c>
      <c r="N76" t="s">
        <v>2173</v>
      </c>
      <c r="O76" t="s">
        <v>2175</v>
      </c>
      <c r="P76" t="s">
        <v>2248</v>
      </c>
      <c r="Q76">
        <v>24</v>
      </c>
      <c r="R76" t="s">
        <v>2844</v>
      </c>
      <c r="S76" t="s">
        <v>2857</v>
      </c>
      <c r="U76" t="s">
        <v>2868</v>
      </c>
      <c r="V76" t="s">
        <v>2174</v>
      </c>
      <c r="W76" t="s">
        <v>2174</v>
      </c>
      <c r="Y76" t="s">
        <v>2876</v>
      </c>
      <c r="AB76">
        <v>0</v>
      </c>
      <c r="AC76">
        <v>922</v>
      </c>
      <c r="AD76">
        <v>0.2</v>
      </c>
      <c r="AE76" t="s">
        <v>2894</v>
      </c>
      <c r="AG76" t="s">
        <v>2978</v>
      </c>
      <c r="AI76" t="s">
        <v>3842</v>
      </c>
      <c r="AJ76">
        <v>0</v>
      </c>
      <c r="AK76" t="s">
        <v>4458</v>
      </c>
      <c r="AL76">
        <v>2</v>
      </c>
      <c r="AM76">
        <v>0</v>
      </c>
      <c r="AN76">
        <v>191.56</v>
      </c>
      <c r="AQ76" t="s">
        <v>4473</v>
      </c>
      <c r="AR76" t="s">
        <v>2176</v>
      </c>
      <c r="AS76" t="s">
        <v>4487</v>
      </c>
      <c r="AT76">
        <v>32392</v>
      </c>
      <c r="AX76" t="s">
        <v>4504</v>
      </c>
      <c r="BA76" t="s">
        <v>4543</v>
      </c>
      <c r="BD76" t="s">
        <v>159</v>
      </c>
    </row>
    <row r="77" spans="1:57">
      <c r="A77" s="1">
        <f>HYPERLINK("https://lsnyc.legalserver.org/matter/dynamic-profile/view/1894688","19-1894688")</f>
        <v>0</v>
      </c>
      <c r="B77" t="s">
        <v>71</v>
      </c>
      <c r="C77" t="s">
        <v>93</v>
      </c>
      <c r="D77" t="s">
        <v>119</v>
      </c>
      <c r="F77" t="s">
        <v>310</v>
      </c>
      <c r="G77" t="s">
        <v>858</v>
      </c>
      <c r="H77" t="s">
        <v>1373</v>
      </c>
      <c r="I77" t="s">
        <v>1957</v>
      </c>
      <c r="J77" t="s">
        <v>2169</v>
      </c>
      <c r="K77" t="s">
        <v>2171</v>
      </c>
      <c r="L77">
        <v>10034</v>
      </c>
      <c r="M77" t="s">
        <v>2173</v>
      </c>
      <c r="N77" t="s">
        <v>2173</v>
      </c>
      <c r="O77" t="s">
        <v>2175</v>
      </c>
      <c r="P77" t="s">
        <v>2249</v>
      </c>
      <c r="Q77">
        <v>22</v>
      </c>
      <c r="R77" t="s">
        <v>2844</v>
      </c>
      <c r="S77" t="s">
        <v>2856</v>
      </c>
      <c r="U77" t="s">
        <v>2868</v>
      </c>
      <c r="V77" t="s">
        <v>2174</v>
      </c>
      <c r="W77" t="s">
        <v>2174</v>
      </c>
      <c r="Y77" t="s">
        <v>2876</v>
      </c>
      <c r="AA77" t="s">
        <v>119</v>
      </c>
      <c r="AB77">
        <v>0</v>
      </c>
      <c r="AC77">
        <v>1054.69</v>
      </c>
      <c r="AD77">
        <v>1.2</v>
      </c>
      <c r="AE77" t="s">
        <v>2894</v>
      </c>
      <c r="AG77" t="s">
        <v>2979</v>
      </c>
      <c r="AH77" t="s">
        <v>3608</v>
      </c>
      <c r="AI77" t="s">
        <v>3843</v>
      </c>
      <c r="AJ77">
        <v>0</v>
      </c>
      <c r="AK77" t="s">
        <v>4458</v>
      </c>
      <c r="AL77">
        <v>1</v>
      </c>
      <c r="AM77">
        <v>0</v>
      </c>
      <c r="AN77">
        <v>91.59</v>
      </c>
      <c r="AQ77" t="s">
        <v>4473</v>
      </c>
      <c r="AR77" t="s">
        <v>2176</v>
      </c>
      <c r="AS77" t="s">
        <v>4487</v>
      </c>
      <c r="AT77">
        <v>11440</v>
      </c>
      <c r="AX77" t="s">
        <v>4501</v>
      </c>
      <c r="BA77" t="s">
        <v>4563</v>
      </c>
      <c r="BD77" t="s">
        <v>119</v>
      </c>
    </row>
    <row r="78" spans="1:57">
      <c r="A78" s="1">
        <f>HYPERLINK("https://lsnyc.legalserver.org/matter/dynamic-profile/view/1908033","19-1908033")</f>
        <v>0</v>
      </c>
      <c r="B78" t="s">
        <v>66</v>
      </c>
      <c r="C78" t="s">
        <v>93</v>
      </c>
      <c r="D78" t="s">
        <v>115</v>
      </c>
      <c r="F78" t="s">
        <v>270</v>
      </c>
      <c r="G78" t="s">
        <v>821</v>
      </c>
      <c r="H78" t="s">
        <v>1374</v>
      </c>
      <c r="I78" t="s">
        <v>1958</v>
      </c>
      <c r="J78" t="s">
        <v>2169</v>
      </c>
      <c r="K78" t="s">
        <v>2171</v>
      </c>
      <c r="L78">
        <v>10034</v>
      </c>
      <c r="M78" t="s">
        <v>2173</v>
      </c>
      <c r="N78" t="s">
        <v>2172</v>
      </c>
      <c r="O78" t="s">
        <v>2175</v>
      </c>
      <c r="P78" t="s">
        <v>2250</v>
      </c>
      <c r="Q78">
        <v>9</v>
      </c>
      <c r="R78" t="s">
        <v>2844</v>
      </c>
      <c r="S78" t="s">
        <v>2856</v>
      </c>
      <c r="U78" t="s">
        <v>2868</v>
      </c>
      <c r="V78" t="s">
        <v>2174</v>
      </c>
      <c r="W78" t="s">
        <v>2174</v>
      </c>
      <c r="Y78" t="s">
        <v>2875</v>
      </c>
      <c r="Z78" t="s">
        <v>2882</v>
      </c>
      <c r="AB78">
        <v>0</v>
      </c>
      <c r="AC78">
        <v>1201.76</v>
      </c>
      <c r="AD78">
        <v>1.5</v>
      </c>
      <c r="AE78" t="s">
        <v>2894</v>
      </c>
      <c r="AG78" t="s">
        <v>2980</v>
      </c>
      <c r="AI78" t="s">
        <v>3844</v>
      </c>
      <c r="AJ78">
        <v>0</v>
      </c>
      <c r="AK78" t="s">
        <v>4456</v>
      </c>
      <c r="AL78">
        <v>2</v>
      </c>
      <c r="AM78">
        <v>1</v>
      </c>
      <c r="AN78">
        <v>126.13</v>
      </c>
      <c r="AR78" t="s">
        <v>2176</v>
      </c>
      <c r="AS78" t="s">
        <v>4486</v>
      </c>
      <c r="AT78">
        <v>26904</v>
      </c>
      <c r="AX78" t="s">
        <v>4504</v>
      </c>
      <c r="BA78" t="s">
        <v>4536</v>
      </c>
      <c r="BD78" t="s">
        <v>115</v>
      </c>
      <c r="BE78" t="s">
        <v>4703</v>
      </c>
    </row>
    <row r="79" spans="1:57">
      <c r="A79" s="1">
        <f>HYPERLINK("https://lsnyc.legalserver.org/matter/dynamic-profile/view/1909021","19-1909021")</f>
        <v>0</v>
      </c>
      <c r="B79" t="s">
        <v>68</v>
      </c>
      <c r="C79" t="s">
        <v>93</v>
      </c>
      <c r="D79" t="s">
        <v>98</v>
      </c>
      <c r="F79" t="s">
        <v>283</v>
      </c>
      <c r="G79" t="s">
        <v>850</v>
      </c>
      <c r="H79" t="s">
        <v>1375</v>
      </c>
      <c r="I79" t="s">
        <v>1959</v>
      </c>
      <c r="J79" t="s">
        <v>2169</v>
      </c>
      <c r="K79" t="s">
        <v>2171</v>
      </c>
      <c r="L79">
        <v>10034</v>
      </c>
      <c r="M79" t="s">
        <v>2173</v>
      </c>
      <c r="N79" t="s">
        <v>2172</v>
      </c>
      <c r="O79" t="s">
        <v>2175</v>
      </c>
      <c r="P79" t="s">
        <v>2251</v>
      </c>
      <c r="Q79">
        <v>26</v>
      </c>
      <c r="R79" t="s">
        <v>2844</v>
      </c>
      <c r="S79" t="s">
        <v>2858</v>
      </c>
      <c r="U79" t="s">
        <v>2868</v>
      </c>
      <c r="V79" t="s">
        <v>2174</v>
      </c>
      <c r="W79" t="s">
        <v>2174</v>
      </c>
      <c r="Y79" t="s">
        <v>2876</v>
      </c>
      <c r="Z79" t="s">
        <v>2879</v>
      </c>
      <c r="AA79" t="s">
        <v>98</v>
      </c>
      <c r="AB79">
        <v>0</v>
      </c>
      <c r="AC79">
        <v>981.3200000000001</v>
      </c>
      <c r="AD79">
        <v>0</v>
      </c>
      <c r="AE79" t="s">
        <v>2894</v>
      </c>
      <c r="AG79" t="s">
        <v>2981</v>
      </c>
      <c r="AI79" t="s">
        <v>3845</v>
      </c>
      <c r="AJ79">
        <v>60</v>
      </c>
      <c r="AK79" t="s">
        <v>4456</v>
      </c>
      <c r="AL79">
        <v>1</v>
      </c>
      <c r="AM79">
        <v>0</v>
      </c>
      <c r="AN79">
        <v>19.15</v>
      </c>
      <c r="AR79" t="s">
        <v>4476</v>
      </c>
      <c r="AS79" t="s">
        <v>4486</v>
      </c>
      <c r="AT79">
        <v>2392</v>
      </c>
      <c r="AX79" t="s">
        <v>4502</v>
      </c>
      <c r="BA79" t="s">
        <v>4564</v>
      </c>
      <c r="BE79" t="s">
        <v>4703</v>
      </c>
    </row>
    <row r="80" spans="1:57">
      <c r="A80" s="1">
        <f>HYPERLINK("https://lsnyc.legalserver.org/matter/dynamic-profile/view/1910184","19-1910184")</f>
        <v>0</v>
      </c>
      <c r="B80" t="s">
        <v>72</v>
      </c>
      <c r="C80" t="s">
        <v>93</v>
      </c>
      <c r="D80" t="s">
        <v>114</v>
      </c>
      <c r="F80" t="s">
        <v>311</v>
      </c>
      <c r="G80" t="s">
        <v>859</v>
      </c>
      <c r="H80" t="s">
        <v>1376</v>
      </c>
      <c r="I80" t="s">
        <v>1960</v>
      </c>
      <c r="J80" t="s">
        <v>2169</v>
      </c>
      <c r="K80" t="s">
        <v>2171</v>
      </c>
      <c r="L80">
        <v>10034</v>
      </c>
      <c r="M80" t="s">
        <v>2173</v>
      </c>
      <c r="N80" t="s">
        <v>2172</v>
      </c>
      <c r="O80" t="s">
        <v>2175</v>
      </c>
      <c r="P80" t="s">
        <v>2252</v>
      </c>
      <c r="Q80">
        <v>20</v>
      </c>
      <c r="R80" t="s">
        <v>2844</v>
      </c>
      <c r="S80" t="s">
        <v>2856</v>
      </c>
      <c r="U80" t="s">
        <v>2868</v>
      </c>
      <c r="V80" t="s">
        <v>2174</v>
      </c>
      <c r="W80" t="s">
        <v>2174</v>
      </c>
      <c r="Y80" t="s">
        <v>2876</v>
      </c>
      <c r="AA80" t="s">
        <v>114</v>
      </c>
      <c r="AB80">
        <v>0</v>
      </c>
      <c r="AC80">
        <v>976.48</v>
      </c>
      <c r="AD80">
        <v>1.25</v>
      </c>
      <c r="AE80" t="s">
        <v>2894</v>
      </c>
      <c r="AG80" t="s">
        <v>2982</v>
      </c>
      <c r="AH80" t="s">
        <v>3609</v>
      </c>
      <c r="AI80" t="s">
        <v>3846</v>
      </c>
      <c r="AJ80">
        <v>0</v>
      </c>
      <c r="AL80">
        <v>1</v>
      </c>
      <c r="AM80">
        <v>2</v>
      </c>
      <c r="AN80">
        <v>55.2</v>
      </c>
      <c r="AR80" t="s">
        <v>2176</v>
      </c>
      <c r="AS80" t="s">
        <v>4486</v>
      </c>
      <c r="AT80">
        <v>11774</v>
      </c>
      <c r="AX80" t="s">
        <v>4504</v>
      </c>
      <c r="BA80" t="s">
        <v>4565</v>
      </c>
      <c r="BD80" t="s">
        <v>168</v>
      </c>
      <c r="BE80" t="s">
        <v>4704</v>
      </c>
    </row>
    <row r="81" spans="1:57">
      <c r="A81" s="1">
        <f>HYPERLINK("https://lsnyc.legalserver.org/matter/dynamic-profile/view/1890457","19-1890457")</f>
        <v>0</v>
      </c>
      <c r="B81" t="s">
        <v>71</v>
      </c>
      <c r="C81" t="s">
        <v>92</v>
      </c>
      <c r="D81" t="s">
        <v>101</v>
      </c>
      <c r="E81" t="s">
        <v>220</v>
      </c>
      <c r="F81" t="s">
        <v>312</v>
      </c>
      <c r="G81" t="s">
        <v>860</v>
      </c>
      <c r="H81" t="s">
        <v>1377</v>
      </c>
      <c r="I81" t="s">
        <v>1961</v>
      </c>
      <c r="J81" t="s">
        <v>2169</v>
      </c>
      <c r="K81" t="s">
        <v>2171</v>
      </c>
      <c r="L81">
        <v>10033</v>
      </c>
      <c r="M81" t="s">
        <v>2173</v>
      </c>
      <c r="N81" t="s">
        <v>2173</v>
      </c>
      <c r="O81" t="s">
        <v>2175</v>
      </c>
      <c r="P81" t="s">
        <v>2253</v>
      </c>
      <c r="Q81">
        <v>12</v>
      </c>
      <c r="R81" t="s">
        <v>2843</v>
      </c>
      <c r="S81" t="s">
        <v>2856</v>
      </c>
      <c r="T81" t="s">
        <v>2863</v>
      </c>
      <c r="U81" t="s">
        <v>2868</v>
      </c>
      <c r="V81" t="s">
        <v>2174</v>
      </c>
      <c r="W81" t="s">
        <v>2174</v>
      </c>
      <c r="Y81" t="s">
        <v>2876</v>
      </c>
      <c r="Z81" t="s">
        <v>2879</v>
      </c>
      <c r="AA81" t="s">
        <v>101</v>
      </c>
      <c r="AB81">
        <v>0</v>
      </c>
      <c r="AC81">
        <v>982.15</v>
      </c>
      <c r="AD81">
        <v>1.2</v>
      </c>
      <c r="AE81" t="s">
        <v>2894</v>
      </c>
      <c r="AF81" t="s">
        <v>2896</v>
      </c>
      <c r="AG81" t="s">
        <v>2983</v>
      </c>
      <c r="AH81" t="s">
        <v>3610</v>
      </c>
      <c r="AI81" t="s">
        <v>3847</v>
      </c>
      <c r="AJ81">
        <v>41</v>
      </c>
      <c r="AK81" t="s">
        <v>4458</v>
      </c>
      <c r="AL81">
        <v>1</v>
      </c>
      <c r="AM81">
        <v>0</v>
      </c>
      <c r="AN81">
        <v>106.16</v>
      </c>
      <c r="AQ81" t="s">
        <v>4473</v>
      </c>
      <c r="AR81" t="s">
        <v>4476</v>
      </c>
      <c r="AS81" t="s">
        <v>4486</v>
      </c>
      <c r="AT81">
        <v>13260</v>
      </c>
      <c r="AX81" t="s">
        <v>4502</v>
      </c>
      <c r="BA81" t="s">
        <v>4559</v>
      </c>
      <c r="BD81" t="s">
        <v>101</v>
      </c>
      <c r="BE81" t="s">
        <v>4704</v>
      </c>
    </row>
    <row r="82" spans="1:57">
      <c r="A82" s="1">
        <f>HYPERLINK("https://lsnyc.legalserver.org/matter/dynamic-profile/view/1894642","19-1894642")</f>
        <v>0</v>
      </c>
      <c r="B82" t="s">
        <v>57</v>
      </c>
      <c r="C82" t="s">
        <v>92</v>
      </c>
      <c r="D82" t="s">
        <v>119</v>
      </c>
      <c r="E82" t="s">
        <v>216</v>
      </c>
      <c r="F82" t="s">
        <v>313</v>
      </c>
      <c r="G82" t="s">
        <v>861</v>
      </c>
      <c r="H82" t="s">
        <v>1378</v>
      </c>
      <c r="I82">
        <v>22</v>
      </c>
      <c r="J82" t="s">
        <v>2169</v>
      </c>
      <c r="K82" t="s">
        <v>2171</v>
      </c>
      <c r="L82">
        <v>10033</v>
      </c>
      <c r="M82" t="s">
        <v>2173</v>
      </c>
      <c r="N82" t="s">
        <v>2173</v>
      </c>
      <c r="O82" t="s">
        <v>2175</v>
      </c>
      <c r="P82" t="s">
        <v>2254</v>
      </c>
      <c r="Q82">
        <v>18</v>
      </c>
      <c r="R82" t="s">
        <v>2843</v>
      </c>
      <c r="S82" t="s">
        <v>2856</v>
      </c>
      <c r="T82" t="s">
        <v>2863</v>
      </c>
      <c r="U82" t="s">
        <v>2868</v>
      </c>
      <c r="V82" t="s">
        <v>2174</v>
      </c>
      <c r="W82" t="s">
        <v>2174</v>
      </c>
      <c r="Y82" t="s">
        <v>2876</v>
      </c>
      <c r="Z82" t="s">
        <v>2879</v>
      </c>
      <c r="AA82" t="s">
        <v>119</v>
      </c>
      <c r="AB82">
        <v>0</v>
      </c>
      <c r="AC82">
        <v>114837</v>
      </c>
      <c r="AD82">
        <v>2.1</v>
      </c>
      <c r="AE82" t="s">
        <v>2894</v>
      </c>
      <c r="AF82" t="s">
        <v>2896</v>
      </c>
      <c r="AG82" t="s">
        <v>2984</v>
      </c>
      <c r="AH82" t="s">
        <v>3611</v>
      </c>
      <c r="AI82" t="s">
        <v>3848</v>
      </c>
      <c r="AJ82">
        <v>10</v>
      </c>
      <c r="AK82" t="s">
        <v>4458</v>
      </c>
      <c r="AL82">
        <v>2</v>
      </c>
      <c r="AM82">
        <v>0</v>
      </c>
      <c r="AN82">
        <v>53.22</v>
      </c>
      <c r="AQ82" t="s">
        <v>4473</v>
      </c>
      <c r="AR82" t="s">
        <v>4477</v>
      </c>
      <c r="AS82" t="s">
        <v>4487</v>
      </c>
      <c r="AT82">
        <v>9000</v>
      </c>
      <c r="AX82" t="s">
        <v>4502</v>
      </c>
      <c r="BA82" t="s">
        <v>4548</v>
      </c>
      <c r="BD82" t="s">
        <v>209</v>
      </c>
    </row>
    <row r="83" spans="1:57">
      <c r="A83" s="1">
        <f>HYPERLINK("https://lsnyc.legalserver.org/matter/dynamic-profile/view/1896025","19-1896025")</f>
        <v>0</v>
      </c>
      <c r="B83" t="s">
        <v>66</v>
      </c>
      <c r="C83" t="s">
        <v>93</v>
      </c>
      <c r="D83" t="s">
        <v>100</v>
      </c>
      <c r="F83" t="s">
        <v>314</v>
      </c>
      <c r="G83" t="s">
        <v>862</v>
      </c>
      <c r="H83" t="s">
        <v>1379</v>
      </c>
      <c r="I83" t="s">
        <v>1962</v>
      </c>
      <c r="J83" t="s">
        <v>2169</v>
      </c>
      <c r="K83" t="s">
        <v>2171</v>
      </c>
      <c r="L83">
        <v>10033</v>
      </c>
      <c r="M83" t="s">
        <v>2173</v>
      </c>
      <c r="N83" t="s">
        <v>2173</v>
      </c>
      <c r="O83" t="s">
        <v>2175</v>
      </c>
      <c r="P83" t="s">
        <v>2255</v>
      </c>
      <c r="Q83">
        <v>3</v>
      </c>
      <c r="R83" t="s">
        <v>2843</v>
      </c>
      <c r="S83" t="s">
        <v>2856</v>
      </c>
      <c r="U83" t="s">
        <v>2868</v>
      </c>
      <c r="V83" t="s">
        <v>2174</v>
      </c>
      <c r="W83" t="s">
        <v>2174</v>
      </c>
      <c r="Y83" t="s">
        <v>2876</v>
      </c>
      <c r="Z83" t="s">
        <v>2879</v>
      </c>
      <c r="AA83" t="s">
        <v>100</v>
      </c>
      <c r="AB83">
        <v>0</v>
      </c>
      <c r="AC83">
        <v>0</v>
      </c>
      <c r="AD83">
        <v>0.95</v>
      </c>
      <c r="AE83" t="s">
        <v>2894</v>
      </c>
      <c r="AG83" t="s">
        <v>2985</v>
      </c>
      <c r="AI83" t="s">
        <v>3849</v>
      </c>
      <c r="AJ83">
        <v>0</v>
      </c>
      <c r="AK83" t="s">
        <v>4458</v>
      </c>
      <c r="AL83">
        <v>2</v>
      </c>
      <c r="AM83">
        <v>1</v>
      </c>
      <c r="AN83">
        <v>54.8</v>
      </c>
      <c r="AQ83" t="s">
        <v>4475</v>
      </c>
      <c r="AS83" t="s">
        <v>4487</v>
      </c>
      <c r="AT83">
        <v>11688</v>
      </c>
      <c r="AX83" t="s">
        <v>4502</v>
      </c>
      <c r="BA83" t="s">
        <v>4552</v>
      </c>
      <c r="BD83" t="s">
        <v>4682</v>
      </c>
    </row>
    <row r="84" spans="1:57">
      <c r="A84" s="1">
        <f>HYPERLINK("https://lsnyc.legalserver.org/matter/dynamic-profile/view/1896086","19-1896086")</f>
        <v>0</v>
      </c>
      <c r="B84" t="s">
        <v>63</v>
      </c>
      <c r="C84" t="s">
        <v>93</v>
      </c>
      <c r="D84" t="s">
        <v>100</v>
      </c>
      <c r="F84" t="s">
        <v>315</v>
      </c>
      <c r="G84" t="s">
        <v>863</v>
      </c>
      <c r="H84" t="s">
        <v>1380</v>
      </c>
      <c r="I84" t="s">
        <v>1963</v>
      </c>
      <c r="J84" t="s">
        <v>2169</v>
      </c>
      <c r="K84" t="s">
        <v>2171</v>
      </c>
      <c r="L84">
        <v>10033</v>
      </c>
      <c r="M84" t="s">
        <v>2173</v>
      </c>
      <c r="N84" t="s">
        <v>2173</v>
      </c>
      <c r="O84" t="s">
        <v>2178</v>
      </c>
      <c r="P84" t="s">
        <v>2256</v>
      </c>
      <c r="Q84">
        <v>24</v>
      </c>
      <c r="R84" t="s">
        <v>2843</v>
      </c>
      <c r="S84" t="s">
        <v>2856</v>
      </c>
      <c r="U84" t="s">
        <v>2868</v>
      </c>
      <c r="V84" t="s">
        <v>2174</v>
      </c>
      <c r="W84" t="s">
        <v>2174</v>
      </c>
      <c r="Y84" t="s">
        <v>2876</v>
      </c>
      <c r="Z84" t="s">
        <v>2879</v>
      </c>
      <c r="AA84" t="s">
        <v>100</v>
      </c>
      <c r="AB84">
        <v>0</v>
      </c>
      <c r="AC84">
        <v>1200</v>
      </c>
      <c r="AD84">
        <v>0.7</v>
      </c>
      <c r="AE84" t="s">
        <v>2894</v>
      </c>
      <c r="AG84" t="s">
        <v>2986</v>
      </c>
      <c r="AI84" t="s">
        <v>3850</v>
      </c>
      <c r="AJ84">
        <v>0</v>
      </c>
      <c r="AK84" t="s">
        <v>4458</v>
      </c>
      <c r="AL84">
        <v>4</v>
      </c>
      <c r="AM84">
        <v>0</v>
      </c>
      <c r="AN84">
        <v>98.01000000000001</v>
      </c>
      <c r="AQ84" t="s">
        <v>4473</v>
      </c>
      <c r="AR84" t="s">
        <v>4476</v>
      </c>
      <c r="AS84" t="s">
        <v>4486</v>
      </c>
      <c r="AT84">
        <v>25236.5</v>
      </c>
      <c r="AX84" t="s">
        <v>4502</v>
      </c>
      <c r="BA84" t="s">
        <v>4566</v>
      </c>
      <c r="BD84" t="s">
        <v>100</v>
      </c>
    </row>
    <row r="85" spans="1:57">
      <c r="A85" s="1">
        <f>HYPERLINK("https://lsnyc.legalserver.org/matter/dynamic-profile/view/1898830","19-1898830")</f>
        <v>0</v>
      </c>
      <c r="B85" t="s">
        <v>72</v>
      </c>
      <c r="C85" t="s">
        <v>92</v>
      </c>
      <c r="D85" t="s">
        <v>109</v>
      </c>
      <c r="E85" t="s">
        <v>218</v>
      </c>
      <c r="F85" t="s">
        <v>316</v>
      </c>
      <c r="G85" t="s">
        <v>864</v>
      </c>
      <c r="H85" t="s">
        <v>1381</v>
      </c>
      <c r="I85" t="s">
        <v>1964</v>
      </c>
      <c r="J85" t="s">
        <v>2169</v>
      </c>
      <c r="K85" t="s">
        <v>2171</v>
      </c>
      <c r="L85">
        <v>10033</v>
      </c>
      <c r="M85" t="s">
        <v>2173</v>
      </c>
      <c r="N85" t="s">
        <v>2173</v>
      </c>
      <c r="O85" t="s">
        <v>2175</v>
      </c>
      <c r="P85" t="s">
        <v>2257</v>
      </c>
      <c r="Q85">
        <v>37</v>
      </c>
      <c r="R85" t="s">
        <v>2843</v>
      </c>
      <c r="S85" t="s">
        <v>2856</v>
      </c>
      <c r="T85" t="s">
        <v>2863</v>
      </c>
      <c r="U85" t="s">
        <v>2868</v>
      </c>
      <c r="V85" t="s">
        <v>2174</v>
      </c>
      <c r="W85" t="s">
        <v>2174</v>
      </c>
      <c r="Y85" t="s">
        <v>2876</v>
      </c>
      <c r="AA85" t="s">
        <v>109</v>
      </c>
      <c r="AB85">
        <v>0</v>
      </c>
      <c r="AC85">
        <v>1378.19</v>
      </c>
      <c r="AD85">
        <v>2</v>
      </c>
      <c r="AE85" t="s">
        <v>2894</v>
      </c>
      <c r="AF85" t="s">
        <v>2896</v>
      </c>
      <c r="AG85" t="s">
        <v>2987</v>
      </c>
      <c r="AI85" t="s">
        <v>3851</v>
      </c>
      <c r="AJ85">
        <v>0</v>
      </c>
      <c r="AK85" t="s">
        <v>4456</v>
      </c>
      <c r="AL85">
        <v>1</v>
      </c>
      <c r="AM85">
        <v>0</v>
      </c>
      <c r="AN85">
        <v>41.63</v>
      </c>
      <c r="AR85" t="s">
        <v>4476</v>
      </c>
      <c r="AS85" t="s">
        <v>4486</v>
      </c>
      <c r="AT85">
        <v>5199.6</v>
      </c>
      <c r="AX85" t="s">
        <v>4501</v>
      </c>
      <c r="BA85" t="s">
        <v>2176</v>
      </c>
      <c r="BD85" t="s">
        <v>4683</v>
      </c>
      <c r="BE85" t="s">
        <v>4703</v>
      </c>
    </row>
    <row r="86" spans="1:57">
      <c r="A86" s="1">
        <f>HYPERLINK("https://lsnyc.legalserver.org/matter/dynamic-profile/view/1906992","19-1906992")</f>
        <v>0</v>
      </c>
      <c r="B86" t="s">
        <v>67</v>
      </c>
      <c r="C86" t="s">
        <v>92</v>
      </c>
      <c r="D86" t="s">
        <v>128</v>
      </c>
      <c r="E86" t="s">
        <v>96</v>
      </c>
      <c r="F86" t="s">
        <v>317</v>
      </c>
      <c r="G86" t="s">
        <v>865</v>
      </c>
      <c r="H86" t="s">
        <v>1382</v>
      </c>
      <c r="I86">
        <v>2</v>
      </c>
      <c r="J86" t="s">
        <v>2169</v>
      </c>
      <c r="K86" t="s">
        <v>2171</v>
      </c>
      <c r="L86">
        <v>10033</v>
      </c>
      <c r="M86" t="s">
        <v>2173</v>
      </c>
      <c r="N86" t="s">
        <v>2172</v>
      </c>
      <c r="O86" t="s">
        <v>2175</v>
      </c>
      <c r="P86" t="s">
        <v>2258</v>
      </c>
      <c r="Q86">
        <v>1</v>
      </c>
      <c r="R86" t="s">
        <v>2843</v>
      </c>
      <c r="S86" t="s">
        <v>2856</v>
      </c>
      <c r="T86" t="s">
        <v>2863</v>
      </c>
      <c r="U86" t="s">
        <v>2868</v>
      </c>
      <c r="V86" t="s">
        <v>2174</v>
      </c>
      <c r="W86" t="s">
        <v>2174</v>
      </c>
      <c r="Y86" t="s">
        <v>2876</v>
      </c>
      <c r="Z86" t="s">
        <v>2879</v>
      </c>
      <c r="AA86" t="s">
        <v>128</v>
      </c>
      <c r="AB86">
        <v>0</v>
      </c>
      <c r="AC86">
        <v>1500</v>
      </c>
      <c r="AD86">
        <v>0.5</v>
      </c>
      <c r="AE86" t="s">
        <v>2894</v>
      </c>
      <c r="AF86" t="s">
        <v>2896</v>
      </c>
      <c r="AG86" t="s">
        <v>2988</v>
      </c>
      <c r="AI86" t="s">
        <v>3852</v>
      </c>
      <c r="AJ86">
        <v>3</v>
      </c>
      <c r="AK86" t="s">
        <v>4458</v>
      </c>
      <c r="AL86">
        <v>3</v>
      </c>
      <c r="AM86">
        <v>1</v>
      </c>
      <c r="AN86">
        <v>100.96</v>
      </c>
      <c r="AR86" t="s">
        <v>4476</v>
      </c>
      <c r="AS86" t="s">
        <v>4487</v>
      </c>
      <c r="AT86">
        <v>25998</v>
      </c>
      <c r="AX86" t="s">
        <v>4502</v>
      </c>
      <c r="BA86" t="s">
        <v>4541</v>
      </c>
      <c r="BD86" t="s">
        <v>96</v>
      </c>
      <c r="BE86" t="s">
        <v>4703</v>
      </c>
    </row>
    <row r="87" spans="1:57">
      <c r="A87" s="1">
        <f>HYPERLINK("https://lsnyc.legalserver.org/matter/dynamic-profile/view/1906993","19-1906993")</f>
        <v>0</v>
      </c>
      <c r="B87" t="s">
        <v>68</v>
      </c>
      <c r="C87" t="s">
        <v>92</v>
      </c>
      <c r="D87" t="s">
        <v>128</v>
      </c>
      <c r="E87" t="s">
        <v>197</v>
      </c>
      <c r="F87" t="s">
        <v>318</v>
      </c>
      <c r="G87" t="s">
        <v>866</v>
      </c>
      <c r="H87" t="s">
        <v>1381</v>
      </c>
      <c r="I87" t="s">
        <v>1965</v>
      </c>
      <c r="J87" t="s">
        <v>2169</v>
      </c>
      <c r="K87" t="s">
        <v>2171</v>
      </c>
      <c r="L87">
        <v>10033</v>
      </c>
      <c r="M87" t="s">
        <v>2173</v>
      </c>
      <c r="N87" t="s">
        <v>2172</v>
      </c>
      <c r="O87" t="s">
        <v>2175</v>
      </c>
      <c r="P87" t="s">
        <v>2259</v>
      </c>
      <c r="Q87">
        <v>7</v>
      </c>
      <c r="R87" t="s">
        <v>2843</v>
      </c>
      <c r="S87" t="s">
        <v>2856</v>
      </c>
      <c r="T87" t="s">
        <v>2863</v>
      </c>
      <c r="U87" t="s">
        <v>2868</v>
      </c>
      <c r="V87" t="s">
        <v>2174</v>
      </c>
      <c r="W87" t="s">
        <v>2174</v>
      </c>
      <c r="Y87" t="s">
        <v>2876</v>
      </c>
      <c r="AA87" t="s">
        <v>128</v>
      </c>
      <c r="AB87">
        <v>0</v>
      </c>
      <c r="AC87">
        <v>1050</v>
      </c>
      <c r="AD87">
        <v>2.15</v>
      </c>
      <c r="AE87" t="s">
        <v>2894</v>
      </c>
      <c r="AF87" t="s">
        <v>2896</v>
      </c>
      <c r="AG87" t="s">
        <v>2989</v>
      </c>
      <c r="AI87" t="s">
        <v>3853</v>
      </c>
      <c r="AJ87">
        <v>0</v>
      </c>
      <c r="AK87" t="s">
        <v>4456</v>
      </c>
      <c r="AL87">
        <v>2</v>
      </c>
      <c r="AM87">
        <v>0</v>
      </c>
      <c r="AN87">
        <v>107.87</v>
      </c>
      <c r="AR87" t="s">
        <v>4476</v>
      </c>
      <c r="AS87" t="s">
        <v>4487</v>
      </c>
      <c r="AT87">
        <v>18240</v>
      </c>
      <c r="AX87" t="s">
        <v>4501</v>
      </c>
      <c r="BA87" t="s">
        <v>4552</v>
      </c>
      <c r="BD87" t="s">
        <v>97</v>
      </c>
      <c r="BE87" t="s">
        <v>4703</v>
      </c>
    </row>
    <row r="88" spans="1:57">
      <c r="A88" s="1">
        <f>HYPERLINK("https://lsnyc.legalserver.org/matter/dynamic-profile/view/1891572","19-1891572")</f>
        <v>0</v>
      </c>
      <c r="B88" t="s">
        <v>62</v>
      </c>
      <c r="C88" t="s">
        <v>92</v>
      </c>
      <c r="D88" t="s">
        <v>107</v>
      </c>
      <c r="E88" t="s">
        <v>216</v>
      </c>
      <c r="F88" t="s">
        <v>319</v>
      </c>
      <c r="G88" t="s">
        <v>867</v>
      </c>
      <c r="H88" t="s">
        <v>1383</v>
      </c>
      <c r="I88">
        <v>36</v>
      </c>
      <c r="J88" t="s">
        <v>2169</v>
      </c>
      <c r="K88" t="s">
        <v>2171</v>
      </c>
      <c r="L88">
        <v>10033</v>
      </c>
      <c r="M88" t="s">
        <v>2173</v>
      </c>
      <c r="N88" t="s">
        <v>2173</v>
      </c>
      <c r="O88" t="s">
        <v>2175</v>
      </c>
      <c r="P88" t="s">
        <v>2260</v>
      </c>
      <c r="Q88">
        <v>20</v>
      </c>
      <c r="R88" t="s">
        <v>2844</v>
      </c>
      <c r="S88" t="s">
        <v>2856</v>
      </c>
      <c r="T88" t="s">
        <v>2863</v>
      </c>
      <c r="U88" t="s">
        <v>2868</v>
      </c>
      <c r="V88" t="s">
        <v>2174</v>
      </c>
      <c r="W88" t="s">
        <v>2174</v>
      </c>
      <c r="Y88" t="s">
        <v>2876</v>
      </c>
      <c r="Z88" t="s">
        <v>2879</v>
      </c>
      <c r="AA88" t="s">
        <v>107</v>
      </c>
      <c r="AB88">
        <v>0</v>
      </c>
      <c r="AC88">
        <v>1289.99</v>
      </c>
      <c r="AD88">
        <v>0.2</v>
      </c>
      <c r="AE88" t="s">
        <v>2894</v>
      </c>
      <c r="AF88" t="s">
        <v>2896</v>
      </c>
      <c r="AG88" t="s">
        <v>2990</v>
      </c>
      <c r="AI88" t="s">
        <v>3854</v>
      </c>
      <c r="AJ88">
        <v>30</v>
      </c>
      <c r="AK88" t="s">
        <v>4456</v>
      </c>
      <c r="AL88">
        <v>2</v>
      </c>
      <c r="AM88">
        <v>1</v>
      </c>
      <c r="AN88">
        <v>132.21</v>
      </c>
      <c r="AQ88" t="s">
        <v>4475</v>
      </c>
      <c r="AR88" t="s">
        <v>4476</v>
      </c>
      <c r="AS88" t="s">
        <v>4487</v>
      </c>
      <c r="AT88">
        <v>28200</v>
      </c>
      <c r="AX88" t="s">
        <v>4502</v>
      </c>
      <c r="BA88" t="s">
        <v>4543</v>
      </c>
      <c r="BD88" t="s">
        <v>212</v>
      </c>
    </row>
    <row r="89" spans="1:57">
      <c r="A89" s="1">
        <f>HYPERLINK("https://lsnyc.legalserver.org/matter/dynamic-profile/view/1894681","19-1894681")</f>
        <v>0</v>
      </c>
      <c r="B89" t="s">
        <v>72</v>
      </c>
      <c r="C89" t="s">
        <v>92</v>
      </c>
      <c r="D89" t="s">
        <v>119</v>
      </c>
      <c r="E89" t="s">
        <v>221</v>
      </c>
      <c r="F89" t="s">
        <v>320</v>
      </c>
      <c r="G89" t="s">
        <v>868</v>
      </c>
      <c r="H89" t="s">
        <v>1384</v>
      </c>
      <c r="I89" t="s">
        <v>1966</v>
      </c>
      <c r="J89" t="s">
        <v>2169</v>
      </c>
      <c r="K89" t="s">
        <v>2171</v>
      </c>
      <c r="L89">
        <v>10033</v>
      </c>
      <c r="M89" t="s">
        <v>2173</v>
      </c>
      <c r="N89" t="s">
        <v>2173</v>
      </c>
      <c r="O89" t="s">
        <v>2175</v>
      </c>
      <c r="P89" t="s">
        <v>2261</v>
      </c>
      <c r="Q89">
        <v>30</v>
      </c>
      <c r="R89" t="s">
        <v>2844</v>
      </c>
      <c r="S89" t="s">
        <v>2856</v>
      </c>
      <c r="T89" t="s">
        <v>2863</v>
      </c>
      <c r="U89" t="s">
        <v>2868</v>
      </c>
      <c r="V89" t="s">
        <v>2174</v>
      </c>
      <c r="W89" t="s">
        <v>2174</v>
      </c>
      <c r="Y89" t="s">
        <v>2876</v>
      </c>
      <c r="Z89" t="s">
        <v>2879</v>
      </c>
      <c r="AA89" t="s">
        <v>119</v>
      </c>
      <c r="AB89">
        <v>0</v>
      </c>
      <c r="AC89">
        <v>1327</v>
      </c>
      <c r="AD89">
        <v>1.5</v>
      </c>
      <c r="AE89" t="s">
        <v>2894</v>
      </c>
      <c r="AF89" t="s">
        <v>2896</v>
      </c>
      <c r="AG89" t="s">
        <v>2991</v>
      </c>
      <c r="AI89" t="s">
        <v>3855</v>
      </c>
      <c r="AJ89">
        <v>0</v>
      </c>
      <c r="AK89" t="s">
        <v>4456</v>
      </c>
      <c r="AL89">
        <v>1</v>
      </c>
      <c r="AM89">
        <v>0</v>
      </c>
      <c r="AN89">
        <v>0</v>
      </c>
      <c r="AQ89" t="s">
        <v>4473</v>
      </c>
      <c r="AR89" t="s">
        <v>4476</v>
      </c>
      <c r="AS89" t="s">
        <v>4486</v>
      </c>
      <c r="AT89">
        <v>0</v>
      </c>
      <c r="AX89" t="s">
        <v>4502</v>
      </c>
      <c r="BA89" t="s">
        <v>4539</v>
      </c>
      <c r="BD89" t="s">
        <v>207</v>
      </c>
      <c r="BE89" t="s">
        <v>4703</v>
      </c>
    </row>
    <row r="90" spans="1:57">
      <c r="A90" s="1">
        <f>HYPERLINK("https://lsnyc.legalserver.org/matter/dynamic-profile/view/1904641","19-1904641")</f>
        <v>0</v>
      </c>
      <c r="B90" t="s">
        <v>68</v>
      </c>
      <c r="C90" t="s">
        <v>93</v>
      </c>
      <c r="D90" t="s">
        <v>131</v>
      </c>
      <c r="F90" t="s">
        <v>321</v>
      </c>
      <c r="G90" t="s">
        <v>381</v>
      </c>
      <c r="H90" t="s">
        <v>1385</v>
      </c>
      <c r="I90" t="s">
        <v>1931</v>
      </c>
      <c r="J90" t="s">
        <v>2169</v>
      </c>
      <c r="K90" t="s">
        <v>2171</v>
      </c>
      <c r="L90">
        <v>10033</v>
      </c>
      <c r="M90" t="s">
        <v>2173</v>
      </c>
      <c r="N90" t="s">
        <v>2172</v>
      </c>
      <c r="O90" t="s">
        <v>2178</v>
      </c>
      <c r="P90" t="s">
        <v>2262</v>
      </c>
      <c r="Q90">
        <v>10</v>
      </c>
      <c r="R90" t="s">
        <v>2844</v>
      </c>
      <c r="S90" t="s">
        <v>2856</v>
      </c>
      <c r="U90" t="s">
        <v>2868</v>
      </c>
      <c r="V90" t="s">
        <v>2174</v>
      </c>
      <c r="W90" t="s">
        <v>2174</v>
      </c>
      <c r="Y90" t="s">
        <v>2876</v>
      </c>
      <c r="AA90" t="s">
        <v>131</v>
      </c>
      <c r="AB90">
        <v>0</v>
      </c>
      <c r="AC90">
        <v>775</v>
      </c>
      <c r="AD90">
        <v>4</v>
      </c>
      <c r="AE90" t="s">
        <v>2894</v>
      </c>
      <c r="AG90" t="s">
        <v>2992</v>
      </c>
      <c r="AI90" t="s">
        <v>3856</v>
      </c>
      <c r="AJ90">
        <v>0</v>
      </c>
      <c r="AK90" t="s">
        <v>4459</v>
      </c>
      <c r="AL90">
        <v>1</v>
      </c>
      <c r="AM90">
        <v>0</v>
      </c>
      <c r="AN90">
        <v>187.35</v>
      </c>
      <c r="AR90" t="s">
        <v>4476</v>
      </c>
      <c r="AS90" t="s">
        <v>4486</v>
      </c>
      <c r="AT90">
        <v>23400</v>
      </c>
      <c r="AX90" t="s">
        <v>4501</v>
      </c>
      <c r="BA90" t="s">
        <v>4546</v>
      </c>
      <c r="BD90" t="s">
        <v>4670</v>
      </c>
      <c r="BE90" t="s">
        <v>4703</v>
      </c>
    </row>
    <row r="91" spans="1:57">
      <c r="A91" s="1">
        <f>HYPERLINK("https://lsnyc.legalserver.org/matter/dynamic-profile/view/1910151","19-1910151")</f>
        <v>0</v>
      </c>
      <c r="B91" t="s">
        <v>62</v>
      </c>
      <c r="C91" t="s">
        <v>92</v>
      </c>
      <c r="D91" t="s">
        <v>114</v>
      </c>
      <c r="E91" t="s">
        <v>213</v>
      </c>
      <c r="F91" t="s">
        <v>322</v>
      </c>
      <c r="G91" t="s">
        <v>869</v>
      </c>
      <c r="H91" t="s">
        <v>1386</v>
      </c>
      <c r="I91" t="s">
        <v>1967</v>
      </c>
      <c r="J91" t="s">
        <v>2169</v>
      </c>
      <c r="K91" t="s">
        <v>2171</v>
      </c>
      <c r="L91">
        <v>10033</v>
      </c>
      <c r="M91" t="s">
        <v>2173</v>
      </c>
      <c r="N91" t="s">
        <v>2172</v>
      </c>
      <c r="O91" t="s">
        <v>2175</v>
      </c>
      <c r="P91" t="s">
        <v>2263</v>
      </c>
      <c r="Q91">
        <v>1</v>
      </c>
      <c r="R91" t="s">
        <v>2844</v>
      </c>
      <c r="S91" t="s">
        <v>2856</v>
      </c>
      <c r="T91" t="s">
        <v>2863</v>
      </c>
      <c r="U91" t="s">
        <v>2868</v>
      </c>
      <c r="V91" t="s">
        <v>2174</v>
      </c>
      <c r="W91" t="s">
        <v>2174</v>
      </c>
      <c r="Y91" t="s">
        <v>2876</v>
      </c>
      <c r="AA91" t="s">
        <v>114</v>
      </c>
      <c r="AB91">
        <v>0</v>
      </c>
      <c r="AC91">
        <v>0</v>
      </c>
      <c r="AD91">
        <v>0</v>
      </c>
      <c r="AE91" t="s">
        <v>2894</v>
      </c>
      <c r="AF91" t="s">
        <v>2896</v>
      </c>
      <c r="AG91" t="s">
        <v>2993</v>
      </c>
      <c r="AH91" t="s">
        <v>3612</v>
      </c>
      <c r="AI91" t="s">
        <v>3857</v>
      </c>
      <c r="AJ91">
        <v>28</v>
      </c>
      <c r="AK91" t="s">
        <v>4458</v>
      </c>
      <c r="AL91">
        <v>1</v>
      </c>
      <c r="AM91">
        <v>0</v>
      </c>
      <c r="AN91">
        <v>0</v>
      </c>
      <c r="AR91" t="s">
        <v>4476</v>
      </c>
      <c r="AS91" t="s">
        <v>4487</v>
      </c>
      <c r="AT91">
        <v>0</v>
      </c>
      <c r="AX91" t="s">
        <v>4501</v>
      </c>
      <c r="BA91" t="s">
        <v>4547</v>
      </c>
      <c r="BD91" t="s">
        <v>4670</v>
      </c>
      <c r="BE91" t="s">
        <v>4704</v>
      </c>
    </row>
    <row r="92" spans="1:57">
      <c r="A92" s="1">
        <f>HYPERLINK("https://lsnyc.legalserver.org/matter/dynamic-profile/view/1889138","19-1889138")</f>
        <v>0</v>
      </c>
      <c r="B92" t="s">
        <v>74</v>
      </c>
      <c r="C92" t="s">
        <v>93</v>
      </c>
      <c r="D92" t="s">
        <v>132</v>
      </c>
      <c r="F92" t="s">
        <v>323</v>
      </c>
      <c r="G92" t="s">
        <v>870</v>
      </c>
      <c r="H92" t="s">
        <v>1387</v>
      </c>
      <c r="I92">
        <v>31</v>
      </c>
      <c r="J92" t="s">
        <v>2169</v>
      </c>
      <c r="K92" t="s">
        <v>2171</v>
      </c>
      <c r="L92">
        <v>10032</v>
      </c>
      <c r="M92" t="s">
        <v>2174</v>
      </c>
      <c r="N92" t="s">
        <v>2174</v>
      </c>
      <c r="O92" t="s">
        <v>2177</v>
      </c>
      <c r="P92" t="s">
        <v>2264</v>
      </c>
      <c r="Q92">
        <v>15</v>
      </c>
      <c r="R92" t="s">
        <v>2843</v>
      </c>
      <c r="S92" t="s">
        <v>2859</v>
      </c>
      <c r="U92" t="s">
        <v>2868</v>
      </c>
      <c r="V92" t="s">
        <v>2174</v>
      </c>
      <c r="W92" t="s">
        <v>2174</v>
      </c>
      <c r="Y92" t="s">
        <v>2876</v>
      </c>
      <c r="AB92">
        <v>0</v>
      </c>
      <c r="AC92">
        <v>825</v>
      </c>
      <c r="AD92">
        <v>3.3</v>
      </c>
      <c r="AE92" t="s">
        <v>2894</v>
      </c>
      <c r="AG92" t="s">
        <v>2994</v>
      </c>
      <c r="AI92" t="s">
        <v>3858</v>
      </c>
      <c r="AJ92">
        <v>0</v>
      </c>
      <c r="AK92" t="s">
        <v>4464</v>
      </c>
      <c r="AL92">
        <v>1</v>
      </c>
      <c r="AM92">
        <v>1</v>
      </c>
      <c r="AN92">
        <v>49.67</v>
      </c>
      <c r="AQ92" t="s">
        <v>4473</v>
      </c>
      <c r="AR92" t="s">
        <v>4476</v>
      </c>
      <c r="AS92" t="s">
        <v>4486</v>
      </c>
      <c r="AT92">
        <v>8400</v>
      </c>
      <c r="AX92" t="s">
        <v>4504</v>
      </c>
      <c r="BA92" t="s">
        <v>4567</v>
      </c>
      <c r="BD92" t="s">
        <v>168</v>
      </c>
    </row>
    <row r="93" spans="1:57">
      <c r="A93" s="1">
        <f>HYPERLINK("https://lsnyc.legalserver.org/matter/dynamic-profile/view/1890396","19-1890396")</f>
        <v>0</v>
      </c>
      <c r="B93" t="s">
        <v>71</v>
      </c>
      <c r="C93" t="s">
        <v>93</v>
      </c>
      <c r="D93" t="s">
        <v>101</v>
      </c>
      <c r="F93" t="s">
        <v>324</v>
      </c>
      <c r="G93" t="s">
        <v>871</v>
      </c>
      <c r="H93" t="s">
        <v>1388</v>
      </c>
      <c r="I93">
        <v>51</v>
      </c>
      <c r="J93" t="s">
        <v>2169</v>
      </c>
      <c r="K93" t="s">
        <v>2171</v>
      </c>
      <c r="L93">
        <v>10032</v>
      </c>
      <c r="M93" t="s">
        <v>2173</v>
      </c>
      <c r="N93" t="s">
        <v>2173</v>
      </c>
      <c r="O93" t="s">
        <v>2175</v>
      </c>
      <c r="P93" t="s">
        <v>2265</v>
      </c>
      <c r="Q93">
        <v>40</v>
      </c>
      <c r="R93" t="s">
        <v>2843</v>
      </c>
      <c r="S93" t="s">
        <v>2856</v>
      </c>
      <c r="U93" t="s">
        <v>2868</v>
      </c>
      <c r="V93" t="s">
        <v>2174</v>
      </c>
      <c r="W93" t="s">
        <v>2174</v>
      </c>
      <c r="Y93" t="s">
        <v>2876</v>
      </c>
      <c r="Z93" t="s">
        <v>2879</v>
      </c>
      <c r="AA93" t="s">
        <v>101</v>
      </c>
      <c r="AB93">
        <v>0</v>
      </c>
      <c r="AC93">
        <v>892</v>
      </c>
      <c r="AD93">
        <v>0</v>
      </c>
      <c r="AE93" t="s">
        <v>2894</v>
      </c>
      <c r="AG93" t="s">
        <v>2995</v>
      </c>
      <c r="AI93" t="s">
        <v>3859</v>
      </c>
      <c r="AJ93">
        <v>57</v>
      </c>
      <c r="AK93" t="s">
        <v>4458</v>
      </c>
      <c r="AL93">
        <v>1</v>
      </c>
      <c r="AM93">
        <v>0</v>
      </c>
      <c r="AN93">
        <v>160.13</v>
      </c>
      <c r="AQ93" t="s">
        <v>4473</v>
      </c>
      <c r="AR93" t="s">
        <v>4477</v>
      </c>
      <c r="AS93" t="s">
        <v>4486</v>
      </c>
      <c r="AT93">
        <v>20000</v>
      </c>
      <c r="AX93" t="s">
        <v>4502</v>
      </c>
      <c r="BA93" t="s">
        <v>4531</v>
      </c>
    </row>
    <row r="94" spans="1:57">
      <c r="A94" s="1">
        <f>HYPERLINK("https://lsnyc.legalserver.org/matter/dynamic-profile/view/1890991","19-1890991")</f>
        <v>0</v>
      </c>
      <c r="B94" t="s">
        <v>68</v>
      </c>
      <c r="C94" t="s">
        <v>92</v>
      </c>
      <c r="D94" t="s">
        <v>133</v>
      </c>
      <c r="E94" t="s">
        <v>217</v>
      </c>
      <c r="F94" t="s">
        <v>325</v>
      </c>
      <c r="G94" t="s">
        <v>872</v>
      </c>
      <c r="H94" t="s">
        <v>1389</v>
      </c>
      <c r="I94" t="s">
        <v>1968</v>
      </c>
      <c r="J94" t="s">
        <v>2169</v>
      </c>
      <c r="K94" t="s">
        <v>2171</v>
      </c>
      <c r="L94">
        <v>10032</v>
      </c>
      <c r="M94" t="s">
        <v>2173</v>
      </c>
      <c r="N94" t="s">
        <v>2173</v>
      </c>
      <c r="O94" t="s">
        <v>2179</v>
      </c>
      <c r="P94" t="s">
        <v>2266</v>
      </c>
      <c r="Q94">
        <v>44</v>
      </c>
      <c r="R94" t="s">
        <v>2843</v>
      </c>
      <c r="S94" t="s">
        <v>2856</v>
      </c>
      <c r="T94" t="s">
        <v>2863</v>
      </c>
      <c r="U94" t="s">
        <v>2868</v>
      </c>
      <c r="V94" t="s">
        <v>2174</v>
      </c>
      <c r="W94" t="s">
        <v>2174</v>
      </c>
      <c r="Y94" t="s">
        <v>2876</v>
      </c>
      <c r="AA94" t="s">
        <v>133</v>
      </c>
      <c r="AB94">
        <v>0</v>
      </c>
      <c r="AC94">
        <v>781.86</v>
      </c>
      <c r="AD94">
        <v>1.33</v>
      </c>
      <c r="AE94" t="s">
        <v>2894</v>
      </c>
      <c r="AF94" t="s">
        <v>2896</v>
      </c>
      <c r="AG94" t="s">
        <v>2996</v>
      </c>
      <c r="AI94" t="s">
        <v>3860</v>
      </c>
      <c r="AJ94">
        <v>0</v>
      </c>
      <c r="AK94" t="s">
        <v>4461</v>
      </c>
      <c r="AL94">
        <v>2</v>
      </c>
      <c r="AM94">
        <v>0</v>
      </c>
      <c r="AN94">
        <v>149.88</v>
      </c>
      <c r="AQ94" t="s">
        <v>4473</v>
      </c>
      <c r="AR94" t="s">
        <v>4477</v>
      </c>
      <c r="AS94" t="s">
        <v>4487</v>
      </c>
      <c r="AT94">
        <v>25344</v>
      </c>
      <c r="AX94" t="s">
        <v>4501</v>
      </c>
      <c r="BA94" t="s">
        <v>4559</v>
      </c>
      <c r="BD94" t="s">
        <v>159</v>
      </c>
    </row>
    <row r="95" spans="1:57">
      <c r="A95" s="1">
        <f>HYPERLINK("https://lsnyc.legalserver.org/matter/dynamic-profile/view/1891571","19-1891571")</f>
        <v>0</v>
      </c>
      <c r="B95" t="s">
        <v>62</v>
      </c>
      <c r="C95" t="s">
        <v>92</v>
      </c>
      <c r="D95" t="s">
        <v>107</v>
      </c>
      <c r="E95" t="s">
        <v>213</v>
      </c>
      <c r="F95" t="s">
        <v>270</v>
      </c>
      <c r="G95" t="s">
        <v>852</v>
      </c>
      <c r="H95" t="s">
        <v>1390</v>
      </c>
      <c r="I95" t="s">
        <v>1969</v>
      </c>
      <c r="J95" t="s">
        <v>2169</v>
      </c>
      <c r="K95" t="s">
        <v>2171</v>
      </c>
      <c r="L95">
        <v>10032</v>
      </c>
      <c r="M95" t="s">
        <v>2173</v>
      </c>
      <c r="N95" t="s">
        <v>2173</v>
      </c>
      <c r="O95" t="s">
        <v>2175</v>
      </c>
      <c r="P95" t="s">
        <v>2267</v>
      </c>
      <c r="Q95">
        <v>4</v>
      </c>
      <c r="R95" t="s">
        <v>2843</v>
      </c>
      <c r="S95" t="s">
        <v>2856</v>
      </c>
      <c r="T95" t="s">
        <v>2863</v>
      </c>
      <c r="U95" t="s">
        <v>2868</v>
      </c>
      <c r="V95" t="s">
        <v>2174</v>
      </c>
      <c r="W95" t="s">
        <v>2174</v>
      </c>
      <c r="Y95" t="s">
        <v>2876</v>
      </c>
      <c r="Z95" t="s">
        <v>2879</v>
      </c>
      <c r="AA95" t="s">
        <v>107</v>
      </c>
      <c r="AB95">
        <v>0</v>
      </c>
      <c r="AC95">
        <v>1646</v>
      </c>
      <c r="AD95">
        <v>0.1</v>
      </c>
      <c r="AE95" t="s">
        <v>2894</v>
      </c>
      <c r="AF95" t="s">
        <v>2896</v>
      </c>
      <c r="AG95" t="s">
        <v>2997</v>
      </c>
      <c r="AI95" t="s">
        <v>3861</v>
      </c>
      <c r="AJ95">
        <v>182</v>
      </c>
      <c r="AK95" t="s">
        <v>4456</v>
      </c>
      <c r="AL95">
        <v>1</v>
      </c>
      <c r="AM95">
        <v>0</v>
      </c>
      <c r="AN95">
        <v>104.05</v>
      </c>
      <c r="AQ95" t="s">
        <v>4473</v>
      </c>
      <c r="AR95" t="s">
        <v>4478</v>
      </c>
      <c r="AS95" t="s">
        <v>4487</v>
      </c>
      <c r="AT95">
        <v>12996</v>
      </c>
      <c r="AX95" t="s">
        <v>4502</v>
      </c>
      <c r="BA95" t="s">
        <v>4546</v>
      </c>
      <c r="BD95" t="s">
        <v>4670</v>
      </c>
      <c r="BE95" t="s">
        <v>4703</v>
      </c>
    </row>
    <row r="96" spans="1:57">
      <c r="A96" s="1">
        <f>HYPERLINK("https://lsnyc.legalserver.org/matter/dynamic-profile/view/1891576","19-1891576")</f>
        <v>0</v>
      </c>
      <c r="B96" t="s">
        <v>64</v>
      </c>
      <c r="C96" t="s">
        <v>93</v>
      </c>
      <c r="D96" t="s">
        <v>107</v>
      </c>
      <c r="F96" t="s">
        <v>326</v>
      </c>
      <c r="G96" t="s">
        <v>873</v>
      </c>
      <c r="H96" t="s">
        <v>1391</v>
      </c>
      <c r="I96" t="s">
        <v>1970</v>
      </c>
      <c r="J96" t="s">
        <v>2169</v>
      </c>
      <c r="K96" t="s">
        <v>2171</v>
      </c>
      <c r="L96">
        <v>10032</v>
      </c>
      <c r="M96" t="s">
        <v>2173</v>
      </c>
      <c r="N96" t="s">
        <v>2173</v>
      </c>
      <c r="O96" t="s">
        <v>2175</v>
      </c>
      <c r="P96" t="s">
        <v>2268</v>
      </c>
      <c r="Q96">
        <v>2</v>
      </c>
      <c r="R96" t="s">
        <v>2843</v>
      </c>
      <c r="S96" t="s">
        <v>2857</v>
      </c>
      <c r="U96" t="s">
        <v>2868</v>
      </c>
      <c r="V96" t="s">
        <v>2174</v>
      </c>
      <c r="W96" t="s">
        <v>2174</v>
      </c>
      <c r="Y96" t="s">
        <v>2876</v>
      </c>
      <c r="Z96" t="s">
        <v>2879</v>
      </c>
      <c r="AA96" t="s">
        <v>107</v>
      </c>
      <c r="AB96">
        <v>0</v>
      </c>
      <c r="AC96">
        <v>1232</v>
      </c>
      <c r="AD96">
        <v>31.8</v>
      </c>
      <c r="AE96" t="s">
        <v>2894</v>
      </c>
      <c r="AG96" t="s">
        <v>2998</v>
      </c>
      <c r="AI96" t="s">
        <v>3862</v>
      </c>
      <c r="AJ96">
        <v>0</v>
      </c>
      <c r="AK96" t="s">
        <v>4456</v>
      </c>
      <c r="AL96">
        <v>3</v>
      </c>
      <c r="AM96">
        <v>0</v>
      </c>
      <c r="AN96">
        <v>86.75</v>
      </c>
      <c r="AQ96" t="s">
        <v>4473</v>
      </c>
      <c r="AR96" t="s">
        <v>4476</v>
      </c>
      <c r="AS96" t="s">
        <v>4486</v>
      </c>
      <c r="AT96">
        <v>18504</v>
      </c>
      <c r="AX96" t="s">
        <v>4501</v>
      </c>
      <c r="BA96" t="s">
        <v>4548</v>
      </c>
      <c r="BD96" t="s">
        <v>4678</v>
      </c>
      <c r="BE96" t="s">
        <v>4703</v>
      </c>
    </row>
    <row r="97" spans="1:57">
      <c r="A97" s="1">
        <f>HYPERLINK("https://lsnyc.legalserver.org/matter/dynamic-profile/view/1891602","19-1891602")</f>
        <v>0</v>
      </c>
      <c r="B97" t="s">
        <v>62</v>
      </c>
      <c r="C97" t="s">
        <v>92</v>
      </c>
      <c r="D97" t="s">
        <v>107</v>
      </c>
      <c r="E97" t="s">
        <v>213</v>
      </c>
      <c r="F97" t="s">
        <v>327</v>
      </c>
      <c r="G97" t="s">
        <v>874</v>
      </c>
      <c r="H97" t="s">
        <v>1392</v>
      </c>
      <c r="I97" t="s">
        <v>1971</v>
      </c>
      <c r="J97" t="s">
        <v>2169</v>
      </c>
      <c r="K97" t="s">
        <v>2171</v>
      </c>
      <c r="L97">
        <v>10032</v>
      </c>
      <c r="M97" t="s">
        <v>2173</v>
      </c>
      <c r="N97" t="s">
        <v>2173</v>
      </c>
      <c r="O97" t="s">
        <v>2175</v>
      </c>
      <c r="P97" t="s">
        <v>2269</v>
      </c>
      <c r="Q97">
        <v>11</v>
      </c>
      <c r="R97" t="s">
        <v>2843</v>
      </c>
      <c r="S97" t="s">
        <v>2856</v>
      </c>
      <c r="T97" t="s">
        <v>2863</v>
      </c>
      <c r="U97" t="s">
        <v>2868</v>
      </c>
      <c r="V97" t="s">
        <v>2174</v>
      </c>
      <c r="W97" t="s">
        <v>2174</v>
      </c>
      <c r="Y97" t="s">
        <v>2875</v>
      </c>
      <c r="Z97" t="s">
        <v>2879</v>
      </c>
      <c r="AA97" t="s">
        <v>107</v>
      </c>
      <c r="AB97">
        <v>0</v>
      </c>
      <c r="AC97">
        <v>249</v>
      </c>
      <c r="AD97">
        <v>0.1</v>
      </c>
      <c r="AE97" t="s">
        <v>2894</v>
      </c>
      <c r="AF97" t="s">
        <v>2896</v>
      </c>
      <c r="AG97" t="s">
        <v>2999</v>
      </c>
      <c r="AI97" t="s">
        <v>3863</v>
      </c>
      <c r="AJ97">
        <v>170</v>
      </c>
      <c r="AK97" t="s">
        <v>4457</v>
      </c>
      <c r="AL97">
        <v>1</v>
      </c>
      <c r="AM97">
        <v>0</v>
      </c>
      <c r="AN97">
        <v>80.7</v>
      </c>
      <c r="AQ97" t="s">
        <v>4473</v>
      </c>
      <c r="AR97" t="s">
        <v>4476</v>
      </c>
      <c r="AS97" t="s">
        <v>4487</v>
      </c>
      <c r="AT97">
        <v>10080</v>
      </c>
      <c r="AX97" t="s">
        <v>4502</v>
      </c>
      <c r="BA97" t="s">
        <v>4534</v>
      </c>
      <c r="BD97" t="s">
        <v>107</v>
      </c>
    </row>
    <row r="98" spans="1:57">
      <c r="A98" s="1">
        <f>HYPERLINK("https://lsnyc.legalserver.org/matter/dynamic-profile/view/1894623","19-1894623")</f>
        <v>0</v>
      </c>
      <c r="B98" t="s">
        <v>57</v>
      </c>
      <c r="C98" t="s">
        <v>93</v>
      </c>
      <c r="D98" t="s">
        <v>119</v>
      </c>
      <c r="F98" t="s">
        <v>328</v>
      </c>
      <c r="G98" t="s">
        <v>875</v>
      </c>
      <c r="H98" t="s">
        <v>1393</v>
      </c>
      <c r="I98">
        <v>6</v>
      </c>
      <c r="J98" t="s">
        <v>2169</v>
      </c>
      <c r="K98" t="s">
        <v>2171</v>
      </c>
      <c r="L98">
        <v>10032</v>
      </c>
      <c r="M98" t="s">
        <v>2173</v>
      </c>
      <c r="N98" t="s">
        <v>2173</v>
      </c>
      <c r="O98" t="s">
        <v>2175</v>
      </c>
      <c r="P98" t="s">
        <v>2270</v>
      </c>
      <c r="Q98">
        <v>42</v>
      </c>
      <c r="R98" t="s">
        <v>2843</v>
      </c>
      <c r="S98" t="s">
        <v>2857</v>
      </c>
      <c r="U98" t="s">
        <v>2868</v>
      </c>
      <c r="V98" t="s">
        <v>2174</v>
      </c>
      <c r="W98" t="s">
        <v>2174</v>
      </c>
      <c r="Y98" t="s">
        <v>2876</v>
      </c>
      <c r="Z98" t="s">
        <v>2879</v>
      </c>
      <c r="AA98" t="s">
        <v>119</v>
      </c>
      <c r="AB98">
        <v>0</v>
      </c>
      <c r="AC98">
        <v>842.9</v>
      </c>
      <c r="AD98">
        <v>18</v>
      </c>
      <c r="AE98" t="s">
        <v>2894</v>
      </c>
      <c r="AG98" t="s">
        <v>3000</v>
      </c>
      <c r="AI98" t="s">
        <v>3864</v>
      </c>
      <c r="AJ98">
        <v>67</v>
      </c>
      <c r="AK98" t="s">
        <v>4458</v>
      </c>
      <c r="AL98">
        <v>2</v>
      </c>
      <c r="AM98">
        <v>0</v>
      </c>
      <c r="AN98">
        <v>143.24</v>
      </c>
      <c r="AQ98" t="s">
        <v>4473</v>
      </c>
      <c r="AR98" t="s">
        <v>4476</v>
      </c>
      <c r="AS98" t="s">
        <v>4487</v>
      </c>
      <c r="AT98">
        <v>24221.64</v>
      </c>
      <c r="AX98" t="s">
        <v>4502</v>
      </c>
      <c r="BA98" t="s">
        <v>4568</v>
      </c>
      <c r="BD98" t="s">
        <v>210</v>
      </c>
      <c r="BE98" t="s">
        <v>4703</v>
      </c>
    </row>
    <row r="99" spans="1:57">
      <c r="A99" s="1">
        <f>HYPERLINK("https://lsnyc.legalserver.org/matter/dynamic-profile/view/1909004","19-1909004")</f>
        <v>0</v>
      </c>
      <c r="B99" t="s">
        <v>62</v>
      </c>
      <c r="C99" t="s">
        <v>93</v>
      </c>
      <c r="D99" t="s">
        <v>98</v>
      </c>
      <c r="F99" t="s">
        <v>329</v>
      </c>
      <c r="G99" t="s">
        <v>875</v>
      </c>
      <c r="H99" t="s">
        <v>1394</v>
      </c>
      <c r="I99">
        <v>55</v>
      </c>
      <c r="J99" t="s">
        <v>2169</v>
      </c>
      <c r="K99" t="s">
        <v>2171</v>
      </c>
      <c r="L99">
        <v>10032</v>
      </c>
      <c r="M99" t="s">
        <v>2173</v>
      </c>
      <c r="N99" t="s">
        <v>2172</v>
      </c>
      <c r="O99" t="s">
        <v>2178</v>
      </c>
      <c r="P99" t="s">
        <v>2271</v>
      </c>
      <c r="Q99">
        <v>12</v>
      </c>
      <c r="R99" t="s">
        <v>2843</v>
      </c>
      <c r="S99" t="s">
        <v>2858</v>
      </c>
      <c r="U99" t="s">
        <v>2868</v>
      </c>
      <c r="V99" t="s">
        <v>2174</v>
      </c>
      <c r="W99" t="s">
        <v>2174</v>
      </c>
      <c r="Y99" t="s">
        <v>2876</v>
      </c>
      <c r="AA99" t="s">
        <v>98</v>
      </c>
      <c r="AB99">
        <v>0</v>
      </c>
      <c r="AC99">
        <v>600</v>
      </c>
      <c r="AD99">
        <v>0.5</v>
      </c>
      <c r="AE99" t="s">
        <v>2894</v>
      </c>
      <c r="AG99" t="s">
        <v>3001</v>
      </c>
      <c r="AI99" t="s">
        <v>3865</v>
      </c>
      <c r="AJ99">
        <v>0</v>
      </c>
      <c r="AK99" t="s">
        <v>4464</v>
      </c>
      <c r="AL99">
        <v>2</v>
      </c>
      <c r="AM99">
        <v>0</v>
      </c>
      <c r="AN99">
        <v>484.09</v>
      </c>
      <c r="AR99" t="s">
        <v>4476</v>
      </c>
      <c r="AS99" t="s">
        <v>4486</v>
      </c>
      <c r="AT99">
        <v>81860</v>
      </c>
      <c r="AX99" t="s">
        <v>4501</v>
      </c>
      <c r="BA99" t="s">
        <v>4546</v>
      </c>
      <c r="BD99" t="s">
        <v>174</v>
      </c>
      <c r="BE99" t="s">
        <v>4703</v>
      </c>
    </row>
    <row r="100" spans="1:57">
      <c r="A100" s="1">
        <f>HYPERLINK("https://lsnyc.legalserver.org/matter/dynamic-profile/view/1910158","19-1910158")</f>
        <v>0</v>
      </c>
      <c r="B100" t="s">
        <v>62</v>
      </c>
      <c r="C100" t="s">
        <v>93</v>
      </c>
      <c r="D100" t="s">
        <v>114</v>
      </c>
      <c r="F100" t="s">
        <v>330</v>
      </c>
      <c r="G100" t="s">
        <v>876</v>
      </c>
      <c r="H100" t="s">
        <v>1395</v>
      </c>
      <c r="I100">
        <v>37</v>
      </c>
      <c r="J100" t="s">
        <v>2169</v>
      </c>
      <c r="K100" t="s">
        <v>2171</v>
      </c>
      <c r="L100">
        <v>10032</v>
      </c>
      <c r="M100" t="s">
        <v>2173</v>
      </c>
      <c r="N100" t="s">
        <v>2172</v>
      </c>
      <c r="O100" t="s">
        <v>2175</v>
      </c>
      <c r="P100" t="s">
        <v>2272</v>
      </c>
      <c r="Q100">
        <v>20</v>
      </c>
      <c r="R100" t="s">
        <v>2843</v>
      </c>
      <c r="S100" t="s">
        <v>2858</v>
      </c>
      <c r="U100" t="s">
        <v>2868</v>
      </c>
      <c r="V100" t="s">
        <v>2174</v>
      </c>
      <c r="W100" t="s">
        <v>2174</v>
      </c>
      <c r="Y100" t="s">
        <v>2876</v>
      </c>
      <c r="AA100" t="s">
        <v>114</v>
      </c>
      <c r="AB100">
        <v>0</v>
      </c>
      <c r="AC100">
        <v>1171</v>
      </c>
      <c r="AD100">
        <v>1.75</v>
      </c>
      <c r="AE100" t="s">
        <v>2894</v>
      </c>
      <c r="AG100" t="s">
        <v>3002</v>
      </c>
      <c r="AI100" t="s">
        <v>3866</v>
      </c>
      <c r="AJ100">
        <v>0</v>
      </c>
      <c r="AK100" t="s">
        <v>4456</v>
      </c>
      <c r="AL100">
        <v>3</v>
      </c>
      <c r="AM100">
        <v>2</v>
      </c>
      <c r="AN100">
        <v>172.36</v>
      </c>
      <c r="AR100" t="s">
        <v>4476</v>
      </c>
      <c r="AS100" t="s">
        <v>4487</v>
      </c>
      <c r="AT100">
        <v>52000</v>
      </c>
      <c r="AX100" t="s">
        <v>4501</v>
      </c>
      <c r="BA100" t="s">
        <v>4546</v>
      </c>
      <c r="BD100" t="s">
        <v>197</v>
      </c>
      <c r="BE100" t="s">
        <v>4703</v>
      </c>
    </row>
    <row r="101" spans="1:57">
      <c r="A101" s="1">
        <f>HYPERLINK("https://lsnyc.legalserver.org/matter/dynamic-profile/view/1910163","19-1910163")</f>
        <v>0</v>
      </c>
      <c r="B101" t="s">
        <v>62</v>
      </c>
      <c r="C101" t="s">
        <v>92</v>
      </c>
      <c r="D101" t="s">
        <v>114</v>
      </c>
      <c r="E101" t="s">
        <v>213</v>
      </c>
      <c r="F101" t="s">
        <v>331</v>
      </c>
      <c r="G101" t="s">
        <v>877</v>
      </c>
      <c r="H101" t="s">
        <v>1396</v>
      </c>
      <c r="I101" t="s">
        <v>1960</v>
      </c>
      <c r="J101" t="s">
        <v>2169</v>
      </c>
      <c r="K101" t="s">
        <v>2171</v>
      </c>
      <c r="L101">
        <v>10032</v>
      </c>
      <c r="M101" t="s">
        <v>2173</v>
      </c>
      <c r="N101" t="s">
        <v>2172</v>
      </c>
      <c r="O101" t="s">
        <v>2175</v>
      </c>
      <c r="P101" t="s">
        <v>2273</v>
      </c>
      <c r="Q101">
        <v>-1</v>
      </c>
      <c r="R101" t="s">
        <v>2843</v>
      </c>
      <c r="S101" t="s">
        <v>2856</v>
      </c>
      <c r="T101" t="s">
        <v>2863</v>
      </c>
      <c r="U101" t="s">
        <v>2868</v>
      </c>
      <c r="V101" t="s">
        <v>2174</v>
      </c>
      <c r="W101" t="s">
        <v>2174</v>
      </c>
      <c r="Y101" t="s">
        <v>2877</v>
      </c>
      <c r="Z101" t="s">
        <v>2879</v>
      </c>
      <c r="AA101" t="s">
        <v>114</v>
      </c>
      <c r="AB101">
        <v>0</v>
      </c>
      <c r="AC101">
        <v>224</v>
      </c>
      <c r="AD101">
        <v>0</v>
      </c>
      <c r="AE101" t="s">
        <v>2894</v>
      </c>
      <c r="AF101" t="s">
        <v>2896</v>
      </c>
      <c r="AG101" t="s">
        <v>3003</v>
      </c>
      <c r="AH101" t="s">
        <v>3613</v>
      </c>
      <c r="AI101" t="s">
        <v>3867</v>
      </c>
      <c r="AJ101">
        <v>98</v>
      </c>
      <c r="AK101" t="s">
        <v>4466</v>
      </c>
      <c r="AL101">
        <v>1</v>
      </c>
      <c r="AM101">
        <v>0</v>
      </c>
      <c r="AN101">
        <v>88.01000000000001</v>
      </c>
      <c r="AR101" t="s">
        <v>4476</v>
      </c>
      <c r="AS101" t="s">
        <v>4486</v>
      </c>
      <c r="AT101">
        <v>10992</v>
      </c>
      <c r="AX101" t="s">
        <v>4504</v>
      </c>
      <c r="BA101" t="s">
        <v>4569</v>
      </c>
      <c r="BD101" t="s">
        <v>4670</v>
      </c>
      <c r="BE101" t="s">
        <v>4704</v>
      </c>
    </row>
    <row r="102" spans="1:57">
      <c r="A102" s="1">
        <f>HYPERLINK("https://lsnyc.legalserver.org/matter/dynamic-profile/view/1887432","19-1887432")</f>
        <v>0</v>
      </c>
      <c r="B102" t="s">
        <v>69</v>
      </c>
      <c r="C102" t="s">
        <v>92</v>
      </c>
      <c r="D102" t="s">
        <v>134</v>
      </c>
      <c r="E102" t="s">
        <v>206</v>
      </c>
      <c r="F102" t="s">
        <v>329</v>
      </c>
      <c r="G102" t="s">
        <v>878</v>
      </c>
      <c r="H102" t="s">
        <v>1397</v>
      </c>
      <c r="I102" t="s">
        <v>1972</v>
      </c>
      <c r="J102" t="s">
        <v>2169</v>
      </c>
      <c r="K102" t="s">
        <v>2171</v>
      </c>
      <c r="L102">
        <v>10032</v>
      </c>
      <c r="M102" t="s">
        <v>2173</v>
      </c>
      <c r="N102" t="s">
        <v>2173</v>
      </c>
      <c r="O102" t="s">
        <v>2175</v>
      </c>
      <c r="Q102">
        <v>1</v>
      </c>
      <c r="R102" t="s">
        <v>2848</v>
      </c>
      <c r="S102" t="s">
        <v>2856</v>
      </c>
      <c r="T102" t="s">
        <v>2863</v>
      </c>
      <c r="U102" t="s">
        <v>2868</v>
      </c>
      <c r="V102" t="s">
        <v>2174</v>
      </c>
      <c r="W102" t="s">
        <v>2174</v>
      </c>
      <c r="Y102" t="s">
        <v>2876</v>
      </c>
      <c r="AA102" t="s">
        <v>220</v>
      </c>
      <c r="AB102">
        <v>0</v>
      </c>
      <c r="AC102">
        <v>958.5</v>
      </c>
      <c r="AD102">
        <v>1.1</v>
      </c>
      <c r="AE102" t="s">
        <v>2894</v>
      </c>
      <c r="AF102" t="s">
        <v>2896</v>
      </c>
      <c r="AG102" t="s">
        <v>3004</v>
      </c>
      <c r="AH102" t="s">
        <v>3614</v>
      </c>
      <c r="AI102" t="s">
        <v>3868</v>
      </c>
      <c r="AJ102">
        <v>0</v>
      </c>
      <c r="AK102" t="s">
        <v>4462</v>
      </c>
      <c r="AL102">
        <v>3</v>
      </c>
      <c r="AM102">
        <v>1</v>
      </c>
      <c r="AN102">
        <v>313.78</v>
      </c>
      <c r="AQ102" t="s">
        <v>4474</v>
      </c>
      <c r="AR102" t="s">
        <v>4476</v>
      </c>
      <c r="AS102" t="s">
        <v>4487</v>
      </c>
      <c r="AT102">
        <v>78760</v>
      </c>
      <c r="AX102" t="s">
        <v>4501</v>
      </c>
      <c r="BA102" t="s">
        <v>4553</v>
      </c>
      <c r="BD102" t="s">
        <v>177</v>
      </c>
    </row>
    <row r="103" spans="1:57">
      <c r="A103" s="1">
        <f>HYPERLINK("https://lsnyc.legalserver.org/matter/dynamic-profile/view/1888442","19-1888442")</f>
        <v>0</v>
      </c>
      <c r="B103" t="s">
        <v>66</v>
      </c>
      <c r="C103" t="s">
        <v>92</v>
      </c>
      <c r="D103" t="s">
        <v>103</v>
      </c>
      <c r="E103" t="s">
        <v>216</v>
      </c>
      <c r="F103" t="s">
        <v>332</v>
      </c>
      <c r="G103" t="s">
        <v>879</v>
      </c>
      <c r="H103" t="s">
        <v>1398</v>
      </c>
      <c r="I103" t="s">
        <v>1917</v>
      </c>
      <c r="J103" t="s">
        <v>2169</v>
      </c>
      <c r="K103" t="s">
        <v>2171</v>
      </c>
      <c r="L103">
        <v>10032</v>
      </c>
      <c r="M103" t="s">
        <v>2173</v>
      </c>
      <c r="N103" t="s">
        <v>2173</v>
      </c>
      <c r="O103" t="s">
        <v>2175</v>
      </c>
      <c r="P103" t="s">
        <v>2274</v>
      </c>
      <c r="Q103">
        <v>12</v>
      </c>
      <c r="R103" t="s">
        <v>2844</v>
      </c>
      <c r="S103" t="s">
        <v>2856</v>
      </c>
      <c r="T103" t="s">
        <v>2863</v>
      </c>
      <c r="U103" t="s">
        <v>2868</v>
      </c>
      <c r="V103" t="s">
        <v>2174</v>
      </c>
      <c r="W103" t="s">
        <v>2174</v>
      </c>
      <c r="Y103" t="s">
        <v>2876</v>
      </c>
      <c r="AA103" t="s">
        <v>103</v>
      </c>
      <c r="AB103">
        <v>0</v>
      </c>
      <c r="AC103">
        <v>519.39</v>
      </c>
      <c r="AD103">
        <v>1.2</v>
      </c>
      <c r="AE103" t="s">
        <v>2894</v>
      </c>
      <c r="AF103" t="s">
        <v>2896</v>
      </c>
      <c r="AG103" t="s">
        <v>3005</v>
      </c>
      <c r="AH103" t="s">
        <v>3615</v>
      </c>
      <c r="AI103" t="s">
        <v>3869</v>
      </c>
      <c r="AJ103">
        <v>10</v>
      </c>
      <c r="AK103" t="s">
        <v>4456</v>
      </c>
      <c r="AL103">
        <v>2</v>
      </c>
      <c r="AM103">
        <v>0</v>
      </c>
      <c r="AN103">
        <v>20.69</v>
      </c>
      <c r="AQ103" t="s">
        <v>4473</v>
      </c>
      <c r="AR103" t="s">
        <v>2176</v>
      </c>
      <c r="AS103" t="s">
        <v>4486</v>
      </c>
      <c r="AT103">
        <v>3406</v>
      </c>
      <c r="AX103" t="s">
        <v>4501</v>
      </c>
      <c r="BA103" t="s">
        <v>4535</v>
      </c>
      <c r="BD103" t="s">
        <v>212</v>
      </c>
      <c r="BE103" t="s">
        <v>4704</v>
      </c>
    </row>
    <row r="104" spans="1:57">
      <c r="A104" s="1">
        <f>HYPERLINK("https://lsnyc.legalserver.org/matter/dynamic-profile/view/1890360","19-1890360")</f>
        <v>0</v>
      </c>
      <c r="B104" t="s">
        <v>71</v>
      </c>
      <c r="C104" t="s">
        <v>93</v>
      </c>
      <c r="D104" t="s">
        <v>101</v>
      </c>
      <c r="F104" t="s">
        <v>270</v>
      </c>
      <c r="G104" t="s">
        <v>879</v>
      </c>
      <c r="H104" t="s">
        <v>1399</v>
      </c>
      <c r="I104" t="s">
        <v>1969</v>
      </c>
      <c r="J104" t="s">
        <v>2169</v>
      </c>
      <c r="K104" t="s">
        <v>2171</v>
      </c>
      <c r="L104">
        <v>10032</v>
      </c>
      <c r="M104" t="s">
        <v>2173</v>
      </c>
      <c r="N104" t="s">
        <v>2173</v>
      </c>
      <c r="O104" t="s">
        <v>2175</v>
      </c>
      <c r="P104" t="s">
        <v>2275</v>
      </c>
      <c r="Q104">
        <v>14</v>
      </c>
      <c r="R104" t="s">
        <v>2844</v>
      </c>
      <c r="S104" t="s">
        <v>2856</v>
      </c>
      <c r="U104" t="s">
        <v>2868</v>
      </c>
      <c r="V104" t="s">
        <v>2174</v>
      </c>
      <c r="W104" t="s">
        <v>2174</v>
      </c>
      <c r="Y104" t="s">
        <v>2876</v>
      </c>
      <c r="Z104" t="s">
        <v>2879</v>
      </c>
      <c r="AA104" t="s">
        <v>101</v>
      </c>
      <c r="AB104">
        <v>0</v>
      </c>
      <c r="AC104">
        <v>1500</v>
      </c>
      <c r="AD104">
        <v>0</v>
      </c>
      <c r="AE104" t="s">
        <v>2894</v>
      </c>
      <c r="AG104" t="s">
        <v>3006</v>
      </c>
      <c r="AI104" t="s">
        <v>3870</v>
      </c>
      <c r="AJ104">
        <v>0</v>
      </c>
      <c r="AK104" t="s">
        <v>4456</v>
      </c>
      <c r="AL104">
        <v>1</v>
      </c>
      <c r="AM104">
        <v>0</v>
      </c>
      <c r="AN104">
        <v>158.33</v>
      </c>
      <c r="AQ104" t="s">
        <v>4473</v>
      </c>
      <c r="AR104" t="s">
        <v>4477</v>
      </c>
      <c r="AS104" t="s">
        <v>4487</v>
      </c>
      <c r="AT104">
        <v>19776</v>
      </c>
      <c r="AX104" t="s">
        <v>4502</v>
      </c>
      <c r="BA104" t="s">
        <v>4570</v>
      </c>
    </row>
    <row r="105" spans="1:57">
      <c r="A105" s="1">
        <f>HYPERLINK("https://lsnyc.legalserver.org/matter/dynamic-profile/view/1890999","19-1890999")</f>
        <v>0</v>
      </c>
      <c r="B105" t="s">
        <v>68</v>
      </c>
      <c r="C105" t="s">
        <v>93</v>
      </c>
      <c r="D105" t="s">
        <v>133</v>
      </c>
      <c r="F105" t="s">
        <v>333</v>
      </c>
      <c r="G105" t="s">
        <v>880</v>
      </c>
      <c r="H105" t="s">
        <v>1400</v>
      </c>
      <c r="I105" t="s">
        <v>1960</v>
      </c>
      <c r="J105" t="s">
        <v>2169</v>
      </c>
      <c r="K105" t="s">
        <v>2171</v>
      </c>
      <c r="L105">
        <v>10032</v>
      </c>
      <c r="M105" t="s">
        <v>2173</v>
      </c>
      <c r="N105" t="s">
        <v>2173</v>
      </c>
      <c r="O105" t="s">
        <v>2182</v>
      </c>
      <c r="P105" t="s">
        <v>2276</v>
      </c>
      <c r="Q105">
        <v>39</v>
      </c>
      <c r="R105" t="s">
        <v>2844</v>
      </c>
      <c r="S105" t="s">
        <v>2857</v>
      </c>
      <c r="U105" t="s">
        <v>2868</v>
      </c>
      <c r="V105" t="s">
        <v>2174</v>
      </c>
      <c r="W105" t="s">
        <v>2174</v>
      </c>
      <c r="Y105" t="s">
        <v>2876</v>
      </c>
      <c r="AA105" t="s">
        <v>133</v>
      </c>
      <c r="AB105">
        <v>0</v>
      </c>
      <c r="AC105">
        <v>1081.42</v>
      </c>
      <c r="AD105">
        <v>17.7</v>
      </c>
      <c r="AE105" t="s">
        <v>2894</v>
      </c>
      <c r="AG105" t="s">
        <v>3007</v>
      </c>
      <c r="AH105" t="s">
        <v>3616</v>
      </c>
      <c r="AI105" t="s">
        <v>3871</v>
      </c>
      <c r="AJ105">
        <v>0</v>
      </c>
      <c r="AK105" t="s">
        <v>4456</v>
      </c>
      <c r="AL105">
        <v>1</v>
      </c>
      <c r="AM105">
        <v>0</v>
      </c>
      <c r="AN105">
        <v>136.14</v>
      </c>
      <c r="AQ105" t="s">
        <v>4473</v>
      </c>
      <c r="AR105" t="s">
        <v>4476</v>
      </c>
      <c r="AS105" t="s">
        <v>4486</v>
      </c>
      <c r="AT105">
        <v>17004</v>
      </c>
      <c r="AX105" t="s">
        <v>4504</v>
      </c>
      <c r="BA105" t="s">
        <v>4569</v>
      </c>
      <c r="BD105" t="s">
        <v>185</v>
      </c>
      <c r="BE105" t="s">
        <v>4703</v>
      </c>
    </row>
    <row r="106" spans="1:57">
      <c r="A106" s="1">
        <f>HYPERLINK("https://lsnyc.legalserver.org/matter/dynamic-profile/view/1893145","19-1893145")</f>
        <v>0</v>
      </c>
      <c r="B106" t="s">
        <v>77</v>
      </c>
      <c r="C106" t="s">
        <v>92</v>
      </c>
      <c r="D106" t="s">
        <v>108</v>
      </c>
      <c r="E106" t="s">
        <v>222</v>
      </c>
      <c r="F106" t="s">
        <v>334</v>
      </c>
      <c r="G106" t="s">
        <v>881</v>
      </c>
      <c r="H106" t="s">
        <v>1401</v>
      </c>
      <c r="I106" t="s">
        <v>1973</v>
      </c>
      <c r="J106" t="s">
        <v>2169</v>
      </c>
      <c r="K106" t="s">
        <v>2171</v>
      </c>
      <c r="L106">
        <v>10032</v>
      </c>
      <c r="M106" t="s">
        <v>2173</v>
      </c>
      <c r="N106" t="s">
        <v>2173</v>
      </c>
      <c r="O106" t="s">
        <v>2175</v>
      </c>
      <c r="P106" t="s">
        <v>2277</v>
      </c>
      <c r="Q106">
        <v>40</v>
      </c>
      <c r="R106" t="s">
        <v>2844</v>
      </c>
      <c r="S106" t="s">
        <v>2856</v>
      </c>
      <c r="T106" t="s">
        <v>2863</v>
      </c>
      <c r="U106" t="s">
        <v>2868</v>
      </c>
      <c r="V106" t="s">
        <v>2174</v>
      </c>
      <c r="W106" t="s">
        <v>2174</v>
      </c>
      <c r="Y106" t="s">
        <v>2876</v>
      </c>
      <c r="AA106" t="s">
        <v>108</v>
      </c>
      <c r="AB106">
        <v>0</v>
      </c>
      <c r="AC106">
        <v>909</v>
      </c>
      <c r="AD106">
        <v>1</v>
      </c>
      <c r="AE106" t="s">
        <v>2894</v>
      </c>
      <c r="AF106" t="s">
        <v>2896</v>
      </c>
      <c r="AG106" t="s">
        <v>3008</v>
      </c>
      <c r="AI106" t="s">
        <v>3872</v>
      </c>
      <c r="AJ106">
        <v>65</v>
      </c>
      <c r="AL106">
        <v>1</v>
      </c>
      <c r="AM106">
        <v>0</v>
      </c>
      <c r="AN106">
        <v>92.23</v>
      </c>
      <c r="AQ106" t="s">
        <v>4473</v>
      </c>
      <c r="AR106" t="s">
        <v>4477</v>
      </c>
      <c r="AS106" t="s">
        <v>4487</v>
      </c>
      <c r="AT106">
        <v>11520</v>
      </c>
      <c r="AX106" t="s">
        <v>4501</v>
      </c>
      <c r="BA106" t="s">
        <v>4531</v>
      </c>
      <c r="BD106" t="s">
        <v>108</v>
      </c>
      <c r="BE106" t="s">
        <v>4704</v>
      </c>
    </row>
    <row r="107" spans="1:57">
      <c r="A107" s="1">
        <f>HYPERLINK("https://lsnyc.legalserver.org/matter/dynamic-profile/view/1894635","19-1894635")</f>
        <v>0</v>
      </c>
      <c r="B107" t="s">
        <v>68</v>
      </c>
      <c r="C107" t="s">
        <v>92</v>
      </c>
      <c r="D107" t="s">
        <v>119</v>
      </c>
      <c r="E107" t="s">
        <v>197</v>
      </c>
      <c r="F107" t="s">
        <v>335</v>
      </c>
      <c r="G107" t="s">
        <v>882</v>
      </c>
      <c r="H107" t="s">
        <v>1402</v>
      </c>
      <c r="I107">
        <v>8</v>
      </c>
      <c r="J107" t="s">
        <v>2169</v>
      </c>
      <c r="K107" t="s">
        <v>2171</v>
      </c>
      <c r="L107">
        <v>10032</v>
      </c>
      <c r="M107" t="s">
        <v>2173</v>
      </c>
      <c r="N107" t="s">
        <v>2173</v>
      </c>
      <c r="O107" t="s">
        <v>2175</v>
      </c>
      <c r="P107" t="s">
        <v>2278</v>
      </c>
      <c r="Q107">
        <v>49</v>
      </c>
      <c r="R107" t="s">
        <v>2844</v>
      </c>
      <c r="S107" t="s">
        <v>2856</v>
      </c>
      <c r="T107" t="s">
        <v>2863</v>
      </c>
      <c r="U107" t="s">
        <v>2868</v>
      </c>
      <c r="V107" t="s">
        <v>2174</v>
      </c>
      <c r="W107" t="s">
        <v>2174</v>
      </c>
      <c r="Y107" t="s">
        <v>2876</v>
      </c>
      <c r="AA107" t="s">
        <v>119</v>
      </c>
      <c r="AB107">
        <v>0</v>
      </c>
      <c r="AC107">
        <v>1111</v>
      </c>
      <c r="AD107">
        <v>2.3</v>
      </c>
      <c r="AE107" t="s">
        <v>2894</v>
      </c>
      <c r="AF107" t="s">
        <v>2896</v>
      </c>
      <c r="AG107" t="s">
        <v>3009</v>
      </c>
      <c r="AH107" t="s">
        <v>3617</v>
      </c>
      <c r="AI107" t="s">
        <v>3873</v>
      </c>
      <c r="AJ107">
        <v>0</v>
      </c>
      <c r="AK107" t="s">
        <v>4467</v>
      </c>
      <c r="AL107">
        <v>1</v>
      </c>
      <c r="AM107">
        <v>0</v>
      </c>
      <c r="AN107">
        <v>81.86</v>
      </c>
      <c r="AQ107" t="s">
        <v>4473</v>
      </c>
      <c r="AR107" t="s">
        <v>4478</v>
      </c>
      <c r="AS107" t="s">
        <v>4486</v>
      </c>
      <c r="AT107">
        <v>10224</v>
      </c>
      <c r="AX107" t="s">
        <v>4501</v>
      </c>
      <c r="BA107" t="s">
        <v>4548</v>
      </c>
      <c r="BD107" t="s">
        <v>131</v>
      </c>
    </row>
    <row r="108" spans="1:57">
      <c r="A108" s="1">
        <f>HYPERLINK("https://lsnyc.legalserver.org/matter/dynamic-profile/view/1896034","19-1896034")</f>
        <v>0</v>
      </c>
      <c r="B108" t="s">
        <v>71</v>
      </c>
      <c r="C108" t="s">
        <v>93</v>
      </c>
      <c r="D108" t="s">
        <v>100</v>
      </c>
      <c r="F108" t="s">
        <v>336</v>
      </c>
      <c r="G108" t="s">
        <v>883</v>
      </c>
      <c r="H108" t="s">
        <v>1403</v>
      </c>
      <c r="I108" t="s">
        <v>1974</v>
      </c>
      <c r="J108" t="s">
        <v>2169</v>
      </c>
      <c r="K108" t="s">
        <v>2171</v>
      </c>
      <c r="L108">
        <v>10032</v>
      </c>
      <c r="M108" t="s">
        <v>2173</v>
      </c>
      <c r="N108" t="s">
        <v>2173</v>
      </c>
      <c r="P108" t="s">
        <v>2279</v>
      </c>
      <c r="Q108">
        <v>22</v>
      </c>
      <c r="R108" t="s">
        <v>2844</v>
      </c>
      <c r="S108" t="s">
        <v>2856</v>
      </c>
      <c r="U108" t="s">
        <v>2868</v>
      </c>
      <c r="V108" t="s">
        <v>2174</v>
      </c>
      <c r="W108" t="s">
        <v>2174</v>
      </c>
      <c r="Y108" t="s">
        <v>2876</v>
      </c>
      <c r="Z108" t="s">
        <v>2879</v>
      </c>
      <c r="AA108" t="s">
        <v>100</v>
      </c>
      <c r="AB108">
        <v>0</v>
      </c>
      <c r="AC108">
        <v>1419</v>
      </c>
      <c r="AD108">
        <v>0</v>
      </c>
      <c r="AE108" t="s">
        <v>2894</v>
      </c>
      <c r="AG108" t="s">
        <v>3010</v>
      </c>
      <c r="AI108" t="s">
        <v>3874</v>
      </c>
      <c r="AJ108">
        <v>0</v>
      </c>
      <c r="AK108" t="s">
        <v>4458</v>
      </c>
      <c r="AL108">
        <v>2</v>
      </c>
      <c r="AM108">
        <v>1</v>
      </c>
      <c r="AN108">
        <v>201.13</v>
      </c>
      <c r="AQ108" t="s">
        <v>4474</v>
      </c>
      <c r="AS108" t="s">
        <v>4487</v>
      </c>
      <c r="AT108">
        <v>42900</v>
      </c>
      <c r="AX108" t="s">
        <v>4502</v>
      </c>
      <c r="BA108" t="s">
        <v>4537</v>
      </c>
    </row>
    <row r="109" spans="1:57">
      <c r="A109" s="1">
        <f>HYPERLINK("https://lsnyc.legalserver.org/matter/dynamic-profile/view/1897502","19-1897502")</f>
        <v>0</v>
      </c>
      <c r="B109" t="s">
        <v>66</v>
      </c>
      <c r="C109" t="s">
        <v>92</v>
      </c>
      <c r="D109" t="s">
        <v>112</v>
      </c>
      <c r="E109" t="s">
        <v>116</v>
      </c>
      <c r="F109" t="s">
        <v>337</v>
      </c>
      <c r="G109" t="s">
        <v>884</v>
      </c>
      <c r="H109" t="s">
        <v>1404</v>
      </c>
      <c r="I109" t="s">
        <v>1952</v>
      </c>
      <c r="J109" t="s">
        <v>2169</v>
      </c>
      <c r="K109" t="s">
        <v>2171</v>
      </c>
      <c r="L109">
        <v>10032</v>
      </c>
      <c r="M109" t="s">
        <v>2173</v>
      </c>
      <c r="N109" t="s">
        <v>2173</v>
      </c>
      <c r="O109" t="s">
        <v>2175</v>
      </c>
      <c r="P109" t="s">
        <v>2280</v>
      </c>
      <c r="Q109">
        <v>34</v>
      </c>
      <c r="R109" t="s">
        <v>2844</v>
      </c>
      <c r="S109" t="s">
        <v>2856</v>
      </c>
      <c r="T109" t="s">
        <v>2863</v>
      </c>
      <c r="U109" t="s">
        <v>2868</v>
      </c>
      <c r="V109" t="s">
        <v>2174</v>
      </c>
      <c r="W109" t="s">
        <v>2174</v>
      </c>
      <c r="Y109" t="s">
        <v>2876</v>
      </c>
      <c r="AA109" t="s">
        <v>112</v>
      </c>
      <c r="AB109">
        <v>0</v>
      </c>
      <c r="AC109">
        <v>1157</v>
      </c>
      <c r="AD109">
        <v>1.3</v>
      </c>
      <c r="AE109" t="s">
        <v>2894</v>
      </c>
      <c r="AF109" t="s">
        <v>2896</v>
      </c>
      <c r="AG109" t="s">
        <v>3011</v>
      </c>
      <c r="AI109" t="s">
        <v>3875</v>
      </c>
      <c r="AJ109">
        <v>54</v>
      </c>
      <c r="AK109" t="s">
        <v>4458</v>
      </c>
      <c r="AL109">
        <v>2</v>
      </c>
      <c r="AM109">
        <v>0</v>
      </c>
      <c r="AN109">
        <v>194.95</v>
      </c>
      <c r="AR109" t="s">
        <v>4476</v>
      </c>
      <c r="AS109" t="s">
        <v>4486</v>
      </c>
      <c r="AT109">
        <v>32965.46</v>
      </c>
      <c r="AX109" t="s">
        <v>4501</v>
      </c>
      <c r="BA109" t="s">
        <v>4546</v>
      </c>
      <c r="BD109" t="s">
        <v>162</v>
      </c>
    </row>
    <row r="110" spans="1:57">
      <c r="A110" s="1">
        <f>HYPERLINK("https://lsnyc.legalserver.org/matter/dynamic-profile/view/1900480","19-1900480")</f>
        <v>0</v>
      </c>
      <c r="B110" t="s">
        <v>78</v>
      </c>
      <c r="C110" t="s">
        <v>93</v>
      </c>
      <c r="D110" t="s">
        <v>135</v>
      </c>
      <c r="F110" t="s">
        <v>338</v>
      </c>
      <c r="G110" t="s">
        <v>885</v>
      </c>
      <c r="H110" t="s">
        <v>1405</v>
      </c>
      <c r="I110" t="s">
        <v>1975</v>
      </c>
      <c r="J110" t="s">
        <v>2169</v>
      </c>
      <c r="K110" t="s">
        <v>2171</v>
      </c>
      <c r="L110">
        <v>10032</v>
      </c>
      <c r="M110" t="s">
        <v>2173</v>
      </c>
      <c r="N110" t="s">
        <v>2172</v>
      </c>
      <c r="O110" t="s">
        <v>2183</v>
      </c>
      <c r="P110" t="s">
        <v>2281</v>
      </c>
      <c r="Q110">
        <v>8</v>
      </c>
      <c r="R110" t="s">
        <v>2844</v>
      </c>
      <c r="S110" t="s">
        <v>2856</v>
      </c>
      <c r="U110" t="s">
        <v>2868</v>
      </c>
      <c r="V110" t="s">
        <v>2174</v>
      </c>
      <c r="W110" t="s">
        <v>2174</v>
      </c>
      <c r="Y110" t="s">
        <v>2878</v>
      </c>
      <c r="AA110" t="s">
        <v>135</v>
      </c>
      <c r="AB110">
        <v>0</v>
      </c>
      <c r="AC110">
        <v>194</v>
      </c>
      <c r="AD110">
        <v>1.7</v>
      </c>
      <c r="AE110" t="s">
        <v>2894</v>
      </c>
      <c r="AG110" t="s">
        <v>3012</v>
      </c>
      <c r="AI110" t="s">
        <v>3876</v>
      </c>
      <c r="AJ110">
        <v>0</v>
      </c>
      <c r="AK110" t="s">
        <v>4456</v>
      </c>
      <c r="AL110">
        <v>1</v>
      </c>
      <c r="AM110">
        <v>0</v>
      </c>
      <c r="AN110">
        <v>84.93000000000001</v>
      </c>
      <c r="AR110" t="s">
        <v>4476</v>
      </c>
      <c r="AS110" t="s">
        <v>4486</v>
      </c>
      <c r="AT110">
        <v>10608</v>
      </c>
      <c r="AX110" t="s">
        <v>4505</v>
      </c>
      <c r="BA110" t="s">
        <v>4538</v>
      </c>
      <c r="BD110" t="s">
        <v>193</v>
      </c>
      <c r="BE110" t="s">
        <v>4703</v>
      </c>
    </row>
    <row r="111" spans="1:57">
      <c r="A111" s="1">
        <f>HYPERLINK("https://lsnyc.legalserver.org/matter/dynamic-profile/view/1902246","19-1902246")</f>
        <v>0</v>
      </c>
      <c r="B111" t="s">
        <v>67</v>
      </c>
      <c r="C111" t="s">
        <v>92</v>
      </c>
      <c r="D111" t="s">
        <v>136</v>
      </c>
      <c r="E111" t="s">
        <v>136</v>
      </c>
      <c r="F111" t="s">
        <v>339</v>
      </c>
      <c r="G111" t="s">
        <v>445</v>
      </c>
      <c r="H111" t="s">
        <v>1406</v>
      </c>
      <c r="I111">
        <v>23</v>
      </c>
      <c r="J111" t="s">
        <v>2169</v>
      </c>
      <c r="K111" t="s">
        <v>2171</v>
      </c>
      <c r="L111">
        <v>10032</v>
      </c>
      <c r="M111" t="s">
        <v>2173</v>
      </c>
      <c r="N111" t="s">
        <v>2172</v>
      </c>
      <c r="O111" t="s">
        <v>2175</v>
      </c>
      <c r="P111" t="s">
        <v>2282</v>
      </c>
      <c r="Q111">
        <v>6</v>
      </c>
      <c r="R111" t="s">
        <v>2844</v>
      </c>
      <c r="S111" t="s">
        <v>2857</v>
      </c>
      <c r="T111" t="s">
        <v>2864</v>
      </c>
      <c r="U111" t="s">
        <v>2868</v>
      </c>
      <c r="V111" t="s">
        <v>2174</v>
      </c>
      <c r="W111" t="s">
        <v>2174</v>
      </c>
      <c r="Y111" t="s">
        <v>2876</v>
      </c>
      <c r="Z111" t="s">
        <v>2879</v>
      </c>
      <c r="AA111" t="s">
        <v>136</v>
      </c>
      <c r="AB111">
        <v>0</v>
      </c>
      <c r="AC111">
        <v>2249.96</v>
      </c>
      <c r="AD111">
        <v>0.5</v>
      </c>
      <c r="AE111" t="s">
        <v>2894</v>
      </c>
      <c r="AF111" t="s">
        <v>2898</v>
      </c>
      <c r="AG111" t="s">
        <v>3013</v>
      </c>
      <c r="AI111" t="s">
        <v>3877</v>
      </c>
      <c r="AJ111">
        <v>43</v>
      </c>
      <c r="AK111" t="s">
        <v>4456</v>
      </c>
      <c r="AL111">
        <v>1</v>
      </c>
      <c r="AM111">
        <v>3</v>
      </c>
      <c r="AN111">
        <v>70.68000000000001</v>
      </c>
      <c r="AS111" t="s">
        <v>4487</v>
      </c>
      <c r="AT111">
        <v>18200</v>
      </c>
      <c r="AX111" t="s">
        <v>67</v>
      </c>
      <c r="BA111" t="s">
        <v>4537</v>
      </c>
      <c r="BB111" t="s">
        <v>4632</v>
      </c>
      <c r="BC111" t="s">
        <v>4635</v>
      </c>
      <c r="BD111" t="s">
        <v>136</v>
      </c>
      <c r="BE111" t="s">
        <v>4703</v>
      </c>
    </row>
    <row r="112" spans="1:57">
      <c r="A112" s="1">
        <f>HYPERLINK("https://lsnyc.legalserver.org/matter/dynamic-profile/view/1909019","19-1909019")</f>
        <v>0</v>
      </c>
      <c r="B112" t="s">
        <v>68</v>
      </c>
      <c r="C112" t="s">
        <v>93</v>
      </c>
      <c r="D112" t="s">
        <v>98</v>
      </c>
      <c r="F112" t="s">
        <v>340</v>
      </c>
      <c r="G112" t="s">
        <v>886</v>
      </c>
      <c r="H112" t="s">
        <v>1407</v>
      </c>
      <c r="I112" t="s">
        <v>1934</v>
      </c>
      <c r="J112" t="s">
        <v>2169</v>
      </c>
      <c r="K112" t="s">
        <v>2171</v>
      </c>
      <c r="L112">
        <v>10032</v>
      </c>
      <c r="M112" t="s">
        <v>2173</v>
      </c>
      <c r="N112" t="s">
        <v>2172</v>
      </c>
      <c r="O112" t="s">
        <v>2175</v>
      </c>
      <c r="P112" t="s">
        <v>2283</v>
      </c>
      <c r="Q112">
        <v>7</v>
      </c>
      <c r="R112" t="s">
        <v>2844</v>
      </c>
      <c r="S112" t="s">
        <v>2858</v>
      </c>
      <c r="U112" t="s">
        <v>2868</v>
      </c>
      <c r="V112" t="s">
        <v>2174</v>
      </c>
      <c r="W112" t="s">
        <v>2173</v>
      </c>
      <c r="Y112" t="s">
        <v>2876</v>
      </c>
      <c r="AA112" t="s">
        <v>98</v>
      </c>
      <c r="AB112">
        <v>0</v>
      </c>
      <c r="AC112">
        <v>870</v>
      </c>
      <c r="AD112">
        <v>0</v>
      </c>
      <c r="AE112" t="s">
        <v>2894</v>
      </c>
      <c r="AG112" t="s">
        <v>3014</v>
      </c>
      <c r="AH112" t="s">
        <v>3618</v>
      </c>
      <c r="AI112" t="s">
        <v>3878</v>
      </c>
      <c r="AJ112">
        <v>0</v>
      </c>
      <c r="AK112" t="s">
        <v>4456</v>
      </c>
      <c r="AL112">
        <v>2</v>
      </c>
      <c r="AM112">
        <v>0</v>
      </c>
      <c r="AN112">
        <v>66.42</v>
      </c>
      <c r="AR112" t="s">
        <v>4478</v>
      </c>
      <c r="AS112" t="s">
        <v>4486</v>
      </c>
      <c r="AT112">
        <v>11232</v>
      </c>
      <c r="AX112" t="s">
        <v>4501</v>
      </c>
      <c r="BA112" t="s">
        <v>4537</v>
      </c>
      <c r="BE112" t="s">
        <v>4704</v>
      </c>
    </row>
    <row r="113" spans="1:57">
      <c r="A113" s="1">
        <f>HYPERLINK("https://lsnyc.legalserver.org/matter/dynamic-profile/view/1910247","19-1910247")</f>
        <v>0</v>
      </c>
      <c r="B113" t="s">
        <v>72</v>
      </c>
      <c r="C113" t="s">
        <v>92</v>
      </c>
      <c r="D113" t="s">
        <v>114</v>
      </c>
      <c r="E113" t="s">
        <v>213</v>
      </c>
      <c r="F113" t="s">
        <v>341</v>
      </c>
      <c r="G113" t="s">
        <v>887</v>
      </c>
      <c r="H113" t="s">
        <v>1408</v>
      </c>
      <c r="I113" t="s">
        <v>1974</v>
      </c>
      <c r="J113" t="s">
        <v>2169</v>
      </c>
      <c r="K113" t="s">
        <v>2171</v>
      </c>
      <c r="L113">
        <v>10032</v>
      </c>
      <c r="M113" t="s">
        <v>2173</v>
      </c>
      <c r="N113" t="s">
        <v>2172</v>
      </c>
      <c r="O113" t="s">
        <v>2179</v>
      </c>
      <c r="P113" t="s">
        <v>2284</v>
      </c>
      <c r="Q113">
        <v>7</v>
      </c>
      <c r="R113" t="s">
        <v>2844</v>
      </c>
      <c r="S113" t="s">
        <v>2856</v>
      </c>
      <c r="T113" t="s">
        <v>2863</v>
      </c>
      <c r="U113" t="s">
        <v>2868</v>
      </c>
      <c r="V113" t="s">
        <v>2174</v>
      </c>
      <c r="W113" t="s">
        <v>2174</v>
      </c>
      <c r="Y113" t="s">
        <v>2876</v>
      </c>
      <c r="AA113" t="s">
        <v>114</v>
      </c>
      <c r="AB113">
        <v>0</v>
      </c>
      <c r="AC113">
        <v>1632.38</v>
      </c>
      <c r="AD113">
        <v>0</v>
      </c>
      <c r="AE113" t="s">
        <v>2894</v>
      </c>
      <c r="AF113" t="s">
        <v>2896</v>
      </c>
      <c r="AG113" t="s">
        <v>3015</v>
      </c>
      <c r="AI113" t="s">
        <v>3879</v>
      </c>
      <c r="AJ113">
        <v>33</v>
      </c>
      <c r="AK113" t="s">
        <v>4456</v>
      </c>
      <c r="AL113">
        <v>1</v>
      </c>
      <c r="AM113">
        <v>0</v>
      </c>
      <c r="AN113">
        <v>128.1</v>
      </c>
      <c r="AR113" t="s">
        <v>4476</v>
      </c>
      <c r="AS113" t="s">
        <v>4486</v>
      </c>
      <c r="AT113">
        <v>16000</v>
      </c>
      <c r="AX113" t="s">
        <v>4504</v>
      </c>
      <c r="BA113" t="s">
        <v>4545</v>
      </c>
      <c r="BD113" t="s">
        <v>4670</v>
      </c>
      <c r="BE113" t="s">
        <v>4703</v>
      </c>
    </row>
    <row r="114" spans="1:57">
      <c r="A114" s="1">
        <f>HYPERLINK("https://lsnyc.legalserver.org/matter/dynamic-profile/view/1911216","19-1911216")</f>
        <v>0</v>
      </c>
      <c r="B114" t="s">
        <v>64</v>
      </c>
      <c r="C114" t="s">
        <v>93</v>
      </c>
      <c r="D114" t="s">
        <v>116</v>
      </c>
      <c r="F114" t="s">
        <v>270</v>
      </c>
      <c r="G114" t="s">
        <v>879</v>
      </c>
      <c r="H114" t="s">
        <v>1399</v>
      </c>
      <c r="I114" t="s">
        <v>1969</v>
      </c>
      <c r="J114" t="s">
        <v>2169</v>
      </c>
      <c r="K114" t="s">
        <v>2171</v>
      </c>
      <c r="L114">
        <v>10032</v>
      </c>
      <c r="M114" t="s">
        <v>2173</v>
      </c>
      <c r="N114" t="s">
        <v>2172</v>
      </c>
      <c r="O114" t="s">
        <v>2175</v>
      </c>
      <c r="P114" t="s">
        <v>2285</v>
      </c>
      <c r="Q114">
        <v>14</v>
      </c>
      <c r="R114" t="s">
        <v>2844</v>
      </c>
      <c r="S114" t="s">
        <v>2858</v>
      </c>
      <c r="U114" t="s">
        <v>2868</v>
      </c>
      <c r="V114" t="s">
        <v>2174</v>
      </c>
      <c r="W114" t="s">
        <v>2174</v>
      </c>
      <c r="Y114" t="s">
        <v>2876</v>
      </c>
      <c r="AA114" t="s">
        <v>116</v>
      </c>
      <c r="AB114">
        <v>0</v>
      </c>
      <c r="AC114">
        <v>1630</v>
      </c>
      <c r="AD114">
        <v>1</v>
      </c>
      <c r="AE114" t="s">
        <v>2894</v>
      </c>
      <c r="AG114" t="s">
        <v>3006</v>
      </c>
      <c r="AH114" t="s">
        <v>3619</v>
      </c>
      <c r="AI114" t="s">
        <v>3870</v>
      </c>
      <c r="AJ114">
        <v>0</v>
      </c>
      <c r="AK114" t="s">
        <v>4456</v>
      </c>
      <c r="AL114">
        <v>1</v>
      </c>
      <c r="AM114">
        <v>0</v>
      </c>
      <c r="AN114">
        <v>139.12</v>
      </c>
      <c r="AR114" t="s">
        <v>4477</v>
      </c>
      <c r="AS114" t="s">
        <v>4487</v>
      </c>
      <c r="AT114">
        <v>17376</v>
      </c>
      <c r="AX114" t="s">
        <v>4501</v>
      </c>
      <c r="BA114" t="s">
        <v>4571</v>
      </c>
      <c r="BD114" t="s">
        <v>116</v>
      </c>
      <c r="BE114" t="s">
        <v>4704</v>
      </c>
    </row>
    <row r="115" spans="1:57">
      <c r="A115" s="1">
        <f>HYPERLINK("https://lsnyc.legalserver.org/matter/dynamic-profile/view/1888170","19-1888170")</f>
        <v>0</v>
      </c>
      <c r="B115" t="s">
        <v>64</v>
      </c>
      <c r="C115" t="s">
        <v>93</v>
      </c>
      <c r="D115" t="s">
        <v>110</v>
      </c>
      <c r="F115" t="s">
        <v>342</v>
      </c>
      <c r="G115" t="s">
        <v>888</v>
      </c>
      <c r="H115" t="s">
        <v>1409</v>
      </c>
      <c r="I115">
        <v>4</v>
      </c>
      <c r="J115" t="s">
        <v>2169</v>
      </c>
      <c r="K115" t="s">
        <v>2171</v>
      </c>
      <c r="L115">
        <v>10031</v>
      </c>
      <c r="M115" t="s">
        <v>2173</v>
      </c>
      <c r="N115" t="s">
        <v>2173</v>
      </c>
      <c r="O115" t="s">
        <v>2179</v>
      </c>
      <c r="P115" t="s">
        <v>2286</v>
      </c>
      <c r="Q115">
        <v>1</v>
      </c>
      <c r="R115" t="s">
        <v>2843</v>
      </c>
      <c r="S115" t="s">
        <v>2857</v>
      </c>
      <c r="U115" t="s">
        <v>2869</v>
      </c>
      <c r="V115" t="s">
        <v>2174</v>
      </c>
      <c r="W115" t="s">
        <v>2174</v>
      </c>
      <c r="Y115" t="s">
        <v>2876</v>
      </c>
      <c r="AA115" t="s">
        <v>110</v>
      </c>
      <c r="AB115">
        <v>0</v>
      </c>
      <c r="AC115">
        <v>3800</v>
      </c>
      <c r="AD115">
        <v>204.25</v>
      </c>
      <c r="AE115" t="s">
        <v>2894</v>
      </c>
      <c r="AG115" t="s">
        <v>3016</v>
      </c>
      <c r="AH115" t="s">
        <v>3620</v>
      </c>
      <c r="AI115" t="s">
        <v>3880</v>
      </c>
      <c r="AJ115">
        <v>0</v>
      </c>
      <c r="AK115" t="s">
        <v>4456</v>
      </c>
      <c r="AL115">
        <v>1</v>
      </c>
      <c r="AM115">
        <v>0</v>
      </c>
      <c r="AN115">
        <v>45.23</v>
      </c>
      <c r="AQ115" t="s">
        <v>4473</v>
      </c>
      <c r="AR115" t="s">
        <v>4476</v>
      </c>
      <c r="AS115" t="s">
        <v>4486</v>
      </c>
      <c r="AT115">
        <v>5491.44</v>
      </c>
      <c r="AX115" t="s">
        <v>4501</v>
      </c>
      <c r="BA115" t="s">
        <v>4548</v>
      </c>
      <c r="BD115" t="s">
        <v>217</v>
      </c>
      <c r="BE115" t="s">
        <v>4704</v>
      </c>
    </row>
    <row r="116" spans="1:57">
      <c r="A116" s="1">
        <f>HYPERLINK("https://lsnyc.legalserver.org/matter/dynamic-profile/view/1889152","19-1889152")</f>
        <v>0</v>
      </c>
      <c r="B116" t="s">
        <v>58</v>
      </c>
      <c r="C116" t="s">
        <v>93</v>
      </c>
      <c r="D116" t="s">
        <v>132</v>
      </c>
      <c r="F116" t="s">
        <v>343</v>
      </c>
      <c r="G116" t="s">
        <v>889</v>
      </c>
      <c r="H116" t="s">
        <v>1410</v>
      </c>
      <c r="I116" t="s">
        <v>1976</v>
      </c>
      <c r="J116" t="s">
        <v>2169</v>
      </c>
      <c r="K116" t="s">
        <v>2171</v>
      </c>
      <c r="L116">
        <v>10031</v>
      </c>
      <c r="M116" t="s">
        <v>2173</v>
      </c>
      <c r="N116" t="s">
        <v>2173</v>
      </c>
      <c r="O116" t="s">
        <v>2175</v>
      </c>
      <c r="Q116">
        <v>10</v>
      </c>
      <c r="R116" t="s">
        <v>2843</v>
      </c>
      <c r="S116" t="s">
        <v>2856</v>
      </c>
      <c r="U116" t="s">
        <v>2869</v>
      </c>
      <c r="V116" t="s">
        <v>2174</v>
      </c>
      <c r="W116" t="s">
        <v>2174</v>
      </c>
      <c r="Y116" t="s">
        <v>2876</v>
      </c>
      <c r="Z116" t="s">
        <v>2879</v>
      </c>
      <c r="AA116" t="s">
        <v>132</v>
      </c>
      <c r="AB116">
        <v>0</v>
      </c>
      <c r="AC116">
        <v>0</v>
      </c>
      <c r="AD116">
        <v>10.25</v>
      </c>
      <c r="AE116" t="s">
        <v>2894</v>
      </c>
      <c r="AG116" t="s">
        <v>3017</v>
      </c>
      <c r="AI116" t="s">
        <v>3881</v>
      </c>
      <c r="AJ116">
        <v>0</v>
      </c>
      <c r="AK116" t="s">
        <v>4456</v>
      </c>
      <c r="AL116">
        <v>1</v>
      </c>
      <c r="AM116">
        <v>0</v>
      </c>
      <c r="AN116">
        <v>192.15</v>
      </c>
      <c r="AQ116" t="s">
        <v>4473</v>
      </c>
      <c r="AR116" t="s">
        <v>4476</v>
      </c>
      <c r="AS116" t="s">
        <v>4487</v>
      </c>
      <c r="AT116">
        <v>24000</v>
      </c>
      <c r="AX116" t="s">
        <v>4505</v>
      </c>
      <c r="BA116" t="s">
        <v>4546</v>
      </c>
      <c r="BD116" t="s">
        <v>4682</v>
      </c>
    </row>
    <row r="117" spans="1:57">
      <c r="A117" s="1">
        <f>HYPERLINK("https://lsnyc.legalserver.org/matter/dynamic-profile/view/1889464","19-1889464")</f>
        <v>0</v>
      </c>
      <c r="B117" t="s">
        <v>62</v>
      </c>
      <c r="C117" t="s">
        <v>93</v>
      </c>
      <c r="D117" t="s">
        <v>129</v>
      </c>
      <c r="F117" t="s">
        <v>344</v>
      </c>
      <c r="G117" t="s">
        <v>890</v>
      </c>
      <c r="H117" t="s">
        <v>1411</v>
      </c>
      <c r="I117">
        <v>4</v>
      </c>
      <c r="J117" t="s">
        <v>2169</v>
      </c>
      <c r="K117" t="s">
        <v>2171</v>
      </c>
      <c r="L117">
        <v>10031</v>
      </c>
      <c r="M117" t="s">
        <v>2173</v>
      </c>
      <c r="N117" t="s">
        <v>2173</v>
      </c>
      <c r="O117" t="s">
        <v>2179</v>
      </c>
      <c r="P117" t="s">
        <v>2287</v>
      </c>
      <c r="Q117">
        <v>30</v>
      </c>
      <c r="R117" t="s">
        <v>2843</v>
      </c>
      <c r="S117" t="s">
        <v>2857</v>
      </c>
      <c r="U117" t="s">
        <v>2869</v>
      </c>
      <c r="V117" t="s">
        <v>2174</v>
      </c>
      <c r="W117" t="s">
        <v>2174</v>
      </c>
      <c r="Y117" t="s">
        <v>2876</v>
      </c>
      <c r="Z117" t="s">
        <v>2879</v>
      </c>
      <c r="AA117" t="s">
        <v>129</v>
      </c>
      <c r="AB117">
        <v>0</v>
      </c>
      <c r="AC117">
        <v>0</v>
      </c>
      <c r="AD117">
        <v>16</v>
      </c>
      <c r="AE117" t="s">
        <v>2894</v>
      </c>
      <c r="AG117" t="s">
        <v>3018</v>
      </c>
      <c r="AI117" t="s">
        <v>3882</v>
      </c>
      <c r="AJ117">
        <v>0</v>
      </c>
      <c r="AK117" t="s">
        <v>4458</v>
      </c>
      <c r="AL117">
        <v>3</v>
      </c>
      <c r="AM117">
        <v>0</v>
      </c>
      <c r="AN117">
        <v>79.91</v>
      </c>
      <c r="AQ117" t="s">
        <v>4473</v>
      </c>
      <c r="AR117" t="s">
        <v>4478</v>
      </c>
      <c r="AS117" t="s">
        <v>4487</v>
      </c>
      <c r="AT117">
        <v>17045.28</v>
      </c>
      <c r="AX117" t="s">
        <v>4501</v>
      </c>
      <c r="BA117" t="s">
        <v>4572</v>
      </c>
      <c r="BD117" t="s">
        <v>161</v>
      </c>
      <c r="BE117" t="s">
        <v>4703</v>
      </c>
    </row>
    <row r="118" spans="1:57">
      <c r="A118" s="1">
        <f>HYPERLINK("https://lsnyc.legalserver.org/matter/dynamic-profile/view/1889498","19-1889498")</f>
        <v>0</v>
      </c>
      <c r="B118" t="s">
        <v>62</v>
      </c>
      <c r="C118" t="s">
        <v>93</v>
      </c>
      <c r="D118" t="s">
        <v>129</v>
      </c>
      <c r="F118" t="s">
        <v>345</v>
      </c>
      <c r="G118" t="s">
        <v>891</v>
      </c>
      <c r="H118" t="s">
        <v>1412</v>
      </c>
      <c r="I118" t="s">
        <v>1931</v>
      </c>
      <c r="J118" t="s">
        <v>2169</v>
      </c>
      <c r="K118" t="s">
        <v>2171</v>
      </c>
      <c r="L118">
        <v>10031</v>
      </c>
      <c r="M118" t="s">
        <v>2173</v>
      </c>
      <c r="N118" t="s">
        <v>2173</v>
      </c>
      <c r="O118" t="s">
        <v>2175</v>
      </c>
      <c r="P118" t="s">
        <v>2288</v>
      </c>
      <c r="Q118">
        <v>10</v>
      </c>
      <c r="R118" t="s">
        <v>2843</v>
      </c>
      <c r="S118" t="s">
        <v>2856</v>
      </c>
      <c r="U118" t="s">
        <v>2869</v>
      </c>
      <c r="V118" t="s">
        <v>2174</v>
      </c>
      <c r="W118" t="s">
        <v>2174</v>
      </c>
      <c r="Y118" t="s">
        <v>2876</v>
      </c>
      <c r="AA118" t="s">
        <v>129</v>
      </c>
      <c r="AB118">
        <v>0</v>
      </c>
      <c r="AC118">
        <v>866.47</v>
      </c>
      <c r="AD118">
        <v>0</v>
      </c>
      <c r="AE118" t="s">
        <v>2894</v>
      </c>
      <c r="AG118" t="s">
        <v>3019</v>
      </c>
      <c r="AI118" t="s">
        <v>3883</v>
      </c>
      <c r="AJ118">
        <v>0</v>
      </c>
      <c r="AK118" t="s">
        <v>4461</v>
      </c>
      <c r="AL118">
        <v>4</v>
      </c>
      <c r="AM118">
        <v>2</v>
      </c>
      <c r="AN118">
        <v>94.25</v>
      </c>
      <c r="AQ118" t="s">
        <v>4475</v>
      </c>
      <c r="AR118" t="s">
        <v>4476</v>
      </c>
      <c r="AS118" t="s">
        <v>4487</v>
      </c>
      <c r="AT118">
        <v>32600</v>
      </c>
      <c r="AX118" t="s">
        <v>4501</v>
      </c>
      <c r="BA118" t="s">
        <v>4573</v>
      </c>
    </row>
    <row r="119" spans="1:57">
      <c r="A119" s="1">
        <f>HYPERLINK("https://lsnyc.legalserver.org/matter/dynamic-profile/view/1890127","19-1890127")</f>
        <v>0</v>
      </c>
      <c r="B119" t="s">
        <v>68</v>
      </c>
      <c r="C119" t="s">
        <v>93</v>
      </c>
      <c r="D119" t="s">
        <v>137</v>
      </c>
      <c r="F119" t="s">
        <v>318</v>
      </c>
      <c r="G119" t="s">
        <v>892</v>
      </c>
      <c r="H119" t="s">
        <v>1413</v>
      </c>
      <c r="I119" t="s">
        <v>1977</v>
      </c>
      <c r="J119" t="s">
        <v>2169</v>
      </c>
      <c r="K119" t="s">
        <v>2171</v>
      </c>
      <c r="L119">
        <v>10031</v>
      </c>
      <c r="M119" t="s">
        <v>2173</v>
      </c>
      <c r="N119" t="s">
        <v>2173</v>
      </c>
      <c r="O119" t="s">
        <v>2175</v>
      </c>
      <c r="P119" t="s">
        <v>2289</v>
      </c>
      <c r="Q119">
        <v>21</v>
      </c>
      <c r="R119" t="s">
        <v>2843</v>
      </c>
      <c r="S119" t="s">
        <v>2857</v>
      </c>
      <c r="U119" t="s">
        <v>2869</v>
      </c>
      <c r="V119" t="s">
        <v>2174</v>
      </c>
      <c r="W119" t="s">
        <v>2174</v>
      </c>
      <c r="Y119" t="s">
        <v>2876</v>
      </c>
      <c r="Z119" t="s">
        <v>2879</v>
      </c>
      <c r="AA119" t="s">
        <v>137</v>
      </c>
      <c r="AB119">
        <v>0</v>
      </c>
      <c r="AC119">
        <v>1316.71</v>
      </c>
      <c r="AD119">
        <v>50.55</v>
      </c>
      <c r="AE119" t="s">
        <v>2894</v>
      </c>
      <c r="AG119" t="s">
        <v>3020</v>
      </c>
      <c r="AI119" t="s">
        <v>3884</v>
      </c>
      <c r="AJ119">
        <v>0</v>
      </c>
      <c r="AK119" t="s">
        <v>4456</v>
      </c>
      <c r="AL119">
        <v>1</v>
      </c>
      <c r="AM119">
        <v>0</v>
      </c>
      <c r="AN119">
        <v>0</v>
      </c>
      <c r="AQ119" t="s">
        <v>4473</v>
      </c>
      <c r="AR119" t="s">
        <v>4476</v>
      </c>
      <c r="AS119" t="s">
        <v>4486</v>
      </c>
      <c r="AT119">
        <v>0</v>
      </c>
      <c r="AX119" t="s">
        <v>4501</v>
      </c>
      <c r="BA119" t="s">
        <v>4539</v>
      </c>
      <c r="BD119" t="s">
        <v>151</v>
      </c>
    </row>
    <row r="120" spans="1:57">
      <c r="A120" s="1">
        <f>HYPERLINK("https://lsnyc.legalserver.org/matter/dynamic-profile/view/1890725","19-1890725")</f>
        <v>0</v>
      </c>
      <c r="B120" t="s">
        <v>72</v>
      </c>
      <c r="C120" t="s">
        <v>93</v>
      </c>
      <c r="D120" t="s">
        <v>138</v>
      </c>
      <c r="F120" t="s">
        <v>346</v>
      </c>
      <c r="G120" t="s">
        <v>893</v>
      </c>
      <c r="H120" t="s">
        <v>1414</v>
      </c>
      <c r="I120">
        <v>56</v>
      </c>
      <c r="J120" t="s">
        <v>2169</v>
      </c>
      <c r="K120" t="s">
        <v>2171</v>
      </c>
      <c r="L120">
        <v>10031</v>
      </c>
      <c r="M120" t="s">
        <v>2173</v>
      </c>
      <c r="N120" t="s">
        <v>2173</v>
      </c>
      <c r="O120" t="s">
        <v>2179</v>
      </c>
      <c r="P120" t="s">
        <v>2290</v>
      </c>
      <c r="Q120">
        <v>30</v>
      </c>
      <c r="R120" t="s">
        <v>2843</v>
      </c>
      <c r="S120" t="s">
        <v>2857</v>
      </c>
      <c r="U120" t="s">
        <v>2869</v>
      </c>
      <c r="V120" t="s">
        <v>2174</v>
      </c>
      <c r="W120" t="s">
        <v>2174</v>
      </c>
      <c r="Y120" t="s">
        <v>2876</v>
      </c>
      <c r="AB120">
        <v>0</v>
      </c>
      <c r="AC120">
        <v>1100</v>
      </c>
      <c r="AD120">
        <v>40</v>
      </c>
      <c r="AE120" t="s">
        <v>2894</v>
      </c>
      <c r="AG120" t="s">
        <v>3021</v>
      </c>
      <c r="AI120" t="s">
        <v>3885</v>
      </c>
      <c r="AJ120">
        <v>0</v>
      </c>
      <c r="AL120">
        <v>1</v>
      </c>
      <c r="AM120">
        <v>0</v>
      </c>
      <c r="AN120">
        <v>81.67</v>
      </c>
      <c r="AQ120" t="s">
        <v>4473</v>
      </c>
      <c r="AR120" t="s">
        <v>4478</v>
      </c>
      <c r="AS120" t="s">
        <v>4486</v>
      </c>
      <c r="AT120">
        <v>10200</v>
      </c>
      <c r="AX120" t="s">
        <v>4504</v>
      </c>
      <c r="BA120" t="s">
        <v>4574</v>
      </c>
      <c r="BD120" t="s">
        <v>168</v>
      </c>
    </row>
    <row r="121" spans="1:57">
      <c r="A121" s="1">
        <f>HYPERLINK("https://lsnyc.legalserver.org/matter/dynamic-profile/view/1891352","19-1891352")</f>
        <v>0</v>
      </c>
      <c r="B121" t="s">
        <v>79</v>
      </c>
      <c r="C121" t="s">
        <v>92</v>
      </c>
      <c r="D121" t="s">
        <v>139</v>
      </c>
      <c r="E121" t="s">
        <v>220</v>
      </c>
      <c r="F121" t="s">
        <v>347</v>
      </c>
      <c r="G121" t="s">
        <v>894</v>
      </c>
      <c r="H121" t="s">
        <v>1415</v>
      </c>
      <c r="I121" t="s">
        <v>1932</v>
      </c>
      <c r="J121" t="s">
        <v>2169</v>
      </c>
      <c r="K121" t="s">
        <v>2171</v>
      </c>
      <c r="L121">
        <v>10031</v>
      </c>
      <c r="M121" t="s">
        <v>2173</v>
      </c>
      <c r="N121" t="s">
        <v>2173</v>
      </c>
      <c r="O121" t="s">
        <v>2179</v>
      </c>
      <c r="P121" t="s">
        <v>2291</v>
      </c>
      <c r="Q121">
        <v>20</v>
      </c>
      <c r="R121" t="s">
        <v>2843</v>
      </c>
      <c r="S121" t="s">
        <v>2856</v>
      </c>
      <c r="T121" t="s">
        <v>2863</v>
      </c>
      <c r="U121" t="s">
        <v>2869</v>
      </c>
      <c r="V121" t="s">
        <v>2174</v>
      </c>
      <c r="W121" t="s">
        <v>2174</v>
      </c>
      <c r="Y121" t="s">
        <v>2876</v>
      </c>
      <c r="AA121" t="s">
        <v>139</v>
      </c>
      <c r="AB121">
        <v>0</v>
      </c>
      <c r="AC121">
        <v>800</v>
      </c>
      <c r="AD121">
        <v>0.1</v>
      </c>
      <c r="AE121" t="s">
        <v>2894</v>
      </c>
      <c r="AF121" t="s">
        <v>2896</v>
      </c>
      <c r="AG121" t="s">
        <v>3022</v>
      </c>
      <c r="AI121" t="s">
        <v>3886</v>
      </c>
      <c r="AJ121">
        <v>0</v>
      </c>
      <c r="AK121" t="s">
        <v>4464</v>
      </c>
      <c r="AL121">
        <v>2</v>
      </c>
      <c r="AM121">
        <v>1</v>
      </c>
      <c r="AN121">
        <v>112.52</v>
      </c>
      <c r="AQ121" t="s">
        <v>4475</v>
      </c>
      <c r="AR121" t="s">
        <v>2176</v>
      </c>
      <c r="AS121" t="s">
        <v>4486</v>
      </c>
      <c r="AT121">
        <v>24000</v>
      </c>
      <c r="AX121" t="s">
        <v>4501</v>
      </c>
      <c r="BA121" t="s">
        <v>4546</v>
      </c>
      <c r="BD121" t="s">
        <v>139</v>
      </c>
    </row>
    <row r="122" spans="1:57">
      <c r="A122" s="1">
        <f>HYPERLINK("https://lsnyc.legalserver.org/matter/dynamic-profile/view/1892838","19-1892838")</f>
        <v>0</v>
      </c>
      <c r="B122" t="s">
        <v>57</v>
      </c>
      <c r="C122" t="s">
        <v>93</v>
      </c>
      <c r="D122" t="s">
        <v>140</v>
      </c>
      <c r="F122" t="s">
        <v>348</v>
      </c>
      <c r="G122" t="s">
        <v>808</v>
      </c>
      <c r="H122" t="s">
        <v>1416</v>
      </c>
      <c r="I122">
        <v>53</v>
      </c>
      <c r="J122" t="s">
        <v>2169</v>
      </c>
      <c r="K122" t="s">
        <v>2171</v>
      </c>
      <c r="L122">
        <v>10031</v>
      </c>
      <c r="M122" t="s">
        <v>2173</v>
      </c>
      <c r="N122" t="s">
        <v>2173</v>
      </c>
      <c r="O122" t="s">
        <v>2179</v>
      </c>
      <c r="P122" t="s">
        <v>2292</v>
      </c>
      <c r="Q122">
        <v>13</v>
      </c>
      <c r="R122" t="s">
        <v>2843</v>
      </c>
      <c r="S122" t="s">
        <v>2857</v>
      </c>
      <c r="U122" t="s">
        <v>2869</v>
      </c>
      <c r="V122" t="s">
        <v>2174</v>
      </c>
      <c r="W122" t="s">
        <v>2174</v>
      </c>
      <c r="Y122" t="s">
        <v>2876</v>
      </c>
      <c r="Z122" t="s">
        <v>2879</v>
      </c>
      <c r="AA122" t="s">
        <v>140</v>
      </c>
      <c r="AB122">
        <v>0</v>
      </c>
      <c r="AC122">
        <v>2150</v>
      </c>
      <c r="AD122">
        <v>7.7</v>
      </c>
      <c r="AE122" t="s">
        <v>2894</v>
      </c>
      <c r="AG122" t="s">
        <v>3023</v>
      </c>
      <c r="AI122" t="s">
        <v>3887</v>
      </c>
      <c r="AJ122">
        <v>0</v>
      </c>
      <c r="AK122" t="s">
        <v>4460</v>
      </c>
      <c r="AL122">
        <v>4</v>
      </c>
      <c r="AM122">
        <v>3</v>
      </c>
      <c r="AN122">
        <v>199.42</v>
      </c>
      <c r="AQ122" t="s">
        <v>4475</v>
      </c>
      <c r="AR122" t="s">
        <v>4476</v>
      </c>
      <c r="AS122" t="s">
        <v>4487</v>
      </c>
      <c r="AT122">
        <v>77792</v>
      </c>
      <c r="AX122" t="s">
        <v>4504</v>
      </c>
      <c r="BA122" t="s">
        <v>4546</v>
      </c>
      <c r="BD122" t="s">
        <v>173</v>
      </c>
      <c r="BE122" t="s">
        <v>4703</v>
      </c>
    </row>
    <row r="123" spans="1:57">
      <c r="A123" s="1">
        <f>HYPERLINK("https://lsnyc.legalserver.org/matter/dynamic-profile/view/1892916","19-1892916")</f>
        <v>0</v>
      </c>
      <c r="B123" t="s">
        <v>75</v>
      </c>
      <c r="C123" t="s">
        <v>93</v>
      </c>
      <c r="D123" t="s">
        <v>140</v>
      </c>
      <c r="F123" t="s">
        <v>349</v>
      </c>
      <c r="G123" t="s">
        <v>895</v>
      </c>
      <c r="H123" t="s">
        <v>1417</v>
      </c>
      <c r="I123" t="s">
        <v>1927</v>
      </c>
      <c r="J123" t="s">
        <v>2169</v>
      </c>
      <c r="K123" t="s">
        <v>2171</v>
      </c>
      <c r="L123">
        <v>10031</v>
      </c>
      <c r="M123" t="s">
        <v>2173</v>
      </c>
      <c r="N123" t="s">
        <v>2173</v>
      </c>
      <c r="O123" t="s">
        <v>2175</v>
      </c>
      <c r="P123" t="s">
        <v>2293</v>
      </c>
      <c r="Q123">
        <v>32</v>
      </c>
      <c r="R123" t="s">
        <v>2843</v>
      </c>
      <c r="S123" t="s">
        <v>2857</v>
      </c>
      <c r="U123" t="s">
        <v>2869</v>
      </c>
      <c r="V123" t="s">
        <v>2174</v>
      </c>
      <c r="W123" t="s">
        <v>2174</v>
      </c>
      <c r="Y123" t="s">
        <v>2876</v>
      </c>
      <c r="Z123" t="s">
        <v>2879</v>
      </c>
      <c r="AA123" t="s">
        <v>140</v>
      </c>
      <c r="AB123">
        <v>0</v>
      </c>
      <c r="AC123">
        <v>630</v>
      </c>
      <c r="AD123">
        <v>7.5</v>
      </c>
      <c r="AE123" t="s">
        <v>2894</v>
      </c>
      <c r="AG123" t="s">
        <v>3024</v>
      </c>
      <c r="AI123" t="s">
        <v>3888</v>
      </c>
      <c r="AJ123">
        <v>0</v>
      </c>
      <c r="AK123" t="s">
        <v>4456</v>
      </c>
      <c r="AL123">
        <v>4</v>
      </c>
      <c r="AM123">
        <v>2</v>
      </c>
      <c r="AN123">
        <v>98.29000000000001</v>
      </c>
      <c r="AQ123" t="s">
        <v>4475</v>
      </c>
      <c r="AR123" t="s">
        <v>4476</v>
      </c>
      <c r="AS123" t="s">
        <v>4487</v>
      </c>
      <c r="AT123">
        <v>34000</v>
      </c>
      <c r="AX123" t="s">
        <v>4501</v>
      </c>
      <c r="BA123" t="s">
        <v>4546</v>
      </c>
      <c r="BD123" t="s">
        <v>214</v>
      </c>
    </row>
    <row r="124" spans="1:57">
      <c r="A124" s="1">
        <f>HYPERLINK("https://lsnyc.legalserver.org/matter/dynamic-profile/view/1894352","19-1894352")</f>
        <v>0</v>
      </c>
      <c r="B124" t="s">
        <v>64</v>
      </c>
      <c r="C124" t="s">
        <v>93</v>
      </c>
      <c r="D124" t="s">
        <v>94</v>
      </c>
      <c r="F124" t="s">
        <v>350</v>
      </c>
      <c r="G124" t="s">
        <v>896</v>
      </c>
      <c r="H124" t="s">
        <v>1418</v>
      </c>
      <c r="I124" t="s">
        <v>1931</v>
      </c>
      <c r="J124" t="s">
        <v>2169</v>
      </c>
      <c r="K124" t="s">
        <v>2171</v>
      </c>
      <c r="L124">
        <v>10031</v>
      </c>
      <c r="M124" t="s">
        <v>2173</v>
      </c>
      <c r="N124" t="s">
        <v>2173</v>
      </c>
      <c r="O124" t="s">
        <v>2179</v>
      </c>
      <c r="P124" t="s">
        <v>2294</v>
      </c>
      <c r="Q124">
        <v>9</v>
      </c>
      <c r="R124" t="s">
        <v>2843</v>
      </c>
      <c r="S124" t="s">
        <v>2857</v>
      </c>
      <c r="U124" t="s">
        <v>2869</v>
      </c>
      <c r="V124" t="s">
        <v>2174</v>
      </c>
      <c r="W124" t="s">
        <v>2174</v>
      </c>
      <c r="Y124" t="s">
        <v>2876</v>
      </c>
      <c r="AA124" t="s">
        <v>94</v>
      </c>
      <c r="AB124">
        <v>0</v>
      </c>
      <c r="AC124">
        <v>768</v>
      </c>
      <c r="AD124">
        <v>8.5</v>
      </c>
      <c r="AE124" t="s">
        <v>2894</v>
      </c>
      <c r="AG124" t="s">
        <v>3025</v>
      </c>
      <c r="AI124" t="s">
        <v>3889</v>
      </c>
      <c r="AJ124">
        <v>0</v>
      </c>
      <c r="AK124" t="s">
        <v>4456</v>
      </c>
      <c r="AL124">
        <v>1</v>
      </c>
      <c r="AM124">
        <v>1</v>
      </c>
      <c r="AN124">
        <v>129.46</v>
      </c>
      <c r="AQ124" t="s">
        <v>4474</v>
      </c>
      <c r="AR124" t="s">
        <v>4478</v>
      </c>
      <c r="AS124" t="s">
        <v>4486</v>
      </c>
      <c r="AT124">
        <v>21892</v>
      </c>
      <c r="AX124" t="s">
        <v>4504</v>
      </c>
      <c r="BA124" t="s">
        <v>4537</v>
      </c>
      <c r="BD124" t="s">
        <v>230</v>
      </c>
      <c r="BE124" t="s">
        <v>4703</v>
      </c>
    </row>
    <row r="125" spans="1:57">
      <c r="A125" s="1">
        <f>HYPERLINK("https://lsnyc.legalserver.org/matter/dynamic-profile/view/1894410","19-1894410")</f>
        <v>0</v>
      </c>
      <c r="B125" t="s">
        <v>61</v>
      </c>
      <c r="C125" t="s">
        <v>92</v>
      </c>
      <c r="D125" t="s">
        <v>94</v>
      </c>
      <c r="E125" t="s">
        <v>223</v>
      </c>
      <c r="F125" t="s">
        <v>351</v>
      </c>
      <c r="G125" t="s">
        <v>897</v>
      </c>
      <c r="H125" t="s">
        <v>1419</v>
      </c>
      <c r="I125">
        <v>34</v>
      </c>
      <c r="J125" t="s">
        <v>2169</v>
      </c>
      <c r="K125" t="s">
        <v>2171</v>
      </c>
      <c r="L125">
        <v>10031</v>
      </c>
      <c r="M125" t="s">
        <v>2173</v>
      </c>
      <c r="N125" t="s">
        <v>2173</v>
      </c>
      <c r="O125" t="s">
        <v>2179</v>
      </c>
      <c r="P125" t="s">
        <v>2295</v>
      </c>
      <c r="Q125">
        <v>35</v>
      </c>
      <c r="R125" t="s">
        <v>2843</v>
      </c>
      <c r="S125" t="s">
        <v>2857</v>
      </c>
      <c r="T125" t="s">
        <v>2864</v>
      </c>
      <c r="U125" t="s">
        <v>2869</v>
      </c>
      <c r="V125" t="s">
        <v>2174</v>
      </c>
      <c r="W125" t="s">
        <v>2174</v>
      </c>
      <c r="Y125" t="s">
        <v>2876</v>
      </c>
      <c r="AA125" t="s">
        <v>94</v>
      </c>
      <c r="AB125">
        <v>0</v>
      </c>
      <c r="AC125">
        <v>899</v>
      </c>
      <c r="AD125">
        <v>0.9</v>
      </c>
      <c r="AE125" t="s">
        <v>2894</v>
      </c>
      <c r="AF125" t="s">
        <v>2898</v>
      </c>
      <c r="AG125" t="s">
        <v>3026</v>
      </c>
      <c r="AI125" t="s">
        <v>3890</v>
      </c>
      <c r="AJ125">
        <v>49</v>
      </c>
      <c r="AK125" t="s">
        <v>4461</v>
      </c>
      <c r="AL125">
        <v>4</v>
      </c>
      <c r="AM125">
        <v>1</v>
      </c>
      <c r="AN125">
        <v>180.25</v>
      </c>
      <c r="AQ125" t="s">
        <v>4474</v>
      </c>
      <c r="AR125" t="s">
        <v>4476</v>
      </c>
      <c r="AS125" t="s">
        <v>4487</v>
      </c>
      <c r="AT125">
        <v>54382</v>
      </c>
      <c r="AX125" t="s">
        <v>4501</v>
      </c>
      <c r="AZ125" t="s">
        <v>4519</v>
      </c>
      <c r="BA125" t="s">
        <v>4575</v>
      </c>
      <c r="BB125" t="s">
        <v>4632</v>
      </c>
      <c r="BC125" t="s">
        <v>4636</v>
      </c>
      <c r="BD125" t="s">
        <v>209</v>
      </c>
    </row>
    <row r="126" spans="1:57">
      <c r="A126" s="1">
        <f>HYPERLINK("https://lsnyc.legalserver.org/matter/dynamic-profile/view/1895723","19-1895723")</f>
        <v>0</v>
      </c>
      <c r="B126" t="s">
        <v>73</v>
      </c>
      <c r="C126" t="s">
        <v>92</v>
      </c>
      <c r="D126" t="s">
        <v>141</v>
      </c>
      <c r="E126" t="s">
        <v>224</v>
      </c>
      <c r="F126" t="s">
        <v>352</v>
      </c>
      <c r="G126" t="s">
        <v>883</v>
      </c>
      <c r="H126" t="s">
        <v>1420</v>
      </c>
      <c r="I126">
        <v>63</v>
      </c>
      <c r="J126" t="s">
        <v>2169</v>
      </c>
      <c r="K126" t="s">
        <v>2171</v>
      </c>
      <c r="L126">
        <v>10031</v>
      </c>
      <c r="M126" t="s">
        <v>2173</v>
      </c>
      <c r="N126" t="s">
        <v>2173</v>
      </c>
      <c r="O126" t="s">
        <v>2179</v>
      </c>
      <c r="P126" t="s">
        <v>2296</v>
      </c>
      <c r="Q126">
        <v>15</v>
      </c>
      <c r="R126" t="s">
        <v>2843</v>
      </c>
      <c r="S126" t="s">
        <v>2856</v>
      </c>
      <c r="T126" t="s">
        <v>2863</v>
      </c>
      <c r="U126" t="s">
        <v>2869</v>
      </c>
      <c r="V126" t="s">
        <v>2174</v>
      </c>
      <c r="W126" t="s">
        <v>2174</v>
      </c>
      <c r="Y126" t="s">
        <v>2876</v>
      </c>
      <c r="Z126" t="s">
        <v>2879</v>
      </c>
      <c r="AA126" t="s">
        <v>141</v>
      </c>
      <c r="AB126">
        <v>0</v>
      </c>
      <c r="AC126">
        <v>2061</v>
      </c>
      <c r="AD126">
        <v>1</v>
      </c>
      <c r="AE126" t="s">
        <v>2894</v>
      </c>
      <c r="AF126" t="s">
        <v>2896</v>
      </c>
      <c r="AG126" t="s">
        <v>2944</v>
      </c>
      <c r="AI126" t="s">
        <v>3891</v>
      </c>
      <c r="AJ126">
        <v>0</v>
      </c>
      <c r="AK126" t="s">
        <v>4456</v>
      </c>
      <c r="AL126">
        <v>2</v>
      </c>
      <c r="AM126">
        <v>2</v>
      </c>
      <c r="AN126">
        <v>116.5</v>
      </c>
      <c r="AQ126" t="s">
        <v>4475</v>
      </c>
      <c r="AR126" t="s">
        <v>4476</v>
      </c>
      <c r="AS126" t="s">
        <v>4487</v>
      </c>
      <c r="AT126">
        <v>30000</v>
      </c>
      <c r="AX126" t="s">
        <v>4501</v>
      </c>
      <c r="BA126" t="s">
        <v>4546</v>
      </c>
      <c r="BD126" t="s">
        <v>141</v>
      </c>
    </row>
    <row r="127" spans="1:57">
      <c r="A127" s="1">
        <f>HYPERLINK("https://lsnyc.legalserver.org/matter/dynamic-profile/view/1895767","19-1895767")</f>
        <v>0</v>
      </c>
      <c r="B127" t="s">
        <v>72</v>
      </c>
      <c r="C127" t="s">
        <v>93</v>
      </c>
      <c r="D127" t="s">
        <v>141</v>
      </c>
      <c r="F127" t="s">
        <v>353</v>
      </c>
      <c r="G127" t="s">
        <v>898</v>
      </c>
      <c r="H127" t="s">
        <v>1421</v>
      </c>
      <c r="I127">
        <v>49</v>
      </c>
      <c r="J127" t="s">
        <v>2169</v>
      </c>
      <c r="K127" t="s">
        <v>2171</v>
      </c>
      <c r="L127">
        <v>10031</v>
      </c>
      <c r="M127" t="s">
        <v>2173</v>
      </c>
      <c r="N127" t="s">
        <v>2173</v>
      </c>
      <c r="O127" t="s">
        <v>2179</v>
      </c>
      <c r="P127" t="s">
        <v>2297</v>
      </c>
      <c r="Q127">
        <v>17</v>
      </c>
      <c r="R127" t="s">
        <v>2843</v>
      </c>
      <c r="S127" t="s">
        <v>2857</v>
      </c>
      <c r="U127" t="s">
        <v>2869</v>
      </c>
      <c r="V127" t="s">
        <v>2174</v>
      </c>
      <c r="W127" t="s">
        <v>2174</v>
      </c>
      <c r="Y127" t="s">
        <v>2876</v>
      </c>
      <c r="Z127" t="s">
        <v>2879</v>
      </c>
      <c r="AA127" t="s">
        <v>141</v>
      </c>
      <c r="AB127">
        <v>0</v>
      </c>
      <c r="AC127">
        <v>888.0700000000001</v>
      </c>
      <c r="AD127">
        <v>35.05</v>
      </c>
      <c r="AE127" t="s">
        <v>2894</v>
      </c>
      <c r="AG127" t="s">
        <v>3027</v>
      </c>
      <c r="AI127" t="s">
        <v>3892</v>
      </c>
      <c r="AJ127">
        <v>0</v>
      </c>
      <c r="AK127" t="s">
        <v>4456</v>
      </c>
      <c r="AL127">
        <v>2</v>
      </c>
      <c r="AM127">
        <v>3</v>
      </c>
      <c r="AN127">
        <v>94.45999999999999</v>
      </c>
      <c r="AQ127" t="s">
        <v>4474</v>
      </c>
      <c r="AR127" t="s">
        <v>4477</v>
      </c>
      <c r="AS127" t="s">
        <v>4487</v>
      </c>
      <c r="AT127">
        <v>28500</v>
      </c>
      <c r="AX127" t="s">
        <v>4504</v>
      </c>
      <c r="BA127" t="s">
        <v>4554</v>
      </c>
      <c r="BD127" t="s">
        <v>154</v>
      </c>
      <c r="BE127" t="s">
        <v>4703</v>
      </c>
    </row>
    <row r="128" spans="1:57">
      <c r="A128" s="1">
        <f>HYPERLINK("https://lsnyc.legalserver.org/matter/dynamic-profile/view/1896126","19-1896126")</f>
        <v>0</v>
      </c>
      <c r="B128" t="s">
        <v>72</v>
      </c>
      <c r="C128" t="s">
        <v>92</v>
      </c>
      <c r="D128" t="s">
        <v>142</v>
      </c>
      <c r="E128" t="s">
        <v>218</v>
      </c>
      <c r="F128" t="s">
        <v>354</v>
      </c>
      <c r="G128" t="s">
        <v>899</v>
      </c>
      <c r="H128" t="s">
        <v>1421</v>
      </c>
      <c r="I128">
        <v>49</v>
      </c>
      <c r="J128" t="s">
        <v>2169</v>
      </c>
      <c r="K128" t="s">
        <v>2171</v>
      </c>
      <c r="L128">
        <v>10031</v>
      </c>
      <c r="M128" t="s">
        <v>2173</v>
      </c>
      <c r="N128" t="s">
        <v>2173</v>
      </c>
      <c r="O128" t="s">
        <v>2179</v>
      </c>
      <c r="P128" t="s">
        <v>2297</v>
      </c>
      <c r="Q128">
        <v>17</v>
      </c>
      <c r="R128" t="s">
        <v>2843</v>
      </c>
      <c r="S128" t="s">
        <v>2855</v>
      </c>
      <c r="T128" t="s">
        <v>2862</v>
      </c>
      <c r="U128" t="s">
        <v>2869</v>
      </c>
      <c r="V128" t="s">
        <v>2174</v>
      </c>
      <c r="W128" t="s">
        <v>2174</v>
      </c>
      <c r="Y128" t="s">
        <v>2876</v>
      </c>
      <c r="Z128" t="s">
        <v>2879</v>
      </c>
      <c r="AA128" t="s">
        <v>142</v>
      </c>
      <c r="AB128">
        <v>0</v>
      </c>
      <c r="AC128">
        <v>888.0700000000001</v>
      </c>
      <c r="AD128">
        <v>1.5</v>
      </c>
      <c r="AE128" t="s">
        <v>2894</v>
      </c>
      <c r="AF128" t="s">
        <v>2899</v>
      </c>
      <c r="AG128" t="s">
        <v>3028</v>
      </c>
      <c r="AI128" t="s">
        <v>3893</v>
      </c>
      <c r="AJ128">
        <v>0</v>
      </c>
      <c r="AK128" t="s">
        <v>4456</v>
      </c>
      <c r="AL128">
        <v>3</v>
      </c>
      <c r="AM128">
        <v>3</v>
      </c>
      <c r="AN128">
        <v>144.84</v>
      </c>
      <c r="AQ128" t="s">
        <v>4474</v>
      </c>
      <c r="AR128" t="s">
        <v>4477</v>
      </c>
      <c r="AS128" t="s">
        <v>4487</v>
      </c>
      <c r="AT128">
        <v>50100</v>
      </c>
      <c r="AX128" t="s">
        <v>4504</v>
      </c>
      <c r="BA128" t="s">
        <v>4576</v>
      </c>
      <c r="BD128" t="s">
        <v>4683</v>
      </c>
      <c r="BE128" t="s">
        <v>4703</v>
      </c>
    </row>
    <row r="129" spans="1:57">
      <c r="A129" s="1">
        <f>HYPERLINK("https://lsnyc.legalserver.org/matter/dynamic-profile/view/1896523","19-1896523")</f>
        <v>0</v>
      </c>
      <c r="B129" t="s">
        <v>64</v>
      </c>
      <c r="C129" t="s">
        <v>93</v>
      </c>
      <c r="D129" t="s">
        <v>143</v>
      </c>
      <c r="F129" t="s">
        <v>350</v>
      </c>
      <c r="G129" t="s">
        <v>896</v>
      </c>
      <c r="H129" t="s">
        <v>1418</v>
      </c>
      <c r="I129" t="s">
        <v>1931</v>
      </c>
      <c r="J129" t="s">
        <v>2169</v>
      </c>
      <c r="K129" t="s">
        <v>2171</v>
      </c>
      <c r="L129">
        <v>10031</v>
      </c>
      <c r="M129" t="s">
        <v>2173</v>
      </c>
      <c r="N129" t="s">
        <v>2173</v>
      </c>
      <c r="O129" t="s">
        <v>2177</v>
      </c>
      <c r="P129" t="s">
        <v>2298</v>
      </c>
      <c r="Q129">
        <v>9</v>
      </c>
      <c r="R129" t="s">
        <v>2843</v>
      </c>
      <c r="S129" t="s">
        <v>2857</v>
      </c>
      <c r="U129" t="s">
        <v>2869</v>
      </c>
      <c r="V129" t="s">
        <v>2174</v>
      </c>
      <c r="W129" t="s">
        <v>2174</v>
      </c>
      <c r="Y129" t="s">
        <v>2876</v>
      </c>
      <c r="Z129" t="s">
        <v>2879</v>
      </c>
      <c r="AA129" t="s">
        <v>143</v>
      </c>
      <c r="AB129">
        <v>0</v>
      </c>
      <c r="AC129">
        <v>768</v>
      </c>
      <c r="AD129">
        <v>3.5</v>
      </c>
      <c r="AE129" t="s">
        <v>2894</v>
      </c>
      <c r="AG129" t="s">
        <v>3025</v>
      </c>
      <c r="AI129" t="s">
        <v>3889</v>
      </c>
      <c r="AJ129">
        <v>0</v>
      </c>
      <c r="AK129" t="s">
        <v>4456</v>
      </c>
      <c r="AL129">
        <v>1</v>
      </c>
      <c r="AM129">
        <v>1</v>
      </c>
      <c r="AN129">
        <v>129.46</v>
      </c>
      <c r="AR129" t="s">
        <v>4478</v>
      </c>
      <c r="AS129" t="s">
        <v>4486</v>
      </c>
      <c r="AT129">
        <v>21892</v>
      </c>
      <c r="AX129" t="s">
        <v>4504</v>
      </c>
      <c r="BA129" t="s">
        <v>4537</v>
      </c>
      <c r="BD129" t="s">
        <v>182</v>
      </c>
    </row>
    <row r="130" spans="1:57">
      <c r="A130" s="1">
        <f>HYPERLINK("https://lsnyc.legalserver.org/matter/dynamic-profile/view/1897912","19-1897912")</f>
        <v>0</v>
      </c>
      <c r="B130" t="s">
        <v>73</v>
      </c>
      <c r="C130" t="s">
        <v>93</v>
      </c>
      <c r="D130" t="s">
        <v>144</v>
      </c>
      <c r="F130" t="s">
        <v>355</v>
      </c>
      <c r="G130" t="s">
        <v>900</v>
      </c>
      <c r="H130" t="s">
        <v>1422</v>
      </c>
      <c r="I130">
        <v>67</v>
      </c>
      <c r="J130" t="s">
        <v>2169</v>
      </c>
      <c r="K130" t="s">
        <v>2171</v>
      </c>
      <c r="L130">
        <v>10031</v>
      </c>
      <c r="M130" t="s">
        <v>2173</v>
      </c>
      <c r="N130" t="s">
        <v>2173</v>
      </c>
      <c r="O130" t="s">
        <v>2175</v>
      </c>
      <c r="P130" t="s">
        <v>2299</v>
      </c>
      <c r="Q130">
        <v>4</v>
      </c>
      <c r="R130" t="s">
        <v>2843</v>
      </c>
      <c r="S130" t="s">
        <v>2857</v>
      </c>
      <c r="U130" t="s">
        <v>2869</v>
      </c>
      <c r="V130" t="s">
        <v>2174</v>
      </c>
      <c r="W130" t="s">
        <v>2174</v>
      </c>
      <c r="Y130" t="s">
        <v>2876</v>
      </c>
      <c r="Z130" t="s">
        <v>2879</v>
      </c>
      <c r="AA130" t="s">
        <v>144</v>
      </c>
      <c r="AB130">
        <v>0</v>
      </c>
      <c r="AC130">
        <v>991.4</v>
      </c>
      <c r="AD130">
        <v>89.05</v>
      </c>
      <c r="AE130" t="s">
        <v>2894</v>
      </c>
      <c r="AG130" t="s">
        <v>3029</v>
      </c>
      <c r="AI130" t="s">
        <v>3894</v>
      </c>
      <c r="AJ130">
        <v>0</v>
      </c>
      <c r="AK130" t="s">
        <v>4456</v>
      </c>
      <c r="AL130">
        <v>1</v>
      </c>
      <c r="AM130">
        <v>0</v>
      </c>
      <c r="AN130">
        <v>258.59</v>
      </c>
      <c r="AR130" t="s">
        <v>4476</v>
      </c>
      <c r="AS130" t="s">
        <v>4486</v>
      </c>
      <c r="AT130">
        <v>32298</v>
      </c>
      <c r="AX130" t="s">
        <v>4504</v>
      </c>
      <c r="BA130" t="s">
        <v>4577</v>
      </c>
      <c r="BD130" t="s">
        <v>154</v>
      </c>
    </row>
    <row r="131" spans="1:57">
      <c r="A131" s="1">
        <f>HYPERLINK("https://lsnyc.legalserver.org/matter/dynamic-profile/view/1898307","19-1898307")</f>
        <v>0</v>
      </c>
      <c r="B131" t="s">
        <v>73</v>
      </c>
      <c r="C131" t="s">
        <v>92</v>
      </c>
      <c r="D131" t="s">
        <v>145</v>
      </c>
      <c r="E131" t="s">
        <v>224</v>
      </c>
      <c r="F131" t="s">
        <v>356</v>
      </c>
      <c r="G131" t="s">
        <v>901</v>
      </c>
      <c r="H131" t="s">
        <v>1423</v>
      </c>
      <c r="I131" t="s">
        <v>1978</v>
      </c>
      <c r="J131" t="s">
        <v>2169</v>
      </c>
      <c r="K131" t="s">
        <v>2171</v>
      </c>
      <c r="L131">
        <v>10031</v>
      </c>
      <c r="M131" t="s">
        <v>2173</v>
      </c>
      <c r="N131" t="s">
        <v>2173</v>
      </c>
      <c r="O131" t="s">
        <v>2175</v>
      </c>
      <c r="P131" t="s">
        <v>2300</v>
      </c>
      <c r="Q131">
        <v>1</v>
      </c>
      <c r="R131" t="s">
        <v>2843</v>
      </c>
      <c r="S131" t="s">
        <v>2856</v>
      </c>
      <c r="T131" t="s">
        <v>2863</v>
      </c>
      <c r="U131" t="s">
        <v>2869</v>
      </c>
      <c r="V131" t="s">
        <v>2174</v>
      </c>
      <c r="W131" t="s">
        <v>2174</v>
      </c>
      <c r="Y131" t="s">
        <v>2876</v>
      </c>
      <c r="Z131" t="s">
        <v>2879</v>
      </c>
      <c r="AA131" t="s">
        <v>121</v>
      </c>
      <c r="AB131">
        <v>0</v>
      </c>
      <c r="AC131">
        <v>800</v>
      </c>
      <c r="AD131">
        <v>1</v>
      </c>
      <c r="AE131" t="s">
        <v>2894</v>
      </c>
      <c r="AF131" t="s">
        <v>2896</v>
      </c>
      <c r="AG131" t="s">
        <v>3030</v>
      </c>
      <c r="AI131" t="s">
        <v>3895</v>
      </c>
      <c r="AJ131">
        <v>0</v>
      </c>
      <c r="AK131" t="s">
        <v>4458</v>
      </c>
      <c r="AL131">
        <v>2</v>
      </c>
      <c r="AM131">
        <v>0</v>
      </c>
      <c r="AN131">
        <v>108.01</v>
      </c>
      <c r="AR131" t="s">
        <v>4476</v>
      </c>
      <c r="AS131" t="s">
        <v>4486</v>
      </c>
      <c r="AT131">
        <v>18264</v>
      </c>
      <c r="AX131" t="s">
        <v>4502</v>
      </c>
      <c r="BA131" t="s">
        <v>4538</v>
      </c>
      <c r="BD131" t="s">
        <v>145</v>
      </c>
    </row>
    <row r="132" spans="1:57">
      <c r="A132" s="1">
        <f>HYPERLINK("https://lsnyc.legalserver.org/matter/dynamic-profile/view/1899192","19-1899192")</f>
        <v>0</v>
      </c>
      <c r="B132" t="s">
        <v>68</v>
      </c>
      <c r="C132" t="s">
        <v>93</v>
      </c>
      <c r="D132" t="s">
        <v>113</v>
      </c>
      <c r="F132" t="s">
        <v>357</v>
      </c>
      <c r="G132" t="s">
        <v>809</v>
      </c>
      <c r="H132" t="s">
        <v>1424</v>
      </c>
      <c r="I132" t="s">
        <v>1910</v>
      </c>
      <c r="J132" t="s">
        <v>2169</v>
      </c>
      <c r="K132" t="s">
        <v>2171</v>
      </c>
      <c r="L132">
        <v>10031</v>
      </c>
      <c r="M132" t="s">
        <v>2173</v>
      </c>
      <c r="N132" t="s">
        <v>2172</v>
      </c>
      <c r="O132" t="s">
        <v>2175</v>
      </c>
      <c r="P132" t="s">
        <v>2301</v>
      </c>
      <c r="Q132">
        <v>7</v>
      </c>
      <c r="R132" t="s">
        <v>2843</v>
      </c>
      <c r="S132" t="s">
        <v>2857</v>
      </c>
      <c r="U132" t="s">
        <v>2869</v>
      </c>
      <c r="V132" t="s">
        <v>2174</v>
      </c>
      <c r="W132" t="s">
        <v>2174</v>
      </c>
      <c r="Y132" t="s">
        <v>2876</v>
      </c>
      <c r="Z132" t="s">
        <v>2879</v>
      </c>
      <c r="AA132" t="s">
        <v>113</v>
      </c>
      <c r="AB132">
        <v>0</v>
      </c>
      <c r="AC132">
        <v>600</v>
      </c>
      <c r="AD132">
        <v>0.35</v>
      </c>
      <c r="AE132" t="s">
        <v>2894</v>
      </c>
      <c r="AG132" t="s">
        <v>3031</v>
      </c>
      <c r="AI132" t="s">
        <v>3896</v>
      </c>
      <c r="AJ132">
        <v>0</v>
      </c>
      <c r="AK132" t="s">
        <v>4458</v>
      </c>
      <c r="AL132">
        <v>3</v>
      </c>
      <c r="AM132">
        <v>0</v>
      </c>
      <c r="AN132">
        <v>191.75</v>
      </c>
      <c r="AR132" t="s">
        <v>4476</v>
      </c>
      <c r="AS132" t="s">
        <v>4487</v>
      </c>
      <c r="AT132">
        <v>40900</v>
      </c>
      <c r="AX132" t="s">
        <v>4504</v>
      </c>
      <c r="BA132" t="s">
        <v>4546</v>
      </c>
      <c r="BD132" t="s">
        <v>173</v>
      </c>
    </row>
    <row r="133" spans="1:57">
      <c r="A133" s="1">
        <f>HYPERLINK("https://lsnyc.legalserver.org/matter/dynamic-profile/view/1899792","19-1899792")</f>
        <v>0</v>
      </c>
      <c r="B133" t="s">
        <v>69</v>
      </c>
      <c r="C133" t="s">
        <v>92</v>
      </c>
      <c r="D133" t="s">
        <v>95</v>
      </c>
      <c r="E133" t="s">
        <v>223</v>
      </c>
      <c r="F133" t="s">
        <v>358</v>
      </c>
      <c r="G133" t="s">
        <v>902</v>
      </c>
      <c r="H133" t="s">
        <v>1425</v>
      </c>
      <c r="I133" t="s">
        <v>1940</v>
      </c>
      <c r="J133" t="s">
        <v>2169</v>
      </c>
      <c r="K133" t="s">
        <v>2171</v>
      </c>
      <c r="L133">
        <v>10031</v>
      </c>
      <c r="M133" t="s">
        <v>2173</v>
      </c>
      <c r="N133" t="s">
        <v>2172</v>
      </c>
      <c r="O133" t="s">
        <v>2179</v>
      </c>
      <c r="P133" t="s">
        <v>2302</v>
      </c>
      <c r="Q133">
        <v>3</v>
      </c>
      <c r="R133" t="s">
        <v>2843</v>
      </c>
      <c r="S133" t="s">
        <v>2856</v>
      </c>
      <c r="T133" t="s">
        <v>2863</v>
      </c>
      <c r="U133" t="s">
        <v>2869</v>
      </c>
      <c r="V133" t="s">
        <v>2174</v>
      </c>
      <c r="W133" t="s">
        <v>2174</v>
      </c>
      <c r="Y133" t="s">
        <v>2876</v>
      </c>
      <c r="AA133" t="s">
        <v>95</v>
      </c>
      <c r="AB133">
        <v>0</v>
      </c>
      <c r="AC133">
        <v>430</v>
      </c>
      <c r="AD133">
        <v>1</v>
      </c>
      <c r="AE133" t="s">
        <v>2894</v>
      </c>
      <c r="AF133" t="s">
        <v>2896</v>
      </c>
      <c r="AG133" t="s">
        <v>3032</v>
      </c>
      <c r="AI133" t="s">
        <v>3897</v>
      </c>
      <c r="AJ133">
        <v>0</v>
      </c>
      <c r="AK133" t="s">
        <v>4464</v>
      </c>
      <c r="AL133">
        <v>4</v>
      </c>
      <c r="AM133">
        <v>0</v>
      </c>
      <c r="AN133">
        <v>0.84</v>
      </c>
      <c r="AT133">
        <v>216</v>
      </c>
      <c r="AX133" t="s">
        <v>4506</v>
      </c>
      <c r="BA133" t="s">
        <v>4562</v>
      </c>
      <c r="BD133" t="s">
        <v>95</v>
      </c>
      <c r="BE133" t="s">
        <v>4703</v>
      </c>
    </row>
    <row r="134" spans="1:57">
      <c r="A134" s="1">
        <f>HYPERLINK("https://lsnyc.legalserver.org/matter/dynamic-profile/view/1900409","19-1900409")</f>
        <v>0</v>
      </c>
      <c r="B134" t="s">
        <v>62</v>
      </c>
      <c r="C134" t="s">
        <v>93</v>
      </c>
      <c r="D134" t="s">
        <v>135</v>
      </c>
      <c r="F134" t="s">
        <v>359</v>
      </c>
      <c r="G134" t="s">
        <v>381</v>
      </c>
      <c r="H134" t="s">
        <v>1426</v>
      </c>
      <c r="J134" t="s">
        <v>2169</v>
      </c>
      <c r="K134" t="s">
        <v>2171</v>
      </c>
      <c r="L134">
        <v>10031</v>
      </c>
      <c r="M134" t="s">
        <v>2173</v>
      </c>
      <c r="N134" t="s">
        <v>2172</v>
      </c>
      <c r="O134" t="s">
        <v>2175</v>
      </c>
      <c r="P134" t="s">
        <v>2303</v>
      </c>
      <c r="Q134">
        <v>2</v>
      </c>
      <c r="R134" t="s">
        <v>2843</v>
      </c>
      <c r="S134" t="s">
        <v>2857</v>
      </c>
      <c r="U134" t="s">
        <v>2869</v>
      </c>
      <c r="V134" t="s">
        <v>2174</v>
      </c>
      <c r="W134" t="s">
        <v>2174</v>
      </c>
      <c r="Y134" t="s">
        <v>2876</v>
      </c>
      <c r="AA134" t="s">
        <v>135</v>
      </c>
      <c r="AB134">
        <v>0</v>
      </c>
      <c r="AC134">
        <v>800</v>
      </c>
      <c r="AD134">
        <v>25.8</v>
      </c>
      <c r="AE134" t="s">
        <v>2894</v>
      </c>
      <c r="AG134" t="s">
        <v>3033</v>
      </c>
      <c r="AI134" t="s">
        <v>3898</v>
      </c>
      <c r="AJ134">
        <v>14</v>
      </c>
      <c r="AL134">
        <v>1</v>
      </c>
      <c r="AM134">
        <v>0</v>
      </c>
      <c r="AN134">
        <v>112.09</v>
      </c>
      <c r="AS134" t="s">
        <v>4486</v>
      </c>
      <c r="AT134">
        <v>14000</v>
      </c>
      <c r="AX134" t="s">
        <v>86</v>
      </c>
      <c r="BA134" t="s">
        <v>4546</v>
      </c>
      <c r="BD134" t="s">
        <v>4681</v>
      </c>
      <c r="BE134" t="s">
        <v>4703</v>
      </c>
    </row>
    <row r="135" spans="1:57">
      <c r="A135" s="1">
        <f>HYPERLINK("https://lsnyc.legalserver.org/matter/dynamic-profile/view/1901035","19-1901035")</f>
        <v>0</v>
      </c>
      <c r="B135" t="s">
        <v>57</v>
      </c>
      <c r="C135" t="s">
        <v>93</v>
      </c>
      <c r="D135" t="s">
        <v>146</v>
      </c>
      <c r="F135" t="s">
        <v>262</v>
      </c>
      <c r="G135" t="s">
        <v>903</v>
      </c>
      <c r="H135" t="s">
        <v>1415</v>
      </c>
      <c r="I135" t="s">
        <v>1979</v>
      </c>
      <c r="J135" t="s">
        <v>2169</v>
      </c>
      <c r="K135" t="s">
        <v>2171</v>
      </c>
      <c r="L135">
        <v>10031</v>
      </c>
      <c r="M135" t="s">
        <v>2173</v>
      </c>
      <c r="N135" t="s">
        <v>2172</v>
      </c>
      <c r="O135" t="s">
        <v>2175</v>
      </c>
      <c r="P135" t="s">
        <v>2304</v>
      </c>
      <c r="Q135">
        <v>14</v>
      </c>
      <c r="R135" t="s">
        <v>2843</v>
      </c>
      <c r="S135" t="s">
        <v>2857</v>
      </c>
      <c r="U135" t="s">
        <v>2869</v>
      </c>
      <c r="V135" t="s">
        <v>2174</v>
      </c>
      <c r="W135" t="s">
        <v>2174</v>
      </c>
      <c r="Y135" t="s">
        <v>2876</v>
      </c>
      <c r="AA135" t="s">
        <v>146</v>
      </c>
      <c r="AB135">
        <v>0</v>
      </c>
      <c r="AC135">
        <v>648.83</v>
      </c>
      <c r="AD135">
        <v>7.5</v>
      </c>
      <c r="AE135" t="s">
        <v>2894</v>
      </c>
      <c r="AG135" t="s">
        <v>3034</v>
      </c>
      <c r="AH135" t="s">
        <v>3621</v>
      </c>
      <c r="AI135" t="s">
        <v>3899</v>
      </c>
      <c r="AJ135">
        <v>134</v>
      </c>
      <c r="AK135" t="s">
        <v>4456</v>
      </c>
      <c r="AL135">
        <v>1</v>
      </c>
      <c r="AM135">
        <v>0</v>
      </c>
      <c r="AN135">
        <v>81.67</v>
      </c>
      <c r="AR135" t="s">
        <v>4476</v>
      </c>
      <c r="AS135" t="s">
        <v>4487</v>
      </c>
      <c r="AT135">
        <v>10200</v>
      </c>
      <c r="AX135" t="s">
        <v>4504</v>
      </c>
      <c r="BA135" t="s">
        <v>4550</v>
      </c>
      <c r="BD135" t="s">
        <v>164</v>
      </c>
      <c r="BE135" t="s">
        <v>4704</v>
      </c>
    </row>
    <row r="136" spans="1:57">
      <c r="A136" s="1">
        <f>HYPERLINK("https://lsnyc.legalserver.org/matter/dynamic-profile/view/1901586","19-1901586")</f>
        <v>0</v>
      </c>
      <c r="B136" t="s">
        <v>69</v>
      </c>
      <c r="C136" t="s">
        <v>92</v>
      </c>
      <c r="D136" t="s">
        <v>147</v>
      </c>
      <c r="E136" t="s">
        <v>124</v>
      </c>
      <c r="F136" t="s">
        <v>360</v>
      </c>
      <c r="G136" t="s">
        <v>890</v>
      </c>
      <c r="H136" t="s">
        <v>1427</v>
      </c>
      <c r="I136" t="s">
        <v>1980</v>
      </c>
      <c r="J136" t="s">
        <v>2169</v>
      </c>
      <c r="K136" t="s">
        <v>2171</v>
      </c>
      <c r="L136">
        <v>10031</v>
      </c>
      <c r="M136" t="s">
        <v>2173</v>
      </c>
      <c r="N136" t="s">
        <v>2172</v>
      </c>
      <c r="O136" t="s">
        <v>2179</v>
      </c>
      <c r="P136" t="s">
        <v>2305</v>
      </c>
      <c r="Q136">
        <v>11</v>
      </c>
      <c r="R136" t="s">
        <v>2843</v>
      </c>
      <c r="S136" t="s">
        <v>2857</v>
      </c>
      <c r="T136" t="s">
        <v>2865</v>
      </c>
      <c r="U136" t="s">
        <v>2869</v>
      </c>
      <c r="V136" t="s">
        <v>2174</v>
      </c>
      <c r="W136" t="s">
        <v>2174</v>
      </c>
      <c r="Y136" t="s">
        <v>2876</v>
      </c>
      <c r="AA136" t="s">
        <v>147</v>
      </c>
      <c r="AB136">
        <v>0</v>
      </c>
      <c r="AC136">
        <v>0</v>
      </c>
      <c r="AD136">
        <v>0.6</v>
      </c>
      <c r="AE136" t="s">
        <v>2894</v>
      </c>
      <c r="AF136" t="s">
        <v>2900</v>
      </c>
      <c r="AG136" t="s">
        <v>3035</v>
      </c>
      <c r="AI136" t="s">
        <v>3900</v>
      </c>
      <c r="AJ136">
        <v>0</v>
      </c>
      <c r="AK136" t="s">
        <v>4460</v>
      </c>
      <c r="AL136">
        <v>1</v>
      </c>
      <c r="AM136">
        <v>0</v>
      </c>
      <c r="AN136">
        <v>129.61</v>
      </c>
      <c r="AR136" t="s">
        <v>4476</v>
      </c>
      <c r="AS136" t="s">
        <v>4487</v>
      </c>
      <c r="AT136">
        <v>16188</v>
      </c>
      <c r="AX136" t="s">
        <v>4501</v>
      </c>
      <c r="BA136" t="s">
        <v>4536</v>
      </c>
      <c r="BD136" t="s">
        <v>192</v>
      </c>
      <c r="BE136" t="s">
        <v>4703</v>
      </c>
    </row>
    <row r="137" spans="1:57">
      <c r="A137" s="1">
        <f>HYPERLINK("https://lsnyc.legalserver.org/matter/dynamic-profile/view/1902192","19-1902192")</f>
        <v>0</v>
      </c>
      <c r="B137" t="s">
        <v>57</v>
      </c>
      <c r="C137" t="s">
        <v>93</v>
      </c>
      <c r="D137" t="s">
        <v>136</v>
      </c>
      <c r="F137" t="s">
        <v>361</v>
      </c>
      <c r="G137" t="s">
        <v>904</v>
      </c>
      <c r="H137" t="s">
        <v>1428</v>
      </c>
      <c r="I137" t="s">
        <v>1981</v>
      </c>
      <c r="J137" t="s">
        <v>2169</v>
      </c>
      <c r="K137" t="s">
        <v>2171</v>
      </c>
      <c r="L137">
        <v>10031</v>
      </c>
      <c r="M137" t="s">
        <v>2173</v>
      </c>
      <c r="N137" t="s">
        <v>2172</v>
      </c>
      <c r="O137" t="s">
        <v>2179</v>
      </c>
      <c r="P137" t="s">
        <v>2306</v>
      </c>
      <c r="Q137">
        <v>22</v>
      </c>
      <c r="R137" t="s">
        <v>2843</v>
      </c>
      <c r="S137" t="s">
        <v>2856</v>
      </c>
      <c r="U137" t="s">
        <v>2869</v>
      </c>
      <c r="V137" t="s">
        <v>2174</v>
      </c>
      <c r="W137" t="s">
        <v>2173</v>
      </c>
      <c r="Y137" t="s">
        <v>2876</v>
      </c>
      <c r="AA137" t="s">
        <v>136</v>
      </c>
      <c r="AB137">
        <v>0</v>
      </c>
      <c r="AC137">
        <v>877</v>
      </c>
      <c r="AD137">
        <v>1</v>
      </c>
      <c r="AE137" t="s">
        <v>2894</v>
      </c>
      <c r="AG137" t="s">
        <v>3036</v>
      </c>
      <c r="AI137" t="s">
        <v>3901</v>
      </c>
      <c r="AJ137">
        <v>181</v>
      </c>
      <c r="AK137" t="s">
        <v>4456</v>
      </c>
      <c r="AL137">
        <v>2</v>
      </c>
      <c r="AM137">
        <v>1</v>
      </c>
      <c r="AN137">
        <v>393.81</v>
      </c>
      <c r="AS137" t="s">
        <v>4486</v>
      </c>
      <c r="AT137">
        <v>84000</v>
      </c>
      <c r="AX137" t="s">
        <v>4507</v>
      </c>
      <c r="BA137" t="s">
        <v>4546</v>
      </c>
      <c r="BD137" t="s">
        <v>136</v>
      </c>
      <c r="BE137" t="s">
        <v>4703</v>
      </c>
    </row>
    <row r="138" spans="1:57">
      <c r="A138" s="1">
        <f>HYPERLINK("https://lsnyc.legalserver.org/matter/dynamic-profile/view/1903394","19-1903394")</f>
        <v>0</v>
      </c>
      <c r="B138" t="s">
        <v>62</v>
      </c>
      <c r="C138" t="s">
        <v>93</v>
      </c>
      <c r="D138" t="s">
        <v>148</v>
      </c>
      <c r="F138" t="s">
        <v>362</v>
      </c>
      <c r="G138" t="s">
        <v>905</v>
      </c>
      <c r="H138" t="s">
        <v>1429</v>
      </c>
      <c r="I138">
        <v>4</v>
      </c>
      <c r="J138" t="s">
        <v>2169</v>
      </c>
      <c r="K138" t="s">
        <v>2171</v>
      </c>
      <c r="L138">
        <v>10031</v>
      </c>
      <c r="M138" t="s">
        <v>2173</v>
      </c>
      <c r="N138" t="s">
        <v>2172</v>
      </c>
      <c r="O138" t="s">
        <v>2179</v>
      </c>
      <c r="P138" t="s">
        <v>2307</v>
      </c>
      <c r="Q138">
        <v>10</v>
      </c>
      <c r="R138" t="s">
        <v>2843</v>
      </c>
      <c r="S138" t="s">
        <v>2857</v>
      </c>
      <c r="U138" t="s">
        <v>2869</v>
      </c>
      <c r="V138" t="s">
        <v>2174</v>
      </c>
      <c r="W138" t="s">
        <v>2174</v>
      </c>
      <c r="Y138" t="s">
        <v>2876</v>
      </c>
      <c r="AA138" t="s">
        <v>148</v>
      </c>
      <c r="AB138">
        <v>0</v>
      </c>
      <c r="AC138">
        <v>250</v>
      </c>
      <c r="AD138">
        <v>14</v>
      </c>
      <c r="AE138" t="s">
        <v>2894</v>
      </c>
      <c r="AG138" t="s">
        <v>3037</v>
      </c>
      <c r="AI138" t="s">
        <v>3902</v>
      </c>
      <c r="AJ138">
        <v>0</v>
      </c>
      <c r="AK138" t="s">
        <v>4456</v>
      </c>
      <c r="AL138">
        <v>1</v>
      </c>
      <c r="AM138">
        <v>0</v>
      </c>
      <c r="AN138">
        <v>79.65000000000001</v>
      </c>
      <c r="AS138" t="s">
        <v>4486</v>
      </c>
      <c r="AT138">
        <v>9948</v>
      </c>
      <c r="AX138" t="s">
        <v>4501</v>
      </c>
      <c r="BA138" t="s">
        <v>4548</v>
      </c>
      <c r="BD138" t="s">
        <v>97</v>
      </c>
      <c r="BE138" t="s">
        <v>4703</v>
      </c>
    </row>
    <row r="139" spans="1:57">
      <c r="A139" s="1">
        <f>HYPERLINK("https://lsnyc.legalserver.org/matter/dynamic-profile/view/1904168","19-1904168")</f>
        <v>0</v>
      </c>
      <c r="B139" t="s">
        <v>72</v>
      </c>
      <c r="C139" t="s">
        <v>92</v>
      </c>
      <c r="D139" t="s">
        <v>149</v>
      </c>
      <c r="E139" t="s">
        <v>197</v>
      </c>
      <c r="F139" t="s">
        <v>363</v>
      </c>
      <c r="G139" t="s">
        <v>906</v>
      </c>
      <c r="H139" t="s">
        <v>1430</v>
      </c>
      <c r="I139" t="s">
        <v>1955</v>
      </c>
      <c r="J139" t="s">
        <v>2169</v>
      </c>
      <c r="K139" t="s">
        <v>2171</v>
      </c>
      <c r="L139">
        <v>10031</v>
      </c>
      <c r="M139" t="s">
        <v>2173</v>
      </c>
      <c r="N139" t="s">
        <v>2172</v>
      </c>
      <c r="O139" t="s">
        <v>2175</v>
      </c>
      <c r="P139" t="s">
        <v>2308</v>
      </c>
      <c r="Q139">
        <v>1</v>
      </c>
      <c r="R139" t="s">
        <v>2843</v>
      </c>
      <c r="S139" t="s">
        <v>2856</v>
      </c>
      <c r="T139" t="s">
        <v>2863</v>
      </c>
      <c r="U139" t="s">
        <v>2869</v>
      </c>
      <c r="V139" t="s">
        <v>2174</v>
      </c>
      <c r="W139" t="s">
        <v>2174</v>
      </c>
      <c r="Y139" t="s">
        <v>2876</v>
      </c>
      <c r="Z139" t="s">
        <v>2879</v>
      </c>
      <c r="AA139" t="s">
        <v>2886</v>
      </c>
      <c r="AB139">
        <v>0</v>
      </c>
      <c r="AC139">
        <v>500</v>
      </c>
      <c r="AD139">
        <v>1.25</v>
      </c>
      <c r="AE139" t="s">
        <v>2894</v>
      </c>
      <c r="AF139" t="s">
        <v>2896</v>
      </c>
      <c r="AG139" t="s">
        <v>3038</v>
      </c>
      <c r="AI139" t="s">
        <v>3903</v>
      </c>
      <c r="AJ139">
        <v>56</v>
      </c>
      <c r="AK139" t="s">
        <v>4458</v>
      </c>
      <c r="AL139">
        <v>2</v>
      </c>
      <c r="AM139">
        <v>1</v>
      </c>
      <c r="AN139">
        <v>170.65</v>
      </c>
      <c r="AS139" t="s">
        <v>4486</v>
      </c>
      <c r="AT139">
        <v>36400</v>
      </c>
      <c r="AX139" t="s">
        <v>4508</v>
      </c>
      <c r="BA139" t="s">
        <v>4546</v>
      </c>
      <c r="BD139" t="s">
        <v>4672</v>
      </c>
      <c r="BE139" t="s">
        <v>4703</v>
      </c>
    </row>
    <row r="140" spans="1:57">
      <c r="A140" s="1">
        <f>HYPERLINK("https://lsnyc.legalserver.org/matter/dynamic-profile/view/1905071","19-1905071")</f>
        <v>0</v>
      </c>
      <c r="B140" t="s">
        <v>58</v>
      </c>
      <c r="C140" t="s">
        <v>92</v>
      </c>
      <c r="D140" t="s">
        <v>150</v>
      </c>
      <c r="E140" t="s">
        <v>185</v>
      </c>
      <c r="F140" t="s">
        <v>364</v>
      </c>
      <c r="G140" t="s">
        <v>821</v>
      </c>
      <c r="H140" t="s">
        <v>1431</v>
      </c>
      <c r="I140">
        <v>46</v>
      </c>
      <c r="J140" t="s">
        <v>2169</v>
      </c>
      <c r="K140" t="s">
        <v>2171</v>
      </c>
      <c r="L140">
        <v>10031</v>
      </c>
      <c r="M140" t="s">
        <v>2173</v>
      </c>
      <c r="N140" t="s">
        <v>2172</v>
      </c>
      <c r="O140" t="s">
        <v>2179</v>
      </c>
      <c r="P140" t="s">
        <v>2309</v>
      </c>
      <c r="Q140">
        <v>1</v>
      </c>
      <c r="R140" t="s">
        <v>2843</v>
      </c>
      <c r="S140" t="s">
        <v>2856</v>
      </c>
      <c r="T140" t="s">
        <v>2863</v>
      </c>
      <c r="U140" t="s">
        <v>2869</v>
      </c>
      <c r="V140" t="s">
        <v>2174</v>
      </c>
      <c r="W140" t="s">
        <v>2174</v>
      </c>
      <c r="Y140" t="s">
        <v>2876</v>
      </c>
      <c r="Z140" t="s">
        <v>2879</v>
      </c>
      <c r="AA140" t="s">
        <v>150</v>
      </c>
      <c r="AB140">
        <v>0</v>
      </c>
      <c r="AC140">
        <v>1000</v>
      </c>
      <c r="AD140">
        <v>1</v>
      </c>
      <c r="AE140" t="s">
        <v>2894</v>
      </c>
      <c r="AF140" t="s">
        <v>2896</v>
      </c>
      <c r="AG140" t="s">
        <v>3039</v>
      </c>
      <c r="AJ140">
        <v>47</v>
      </c>
      <c r="AK140" t="s">
        <v>4458</v>
      </c>
      <c r="AL140">
        <v>2</v>
      </c>
      <c r="AM140">
        <v>0</v>
      </c>
      <c r="AN140">
        <v>107.63</v>
      </c>
      <c r="AR140" t="s">
        <v>4476</v>
      </c>
      <c r="AS140" t="s">
        <v>4487</v>
      </c>
      <c r="AT140">
        <v>18200</v>
      </c>
      <c r="AX140" t="s">
        <v>4504</v>
      </c>
      <c r="BA140" t="s">
        <v>4545</v>
      </c>
      <c r="BD140" t="s">
        <v>150</v>
      </c>
      <c r="BE140" t="s">
        <v>4703</v>
      </c>
    </row>
    <row r="141" spans="1:57">
      <c r="A141" s="1">
        <f>HYPERLINK("https://lsnyc.legalserver.org/matter/dynamic-profile/view/1906269","19-1906269")</f>
        <v>0</v>
      </c>
      <c r="B141" t="s">
        <v>57</v>
      </c>
      <c r="C141" t="s">
        <v>93</v>
      </c>
      <c r="D141" t="s">
        <v>151</v>
      </c>
      <c r="F141" t="s">
        <v>270</v>
      </c>
      <c r="G141" t="s">
        <v>907</v>
      </c>
      <c r="H141" t="s">
        <v>1432</v>
      </c>
      <c r="I141" t="s">
        <v>1982</v>
      </c>
      <c r="J141" t="s">
        <v>2169</v>
      </c>
      <c r="K141" t="s">
        <v>2171</v>
      </c>
      <c r="L141">
        <v>10031</v>
      </c>
      <c r="M141" t="s">
        <v>2173</v>
      </c>
      <c r="N141" t="s">
        <v>2172</v>
      </c>
      <c r="O141" t="s">
        <v>2179</v>
      </c>
      <c r="P141" t="s">
        <v>2310</v>
      </c>
      <c r="Q141">
        <v>30</v>
      </c>
      <c r="R141" t="s">
        <v>2843</v>
      </c>
      <c r="S141" t="s">
        <v>2857</v>
      </c>
      <c r="U141" t="s">
        <v>2869</v>
      </c>
      <c r="V141" t="s">
        <v>2174</v>
      </c>
      <c r="W141" t="s">
        <v>2174</v>
      </c>
      <c r="Y141" t="s">
        <v>2876</v>
      </c>
      <c r="Z141" t="s">
        <v>2879</v>
      </c>
      <c r="AA141" t="s">
        <v>151</v>
      </c>
      <c r="AB141">
        <v>0</v>
      </c>
      <c r="AC141">
        <v>556.3200000000001</v>
      </c>
      <c r="AD141">
        <v>10.3</v>
      </c>
      <c r="AE141" t="s">
        <v>2894</v>
      </c>
      <c r="AG141" t="s">
        <v>3040</v>
      </c>
      <c r="AH141" t="s">
        <v>3622</v>
      </c>
      <c r="AI141" t="s">
        <v>3904</v>
      </c>
      <c r="AJ141">
        <v>15</v>
      </c>
      <c r="AK141" t="s">
        <v>4456</v>
      </c>
      <c r="AL141">
        <v>2</v>
      </c>
      <c r="AM141">
        <v>0</v>
      </c>
      <c r="AN141">
        <v>52</v>
      </c>
      <c r="AR141" t="s">
        <v>4476</v>
      </c>
      <c r="AS141" t="s">
        <v>4487</v>
      </c>
      <c r="AT141">
        <v>8793</v>
      </c>
      <c r="AX141" t="s">
        <v>4504</v>
      </c>
      <c r="BA141" t="s">
        <v>4538</v>
      </c>
      <c r="BD141" t="s">
        <v>197</v>
      </c>
      <c r="BE141" t="s">
        <v>4703</v>
      </c>
    </row>
    <row r="142" spans="1:57">
      <c r="A142" s="1">
        <f>HYPERLINK("https://lsnyc.legalserver.org/matter/dynamic-profile/view/1906819","19-1906819")</f>
        <v>0</v>
      </c>
      <c r="B142" t="s">
        <v>62</v>
      </c>
      <c r="C142" t="s">
        <v>93</v>
      </c>
      <c r="D142" t="s">
        <v>152</v>
      </c>
      <c r="F142" t="s">
        <v>365</v>
      </c>
      <c r="G142" t="s">
        <v>908</v>
      </c>
      <c r="H142" t="s">
        <v>1433</v>
      </c>
      <c r="I142">
        <v>56</v>
      </c>
      <c r="J142" t="s">
        <v>2169</v>
      </c>
      <c r="K142" t="s">
        <v>2171</v>
      </c>
      <c r="L142">
        <v>10031</v>
      </c>
      <c r="M142" t="s">
        <v>2173</v>
      </c>
      <c r="N142" t="s">
        <v>2172</v>
      </c>
      <c r="O142" t="s">
        <v>2179</v>
      </c>
      <c r="P142" t="s">
        <v>2311</v>
      </c>
      <c r="Q142">
        <v>22</v>
      </c>
      <c r="R142" t="s">
        <v>2843</v>
      </c>
      <c r="S142" t="s">
        <v>2857</v>
      </c>
      <c r="U142" t="s">
        <v>2869</v>
      </c>
      <c r="V142" t="s">
        <v>2174</v>
      </c>
      <c r="W142" t="s">
        <v>2174</v>
      </c>
      <c r="Y142" t="s">
        <v>2876</v>
      </c>
      <c r="AA142" t="s">
        <v>152</v>
      </c>
      <c r="AB142">
        <v>0</v>
      </c>
      <c r="AC142">
        <v>1194</v>
      </c>
      <c r="AD142">
        <v>10.2</v>
      </c>
      <c r="AE142" t="s">
        <v>2894</v>
      </c>
      <c r="AG142" t="s">
        <v>3041</v>
      </c>
      <c r="AI142" t="s">
        <v>3905</v>
      </c>
      <c r="AJ142">
        <v>54</v>
      </c>
      <c r="AK142" t="s">
        <v>4456</v>
      </c>
      <c r="AL142">
        <v>2</v>
      </c>
      <c r="AM142">
        <v>1</v>
      </c>
      <c r="AN142">
        <v>121.89</v>
      </c>
      <c r="AR142" t="s">
        <v>4476</v>
      </c>
      <c r="AS142" t="s">
        <v>4487</v>
      </c>
      <c r="AT142">
        <v>26000</v>
      </c>
      <c r="AX142" t="s">
        <v>4501</v>
      </c>
      <c r="BA142" t="s">
        <v>4546</v>
      </c>
      <c r="BD142" t="s">
        <v>4684</v>
      </c>
      <c r="BE142" t="s">
        <v>4703</v>
      </c>
    </row>
    <row r="143" spans="1:57">
      <c r="A143" s="1">
        <f>HYPERLINK("https://lsnyc.legalserver.org/matter/dynamic-profile/view/1906844","19-1906844")</f>
        <v>0</v>
      </c>
      <c r="B143" t="s">
        <v>69</v>
      </c>
      <c r="C143" t="s">
        <v>93</v>
      </c>
      <c r="D143" t="s">
        <v>152</v>
      </c>
      <c r="F143" t="s">
        <v>366</v>
      </c>
      <c r="G143" t="s">
        <v>909</v>
      </c>
      <c r="H143" t="s">
        <v>1434</v>
      </c>
      <c r="I143">
        <v>84</v>
      </c>
      <c r="J143" t="s">
        <v>2169</v>
      </c>
      <c r="K143" t="s">
        <v>2171</v>
      </c>
      <c r="L143">
        <v>10031</v>
      </c>
      <c r="M143" t="s">
        <v>2173</v>
      </c>
      <c r="N143" t="s">
        <v>2172</v>
      </c>
      <c r="O143" t="s">
        <v>2179</v>
      </c>
      <c r="P143" t="s">
        <v>2312</v>
      </c>
      <c r="Q143">
        <v>7</v>
      </c>
      <c r="R143" t="s">
        <v>2843</v>
      </c>
      <c r="S143" t="s">
        <v>2857</v>
      </c>
      <c r="U143" t="s">
        <v>2869</v>
      </c>
      <c r="V143" t="s">
        <v>2174</v>
      </c>
      <c r="W143" t="s">
        <v>2174</v>
      </c>
      <c r="Y143" t="s">
        <v>2876</v>
      </c>
      <c r="Z143" t="s">
        <v>2879</v>
      </c>
      <c r="AA143" t="s">
        <v>152</v>
      </c>
      <c r="AB143">
        <v>0</v>
      </c>
      <c r="AC143">
        <v>1287.3</v>
      </c>
      <c r="AD143">
        <v>17.6</v>
      </c>
      <c r="AE143" t="s">
        <v>2894</v>
      </c>
      <c r="AG143" t="s">
        <v>3042</v>
      </c>
      <c r="AI143" t="s">
        <v>3906</v>
      </c>
      <c r="AJ143">
        <v>62</v>
      </c>
      <c r="AK143" t="s">
        <v>4461</v>
      </c>
      <c r="AL143">
        <v>1</v>
      </c>
      <c r="AM143">
        <v>0</v>
      </c>
      <c r="AN143">
        <v>160.13</v>
      </c>
      <c r="AR143" t="s">
        <v>4476</v>
      </c>
      <c r="AS143" t="s">
        <v>4486</v>
      </c>
      <c r="AT143">
        <v>20000</v>
      </c>
      <c r="AX143" t="s">
        <v>4504</v>
      </c>
      <c r="BA143" t="s">
        <v>4537</v>
      </c>
      <c r="BD143" t="s">
        <v>168</v>
      </c>
      <c r="BE143" t="s">
        <v>4703</v>
      </c>
    </row>
    <row r="144" spans="1:57">
      <c r="A144" s="1">
        <f>HYPERLINK("https://lsnyc.legalserver.org/matter/dynamic-profile/view/1907823","19-1907823")</f>
        <v>0</v>
      </c>
      <c r="B144" t="s">
        <v>66</v>
      </c>
      <c r="C144" t="s">
        <v>93</v>
      </c>
      <c r="D144" t="s">
        <v>105</v>
      </c>
      <c r="F144" t="s">
        <v>367</v>
      </c>
      <c r="G144" t="s">
        <v>910</v>
      </c>
      <c r="H144" t="s">
        <v>1435</v>
      </c>
      <c r="I144" t="s">
        <v>1928</v>
      </c>
      <c r="J144" t="s">
        <v>2169</v>
      </c>
      <c r="K144" t="s">
        <v>2171</v>
      </c>
      <c r="L144">
        <v>10031</v>
      </c>
      <c r="M144" t="s">
        <v>2173</v>
      </c>
      <c r="N144" t="s">
        <v>2172</v>
      </c>
      <c r="O144" t="s">
        <v>2179</v>
      </c>
      <c r="P144" t="s">
        <v>2313</v>
      </c>
      <c r="Q144">
        <v>4</v>
      </c>
      <c r="R144" t="s">
        <v>2843</v>
      </c>
      <c r="S144" t="s">
        <v>2857</v>
      </c>
      <c r="U144" t="s">
        <v>2869</v>
      </c>
      <c r="V144" t="s">
        <v>2174</v>
      </c>
      <c r="W144" t="s">
        <v>2174</v>
      </c>
      <c r="Y144" t="s">
        <v>2876</v>
      </c>
      <c r="AA144" t="s">
        <v>105</v>
      </c>
      <c r="AB144">
        <v>0</v>
      </c>
      <c r="AC144">
        <v>650</v>
      </c>
      <c r="AD144">
        <v>4.9</v>
      </c>
      <c r="AE144" t="s">
        <v>2894</v>
      </c>
      <c r="AG144" t="s">
        <v>3043</v>
      </c>
      <c r="AI144" t="s">
        <v>3907</v>
      </c>
      <c r="AJ144">
        <v>13</v>
      </c>
      <c r="AK144" t="s">
        <v>4464</v>
      </c>
      <c r="AL144">
        <v>1</v>
      </c>
      <c r="AM144">
        <v>0</v>
      </c>
      <c r="AN144">
        <v>19.15</v>
      </c>
      <c r="AS144" t="s">
        <v>4486</v>
      </c>
      <c r="AT144">
        <v>2392</v>
      </c>
      <c r="AX144" t="s">
        <v>4501</v>
      </c>
      <c r="BA144" t="s">
        <v>4551</v>
      </c>
      <c r="BD144" t="s">
        <v>169</v>
      </c>
      <c r="BE144" t="s">
        <v>4703</v>
      </c>
    </row>
    <row r="145" spans="1:57">
      <c r="A145" s="1">
        <f>HYPERLINK("https://lsnyc.legalserver.org/matter/dynamic-profile/view/1908760","19-1908760")</f>
        <v>0</v>
      </c>
      <c r="B145" t="s">
        <v>64</v>
      </c>
      <c r="C145" t="s">
        <v>93</v>
      </c>
      <c r="D145" t="s">
        <v>153</v>
      </c>
      <c r="F145" t="s">
        <v>368</v>
      </c>
      <c r="G145" t="s">
        <v>805</v>
      </c>
      <c r="H145" t="s">
        <v>1412</v>
      </c>
      <c r="I145" t="s">
        <v>1983</v>
      </c>
      <c r="J145" t="s">
        <v>2169</v>
      </c>
      <c r="K145" t="s">
        <v>2171</v>
      </c>
      <c r="L145">
        <v>10031</v>
      </c>
      <c r="M145" t="s">
        <v>2173</v>
      </c>
      <c r="N145" t="s">
        <v>2172</v>
      </c>
      <c r="O145" t="s">
        <v>2179</v>
      </c>
      <c r="P145" t="s">
        <v>2314</v>
      </c>
      <c r="Q145">
        <v>15</v>
      </c>
      <c r="R145" t="s">
        <v>2843</v>
      </c>
      <c r="S145" t="s">
        <v>2856</v>
      </c>
      <c r="U145" t="s">
        <v>2869</v>
      </c>
      <c r="V145" t="s">
        <v>2174</v>
      </c>
      <c r="W145" t="s">
        <v>2174</v>
      </c>
      <c r="Y145" t="s">
        <v>2876</v>
      </c>
      <c r="AA145" t="s">
        <v>153</v>
      </c>
      <c r="AB145">
        <v>0</v>
      </c>
      <c r="AC145">
        <v>805</v>
      </c>
      <c r="AD145">
        <v>1</v>
      </c>
      <c r="AE145" t="s">
        <v>2894</v>
      </c>
      <c r="AG145" t="s">
        <v>3044</v>
      </c>
      <c r="AI145" t="s">
        <v>3908</v>
      </c>
      <c r="AJ145">
        <v>20</v>
      </c>
      <c r="AK145" t="s">
        <v>4456</v>
      </c>
      <c r="AL145">
        <v>1</v>
      </c>
      <c r="AM145">
        <v>1</v>
      </c>
      <c r="AN145">
        <v>277.94</v>
      </c>
      <c r="AR145" t="s">
        <v>4476</v>
      </c>
      <c r="AS145" t="s">
        <v>4487</v>
      </c>
      <c r="AT145">
        <v>47000</v>
      </c>
      <c r="AX145" t="s">
        <v>4501</v>
      </c>
      <c r="BA145" t="s">
        <v>4546</v>
      </c>
      <c r="BD145" t="s">
        <v>153</v>
      </c>
      <c r="BE145" t="s">
        <v>4703</v>
      </c>
    </row>
    <row r="146" spans="1:57">
      <c r="A146" s="1">
        <f>HYPERLINK("https://lsnyc.legalserver.org/matter/dynamic-profile/view/1908775","19-1908775")</f>
        <v>0</v>
      </c>
      <c r="B146" t="s">
        <v>80</v>
      </c>
      <c r="C146" t="s">
        <v>93</v>
      </c>
      <c r="D146" t="s">
        <v>153</v>
      </c>
      <c r="F146" t="s">
        <v>369</v>
      </c>
      <c r="G146" t="s">
        <v>911</v>
      </c>
      <c r="H146" t="s">
        <v>1436</v>
      </c>
      <c r="I146">
        <v>1</v>
      </c>
      <c r="J146" t="s">
        <v>2169</v>
      </c>
      <c r="K146" t="s">
        <v>2171</v>
      </c>
      <c r="L146">
        <v>10031</v>
      </c>
      <c r="M146" t="s">
        <v>2173</v>
      </c>
      <c r="N146" t="s">
        <v>2172</v>
      </c>
      <c r="O146" t="s">
        <v>2179</v>
      </c>
      <c r="P146" t="s">
        <v>2315</v>
      </c>
      <c r="Q146">
        <v>2</v>
      </c>
      <c r="R146" t="s">
        <v>2843</v>
      </c>
      <c r="S146" t="s">
        <v>2857</v>
      </c>
      <c r="U146" t="s">
        <v>2869</v>
      </c>
      <c r="V146" t="s">
        <v>2174</v>
      </c>
      <c r="W146" t="s">
        <v>2174</v>
      </c>
      <c r="Y146" t="s">
        <v>2876</v>
      </c>
      <c r="Z146" t="s">
        <v>2879</v>
      </c>
      <c r="AB146">
        <v>0</v>
      </c>
      <c r="AC146">
        <v>0</v>
      </c>
      <c r="AD146">
        <v>9.5</v>
      </c>
      <c r="AE146" t="s">
        <v>2894</v>
      </c>
      <c r="AG146" t="s">
        <v>3045</v>
      </c>
      <c r="AI146" t="s">
        <v>3909</v>
      </c>
      <c r="AJ146">
        <v>0</v>
      </c>
      <c r="AK146" t="s">
        <v>4458</v>
      </c>
      <c r="AL146">
        <v>1</v>
      </c>
      <c r="AM146">
        <v>0</v>
      </c>
      <c r="AN146">
        <v>144.12</v>
      </c>
      <c r="AR146" t="s">
        <v>4476</v>
      </c>
      <c r="AS146" t="s">
        <v>4486</v>
      </c>
      <c r="AT146">
        <v>18000</v>
      </c>
      <c r="AX146" t="s">
        <v>4504</v>
      </c>
      <c r="BA146" t="s">
        <v>4545</v>
      </c>
      <c r="BD146" t="s">
        <v>210</v>
      </c>
    </row>
    <row r="147" spans="1:57">
      <c r="A147" s="1">
        <f>HYPERLINK("https://lsnyc.legalserver.org/matter/dynamic-profile/view/1908821","19-1908821")</f>
        <v>0</v>
      </c>
      <c r="B147" t="s">
        <v>67</v>
      </c>
      <c r="C147" t="s">
        <v>93</v>
      </c>
      <c r="D147" t="s">
        <v>153</v>
      </c>
      <c r="F147" t="s">
        <v>370</v>
      </c>
      <c r="G147" t="s">
        <v>912</v>
      </c>
      <c r="H147" t="s">
        <v>1437</v>
      </c>
      <c r="I147" t="s">
        <v>1984</v>
      </c>
      <c r="J147" t="s">
        <v>2169</v>
      </c>
      <c r="K147" t="s">
        <v>2171</v>
      </c>
      <c r="L147">
        <v>10031</v>
      </c>
      <c r="M147" t="s">
        <v>2173</v>
      </c>
      <c r="N147" t="s">
        <v>2172</v>
      </c>
      <c r="O147" t="s">
        <v>2179</v>
      </c>
      <c r="P147" t="s">
        <v>2316</v>
      </c>
      <c r="Q147">
        <v>2</v>
      </c>
      <c r="R147" t="s">
        <v>2843</v>
      </c>
      <c r="S147" t="s">
        <v>2857</v>
      </c>
      <c r="U147" t="s">
        <v>2869</v>
      </c>
      <c r="V147" t="s">
        <v>2174</v>
      </c>
      <c r="W147" t="s">
        <v>2174</v>
      </c>
      <c r="Y147" t="s">
        <v>2876</v>
      </c>
      <c r="AA147" t="s">
        <v>153</v>
      </c>
      <c r="AB147">
        <v>0</v>
      </c>
      <c r="AC147">
        <v>1192</v>
      </c>
      <c r="AD147">
        <v>0.4</v>
      </c>
      <c r="AE147" t="s">
        <v>2894</v>
      </c>
      <c r="AG147" t="s">
        <v>3046</v>
      </c>
      <c r="AI147" t="s">
        <v>3910</v>
      </c>
      <c r="AJ147">
        <v>0</v>
      </c>
      <c r="AK147" t="s">
        <v>4462</v>
      </c>
      <c r="AL147">
        <v>2</v>
      </c>
      <c r="AM147">
        <v>1</v>
      </c>
      <c r="AN147">
        <v>10</v>
      </c>
      <c r="AR147" t="s">
        <v>4476</v>
      </c>
      <c r="AS147" t="s">
        <v>4486</v>
      </c>
      <c r="AT147">
        <v>2132</v>
      </c>
      <c r="AX147" t="s">
        <v>4501</v>
      </c>
      <c r="BA147" t="s">
        <v>4551</v>
      </c>
      <c r="BD147" t="s">
        <v>213</v>
      </c>
      <c r="BE147" t="s">
        <v>4703</v>
      </c>
    </row>
    <row r="148" spans="1:57">
      <c r="A148" s="1">
        <f>HYPERLINK("https://lsnyc.legalserver.org/matter/dynamic-profile/view/1912081","19-1912081")</f>
        <v>0</v>
      </c>
      <c r="B148" t="s">
        <v>68</v>
      </c>
      <c r="C148" t="s">
        <v>93</v>
      </c>
      <c r="D148" t="s">
        <v>154</v>
      </c>
      <c r="F148" t="s">
        <v>371</v>
      </c>
      <c r="G148" t="s">
        <v>913</v>
      </c>
      <c r="H148" t="s">
        <v>1438</v>
      </c>
      <c r="I148" t="s">
        <v>1985</v>
      </c>
      <c r="J148" t="s">
        <v>2169</v>
      </c>
      <c r="K148" t="s">
        <v>2171</v>
      </c>
      <c r="L148">
        <v>10031</v>
      </c>
      <c r="M148" t="s">
        <v>2173</v>
      </c>
      <c r="N148" t="s">
        <v>2172</v>
      </c>
      <c r="O148" t="s">
        <v>2175</v>
      </c>
      <c r="P148" t="s">
        <v>2317</v>
      </c>
      <c r="Q148">
        <v>6</v>
      </c>
      <c r="R148" t="s">
        <v>2843</v>
      </c>
      <c r="S148" t="s">
        <v>2857</v>
      </c>
      <c r="U148" t="s">
        <v>2869</v>
      </c>
      <c r="V148" t="s">
        <v>2174</v>
      </c>
      <c r="W148" t="s">
        <v>2174</v>
      </c>
      <c r="Y148" t="s">
        <v>2876</v>
      </c>
      <c r="AA148" t="s">
        <v>154</v>
      </c>
      <c r="AB148">
        <v>0</v>
      </c>
      <c r="AC148">
        <v>1285</v>
      </c>
      <c r="AD148">
        <v>0</v>
      </c>
      <c r="AE148" t="s">
        <v>2894</v>
      </c>
      <c r="AG148" t="s">
        <v>3047</v>
      </c>
      <c r="AH148" t="s">
        <v>3623</v>
      </c>
      <c r="AI148" t="s">
        <v>3911</v>
      </c>
      <c r="AJ148">
        <v>0</v>
      </c>
      <c r="AK148" t="s">
        <v>4456</v>
      </c>
      <c r="AL148">
        <v>1</v>
      </c>
      <c r="AM148">
        <v>0</v>
      </c>
      <c r="AN148">
        <v>80.13</v>
      </c>
      <c r="AR148" t="s">
        <v>4481</v>
      </c>
      <c r="AS148" t="s">
        <v>4486</v>
      </c>
      <c r="AT148">
        <v>10008</v>
      </c>
      <c r="AX148" t="s">
        <v>4501</v>
      </c>
      <c r="BA148" t="s">
        <v>4560</v>
      </c>
      <c r="BE148" t="s">
        <v>4704</v>
      </c>
    </row>
    <row r="149" spans="1:57">
      <c r="A149" s="1">
        <f>HYPERLINK("https://lsnyc.legalserver.org/matter/dynamic-profile/view/1912114","19-1912114")</f>
        <v>0</v>
      </c>
      <c r="B149" t="s">
        <v>76</v>
      </c>
      <c r="C149" t="s">
        <v>93</v>
      </c>
      <c r="D149" t="s">
        <v>154</v>
      </c>
      <c r="F149" t="s">
        <v>372</v>
      </c>
      <c r="G149" t="s">
        <v>914</v>
      </c>
      <c r="H149" t="s">
        <v>1439</v>
      </c>
      <c r="I149" t="s">
        <v>1986</v>
      </c>
      <c r="J149" t="s">
        <v>2169</v>
      </c>
      <c r="K149" t="s">
        <v>2171</v>
      </c>
      <c r="L149">
        <v>10031</v>
      </c>
      <c r="M149" t="s">
        <v>2173</v>
      </c>
      <c r="N149" t="s">
        <v>2172</v>
      </c>
      <c r="O149" t="s">
        <v>2175</v>
      </c>
      <c r="P149" t="s">
        <v>2318</v>
      </c>
      <c r="Q149">
        <v>41</v>
      </c>
      <c r="R149" t="s">
        <v>2843</v>
      </c>
      <c r="S149" t="s">
        <v>2857</v>
      </c>
      <c r="U149" t="s">
        <v>2869</v>
      </c>
      <c r="V149" t="s">
        <v>2174</v>
      </c>
      <c r="W149" t="s">
        <v>2174</v>
      </c>
      <c r="Y149" t="s">
        <v>2876</v>
      </c>
      <c r="Z149" t="s">
        <v>2879</v>
      </c>
      <c r="AB149">
        <v>0</v>
      </c>
      <c r="AC149">
        <v>606</v>
      </c>
      <c r="AD149">
        <v>0.8</v>
      </c>
      <c r="AE149" t="s">
        <v>2894</v>
      </c>
      <c r="AG149" t="s">
        <v>3048</v>
      </c>
      <c r="AI149" t="s">
        <v>3912</v>
      </c>
      <c r="AJ149">
        <v>0</v>
      </c>
      <c r="AK149" t="s">
        <v>4456</v>
      </c>
      <c r="AL149">
        <v>2</v>
      </c>
      <c r="AM149">
        <v>0</v>
      </c>
      <c r="AN149">
        <v>88.20999999999999</v>
      </c>
      <c r="AR149" t="s">
        <v>4476</v>
      </c>
      <c r="AS149" t="s">
        <v>4486</v>
      </c>
      <c r="AT149">
        <v>14916</v>
      </c>
      <c r="AX149" t="s">
        <v>4504</v>
      </c>
      <c r="BA149" t="s">
        <v>4578</v>
      </c>
      <c r="BD149" t="s">
        <v>210</v>
      </c>
      <c r="BE149" t="s">
        <v>4703</v>
      </c>
    </row>
    <row r="150" spans="1:57">
      <c r="A150" s="1">
        <f>HYPERLINK("https://lsnyc.legalserver.org/matter/dynamic-profile/view/1904373","19-1904373")</f>
        <v>0</v>
      </c>
      <c r="B150" t="s">
        <v>68</v>
      </c>
      <c r="C150" t="s">
        <v>93</v>
      </c>
      <c r="D150" t="s">
        <v>155</v>
      </c>
      <c r="F150" t="s">
        <v>373</v>
      </c>
      <c r="G150" t="s">
        <v>915</v>
      </c>
      <c r="H150" t="s">
        <v>1440</v>
      </c>
      <c r="I150">
        <v>211</v>
      </c>
      <c r="J150" t="s">
        <v>2169</v>
      </c>
      <c r="K150" t="s">
        <v>2171</v>
      </c>
      <c r="L150">
        <v>10031</v>
      </c>
      <c r="M150" t="s">
        <v>2173</v>
      </c>
      <c r="N150" t="s">
        <v>2172</v>
      </c>
      <c r="O150" t="s">
        <v>2175</v>
      </c>
      <c r="P150" t="s">
        <v>2319</v>
      </c>
      <c r="Q150">
        <v>-1</v>
      </c>
      <c r="R150" t="s">
        <v>2849</v>
      </c>
      <c r="S150" t="s">
        <v>2857</v>
      </c>
      <c r="U150" t="s">
        <v>2869</v>
      </c>
      <c r="V150" t="s">
        <v>2174</v>
      </c>
      <c r="W150" t="s">
        <v>2174</v>
      </c>
      <c r="Y150" t="s">
        <v>2876</v>
      </c>
      <c r="AA150" t="s">
        <v>155</v>
      </c>
      <c r="AB150">
        <v>0</v>
      </c>
      <c r="AC150">
        <v>150</v>
      </c>
      <c r="AD150">
        <v>29.25</v>
      </c>
      <c r="AE150" t="s">
        <v>2894</v>
      </c>
      <c r="AG150" t="s">
        <v>3049</v>
      </c>
      <c r="AH150" t="s">
        <v>3624</v>
      </c>
      <c r="AI150" t="s">
        <v>3913</v>
      </c>
      <c r="AJ150">
        <v>0</v>
      </c>
      <c r="AK150" t="s">
        <v>4458</v>
      </c>
      <c r="AL150">
        <v>1</v>
      </c>
      <c r="AM150">
        <v>0</v>
      </c>
      <c r="AN150">
        <v>24.02</v>
      </c>
      <c r="AR150" t="s">
        <v>2176</v>
      </c>
      <c r="AS150" t="s">
        <v>4486</v>
      </c>
      <c r="AT150">
        <v>3000</v>
      </c>
      <c r="AX150" t="s">
        <v>4501</v>
      </c>
      <c r="BA150" t="s">
        <v>4564</v>
      </c>
      <c r="BD150" t="s">
        <v>4678</v>
      </c>
      <c r="BE150" t="s">
        <v>4704</v>
      </c>
    </row>
    <row r="151" spans="1:57">
      <c r="A151" s="1">
        <f>HYPERLINK("https://lsnyc.legalserver.org/matter/dynamic-profile/view/1900692","19-1900692")</f>
        <v>0</v>
      </c>
      <c r="B151" t="s">
        <v>67</v>
      </c>
      <c r="C151" t="s">
        <v>93</v>
      </c>
      <c r="D151" t="s">
        <v>156</v>
      </c>
      <c r="F151" t="s">
        <v>374</v>
      </c>
      <c r="G151" t="s">
        <v>916</v>
      </c>
      <c r="H151" t="s">
        <v>1441</v>
      </c>
      <c r="I151">
        <v>45</v>
      </c>
      <c r="J151" t="s">
        <v>2169</v>
      </c>
      <c r="K151" t="s">
        <v>2171</v>
      </c>
      <c r="L151">
        <v>10031</v>
      </c>
      <c r="M151" t="s">
        <v>2173</v>
      </c>
      <c r="N151" t="s">
        <v>2172</v>
      </c>
      <c r="O151" t="s">
        <v>2183</v>
      </c>
      <c r="Q151">
        <v>23</v>
      </c>
      <c r="R151" t="s">
        <v>2850</v>
      </c>
      <c r="S151" t="s">
        <v>2855</v>
      </c>
      <c r="U151" t="s">
        <v>2868</v>
      </c>
      <c r="V151" t="s">
        <v>2174</v>
      </c>
      <c r="W151" t="s">
        <v>2174</v>
      </c>
      <c r="Y151" t="s">
        <v>2876</v>
      </c>
      <c r="Z151" t="s">
        <v>2879</v>
      </c>
      <c r="AA151" t="s">
        <v>156</v>
      </c>
      <c r="AB151">
        <v>0</v>
      </c>
      <c r="AC151">
        <v>1146</v>
      </c>
      <c r="AD151">
        <v>0.7</v>
      </c>
      <c r="AE151" t="s">
        <v>2894</v>
      </c>
      <c r="AG151" t="s">
        <v>3050</v>
      </c>
      <c r="AI151" t="s">
        <v>3914</v>
      </c>
      <c r="AJ151">
        <v>0</v>
      </c>
      <c r="AK151" t="s">
        <v>4456</v>
      </c>
      <c r="AL151">
        <v>1</v>
      </c>
      <c r="AM151">
        <v>0</v>
      </c>
      <c r="AN151">
        <v>81.67</v>
      </c>
      <c r="AS151" t="s">
        <v>4487</v>
      </c>
      <c r="AT151">
        <v>10200</v>
      </c>
      <c r="AX151" t="s">
        <v>67</v>
      </c>
      <c r="BA151" t="s">
        <v>4531</v>
      </c>
      <c r="BD151" t="s">
        <v>171</v>
      </c>
      <c r="BE151" t="s">
        <v>4703</v>
      </c>
    </row>
    <row r="152" spans="1:57">
      <c r="A152" s="1">
        <f>HYPERLINK("https://lsnyc.legalserver.org/matter/dynamic-profile/view/1886824","19-1886824")</f>
        <v>0</v>
      </c>
      <c r="B152" t="s">
        <v>67</v>
      </c>
      <c r="C152" t="s">
        <v>93</v>
      </c>
      <c r="D152" t="s">
        <v>157</v>
      </c>
      <c r="F152" t="s">
        <v>375</v>
      </c>
      <c r="G152" t="s">
        <v>821</v>
      </c>
      <c r="H152" t="s">
        <v>1442</v>
      </c>
      <c r="I152">
        <v>1</v>
      </c>
      <c r="J152" t="s">
        <v>2169</v>
      </c>
      <c r="K152" t="s">
        <v>2171</v>
      </c>
      <c r="L152">
        <v>10031</v>
      </c>
      <c r="M152" t="s">
        <v>2173</v>
      </c>
      <c r="N152" t="s">
        <v>2173</v>
      </c>
      <c r="O152" t="s">
        <v>2179</v>
      </c>
      <c r="P152" t="s">
        <v>2320</v>
      </c>
      <c r="Q152">
        <v>2</v>
      </c>
      <c r="R152" t="s">
        <v>2844</v>
      </c>
      <c r="S152" t="s">
        <v>2857</v>
      </c>
      <c r="U152" t="s">
        <v>2869</v>
      </c>
      <c r="V152" t="s">
        <v>2174</v>
      </c>
      <c r="W152" t="s">
        <v>2174</v>
      </c>
      <c r="Y152" t="s">
        <v>2876</v>
      </c>
      <c r="Z152" t="s">
        <v>2879</v>
      </c>
      <c r="AA152" t="s">
        <v>157</v>
      </c>
      <c r="AB152">
        <v>0</v>
      </c>
      <c r="AC152">
        <v>2400</v>
      </c>
      <c r="AD152">
        <v>2.5</v>
      </c>
      <c r="AE152" t="s">
        <v>2894</v>
      </c>
      <c r="AG152" t="s">
        <v>3051</v>
      </c>
      <c r="AI152" t="s">
        <v>3915</v>
      </c>
      <c r="AJ152">
        <v>0</v>
      </c>
      <c r="AK152" t="s">
        <v>4460</v>
      </c>
      <c r="AL152">
        <v>1</v>
      </c>
      <c r="AM152">
        <v>0</v>
      </c>
      <c r="AN152">
        <v>171.33</v>
      </c>
      <c r="AQ152" t="s">
        <v>4473</v>
      </c>
      <c r="AR152" t="s">
        <v>4476</v>
      </c>
      <c r="AS152" t="s">
        <v>4486</v>
      </c>
      <c r="AT152">
        <v>20800</v>
      </c>
      <c r="AX152" t="s">
        <v>4504</v>
      </c>
      <c r="BA152" t="s">
        <v>4537</v>
      </c>
      <c r="BD152" t="s">
        <v>4685</v>
      </c>
    </row>
    <row r="153" spans="1:57">
      <c r="A153" s="1">
        <f>HYPERLINK("https://lsnyc.legalserver.org/matter/dynamic-profile/view/1886826","19-1886826")</f>
        <v>0</v>
      </c>
      <c r="B153" t="s">
        <v>62</v>
      </c>
      <c r="C153" t="s">
        <v>93</v>
      </c>
      <c r="D153" t="s">
        <v>157</v>
      </c>
      <c r="F153" t="s">
        <v>376</v>
      </c>
      <c r="G153" t="s">
        <v>890</v>
      </c>
      <c r="H153" t="s">
        <v>1443</v>
      </c>
      <c r="I153">
        <v>31</v>
      </c>
      <c r="J153" t="s">
        <v>2169</v>
      </c>
      <c r="K153" t="s">
        <v>2171</v>
      </c>
      <c r="L153">
        <v>10031</v>
      </c>
      <c r="M153" t="s">
        <v>2173</v>
      </c>
      <c r="N153" t="s">
        <v>2173</v>
      </c>
      <c r="O153" t="s">
        <v>2175</v>
      </c>
      <c r="P153" t="s">
        <v>2321</v>
      </c>
      <c r="Q153">
        <v>32</v>
      </c>
      <c r="R153" t="s">
        <v>2844</v>
      </c>
      <c r="S153" t="s">
        <v>2857</v>
      </c>
      <c r="U153" t="s">
        <v>2869</v>
      </c>
      <c r="V153" t="s">
        <v>2174</v>
      </c>
      <c r="W153" t="s">
        <v>2174</v>
      </c>
      <c r="Y153" t="s">
        <v>2876</v>
      </c>
      <c r="Z153" t="s">
        <v>2879</v>
      </c>
      <c r="AB153">
        <v>0</v>
      </c>
      <c r="AC153">
        <v>1243</v>
      </c>
      <c r="AD153">
        <v>8.300000000000001</v>
      </c>
      <c r="AE153" t="s">
        <v>2894</v>
      </c>
      <c r="AG153" t="s">
        <v>3052</v>
      </c>
      <c r="AH153" t="s">
        <v>3625</v>
      </c>
      <c r="AI153" t="s">
        <v>3916</v>
      </c>
      <c r="AJ153">
        <v>0</v>
      </c>
      <c r="AK153" t="s">
        <v>4456</v>
      </c>
      <c r="AL153">
        <v>1</v>
      </c>
      <c r="AM153">
        <v>3</v>
      </c>
      <c r="AN153">
        <v>14.34</v>
      </c>
      <c r="AQ153" t="s">
        <v>4474</v>
      </c>
      <c r="AR153" t="s">
        <v>4478</v>
      </c>
      <c r="AS153" t="s">
        <v>4486</v>
      </c>
      <c r="AT153">
        <v>3600</v>
      </c>
      <c r="AX153" t="s">
        <v>4501</v>
      </c>
      <c r="BA153" t="s">
        <v>4567</v>
      </c>
      <c r="BD153" t="s">
        <v>4671</v>
      </c>
    </row>
    <row r="154" spans="1:57">
      <c r="A154" s="1">
        <f>HYPERLINK("https://lsnyc.legalserver.org/matter/dynamic-profile/view/1886856","19-1886856")</f>
        <v>0</v>
      </c>
      <c r="B154" t="s">
        <v>72</v>
      </c>
      <c r="C154" t="s">
        <v>92</v>
      </c>
      <c r="D154" t="s">
        <v>157</v>
      </c>
      <c r="E154" t="s">
        <v>216</v>
      </c>
      <c r="F154" t="s">
        <v>377</v>
      </c>
      <c r="G154" t="s">
        <v>917</v>
      </c>
      <c r="H154" t="s">
        <v>1444</v>
      </c>
      <c r="I154" t="s">
        <v>1987</v>
      </c>
      <c r="J154" t="s">
        <v>2169</v>
      </c>
      <c r="K154" t="s">
        <v>2171</v>
      </c>
      <c r="L154">
        <v>10031</v>
      </c>
      <c r="M154" t="s">
        <v>2173</v>
      </c>
      <c r="N154" t="s">
        <v>2173</v>
      </c>
      <c r="O154" t="s">
        <v>2179</v>
      </c>
      <c r="P154" t="s">
        <v>2322</v>
      </c>
      <c r="Q154">
        <v>30</v>
      </c>
      <c r="R154" t="s">
        <v>2844</v>
      </c>
      <c r="S154" t="s">
        <v>2856</v>
      </c>
      <c r="T154" t="s">
        <v>2863</v>
      </c>
      <c r="U154" t="s">
        <v>2869</v>
      </c>
      <c r="V154" t="s">
        <v>2174</v>
      </c>
      <c r="W154" t="s">
        <v>2174</v>
      </c>
      <c r="Y154" t="s">
        <v>2876</v>
      </c>
      <c r="Z154" t="s">
        <v>2879</v>
      </c>
      <c r="AA154" t="s">
        <v>157</v>
      </c>
      <c r="AB154">
        <v>0</v>
      </c>
      <c r="AC154">
        <v>871</v>
      </c>
      <c r="AD154">
        <v>0.75</v>
      </c>
      <c r="AE154" t="s">
        <v>2894</v>
      </c>
      <c r="AF154" t="s">
        <v>2896</v>
      </c>
      <c r="AG154" t="s">
        <v>3053</v>
      </c>
      <c r="AI154" t="s">
        <v>3917</v>
      </c>
      <c r="AJ154">
        <v>36</v>
      </c>
      <c r="AK154" t="s">
        <v>4466</v>
      </c>
      <c r="AL154">
        <v>2</v>
      </c>
      <c r="AM154">
        <v>0</v>
      </c>
      <c r="AN154">
        <v>212.64</v>
      </c>
      <c r="AQ154" t="s">
        <v>4473</v>
      </c>
      <c r="AR154" t="s">
        <v>4478</v>
      </c>
      <c r="AS154" t="s">
        <v>4486</v>
      </c>
      <c r="AT154">
        <v>35000</v>
      </c>
      <c r="AX154" t="s">
        <v>4504</v>
      </c>
      <c r="BA154" t="s">
        <v>4546</v>
      </c>
      <c r="BD154" t="s">
        <v>132</v>
      </c>
    </row>
    <row r="155" spans="1:57">
      <c r="A155" s="1">
        <f>HYPERLINK("https://lsnyc.legalserver.org/matter/dynamic-profile/view/1887468","19-1887468")</f>
        <v>0</v>
      </c>
      <c r="B155" t="s">
        <v>64</v>
      </c>
      <c r="C155" t="s">
        <v>92</v>
      </c>
      <c r="D155" t="s">
        <v>134</v>
      </c>
      <c r="E155" t="s">
        <v>174</v>
      </c>
      <c r="F155" t="s">
        <v>250</v>
      </c>
      <c r="G155" t="s">
        <v>895</v>
      </c>
      <c r="H155" t="s">
        <v>1445</v>
      </c>
      <c r="I155">
        <v>19</v>
      </c>
      <c r="J155" t="s">
        <v>2169</v>
      </c>
      <c r="K155" t="s">
        <v>2171</v>
      </c>
      <c r="L155">
        <v>10031</v>
      </c>
      <c r="M155" t="s">
        <v>2173</v>
      </c>
      <c r="N155" t="s">
        <v>2173</v>
      </c>
      <c r="O155" t="s">
        <v>2176</v>
      </c>
      <c r="P155" t="s">
        <v>2323</v>
      </c>
      <c r="Q155">
        <v>14</v>
      </c>
      <c r="R155" t="s">
        <v>2844</v>
      </c>
      <c r="S155" t="s">
        <v>2857</v>
      </c>
      <c r="T155" t="s">
        <v>2866</v>
      </c>
      <c r="U155" t="s">
        <v>2869</v>
      </c>
      <c r="V155" t="s">
        <v>2174</v>
      </c>
      <c r="W155" t="s">
        <v>2174</v>
      </c>
      <c r="Y155" t="s">
        <v>2876</v>
      </c>
      <c r="Z155" t="s">
        <v>2880</v>
      </c>
      <c r="AA155" t="s">
        <v>134</v>
      </c>
      <c r="AB155">
        <v>0</v>
      </c>
      <c r="AC155">
        <v>1300</v>
      </c>
      <c r="AD155">
        <v>19.2</v>
      </c>
      <c r="AE155" t="s">
        <v>2894</v>
      </c>
      <c r="AF155" t="s">
        <v>2898</v>
      </c>
      <c r="AG155" t="s">
        <v>3054</v>
      </c>
      <c r="AH155" t="s">
        <v>3626</v>
      </c>
      <c r="AI155" t="s">
        <v>3918</v>
      </c>
      <c r="AJ155">
        <v>0</v>
      </c>
      <c r="AK155" t="s">
        <v>4458</v>
      </c>
      <c r="AL155">
        <v>2</v>
      </c>
      <c r="AM155">
        <v>2</v>
      </c>
      <c r="AN155">
        <v>67.73</v>
      </c>
      <c r="AQ155" t="s">
        <v>4474</v>
      </c>
      <c r="AR155" t="s">
        <v>4476</v>
      </c>
      <c r="AS155" t="s">
        <v>4487</v>
      </c>
      <c r="AT155">
        <v>17000</v>
      </c>
      <c r="AX155" t="s">
        <v>4504</v>
      </c>
      <c r="AY155" t="s">
        <v>4514</v>
      </c>
      <c r="AZ155" t="s">
        <v>4520</v>
      </c>
      <c r="BA155" t="s">
        <v>4537</v>
      </c>
      <c r="BB155" t="s">
        <v>4632</v>
      </c>
      <c r="BC155" t="s">
        <v>4637</v>
      </c>
      <c r="BD155" t="s">
        <v>130</v>
      </c>
      <c r="BE155" t="s">
        <v>4704</v>
      </c>
    </row>
    <row r="156" spans="1:57">
      <c r="A156" s="1">
        <f>HYPERLINK("https://lsnyc.legalserver.org/matter/dynamic-profile/view/1888184","19-1888184")</f>
        <v>0</v>
      </c>
      <c r="B156" t="s">
        <v>63</v>
      </c>
      <c r="C156" t="s">
        <v>93</v>
      </c>
      <c r="D156" t="s">
        <v>110</v>
      </c>
      <c r="F156" t="s">
        <v>270</v>
      </c>
      <c r="G156" t="s">
        <v>918</v>
      </c>
      <c r="H156" t="s">
        <v>1446</v>
      </c>
      <c r="I156">
        <v>6</v>
      </c>
      <c r="J156" t="s">
        <v>2169</v>
      </c>
      <c r="K156" t="s">
        <v>2171</v>
      </c>
      <c r="L156">
        <v>10031</v>
      </c>
      <c r="M156" t="s">
        <v>2173</v>
      </c>
      <c r="N156" t="s">
        <v>2173</v>
      </c>
      <c r="O156" t="s">
        <v>2179</v>
      </c>
      <c r="P156" t="s">
        <v>2324</v>
      </c>
      <c r="Q156">
        <v>30</v>
      </c>
      <c r="R156" t="s">
        <v>2844</v>
      </c>
      <c r="S156" t="s">
        <v>2857</v>
      </c>
      <c r="U156" t="s">
        <v>2869</v>
      </c>
      <c r="V156" t="s">
        <v>2174</v>
      </c>
      <c r="W156" t="s">
        <v>2174</v>
      </c>
      <c r="Y156" t="s">
        <v>2876</v>
      </c>
      <c r="Z156" t="s">
        <v>2879</v>
      </c>
      <c r="AA156" t="s">
        <v>110</v>
      </c>
      <c r="AB156">
        <v>0</v>
      </c>
      <c r="AC156">
        <v>878.64</v>
      </c>
      <c r="AD156">
        <v>37.8</v>
      </c>
      <c r="AE156" t="s">
        <v>2894</v>
      </c>
      <c r="AG156" t="s">
        <v>3055</v>
      </c>
      <c r="AI156" t="s">
        <v>3919</v>
      </c>
      <c r="AJ156">
        <v>24</v>
      </c>
      <c r="AK156" t="s">
        <v>4456</v>
      </c>
      <c r="AL156">
        <v>1</v>
      </c>
      <c r="AM156">
        <v>0</v>
      </c>
      <c r="AN156">
        <v>12.85</v>
      </c>
      <c r="AQ156" t="s">
        <v>4473</v>
      </c>
      <c r="AR156" t="s">
        <v>2176</v>
      </c>
      <c r="AS156" t="s">
        <v>4487</v>
      </c>
      <c r="AT156">
        <v>1560</v>
      </c>
      <c r="AX156" t="s">
        <v>4504</v>
      </c>
      <c r="BA156" t="s">
        <v>4551</v>
      </c>
      <c r="BD156" t="s">
        <v>117</v>
      </c>
      <c r="BE156" t="s">
        <v>4703</v>
      </c>
    </row>
    <row r="157" spans="1:57">
      <c r="A157" s="1">
        <f>HYPERLINK("https://lsnyc.legalserver.org/matter/dynamic-profile/view/1888204","19-1888204")</f>
        <v>0</v>
      </c>
      <c r="B157" t="s">
        <v>64</v>
      </c>
      <c r="C157" t="s">
        <v>93</v>
      </c>
      <c r="D157" t="s">
        <v>110</v>
      </c>
      <c r="F157" t="s">
        <v>378</v>
      </c>
      <c r="G157" t="s">
        <v>919</v>
      </c>
      <c r="H157" t="s">
        <v>1447</v>
      </c>
      <c r="I157" t="s">
        <v>1983</v>
      </c>
      <c r="J157" t="s">
        <v>2169</v>
      </c>
      <c r="K157" t="s">
        <v>2171</v>
      </c>
      <c r="L157">
        <v>10031</v>
      </c>
      <c r="M157" t="s">
        <v>2173</v>
      </c>
      <c r="N157" t="s">
        <v>2173</v>
      </c>
      <c r="O157" t="s">
        <v>2179</v>
      </c>
      <c r="P157" t="s">
        <v>2325</v>
      </c>
      <c r="Q157">
        <v>15</v>
      </c>
      <c r="R157" t="s">
        <v>2844</v>
      </c>
      <c r="S157" t="s">
        <v>2857</v>
      </c>
      <c r="U157" t="s">
        <v>2869</v>
      </c>
      <c r="V157" t="s">
        <v>2174</v>
      </c>
      <c r="W157" t="s">
        <v>2174</v>
      </c>
      <c r="Y157" t="s">
        <v>2876</v>
      </c>
      <c r="AA157" t="s">
        <v>110</v>
      </c>
      <c r="AB157">
        <v>0</v>
      </c>
      <c r="AC157">
        <v>2099</v>
      </c>
      <c r="AD157">
        <v>32.2</v>
      </c>
      <c r="AE157" t="s">
        <v>2894</v>
      </c>
      <c r="AG157" t="s">
        <v>3056</v>
      </c>
      <c r="AI157" t="s">
        <v>3920</v>
      </c>
      <c r="AJ157">
        <v>0</v>
      </c>
      <c r="AK157" t="s">
        <v>4466</v>
      </c>
      <c r="AL157">
        <v>2</v>
      </c>
      <c r="AM157">
        <v>0</v>
      </c>
      <c r="AN157">
        <v>9.32</v>
      </c>
      <c r="AQ157" t="s">
        <v>4473</v>
      </c>
      <c r="AR157" t="s">
        <v>4482</v>
      </c>
      <c r="AS157" t="s">
        <v>4486</v>
      </c>
      <c r="AT157">
        <v>1534</v>
      </c>
      <c r="AX157" t="s">
        <v>4501</v>
      </c>
      <c r="BA157" t="s">
        <v>4535</v>
      </c>
      <c r="BD157" t="s">
        <v>154</v>
      </c>
      <c r="BE157" t="s">
        <v>4703</v>
      </c>
    </row>
    <row r="158" spans="1:57">
      <c r="A158" s="1">
        <f>HYPERLINK("https://lsnyc.legalserver.org/matter/dynamic-profile/view/1888211","19-1888211")</f>
        <v>0</v>
      </c>
      <c r="B158" t="s">
        <v>63</v>
      </c>
      <c r="C158" t="s">
        <v>93</v>
      </c>
      <c r="D158" t="s">
        <v>110</v>
      </c>
      <c r="F158" t="s">
        <v>379</v>
      </c>
      <c r="G158" t="s">
        <v>920</v>
      </c>
      <c r="H158" t="s">
        <v>1448</v>
      </c>
      <c r="I158" t="s">
        <v>1988</v>
      </c>
      <c r="J158" t="s">
        <v>2169</v>
      </c>
      <c r="K158" t="s">
        <v>2171</v>
      </c>
      <c r="L158">
        <v>10031</v>
      </c>
      <c r="M158" t="s">
        <v>2173</v>
      </c>
      <c r="N158" t="s">
        <v>2173</v>
      </c>
      <c r="O158" t="s">
        <v>2175</v>
      </c>
      <c r="P158" t="s">
        <v>2326</v>
      </c>
      <c r="Q158">
        <v>3</v>
      </c>
      <c r="R158" t="s">
        <v>2844</v>
      </c>
      <c r="S158" t="s">
        <v>2857</v>
      </c>
      <c r="U158" t="s">
        <v>2869</v>
      </c>
      <c r="V158" t="s">
        <v>2174</v>
      </c>
      <c r="W158" t="s">
        <v>2174</v>
      </c>
      <c r="Y158" t="s">
        <v>2875</v>
      </c>
      <c r="AA158" t="s">
        <v>110</v>
      </c>
      <c r="AB158">
        <v>0</v>
      </c>
      <c r="AC158">
        <v>1286</v>
      </c>
      <c r="AD158">
        <v>21.15</v>
      </c>
      <c r="AE158" t="s">
        <v>2894</v>
      </c>
      <c r="AG158" t="s">
        <v>3057</v>
      </c>
      <c r="AH158" t="s">
        <v>3627</v>
      </c>
      <c r="AI158" t="s">
        <v>3921</v>
      </c>
      <c r="AJ158">
        <v>70</v>
      </c>
      <c r="AK158" t="s">
        <v>4456</v>
      </c>
      <c r="AL158">
        <v>1</v>
      </c>
      <c r="AM158">
        <v>1</v>
      </c>
      <c r="AN158">
        <v>22.9</v>
      </c>
      <c r="AQ158" t="s">
        <v>4474</v>
      </c>
      <c r="AR158" t="s">
        <v>4483</v>
      </c>
      <c r="AS158" t="s">
        <v>4486</v>
      </c>
      <c r="AT158">
        <v>3770</v>
      </c>
      <c r="AX158" t="s">
        <v>4504</v>
      </c>
      <c r="BA158" t="s">
        <v>4551</v>
      </c>
      <c r="BD158" t="s">
        <v>230</v>
      </c>
      <c r="BE158" t="s">
        <v>4704</v>
      </c>
    </row>
    <row r="159" spans="1:57">
      <c r="A159" s="1">
        <f>HYPERLINK("https://lsnyc.legalserver.org/matter/dynamic-profile/view/1888256","19-1888256")</f>
        <v>0</v>
      </c>
      <c r="B159" t="s">
        <v>63</v>
      </c>
      <c r="C159" t="s">
        <v>93</v>
      </c>
      <c r="D159" t="s">
        <v>110</v>
      </c>
      <c r="F159" t="s">
        <v>380</v>
      </c>
      <c r="G159" t="s">
        <v>921</v>
      </c>
      <c r="H159" t="s">
        <v>1449</v>
      </c>
      <c r="I159" t="s">
        <v>1989</v>
      </c>
      <c r="J159" t="s">
        <v>2169</v>
      </c>
      <c r="K159" t="s">
        <v>2171</v>
      </c>
      <c r="L159">
        <v>10031</v>
      </c>
      <c r="M159" t="s">
        <v>2173</v>
      </c>
      <c r="N159" t="s">
        <v>2173</v>
      </c>
      <c r="O159" t="s">
        <v>2175</v>
      </c>
      <c r="P159" t="s">
        <v>2327</v>
      </c>
      <c r="Q159">
        <v>24</v>
      </c>
      <c r="R159" t="s">
        <v>2844</v>
      </c>
      <c r="S159" t="s">
        <v>2857</v>
      </c>
      <c r="U159" t="s">
        <v>2869</v>
      </c>
      <c r="V159" t="s">
        <v>2174</v>
      </c>
      <c r="Y159" t="s">
        <v>2876</v>
      </c>
      <c r="AA159" t="s">
        <v>110</v>
      </c>
      <c r="AB159">
        <v>0</v>
      </c>
      <c r="AC159">
        <v>1209</v>
      </c>
      <c r="AD159">
        <v>18.6</v>
      </c>
      <c r="AE159" t="s">
        <v>2894</v>
      </c>
      <c r="AG159" t="s">
        <v>2910</v>
      </c>
      <c r="AI159" t="s">
        <v>3922</v>
      </c>
      <c r="AJ159">
        <v>0</v>
      </c>
      <c r="AK159" t="s">
        <v>4461</v>
      </c>
      <c r="AL159">
        <v>1</v>
      </c>
      <c r="AM159">
        <v>0</v>
      </c>
      <c r="AN159">
        <v>0</v>
      </c>
      <c r="AQ159" t="s">
        <v>4473</v>
      </c>
      <c r="AR159" t="s">
        <v>4476</v>
      </c>
      <c r="AS159" t="s">
        <v>4486</v>
      </c>
      <c r="AT159">
        <v>0</v>
      </c>
      <c r="AX159" t="s">
        <v>4501</v>
      </c>
      <c r="BA159" t="s">
        <v>4539</v>
      </c>
      <c r="BD159" t="s">
        <v>4686</v>
      </c>
      <c r="BE159" t="s">
        <v>4703</v>
      </c>
    </row>
    <row r="160" spans="1:57">
      <c r="A160" s="1">
        <f>HYPERLINK("https://lsnyc.legalserver.org/matter/dynamic-profile/view/1889172","19-1889172")</f>
        <v>0</v>
      </c>
      <c r="B160" t="s">
        <v>58</v>
      </c>
      <c r="C160" t="s">
        <v>93</v>
      </c>
      <c r="D160" t="s">
        <v>132</v>
      </c>
      <c r="F160" t="s">
        <v>381</v>
      </c>
      <c r="G160" t="s">
        <v>922</v>
      </c>
      <c r="H160" t="s">
        <v>1435</v>
      </c>
      <c r="I160" t="s">
        <v>1910</v>
      </c>
      <c r="J160" t="s">
        <v>2169</v>
      </c>
      <c r="K160" t="s">
        <v>2171</v>
      </c>
      <c r="L160">
        <v>10031</v>
      </c>
      <c r="M160" t="s">
        <v>2173</v>
      </c>
      <c r="N160" t="s">
        <v>2173</v>
      </c>
      <c r="O160" t="s">
        <v>2179</v>
      </c>
      <c r="P160" t="s">
        <v>2328</v>
      </c>
      <c r="Q160">
        <v>12</v>
      </c>
      <c r="R160" t="s">
        <v>2844</v>
      </c>
      <c r="S160" t="s">
        <v>2857</v>
      </c>
      <c r="U160" t="s">
        <v>2869</v>
      </c>
      <c r="V160" t="s">
        <v>2174</v>
      </c>
      <c r="W160" t="s">
        <v>2174</v>
      </c>
      <c r="Y160" t="s">
        <v>2876</v>
      </c>
      <c r="Z160" t="s">
        <v>2879</v>
      </c>
      <c r="AA160" t="s">
        <v>132</v>
      </c>
      <c r="AB160">
        <v>0</v>
      </c>
      <c r="AC160">
        <v>651</v>
      </c>
      <c r="AD160">
        <v>22.65</v>
      </c>
      <c r="AE160" t="s">
        <v>2894</v>
      </c>
      <c r="AG160" t="s">
        <v>3058</v>
      </c>
      <c r="AH160" t="s">
        <v>3628</v>
      </c>
      <c r="AI160" t="s">
        <v>3923</v>
      </c>
      <c r="AJ160">
        <v>13</v>
      </c>
      <c r="AK160" t="s">
        <v>4464</v>
      </c>
      <c r="AL160">
        <v>1</v>
      </c>
      <c r="AM160">
        <v>0</v>
      </c>
      <c r="AN160">
        <v>26.33</v>
      </c>
      <c r="AQ160" t="s">
        <v>4473</v>
      </c>
      <c r="AR160" t="s">
        <v>4476</v>
      </c>
      <c r="AS160" t="s">
        <v>4486</v>
      </c>
      <c r="AT160">
        <v>3288</v>
      </c>
      <c r="AX160" t="s">
        <v>4501</v>
      </c>
      <c r="BA160" t="s">
        <v>4560</v>
      </c>
      <c r="BD160" t="s">
        <v>154</v>
      </c>
      <c r="BE160" t="s">
        <v>4704</v>
      </c>
    </row>
    <row r="161" spans="1:57">
      <c r="A161" s="1">
        <f>HYPERLINK("https://lsnyc.legalserver.org/matter/dynamic-profile/view/1889438","19-1889438")</f>
        <v>0</v>
      </c>
      <c r="B161" t="s">
        <v>66</v>
      </c>
      <c r="C161" t="s">
        <v>93</v>
      </c>
      <c r="D161" t="s">
        <v>129</v>
      </c>
      <c r="F161" t="s">
        <v>382</v>
      </c>
      <c r="G161" t="s">
        <v>923</v>
      </c>
      <c r="H161" t="s">
        <v>1450</v>
      </c>
      <c r="I161">
        <v>5</v>
      </c>
      <c r="J161" t="s">
        <v>2169</v>
      </c>
      <c r="K161" t="s">
        <v>2171</v>
      </c>
      <c r="L161">
        <v>10031</v>
      </c>
      <c r="M161" t="s">
        <v>2173</v>
      </c>
      <c r="N161" t="s">
        <v>2173</v>
      </c>
      <c r="O161" t="s">
        <v>2175</v>
      </c>
      <c r="P161" t="s">
        <v>2329</v>
      </c>
      <c r="Q161">
        <v>28</v>
      </c>
      <c r="R161" t="s">
        <v>2844</v>
      </c>
      <c r="S161" t="s">
        <v>2857</v>
      </c>
      <c r="U161" t="s">
        <v>2869</v>
      </c>
      <c r="V161" t="s">
        <v>2174</v>
      </c>
      <c r="W161" t="s">
        <v>2174</v>
      </c>
      <c r="Y161" t="s">
        <v>2876</v>
      </c>
      <c r="AA161" t="s">
        <v>129</v>
      </c>
      <c r="AB161">
        <v>0</v>
      </c>
      <c r="AC161">
        <v>1025.11</v>
      </c>
      <c r="AD161">
        <v>11.6</v>
      </c>
      <c r="AE161" t="s">
        <v>2894</v>
      </c>
      <c r="AG161" t="s">
        <v>3059</v>
      </c>
      <c r="AI161" t="s">
        <v>3924</v>
      </c>
      <c r="AJ161">
        <v>0</v>
      </c>
      <c r="AK161" t="s">
        <v>4458</v>
      </c>
      <c r="AL161">
        <v>4</v>
      </c>
      <c r="AM161">
        <v>0</v>
      </c>
      <c r="AN161">
        <v>174.77</v>
      </c>
      <c r="AQ161" t="s">
        <v>4473</v>
      </c>
      <c r="AR161" t="s">
        <v>4476</v>
      </c>
      <c r="AS161" t="s">
        <v>4487</v>
      </c>
      <c r="AT161">
        <v>45004</v>
      </c>
      <c r="AX161" t="s">
        <v>4501</v>
      </c>
      <c r="BA161" t="s">
        <v>4579</v>
      </c>
      <c r="BD161" t="s">
        <v>140</v>
      </c>
    </row>
    <row r="162" spans="1:57">
      <c r="A162" s="1">
        <f>HYPERLINK("https://lsnyc.legalserver.org/matter/dynamic-profile/view/1889448","19-1889448")</f>
        <v>0</v>
      </c>
      <c r="B162" t="s">
        <v>66</v>
      </c>
      <c r="C162" t="s">
        <v>92</v>
      </c>
      <c r="D162" t="s">
        <v>129</v>
      </c>
      <c r="E162" t="s">
        <v>225</v>
      </c>
      <c r="F162" t="s">
        <v>383</v>
      </c>
      <c r="G162" t="s">
        <v>924</v>
      </c>
      <c r="H162" t="s">
        <v>1451</v>
      </c>
      <c r="I162" t="s">
        <v>1934</v>
      </c>
      <c r="J162" t="s">
        <v>2169</v>
      </c>
      <c r="K162" t="s">
        <v>2171</v>
      </c>
      <c r="L162">
        <v>10031</v>
      </c>
      <c r="M162" t="s">
        <v>2173</v>
      </c>
      <c r="N162" t="s">
        <v>2173</v>
      </c>
      <c r="O162" t="s">
        <v>2175</v>
      </c>
      <c r="P162" t="s">
        <v>2330</v>
      </c>
      <c r="Q162">
        <v>3</v>
      </c>
      <c r="R162" t="s">
        <v>2844</v>
      </c>
      <c r="S162" t="s">
        <v>2857</v>
      </c>
      <c r="T162" t="s">
        <v>2864</v>
      </c>
      <c r="U162" t="s">
        <v>2869</v>
      </c>
      <c r="V162" t="s">
        <v>2174</v>
      </c>
      <c r="W162" t="s">
        <v>2174</v>
      </c>
      <c r="Y162" t="s">
        <v>2876</v>
      </c>
      <c r="Z162" t="s">
        <v>2879</v>
      </c>
      <c r="AA162" t="s">
        <v>129</v>
      </c>
      <c r="AB162">
        <v>0</v>
      </c>
      <c r="AC162">
        <v>1298</v>
      </c>
      <c r="AD162">
        <v>12.75</v>
      </c>
      <c r="AE162" t="s">
        <v>2894</v>
      </c>
      <c r="AF162" t="s">
        <v>2898</v>
      </c>
      <c r="AG162" t="s">
        <v>3060</v>
      </c>
      <c r="AH162" t="s">
        <v>3629</v>
      </c>
      <c r="AI162" t="s">
        <v>3925</v>
      </c>
      <c r="AJ162">
        <v>0</v>
      </c>
      <c r="AK162" t="s">
        <v>4464</v>
      </c>
      <c r="AL162">
        <v>1</v>
      </c>
      <c r="AM162">
        <v>1</v>
      </c>
      <c r="AN162">
        <v>21.76</v>
      </c>
      <c r="AQ162" t="s">
        <v>4474</v>
      </c>
      <c r="AR162" t="s">
        <v>4480</v>
      </c>
      <c r="AS162" t="s">
        <v>4486</v>
      </c>
      <c r="AT162">
        <v>3679</v>
      </c>
      <c r="AX162" t="s">
        <v>4504</v>
      </c>
      <c r="BA162" t="s">
        <v>4551</v>
      </c>
      <c r="BD162" t="s">
        <v>186</v>
      </c>
      <c r="BE162" t="s">
        <v>4704</v>
      </c>
    </row>
    <row r="163" spans="1:57">
      <c r="A163" s="1">
        <f>HYPERLINK("https://lsnyc.legalserver.org/matter/dynamic-profile/view/1889487","19-1889487")</f>
        <v>0</v>
      </c>
      <c r="B163" t="s">
        <v>64</v>
      </c>
      <c r="C163" t="s">
        <v>93</v>
      </c>
      <c r="D163" t="s">
        <v>129</v>
      </c>
      <c r="F163" t="s">
        <v>384</v>
      </c>
      <c r="G163" t="s">
        <v>925</v>
      </c>
      <c r="H163" t="s">
        <v>1452</v>
      </c>
      <c r="I163" t="s">
        <v>1990</v>
      </c>
      <c r="J163" t="s">
        <v>2169</v>
      </c>
      <c r="K163" t="s">
        <v>2171</v>
      </c>
      <c r="L163">
        <v>10031</v>
      </c>
      <c r="M163" t="s">
        <v>2173</v>
      </c>
      <c r="N163" t="s">
        <v>2173</v>
      </c>
      <c r="O163" t="s">
        <v>2175</v>
      </c>
      <c r="P163" t="s">
        <v>2331</v>
      </c>
      <c r="Q163">
        <v>12</v>
      </c>
      <c r="R163" t="s">
        <v>2844</v>
      </c>
      <c r="S163" t="s">
        <v>2857</v>
      </c>
      <c r="U163" t="s">
        <v>2869</v>
      </c>
      <c r="V163" t="s">
        <v>2174</v>
      </c>
      <c r="W163" t="s">
        <v>2174</v>
      </c>
      <c r="Y163" t="s">
        <v>2876</v>
      </c>
      <c r="AA163" t="s">
        <v>129</v>
      </c>
      <c r="AB163">
        <v>0</v>
      </c>
      <c r="AC163">
        <v>1484.41</v>
      </c>
      <c r="AD163">
        <v>52.1</v>
      </c>
      <c r="AE163" t="s">
        <v>2894</v>
      </c>
      <c r="AG163" t="s">
        <v>3061</v>
      </c>
      <c r="AH163" t="s">
        <v>3630</v>
      </c>
      <c r="AI163" t="s">
        <v>3926</v>
      </c>
      <c r="AJ163">
        <v>0</v>
      </c>
      <c r="AK163" t="s">
        <v>4456</v>
      </c>
      <c r="AL163">
        <v>1</v>
      </c>
      <c r="AM163">
        <v>0</v>
      </c>
      <c r="AN163">
        <v>24.56</v>
      </c>
      <c r="AQ163" t="s">
        <v>4473</v>
      </c>
      <c r="AR163" t="s">
        <v>4476</v>
      </c>
      <c r="AS163" t="s">
        <v>4486</v>
      </c>
      <c r="AT163">
        <v>3068</v>
      </c>
      <c r="AX163" t="s">
        <v>4501</v>
      </c>
      <c r="BA163" t="s">
        <v>4551</v>
      </c>
      <c r="BD163" t="s">
        <v>167</v>
      </c>
    </row>
    <row r="164" spans="1:57">
      <c r="A164" s="1">
        <f>HYPERLINK("https://lsnyc.legalserver.org/matter/dynamic-profile/view/1890076","19-1890076")</f>
        <v>0</v>
      </c>
      <c r="B164" t="s">
        <v>68</v>
      </c>
      <c r="C164" t="s">
        <v>93</v>
      </c>
      <c r="D164" t="s">
        <v>137</v>
      </c>
      <c r="F164" t="s">
        <v>385</v>
      </c>
      <c r="G164" t="s">
        <v>926</v>
      </c>
      <c r="H164" t="s">
        <v>1453</v>
      </c>
      <c r="I164">
        <v>14</v>
      </c>
      <c r="J164" t="s">
        <v>2169</v>
      </c>
      <c r="K164" t="s">
        <v>2171</v>
      </c>
      <c r="L164">
        <v>10031</v>
      </c>
      <c r="M164" t="s">
        <v>2173</v>
      </c>
      <c r="N164" t="s">
        <v>2173</v>
      </c>
      <c r="O164" t="s">
        <v>2175</v>
      </c>
      <c r="P164" t="s">
        <v>2332</v>
      </c>
      <c r="Q164">
        <v>20</v>
      </c>
      <c r="R164" t="s">
        <v>2844</v>
      </c>
      <c r="S164" t="s">
        <v>2857</v>
      </c>
      <c r="U164" t="s">
        <v>2869</v>
      </c>
      <c r="V164" t="s">
        <v>2174</v>
      </c>
      <c r="W164" t="s">
        <v>2174</v>
      </c>
      <c r="Y164" t="s">
        <v>2876</v>
      </c>
      <c r="Z164" t="s">
        <v>2879</v>
      </c>
      <c r="AA164" t="s">
        <v>137</v>
      </c>
      <c r="AB164">
        <v>0</v>
      </c>
      <c r="AC164">
        <v>751</v>
      </c>
      <c r="AD164">
        <v>9.9</v>
      </c>
      <c r="AE164" t="s">
        <v>2894</v>
      </c>
      <c r="AG164" t="s">
        <v>3062</v>
      </c>
      <c r="AI164" t="s">
        <v>3927</v>
      </c>
      <c r="AJ164">
        <v>0</v>
      </c>
      <c r="AK164" t="s">
        <v>4456</v>
      </c>
      <c r="AL164">
        <v>1</v>
      </c>
      <c r="AM164">
        <v>0</v>
      </c>
      <c r="AN164">
        <v>76.04000000000001</v>
      </c>
      <c r="AQ164" t="s">
        <v>4473</v>
      </c>
      <c r="AR164" t="s">
        <v>4476</v>
      </c>
      <c r="AS164" t="s">
        <v>4487</v>
      </c>
      <c r="AT164">
        <v>9496.799999999999</v>
      </c>
      <c r="AX164" t="s">
        <v>4501</v>
      </c>
      <c r="BA164" t="s">
        <v>4550</v>
      </c>
      <c r="BD164" t="s">
        <v>121</v>
      </c>
    </row>
    <row r="165" spans="1:57">
      <c r="A165" s="1">
        <f>HYPERLINK("https://lsnyc.legalserver.org/matter/dynamic-profile/view/1890712","19-1890712")</f>
        <v>0</v>
      </c>
      <c r="B165" t="s">
        <v>57</v>
      </c>
      <c r="C165" t="s">
        <v>92</v>
      </c>
      <c r="D165" t="s">
        <v>139</v>
      </c>
      <c r="E165" t="s">
        <v>216</v>
      </c>
      <c r="F165" t="s">
        <v>386</v>
      </c>
      <c r="G165" t="s">
        <v>927</v>
      </c>
      <c r="H165" t="s">
        <v>1454</v>
      </c>
      <c r="I165">
        <v>62</v>
      </c>
      <c r="J165" t="s">
        <v>2169</v>
      </c>
      <c r="K165" t="s">
        <v>2171</v>
      </c>
      <c r="L165">
        <v>10031</v>
      </c>
      <c r="M165" t="s">
        <v>2173</v>
      </c>
      <c r="N165" t="s">
        <v>2173</v>
      </c>
      <c r="O165" t="s">
        <v>2179</v>
      </c>
      <c r="P165" t="s">
        <v>2333</v>
      </c>
      <c r="Q165">
        <v>17</v>
      </c>
      <c r="R165" t="s">
        <v>2844</v>
      </c>
      <c r="S165" t="s">
        <v>2856</v>
      </c>
      <c r="T165" t="s">
        <v>2863</v>
      </c>
      <c r="U165" t="s">
        <v>2868</v>
      </c>
      <c r="V165" t="s">
        <v>2174</v>
      </c>
      <c r="W165" t="s">
        <v>2174</v>
      </c>
      <c r="Y165" t="s">
        <v>2876</v>
      </c>
      <c r="AB165">
        <v>0</v>
      </c>
      <c r="AC165">
        <v>1144.44</v>
      </c>
      <c r="AD165">
        <v>0.4</v>
      </c>
      <c r="AE165" t="s">
        <v>2894</v>
      </c>
      <c r="AF165" t="s">
        <v>2896</v>
      </c>
      <c r="AG165" t="s">
        <v>3063</v>
      </c>
      <c r="AI165" t="s">
        <v>3928</v>
      </c>
      <c r="AJ165">
        <v>24</v>
      </c>
      <c r="AK165" t="s">
        <v>4464</v>
      </c>
      <c r="AL165">
        <v>2</v>
      </c>
      <c r="AM165">
        <v>0</v>
      </c>
      <c r="AN165">
        <v>307.51</v>
      </c>
      <c r="AQ165" t="s">
        <v>4473</v>
      </c>
      <c r="AR165" t="s">
        <v>4476</v>
      </c>
      <c r="AS165" t="s">
        <v>4486</v>
      </c>
      <c r="AT165">
        <v>52000</v>
      </c>
      <c r="AX165" t="s">
        <v>4504</v>
      </c>
      <c r="BA165" t="s">
        <v>4546</v>
      </c>
      <c r="BD165" t="s">
        <v>212</v>
      </c>
    </row>
    <row r="166" spans="1:57">
      <c r="A166" s="1">
        <f>HYPERLINK("https://lsnyc.legalserver.org/matter/dynamic-profile/view/1890724","19-1890724")</f>
        <v>0</v>
      </c>
      <c r="B166" t="s">
        <v>62</v>
      </c>
      <c r="C166" t="s">
        <v>93</v>
      </c>
      <c r="D166" t="s">
        <v>138</v>
      </c>
      <c r="F166" t="s">
        <v>387</v>
      </c>
      <c r="G166" t="s">
        <v>928</v>
      </c>
      <c r="H166" t="s">
        <v>1455</v>
      </c>
      <c r="I166" t="s">
        <v>1991</v>
      </c>
      <c r="J166" t="s">
        <v>2169</v>
      </c>
      <c r="K166" t="s">
        <v>2171</v>
      </c>
      <c r="L166">
        <v>10031</v>
      </c>
      <c r="M166" t="s">
        <v>2173</v>
      </c>
      <c r="N166" t="s">
        <v>2173</v>
      </c>
      <c r="O166" t="s">
        <v>2175</v>
      </c>
      <c r="P166" t="s">
        <v>2334</v>
      </c>
      <c r="Q166">
        <v>7</v>
      </c>
      <c r="R166" t="s">
        <v>2844</v>
      </c>
      <c r="S166" t="s">
        <v>2857</v>
      </c>
      <c r="U166" t="s">
        <v>2869</v>
      </c>
      <c r="V166" t="s">
        <v>2174</v>
      </c>
      <c r="W166" t="s">
        <v>2174</v>
      </c>
      <c r="Y166" t="s">
        <v>2876</v>
      </c>
      <c r="Z166" t="s">
        <v>2879</v>
      </c>
      <c r="AA166" t="s">
        <v>138</v>
      </c>
      <c r="AB166">
        <v>0</v>
      </c>
      <c r="AC166">
        <v>1116.42</v>
      </c>
      <c r="AD166">
        <v>23.7</v>
      </c>
      <c r="AE166" t="s">
        <v>2894</v>
      </c>
      <c r="AG166" t="s">
        <v>3064</v>
      </c>
      <c r="AI166" t="s">
        <v>3929</v>
      </c>
      <c r="AJ166">
        <v>0</v>
      </c>
      <c r="AK166" t="s">
        <v>4456</v>
      </c>
      <c r="AL166">
        <v>1</v>
      </c>
      <c r="AM166">
        <v>0</v>
      </c>
      <c r="AN166">
        <v>0</v>
      </c>
      <c r="AQ166" t="s">
        <v>4473</v>
      </c>
      <c r="AR166" t="s">
        <v>4476</v>
      </c>
      <c r="AS166" t="s">
        <v>4486</v>
      </c>
      <c r="AT166">
        <v>0</v>
      </c>
      <c r="AX166" t="s">
        <v>4501</v>
      </c>
      <c r="BA166" t="s">
        <v>4539</v>
      </c>
      <c r="BD166" t="s">
        <v>235</v>
      </c>
    </row>
    <row r="167" spans="1:57">
      <c r="A167" s="1">
        <f>HYPERLINK("https://lsnyc.legalserver.org/matter/dynamic-profile/view/1890735","19-1890735")</f>
        <v>0</v>
      </c>
      <c r="B167" t="s">
        <v>62</v>
      </c>
      <c r="C167" t="s">
        <v>93</v>
      </c>
      <c r="D167" t="s">
        <v>138</v>
      </c>
      <c r="F167" t="s">
        <v>388</v>
      </c>
      <c r="G167" t="s">
        <v>929</v>
      </c>
      <c r="H167" t="s">
        <v>1456</v>
      </c>
      <c r="I167">
        <v>37</v>
      </c>
      <c r="J167" t="s">
        <v>2169</v>
      </c>
      <c r="K167" t="s">
        <v>2171</v>
      </c>
      <c r="L167">
        <v>10031</v>
      </c>
      <c r="M167" t="s">
        <v>2173</v>
      </c>
      <c r="N167" t="s">
        <v>2173</v>
      </c>
      <c r="O167" t="s">
        <v>2179</v>
      </c>
      <c r="P167" t="s">
        <v>2335</v>
      </c>
      <c r="Q167">
        <v>15</v>
      </c>
      <c r="R167" t="s">
        <v>2844</v>
      </c>
      <c r="S167" t="s">
        <v>2857</v>
      </c>
      <c r="U167" t="s">
        <v>2869</v>
      </c>
      <c r="V167" t="s">
        <v>2174</v>
      </c>
      <c r="W167" t="s">
        <v>2174</v>
      </c>
      <c r="Y167" t="s">
        <v>2876</v>
      </c>
      <c r="AA167" t="s">
        <v>2888</v>
      </c>
      <c r="AB167">
        <v>0</v>
      </c>
      <c r="AC167">
        <v>880</v>
      </c>
      <c r="AD167">
        <v>9.9</v>
      </c>
      <c r="AE167" t="s">
        <v>2894</v>
      </c>
      <c r="AG167" t="s">
        <v>3065</v>
      </c>
      <c r="AH167" t="s">
        <v>3631</v>
      </c>
      <c r="AI167" t="s">
        <v>3930</v>
      </c>
      <c r="AJ167">
        <v>0</v>
      </c>
      <c r="AK167" t="s">
        <v>4461</v>
      </c>
      <c r="AL167">
        <v>2</v>
      </c>
      <c r="AM167">
        <v>1</v>
      </c>
      <c r="AN167">
        <v>17.19</v>
      </c>
      <c r="AQ167" t="s">
        <v>4474</v>
      </c>
      <c r="AR167" t="s">
        <v>2176</v>
      </c>
      <c r="AS167" t="s">
        <v>4486</v>
      </c>
      <c r="AT167">
        <v>3666</v>
      </c>
      <c r="AX167" t="s">
        <v>4504</v>
      </c>
      <c r="BA167" t="s">
        <v>4551</v>
      </c>
      <c r="BD167" t="s">
        <v>152</v>
      </c>
    </row>
    <row r="168" spans="1:57">
      <c r="A168" s="1">
        <f>HYPERLINK("https://lsnyc.legalserver.org/matter/dynamic-profile/view/1890772","19-1890772")</f>
        <v>0</v>
      </c>
      <c r="B168" t="s">
        <v>58</v>
      </c>
      <c r="C168" t="s">
        <v>93</v>
      </c>
      <c r="D168" t="s">
        <v>138</v>
      </c>
      <c r="F168" t="s">
        <v>316</v>
      </c>
      <c r="G168" t="s">
        <v>930</v>
      </c>
      <c r="H168" t="s">
        <v>1457</v>
      </c>
      <c r="I168" t="s">
        <v>1992</v>
      </c>
      <c r="J168" t="s">
        <v>2169</v>
      </c>
      <c r="K168" t="s">
        <v>2171</v>
      </c>
      <c r="L168">
        <v>10031</v>
      </c>
      <c r="M168" t="s">
        <v>2173</v>
      </c>
      <c r="N168" t="s">
        <v>2173</v>
      </c>
      <c r="O168" t="s">
        <v>2179</v>
      </c>
      <c r="P168" t="s">
        <v>2336</v>
      </c>
      <c r="Q168">
        <v>6</v>
      </c>
      <c r="R168" t="s">
        <v>2844</v>
      </c>
      <c r="S168" t="s">
        <v>2857</v>
      </c>
      <c r="U168" t="s">
        <v>2869</v>
      </c>
      <c r="V168" t="s">
        <v>2174</v>
      </c>
      <c r="W168" t="s">
        <v>2174</v>
      </c>
      <c r="Y168" t="s">
        <v>2876</v>
      </c>
      <c r="Z168" t="s">
        <v>2882</v>
      </c>
      <c r="AA168" t="s">
        <v>138</v>
      </c>
      <c r="AB168">
        <v>0</v>
      </c>
      <c r="AC168">
        <v>2640</v>
      </c>
      <c r="AD168">
        <v>16.5</v>
      </c>
      <c r="AE168" t="s">
        <v>2894</v>
      </c>
      <c r="AG168" t="s">
        <v>3066</v>
      </c>
      <c r="AI168" t="s">
        <v>3931</v>
      </c>
      <c r="AJ168">
        <v>0</v>
      </c>
      <c r="AL168">
        <v>2</v>
      </c>
      <c r="AM168">
        <v>0</v>
      </c>
      <c r="AN168">
        <v>230.63</v>
      </c>
      <c r="AQ168" t="s">
        <v>4473</v>
      </c>
      <c r="AR168" t="s">
        <v>4482</v>
      </c>
      <c r="AS168" t="s">
        <v>4486</v>
      </c>
      <c r="AT168">
        <v>39000</v>
      </c>
      <c r="AX168" t="s">
        <v>4501</v>
      </c>
      <c r="BA168" t="s">
        <v>4580</v>
      </c>
      <c r="BD168" t="s">
        <v>4687</v>
      </c>
      <c r="BE168" t="s">
        <v>4703</v>
      </c>
    </row>
    <row r="169" spans="1:57">
      <c r="A169" s="1">
        <f>HYPERLINK("https://lsnyc.legalserver.org/matter/dynamic-profile/view/1891330","19-1891330")</f>
        <v>0</v>
      </c>
      <c r="B169" t="s">
        <v>64</v>
      </c>
      <c r="C169" t="s">
        <v>93</v>
      </c>
      <c r="D169" t="s">
        <v>139</v>
      </c>
      <c r="F169" t="s">
        <v>389</v>
      </c>
      <c r="G169" t="s">
        <v>931</v>
      </c>
      <c r="H169" t="s">
        <v>1457</v>
      </c>
      <c r="I169" t="s">
        <v>1993</v>
      </c>
      <c r="J169" t="s">
        <v>2169</v>
      </c>
      <c r="K169" t="s">
        <v>2171</v>
      </c>
      <c r="L169">
        <v>10031</v>
      </c>
      <c r="M169" t="s">
        <v>2173</v>
      </c>
      <c r="N169" t="s">
        <v>2173</v>
      </c>
      <c r="O169" t="s">
        <v>2179</v>
      </c>
      <c r="P169" t="s">
        <v>2337</v>
      </c>
      <c r="Q169">
        <v>2</v>
      </c>
      <c r="R169" t="s">
        <v>2844</v>
      </c>
      <c r="S169" t="s">
        <v>2857</v>
      </c>
      <c r="U169" t="s">
        <v>2869</v>
      </c>
      <c r="V169" t="s">
        <v>2174</v>
      </c>
      <c r="W169" t="s">
        <v>2174</v>
      </c>
      <c r="Y169" t="s">
        <v>2876</v>
      </c>
      <c r="Z169" t="s">
        <v>2879</v>
      </c>
      <c r="AA169" t="s">
        <v>139</v>
      </c>
      <c r="AB169">
        <v>0</v>
      </c>
      <c r="AC169">
        <v>1995</v>
      </c>
      <c r="AD169">
        <v>7.3</v>
      </c>
      <c r="AE169" t="s">
        <v>2894</v>
      </c>
      <c r="AG169" t="s">
        <v>3067</v>
      </c>
      <c r="AI169" t="s">
        <v>3932</v>
      </c>
      <c r="AJ169">
        <v>0</v>
      </c>
      <c r="AK169" t="s">
        <v>4458</v>
      </c>
      <c r="AL169">
        <v>2</v>
      </c>
      <c r="AM169">
        <v>1</v>
      </c>
      <c r="AN169">
        <v>223.22</v>
      </c>
      <c r="AQ169" t="s">
        <v>4475</v>
      </c>
      <c r="AR169" t="s">
        <v>4476</v>
      </c>
      <c r="AS169" t="s">
        <v>4486</v>
      </c>
      <c r="AT169">
        <v>47612</v>
      </c>
      <c r="AX169" t="s">
        <v>4504</v>
      </c>
      <c r="BA169" t="s">
        <v>4573</v>
      </c>
      <c r="BD169" t="s">
        <v>96</v>
      </c>
      <c r="BE169" t="s">
        <v>4703</v>
      </c>
    </row>
    <row r="170" spans="1:57">
      <c r="A170" s="1">
        <f>HYPERLINK("https://lsnyc.legalserver.org/matter/dynamic-profile/view/1891338","19-1891338")</f>
        <v>0</v>
      </c>
      <c r="B170" t="s">
        <v>72</v>
      </c>
      <c r="C170" t="s">
        <v>93</v>
      </c>
      <c r="D170" t="s">
        <v>139</v>
      </c>
      <c r="F170" t="s">
        <v>390</v>
      </c>
      <c r="G170" t="s">
        <v>932</v>
      </c>
      <c r="H170" t="s">
        <v>1458</v>
      </c>
      <c r="I170">
        <v>5</v>
      </c>
      <c r="J170" t="s">
        <v>2169</v>
      </c>
      <c r="K170" t="s">
        <v>2171</v>
      </c>
      <c r="L170">
        <v>10031</v>
      </c>
      <c r="M170" t="s">
        <v>2173</v>
      </c>
      <c r="N170" t="s">
        <v>2173</v>
      </c>
      <c r="O170" t="s">
        <v>2179</v>
      </c>
      <c r="P170" t="s">
        <v>2338</v>
      </c>
      <c r="Q170">
        <v>26</v>
      </c>
      <c r="R170" t="s">
        <v>2844</v>
      </c>
      <c r="S170" t="s">
        <v>2857</v>
      </c>
      <c r="U170" t="s">
        <v>2869</v>
      </c>
      <c r="V170" t="s">
        <v>2174</v>
      </c>
      <c r="W170" t="s">
        <v>2174</v>
      </c>
      <c r="Y170" t="s">
        <v>2876</v>
      </c>
      <c r="Z170" t="s">
        <v>2879</v>
      </c>
      <c r="AA170" t="s">
        <v>139</v>
      </c>
      <c r="AB170">
        <v>0</v>
      </c>
      <c r="AC170">
        <v>2511.22</v>
      </c>
      <c r="AD170">
        <v>7.7</v>
      </c>
      <c r="AE170" t="s">
        <v>2894</v>
      </c>
      <c r="AG170" t="s">
        <v>3068</v>
      </c>
      <c r="AI170" t="s">
        <v>3933</v>
      </c>
      <c r="AJ170">
        <v>0</v>
      </c>
      <c r="AL170">
        <v>3</v>
      </c>
      <c r="AM170">
        <v>0</v>
      </c>
      <c r="AN170">
        <v>173.84</v>
      </c>
      <c r="AQ170" t="s">
        <v>4473</v>
      </c>
      <c r="AR170" t="s">
        <v>4478</v>
      </c>
      <c r="AS170" t="s">
        <v>4487</v>
      </c>
      <c r="AT170">
        <v>37080</v>
      </c>
      <c r="AX170" t="s">
        <v>4501</v>
      </c>
      <c r="AZ170" t="s">
        <v>4521</v>
      </c>
      <c r="BA170" t="s">
        <v>4581</v>
      </c>
      <c r="BB170" t="s">
        <v>4632</v>
      </c>
      <c r="BC170" t="s">
        <v>4638</v>
      </c>
      <c r="BD170" t="s">
        <v>4673</v>
      </c>
    </row>
    <row r="171" spans="1:57">
      <c r="A171" s="1">
        <f>HYPERLINK("https://lsnyc.legalserver.org/matter/dynamic-profile/view/1891345","19-1891345")</f>
        <v>0</v>
      </c>
      <c r="B171" t="s">
        <v>69</v>
      </c>
      <c r="C171" t="s">
        <v>93</v>
      </c>
      <c r="D171" t="s">
        <v>139</v>
      </c>
      <c r="F171" t="s">
        <v>391</v>
      </c>
      <c r="G171" t="s">
        <v>933</v>
      </c>
      <c r="H171" t="s">
        <v>1437</v>
      </c>
      <c r="I171" t="s">
        <v>1994</v>
      </c>
      <c r="J171" t="s">
        <v>2169</v>
      </c>
      <c r="K171" t="s">
        <v>2171</v>
      </c>
      <c r="L171">
        <v>10031</v>
      </c>
      <c r="M171" t="s">
        <v>2173</v>
      </c>
      <c r="N171" t="s">
        <v>2173</v>
      </c>
      <c r="O171" t="s">
        <v>2179</v>
      </c>
      <c r="P171" t="s">
        <v>2339</v>
      </c>
      <c r="Q171">
        <v>20</v>
      </c>
      <c r="R171" t="s">
        <v>2844</v>
      </c>
      <c r="S171" t="s">
        <v>2857</v>
      </c>
      <c r="U171" t="s">
        <v>2869</v>
      </c>
      <c r="V171" t="s">
        <v>2174</v>
      </c>
      <c r="W171" t="s">
        <v>2174</v>
      </c>
      <c r="Y171" t="s">
        <v>2876</v>
      </c>
      <c r="Z171" t="s">
        <v>2879</v>
      </c>
      <c r="AA171" t="s">
        <v>139</v>
      </c>
      <c r="AB171">
        <v>0</v>
      </c>
      <c r="AC171">
        <v>1242</v>
      </c>
      <c r="AD171">
        <v>10.1</v>
      </c>
      <c r="AE171" t="s">
        <v>2894</v>
      </c>
      <c r="AG171" t="s">
        <v>3069</v>
      </c>
      <c r="AI171" t="s">
        <v>3934</v>
      </c>
      <c r="AJ171">
        <v>0</v>
      </c>
      <c r="AK171" t="s">
        <v>4458</v>
      </c>
      <c r="AL171">
        <v>2</v>
      </c>
      <c r="AM171">
        <v>2</v>
      </c>
      <c r="AN171">
        <v>163.11</v>
      </c>
      <c r="AQ171" t="s">
        <v>4474</v>
      </c>
      <c r="AR171" t="s">
        <v>4476</v>
      </c>
      <c r="AS171" t="s">
        <v>4486</v>
      </c>
      <c r="AT171">
        <v>42000</v>
      </c>
      <c r="AX171" t="s">
        <v>4504</v>
      </c>
      <c r="BA171" t="s">
        <v>4537</v>
      </c>
      <c r="BD171" t="s">
        <v>176</v>
      </c>
    </row>
    <row r="172" spans="1:57">
      <c r="A172" s="1">
        <f>HYPERLINK("https://lsnyc.legalserver.org/matter/dynamic-profile/view/1892061","19-1892061")</f>
        <v>0</v>
      </c>
      <c r="B172" t="s">
        <v>67</v>
      </c>
      <c r="C172" t="s">
        <v>92</v>
      </c>
      <c r="D172" t="s">
        <v>158</v>
      </c>
      <c r="E172" t="s">
        <v>202</v>
      </c>
      <c r="F172" t="s">
        <v>392</v>
      </c>
      <c r="G172" t="s">
        <v>934</v>
      </c>
      <c r="H172" t="s">
        <v>1459</v>
      </c>
      <c r="I172" t="s">
        <v>1995</v>
      </c>
      <c r="J172" t="s">
        <v>2169</v>
      </c>
      <c r="K172" t="s">
        <v>2171</v>
      </c>
      <c r="L172">
        <v>10031</v>
      </c>
      <c r="M172" t="s">
        <v>2173</v>
      </c>
      <c r="N172" t="s">
        <v>2173</v>
      </c>
      <c r="O172" t="s">
        <v>2179</v>
      </c>
      <c r="P172" t="s">
        <v>2340</v>
      </c>
      <c r="Q172">
        <v>20</v>
      </c>
      <c r="R172" t="s">
        <v>2844</v>
      </c>
      <c r="S172" t="s">
        <v>2856</v>
      </c>
      <c r="T172" t="s">
        <v>2863</v>
      </c>
      <c r="U172" t="s">
        <v>2869</v>
      </c>
      <c r="V172" t="s">
        <v>2174</v>
      </c>
      <c r="W172" t="s">
        <v>2174</v>
      </c>
      <c r="Y172" t="s">
        <v>2876</v>
      </c>
      <c r="Z172" t="s">
        <v>2879</v>
      </c>
      <c r="AA172" t="s">
        <v>158</v>
      </c>
      <c r="AB172">
        <v>0</v>
      </c>
      <c r="AC172">
        <v>2542</v>
      </c>
      <c r="AD172">
        <v>1</v>
      </c>
      <c r="AE172" t="s">
        <v>2894</v>
      </c>
      <c r="AF172" t="s">
        <v>2896</v>
      </c>
      <c r="AG172" t="s">
        <v>3070</v>
      </c>
      <c r="AI172" t="s">
        <v>3935</v>
      </c>
      <c r="AJ172">
        <v>0</v>
      </c>
      <c r="AK172" t="s">
        <v>4466</v>
      </c>
      <c r="AL172">
        <v>2</v>
      </c>
      <c r="AM172">
        <v>0</v>
      </c>
      <c r="AN172">
        <v>219.99</v>
      </c>
      <c r="AQ172" t="s">
        <v>4473</v>
      </c>
      <c r="AR172" t="s">
        <v>4478</v>
      </c>
      <c r="AS172" t="s">
        <v>4486</v>
      </c>
      <c r="AT172">
        <v>37200</v>
      </c>
      <c r="AX172" t="s">
        <v>4501</v>
      </c>
      <c r="BA172" t="s">
        <v>4582</v>
      </c>
      <c r="BD172" t="s">
        <v>158</v>
      </c>
    </row>
    <row r="173" spans="1:57">
      <c r="A173" s="1">
        <f>HYPERLINK("https://lsnyc.legalserver.org/matter/dynamic-profile/view/1892074","19-1892074")</f>
        <v>0</v>
      </c>
      <c r="B173" t="s">
        <v>67</v>
      </c>
      <c r="C173" t="s">
        <v>93</v>
      </c>
      <c r="D173" t="s">
        <v>158</v>
      </c>
      <c r="F173" t="s">
        <v>306</v>
      </c>
      <c r="G173" t="s">
        <v>935</v>
      </c>
      <c r="H173" t="s">
        <v>1460</v>
      </c>
      <c r="I173" t="s">
        <v>1987</v>
      </c>
      <c r="J173" t="s">
        <v>2169</v>
      </c>
      <c r="K173" t="s">
        <v>2171</v>
      </c>
      <c r="L173">
        <v>10031</v>
      </c>
      <c r="M173" t="s">
        <v>2173</v>
      </c>
      <c r="N173" t="s">
        <v>2173</v>
      </c>
      <c r="O173" t="s">
        <v>2175</v>
      </c>
      <c r="P173" t="s">
        <v>2341</v>
      </c>
      <c r="Q173">
        <v>5</v>
      </c>
      <c r="R173" t="s">
        <v>2844</v>
      </c>
      <c r="S173" t="s">
        <v>2857</v>
      </c>
      <c r="U173" t="s">
        <v>2869</v>
      </c>
      <c r="V173" t="s">
        <v>2174</v>
      </c>
      <c r="W173" t="s">
        <v>2174</v>
      </c>
      <c r="Y173" t="s">
        <v>2876</v>
      </c>
      <c r="Z173" t="s">
        <v>2882</v>
      </c>
      <c r="AA173" t="s">
        <v>158</v>
      </c>
      <c r="AB173">
        <v>0</v>
      </c>
      <c r="AC173">
        <v>1238</v>
      </c>
      <c r="AD173">
        <v>2.6</v>
      </c>
      <c r="AE173" t="s">
        <v>2894</v>
      </c>
      <c r="AG173" t="s">
        <v>3071</v>
      </c>
      <c r="AI173" t="s">
        <v>3936</v>
      </c>
      <c r="AJ173">
        <v>49</v>
      </c>
      <c r="AK173" t="s">
        <v>4456</v>
      </c>
      <c r="AL173">
        <v>1</v>
      </c>
      <c r="AM173">
        <v>0</v>
      </c>
      <c r="AN173">
        <v>0</v>
      </c>
      <c r="AQ173" t="s">
        <v>4473</v>
      </c>
      <c r="AR173" t="s">
        <v>4476</v>
      </c>
      <c r="AT173">
        <v>0</v>
      </c>
      <c r="AX173" t="s">
        <v>4502</v>
      </c>
      <c r="BA173" t="s">
        <v>4539</v>
      </c>
      <c r="BD173" t="s">
        <v>126</v>
      </c>
      <c r="BE173" t="s">
        <v>4703</v>
      </c>
    </row>
    <row r="174" spans="1:57">
      <c r="A174" s="1">
        <f>HYPERLINK("https://lsnyc.legalserver.org/matter/dynamic-profile/view/1892123","19-1892123")</f>
        <v>0</v>
      </c>
      <c r="B174" t="s">
        <v>68</v>
      </c>
      <c r="C174" t="s">
        <v>93</v>
      </c>
      <c r="D174" t="s">
        <v>158</v>
      </c>
      <c r="F174" t="s">
        <v>330</v>
      </c>
      <c r="G174" t="s">
        <v>612</v>
      </c>
      <c r="H174" t="s">
        <v>1461</v>
      </c>
      <c r="I174" t="s">
        <v>1922</v>
      </c>
      <c r="J174" t="s">
        <v>2169</v>
      </c>
      <c r="K174" t="s">
        <v>2171</v>
      </c>
      <c r="L174">
        <v>10031</v>
      </c>
      <c r="M174" t="s">
        <v>2173</v>
      </c>
      <c r="N174" t="s">
        <v>2173</v>
      </c>
      <c r="O174" t="s">
        <v>2175</v>
      </c>
      <c r="P174" t="s">
        <v>2342</v>
      </c>
      <c r="Q174">
        <v>1</v>
      </c>
      <c r="R174" t="s">
        <v>2844</v>
      </c>
      <c r="S174" t="s">
        <v>2857</v>
      </c>
      <c r="U174" t="s">
        <v>2869</v>
      </c>
      <c r="V174" t="s">
        <v>2174</v>
      </c>
      <c r="W174" t="s">
        <v>2174</v>
      </c>
      <c r="Y174" t="s">
        <v>2876</v>
      </c>
      <c r="Z174" t="s">
        <v>2882</v>
      </c>
      <c r="AA174" t="s">
        <v>158</v>
      </c>
      <c r="AB174">
        <v>0</v>
      </c>
      <c r="AC174">
        <v>1552</v>
      </c>
      <c r="AD174">
        <v>8.199999999999999</v>
      </c>
      <c r="AE174" t="s">
        <v>2894</v>
      </c>
      <c r="AG174" t="s">
        <v>3072</v>
      </c>
      <c r="AI174" t="s">
        <v>3937</v>
      </c>
      <c r="AJ174">
        <v>0</v>
      </c>
      <c r="AK174" t="s">
        <v>4458</v>
      </c>
      <c r="AL174">
        <v>1</v>
      </c>
      <c r="AM174">
        <v>2</v>
      </c>
      <c r="AN174">
        <v>121.48</v>
      </c>
      <c r="AQ174" t="s">
        <v>4475</v>
      </c>
      <c r="AR174" t="s">
        <v>4481</v>
      </c>
      <c r="AS174" t="s">
        <v>4487</v>
      </c>
      <c r="AT174">
        <v>25912</v>
      </c>
      <c r="AX174" t="s">
        <v>4501</v>
      </c>
      <c r="BA174" t="s">
        <v>4543</v>
      </c>
      <c r="BD174" t="s">
        <v>4674</v>
      </c>
    </row>
    <row r="175" spans="1:57">
      <c r="A175" s="1">
        <f>HYPERLINK("https://lsnyc.legalserver.org/matter/dynamic-profile/view/1892152","19-1892152")</f>
        <v>0</v>
      </c>
      <c r="B175" t="s">
        <v>67</v>
      </c>
      <c r="C175" t="s">
        <v>92</v>
      </c>
      <c r="D175" t="s">
        <v>158</v>
      </c>
      <c r="E175" t="s">
        <v>125</v>
      </c>
      <c r="F175" t="s">
        <v>346</v>
      </c>
      <c r="G175" t="s">
        <v>936</v>
      </c>
      <c r="H175" t="s">
        <v>1457</v>
      </c>
      <c r="I175" t="s">
        <v>1996</v>
      </c>
      <c r="J175" t="s">
        <v>2169</v>
      </c>
      <c r="K175" t="s">
        <v>2171</v>
      </c>
      <c r="L175">
        <v>10031</v>
      </c>
      <c r="M175" t="s">
        <v>2173</v>
      </c>
      <c r="N175" t="s">
        <v>2173</v>
      </c>
      <c r="O175" t="s">
        <v>2175</v>
      </c>
      <c r="P175" t="s">
        <v>2343</v>
      </c>
      <c r="Q175">
        <v>40</v>
      </c>
      <c r="R175" t="s">
        <v>2844</v>
      </c>
      <c r="S175" t="s">
        <v>2857</v>
      </c>
      <c r="T175" t="s">
        <v>2864</v>
      </c>
      <c r="U175" t="s">
        <v>2869</v>
      </c>
      <c r="V175" t="s">
        <v>2174</v>
      </c>
      <c r="W175" t="s">
        <v>2174</v>
      </c>
      <c r="Y175" t="s">
        <v>2876</v>
      </c>
      <c r="Z175" t="s">
        <v>2879</v>
      </c>
      <c r="AA175" t="s">
        <v>158</v>
      </c>
      <c r="AB175">
        <v>0</v>
      </c>
      <c r="AC175">
        <v>186</v>
      </c>
      <c r="AD175">
        <v>5.8</v>
      </c>
      <c r="AE175" t="s">
        <v>2894</v>
      </c>
      <c r="AF175" t="s">
        <v>2898</v>
      </c>
      <c r="AG175" t="s">
        <v>3073</v>
      </c>
      <c r="AI175" t="s">
        <v>3938</v>
      </c>
      <c r="AJ175">
        <v>0</v>
      </c>
      <c r="AK175" t="s">
        <v>4461</v>
      </c>
      <c r="AL175">
        <v>1</v>
      </c>
      <c r="AM175">
        <v>0</v>
      </c>
      <c r="AN175">
        <v>80.13</v>
      </c>
      <c r="AQ175" t="s">
        <v>4473</v>
      </c>
      <c r="AR175" t="s">
        <v>4478</v>
      </c>
      <c r="AS175" t="s">
        <v>4486</v>
      </c>
      <c r="AT175">
        <v>10008</v>
      </c>
      <c r="AX175" t="s">
        <v>4502</v>
      </c>
      <c r="AZ175" t="s">
        <v>4521</v>
      </c>
      <c r="BA175" t="s">
        <v>4548</v>
      </c>
      <c r="BB175" t="s">
        <v>4632</v>
      </c>
      <c r="BC175" t="s">
        <v>4639</v>
      </c>
      <c r="BD175" t="s">
        <v>125</v>
      </c>
    </row>
    <row r="176" spans="1:57">
      <c r="A176" s="1">
        <f>HYPERLINK("https://lsnyc.legalserver.org/matter/dynamic-profile/view/1892821","19-1892821")</f>
        <v>0</v>
      </c>
      <c r="B176" t="s">
        <v>57</v>
      </c>
      <c r="C176" t="s">
        <v>93</v>
      </c>
      <c r="D176" t="s">
        <v>140</v>
      </c>
      <c r="F176" t="s">
        <v>393</v>
      </c>
      <c r="G176" t="s">
        <v>937</v>
      </c>
      <c r="H176" t="s">
        <v>1462</v>
      </c>
      <c r="J176" t="s">
        <v>2169</v>
      </c>
      <c r="K176" t="s">
        <v>2171</v>
      </c>
      <c r="L176">
        <v>10031</v>
      </c>
      <c r="M176" t="s">
        <v>2173</v>
      </c>
      <c r="N176" t="s">
        <v>2173</v>
      </c>
      <c r="O176" t="s">
        <v>2175</v>
      </c>
      <c r="P176" t="s">
        <v>2344</v>
      </c>
      <c r="Q176">
        <v>24</v>
      </c>
      <c r="R176" t="s">
        <v>2844</v>
      </c>
      <c r="S176" t="s">
        <v>2857</v>
      </c>
      <c r="U176" t="s">
        <v>2869</v>
      </c>
      <c r="V176" t="s">
        <v>2174</v>
      </c>
      <c r="Y176" t="s">
        <v>2876</v>
      </c>
      <c r="Z176" t="s">
        <v>2879</v>
      </c>
      <c r="AA176" t="s">
        <v>140</v>
      </c>
      <c r="AB176">
        <v>0</v>
      </c>
      <c r="AC176">
        <v>940</v>
      </c>
      <c r="AD176">
        <v>10.85</v>
      </c>
      <c r="AE176" t="s">
        <v>2894</v>
      </c>
      <c r="AG176" t="s">
        <v>3074</v>
      </c>
      <c r="AI176" t="s">
        <v>3939</v>
      </c>
      <c r="AJ176">
        <v>36</v>
      </c>
      <c r="AL176">
        <v>1</v>
      </c>
      <c r="AM176">
        <v>1</v>
      </c>
      <c r="AN176">
        <v>92.25</v>
      </c>
      <c r="AS176" t="s">
        <v>4486</v>
      </c>
      <c r="AT176">
        <v>15600</v>
      </c>
      <c r="AX176" t="s">
        <v>86</v>
      </c>
      <c r="BA176" t="s">
        <v>4546</v>
      </c>
      <c r="BD176" t="s">
        <v>178</v>
      </c>
      <c r="BE176" t="s">
        <v>4703</v>
      </c>
    </row>
    <row r="177" spans="1:57">
      <c r="A177" s="1">
        <f>HYPERLINK("https://lsnyc.legalserver.org/matter/dynamic-profile/view/1892885","19-1892885")</f>
        <v>0</v>
      </c>
      <c r="B177" t="s">
        <v>67</v>
      </c>
      <c r="C177" t="s">
        <v>93</v>
      </c>
      <c r="D177" t="s">
        <v>140</v>
      </c>
      <c r="F177" t="s">
        <v>394</v>
      </c>
      <c r="G177" t="s">
        <v>906</v>
      </c>
      <c r="H177" t="s">
        <v>1463</v>
      </c>
      <c r="I177" t="s">
        <v>1931</v>
      </c>
      <c r="J177" t="s">
        <v>2169</v>
      </c>
      <c r="K177" t="s">
        <v>2171</v>
      </c>
      <c r="L177">
        <v>10031</v>
      </c>
      <c r="M177" t="s">
        <v>2173</v>
      </c>
      <c r="N177" t="s">
        <v>2173</v>
      </c>
      <c r="O177" t="s">
        <v>2175</v>
      </c>
      <c r="P177" t="s">
        <v>2345</v>
      </c>
      <c r="Q177">
        <v>10</v>
      </c>
      <c r="R177" t="s">
        <v>2844</v>
      </c>
      <c r="S177" t="s">
        <v>2857</v>
      </c>
      <c r="U177" t="s">
        <v>2869</v>
      </c>
      <c r="V177" t="s">
        <v>2174</v>
      </c>
      <c r="W177" t="s">
        <v>2174</v>
      </c>
      <c r="Y177" t="s">
        <v>2876</v>
      </c>
      <c r="Z177" t="s">
        <v>2881</v>
      </c>
      <c r="AA177" t="s">
        <v>140</v>
      </c>
      <c r="AB177">
        <v>0</v>
      </c>
      <c r="AC177">
        <v>989</v>
      </c>
      <c r="AD177">
        <v>22.9</v>
      </c>
      <c r="AE177" t="s">
        <v>2894</v>
      </c>
      <c r="AG177" t="s">
        <v>3075</v>
      </c>
      <c r="AH177" t="s">
        <v>3632</v>
      </c>
      <c r="AI177" t="s">
        <v>3940</v>
      </c>
      <c r="AJ177">
        <v>9</v>
      </c>
      <c r="AK177" t="s">
        <v>4458</v>
      </c>
      <c r="AL177">
        <v>1</v>
      </c>
      <c r="AM177">
        <v>0</v>
      </c>
      <c r="AN177">
        <v>6.73</v>
      </c>
      <c r="AQ177" t="s">
        <v>4473</v>
      </c>
      <c r="AR177" t="s">
        <v>4476</v>
      </c>
      <c r="AS177" t="s">
        <v>4486</v>
      </c>
      <c r="AT177">
        <v>840</v>
      </c>
      <c r="AX177" t="s">
        <v>4504</v>
      </c>
      <c r="BA177" t="s">
        <v>4551</v>
      </c>
      <c r="BD177" t="s">
        <v>209</v>
      </c>
      <c r="BE177" t="s">
        <v>4704</v>
      </c>
    </row>
    <row r="178" spans="1:57">
      <c r="A178" s="1">
        <f>HYPERLINK("https://lsnyc.legalserver.org/matter/dynamic-profile/view/1893563","19-1893563")</f>
        <v>0</v>
      </c>
      <c r="B178" t="s">
        <v>57</v>
      </c>
      <c r="C178" t="s">
        <v>93</v>
      </c>
      <c r="D178" t="s">
        <v>159</v>
      </c>
      <c r="F178" t="s">
        <v>395</v>
      </c>
      <c r="G178" t="s">
        <v>938</v>
      </c>
      <c r="H178" t="s">
        <v>1449</v>
      </c>
      <c r="I178" t="s">
        <v>1974</v>
      </c>
      <c r="J178" t="s">
        <v>2169</v>
      </c>
      <c r="K178" t="s">
        <v>2171</v>
      </c>
      <c r="L178">
        <v>10031</v>
      </c>
      <c r="M178" t="s">
        <v>2174</v>
      </c>
      <c r="N178" t="s">
        <v>2174</v>
      </c>
      <c r="O178" t="s">
        <v>2177</v>
      </c>
      <c r="P178" t="s">
        <v>2346</v>
      </c>
      <c r="Q178">
        <v>46</v>
      </c>
      <c r="R178" t="s">
        <v>2844</v>
      </c>
      <c r="S178" t="s">
        <v>2857</v>
      </c>
      <c r="U178" t="s">
        <v>2869</v>
      </c>
      <c r="V178" t="s">
        <v>2174</v>
      </c>
      <c r="W178" t="s">
        <v>2174</v>
      </c>
      <c r="Y178" t="s">
        <v>2876</v>
      </c>
      <c r="AB178">
        <v>0</v>
      </c>
      <c r="AC178">
        <v>843.76</v>
      </c>
      <c r="AD178">
        <v>14.5</v>
      </c>
      <c r="AE178" t="s">
        <v>2894</v>
      </c>
      <c r="AG178" t="s">
        <v>3076</v>
      </c>
      <c r="AI178" t="s">
        <v>3941</v>
      </c>
      <c r="AJ178">
        <v>0</v>
      </c>
      <c r="AK178" t="s">
        <v>4461</v>
      </c>
      <c r="AL178">
        <v>1</v>
      </c>
      <c r="AM178">
        <v>0</v>
      </c>
      <c r="AN178">
        <v>225.78</v>
      </c>
      <c r="AQ178" t="s">
        <v>4473</v>
      </c>
      <c r="AR178" t="s">
        <v>4477</v>
      </c>
      <c r="AS178" t="s">
        <v>4486</v>
      </c>
      <c r="AT178">
        <v>28200</v>
      </c>
      <c r="AX178" t="s">
        <v>4504</v>
      </c>
      <c r="BA178" t="s">
        <v>4553</v>
      </c>
      <c r="BD178" t="s">
        <v>210</v>
      </c>
    </row>
    <row r="179" spans="1:57">
      <c r="A179" s="1">
        <f>HYPERLINK("https://lsnyc.legalserver.org/matter/dynamic-profile/view/1893635","19-1893635")</f>
        <v>0</v>
      </c>
      <c r="B179" t="s">
        <v>58</v>
      </c>
      <c r="C179" t="s">
        <v>93</v>
      </c>
      <c r="D179" t="s">
        <v>159</v>
      </c>
      <c r="F179" t="s">
        <v>396</v>
      </c>
      <c r="G179" t="s">
        <v>933</v>
      </c>
      <c r="H179" t="s">
        <v>1464</v>
      </c>
      <c r="I179" t="s">
        <v>1982</v>
      </c>
      <c r="J179" t="s">
        <v>2169</v>
      </c>
      <c r="K179" t="s">
        <v>2171</v>
      </c>
      <c r="L179">
        <v>10031</v>
      </c>
      <c r="M179" t="s">
        <v>2173</v>
      </c>
      <c r="N179" t="s">
        <v>2172</v>
      </c>
      <c r="P179" t="s">
        <v>2347</v>
      </c>
      <c r="Q179">
        <v>52</v>
      </c>
      <c r="R179" t="s">
        <v>2844</v>
      </c>
      <c r="S179" t="s">
        <v>2857</v>
      </c>
      <c r="U179" t="s">
        <v>2869</v>
      </c>
      <c r="V179" t="s">
        <v>2174</v>
      </c>
      <c r="W179" t="s">
        <v>2174</v>
      </c>
      <c r="Y179" t="s">
        <v>2876</v>
      </c>
      <c r="Z179" t="s">
        <v>2879</v>
      </c>
      <c r="AA179" t="s">
        <v>159</v>
      </c>
      <c r="AB179">
        <v>0</v>
      </c>
      <c r="AC179">
        <v>819</v>
      </c>
      <c r="AD179">
        <v>36.25</v>
      </c>
      <c r="AE179" t="s">
        <v>2894</v>
      </c>
      <c r="AG179" t="s">
        <v>3077</v>
      </c>
      <c r="AJ179">
        <v>41</v>
      </c>
      <c r="AK179" t="s">
        <v>4456</v>
      </c>
      <c r="AL179">
        <v>2</v>
      </c>
      <c r="AM179">
        <v>0</v>
      </c>
      <c r="AN179">
        <v>132.37</v>
      </c>
      <c r="AQ179" t="s">
        <v>4473</v>
      </c>
      <c r="AS179" t="s">
        <v>4486</v>
      </c>
      <c r="AT179">
        <v>22384</v>
      </c>
      <c r="AX179" t="s">
        <v>4499</v>
      </c>
      <c r="BA179" t="s">
        <v>4583</v>
      </c>
      <c r="BD179" t="s">
        <v>118</v>
      </c>
      <c r="BE179" t="s">
        <v>4703</v>
      </c>
    </row>
    <row r="180" spans="1:57">
      <c r="A180" s="1">
        <f>HYPERLINK("https://lsnyc.legalserver.org/matter/dynamic-profile/view/1893665","19-1893665")</f>
        <v>0</v>
      </c>
      <c r="B180" t="s">
        <v>62</v>
      </c>
      <c r="C180" t="s">
        <v>93</v>
      </c>
      <c r="D180" t="s">
        <v>159</v>
      </c>
      <c r="F180" t="s">
        <v>397</v>
      </c>
      <c r="G180" t="s">
        <v>842</v>
      </c>
      <c r="H180" t="s">
        <v>1465</v>
      </c>
      <c r="I180" t="s">
        <v>1927</v>
      </c>
      <c r="J180" t="s">
        <v>2169</v>
      </c>
      <c r="K180" t="s">
        <v>2171</v>
      </c>
      <c r="L180">
        <v>10031</v>
      </c>
      <c r="M180" t="s">
        <v>2173</v>
      </c>
      <c r="N180" t="s">
        <v>2173</v>
      </c>
      <c r="O180" t="s">
        <v>2175</v>
      </c>
      <c r="P180" t="s">
        <v>2348</v>
      </c>
      <c r="Q180">
        <v>27</v>
      </c>
      <c r="R180" t="s">
        <v>2844</v>
      </c>
      <c r="S180" t="s">
        <v>2857</v>
      </c>
      <c r="U180" t="s">
        <v>2869</v>
      </c>
      <c r="V180" t="s">
        <v>2174</v>
      </c>
      <c r="W180" t="s">
        <v>2174</v>
      </c>
      <c r="Y180" t="s">
        <v>2876</v>
      </c>
      <c r="Z180" t="s">
        <v>2879</v>
      </c>
      <c r="AA180" t="s">
        <v>159</v>
      </c>
      <c r="AB180">
        <v>0</v>
      </c>
      <c r="AC180">
        <v>693.39</v>
      </c>
      <c r="AD180">
        <v>13.2</v>
      </c>
      <c r="AE180" t="s">
        <v>2894</v>
      </c>
      <c r="AG180" t="s">
        <v>3078</v>
      </c>
      <c r="AI180" t="s">
        <v>3942</v>
      </c>
      <c r="AJ180">
        <v>0</v>
      </c>
      <c r="AK180" t="s">
        <v>4456</v>
      </c>
      <c r="AL180">
        <v>2</v>
      </c>
      <c r="AM180">
        <v>0</v>
      </c>
      <c r="AN180">
        <v>107.43</v>
      </c>
      <c r="AQ180" t="s">
        <v>4473</v>
      </c>
      <c r="AR180" t="s">
        <v>2176</v>
      </c>
      <c r="AS180" t="s">
        <v>4486</v>
      </c>
      <c r="AT180">
        <v>18166.2</v>
      </c>
      <c r="AX180" t="s">
        <v>4504</v>
      </c>
      <c r="BA180" t="s">
        <v>4584</v>
      </c>
      <c r="BD180" t="s">
        <v>105</v>
      </c>
    </row>
    <row r="181" spans="1:57">
      <c r="A181" s="1">
        <f>HYPERLINK("https://lsnyc.legalserver.org/matter/dynamic-profile/view/1893674","19-1893674")</f>
        <v>0</v>
      </c>
      <c r="B181" t="s">
        <v>72</v>
      </c>
      <c r="C181" t="s">
        <v>92</v>
      </c>
      <c r="D181" t="s">
        <v>159</v>
      </c>
      <c r="E181" t="s">
        <v>104</v>
      </c>
      <c r="F181" t="s">
        <v>398</v>
      </c>
      <c r="G181" t="s">
        <v>939</v>
      </c>
      <c r="H181" t="s">
        <v>1466</v>
      </c>
      <c r="I181" t="s">
        <v>1937</v>
      </c>
      <c r="J181" t="s">
        <v>2169</v>
      </c>
      <c r="K181" t="s">
        <v>2171</v>
      </c>
      <c r="L181">
        <v>10031</v>
      </c>
      <c r="M181" t="s">
        <v>2173</v>
      </c>
      <c r="N181" t="s">
        <v>2173</v>
      </c>
      <c r="O181" t="s">
        <v>2175</v>
      </c>
      <c r="P181" t="s">
        <v>2349</v>
      </c>
      <c r="Q181">
        <v>5</v>
      </c>
      <c r="R181" t="s">
        <v>2844</v>
      </c>
      <c r="S181" t="s">
        <v>2857</v>
      </c>
      <c r="T181" t="s">
        <v>2864</v>
      </c>
      <c r="U181" t="s">
        <v>2869</v>
      </c>
      <c r="V181" t="s">
        <v>2174</v>
      </c>
      <c r="W181" t="s">
        <v>2174</v>
      </c>
      <c r="Y181" t="s">
        <v>2876</v>
      </c>
      <c r="Z181" t="s">
        <v>2879</v>
      </c>
      <c r="AA181" t="s">
        <v>159</v>
      </c>
      <c r="AB181">
        <v>0</v>
      </c>
      <c r="AC181">
        <v>1103</v>
      </c>
      <c r="AD181">
        <v>7.6</v>
      </c>
      <c r="AE181" t="s">
        <v>2894</v>
      </c>
      <c r="AF181" t="s">
        <v>2898</v>
      </c>
      <c r="AG181" t="s">
        <v>3079</v>
      </c>
      <c r="AI181" t="s">
        <v>3943</v>
      </c>
      <c r="AJ181">
        <v>0</v>
      </c>
      <c r="AK181" t="s">
        <v>4456</v>
      </c>
      <c r="AL181">
        <v>2</v>
      </c>
      <c r="AM181">
        <v>3</v>
      </c>
      <c r="AN181">
        <v>50.12</v>
      </c>
      <c r="AQ181" t="s">
        <v>4473</v>
      </c>
      <c r="AR181" t="s">
        <v>4476</v>
      </c>
      <c r="AS181" t="s">
        <v>4486</v>
      </c>
      <c r="AT181">
        <v>15120</v>
      </c>
      <c r="AX181" t="s">
        <v>4504</v>
      </c>
      <c r="AY181" t="s">
        <v>4514</v>
      </c>
      <c r="AZ181" t="s">
        <v>4519</v>
      </c>
      <c r="BA181" t="s">
        <v>4546</v>
      </c>
      <c r="BB181" t="s">
        <v>4632</v>
      </c>
      <c r="BC181" t="s">
        <v>4640</v>
      </c>
      <c r="BD181" t="s">
        <v>207</v>
      </c>
      <c r="BE181" t="s">
        <v>4703</v>
      </c>
    </row>
    <row r="182" spans="1:57">
      <c r="A182" s="1">
        <f>HYPERLINK("https://lsnyc.legalserver.org/matter/dynamic-profile/view/1894354","19-1894354")</f>
        <v>0</v>
      </c>
      <c r="B182" t="s">
        <v>71</v>
      </c>
      <c r="C182" t="s">
        <v>93</v>
      </c>
      <c r="D182" t="s">
        <v>94</v>
      </c>
      <c r="F182" t="s">
        <v>399</v>
      </c>
      <c r="G182" t="s">
        <v>829</v>
      </c>
      <c r="H182" t="s">
        <v>1467</v>
      </c>
      <c r="I182" t="s">
        <v>1997</v>
      </c>
      <c r="J182" t="s">
        <v>2169</v>
      </c>
      <c r="K182" t="s">
        <v>2171</v>
      </c>
      <c r="L182">
        <v>10031</v>
      </c>
      <c r="M182" t="s">
        <v>2173</v>
      </c>
      <c r="N182" t="s">
        <v>2173</v>
      </c>
      <c r="O182" t="s">
        <v>2179</v>
      </c>
      <c r="P182" t="s">
        <v>2350</v>
      </c>
      <c r="Q182">
        <v>38</v>
      </c>
      <c r="R182" t="s">
        <v>2844</v>
      </c>
      <c r="S182" t="s">
        <v>2857</v>
      </c>
      <c r="U182" t="s">
        <v>2869</v>
      </c>
      <c r="V182" t="s">
        <v>2174</v>
      </c>
      <c r="W182" t="s">
        <v>2174</v>
      </c>
      <c r="Y182" t="s">
        <v>2876</v>
      </c>
      <c r="AA182" t="s">
        <v>94</v>
      </c>
      <c r="AB182">
        <v>0</v>
      </c>
      <c r="AC182">
        <v>918</v>
      </c>
      <c r="AD182">
        <v>5</v>
      </c>
      <c r="AE182" t="s">
        <v>2894</v>
      </c>
      <c r="AG182" t="s">
        <v>3080</v>
      </c>
      <c r="AI182" t="s">
        <v>3944</v>
      </c>
      <c r="AJ182">
        <v>35</v>
      </c>
      <c r="AK182" t="s">
        <v>4456</v>
      </c>
      <c r="AL182">
        <v>4</v>
      </c>
      <c r="AM182">
        <v>1</v>
      </c>
      <c r="AN182">
        <v>119.24</v>
      </c>
      <c r="AQ182" t="s">
        <v>4475</v>
      </c>
      <c r="AR182" t="s">
        <v>2176</v>
      </c>
      <c r="AS182" t="s">
        <v>4486</v>
      </c>
      <c r="AT182">
        <v>35976</v>
      </c>
      <c r="AX182" t="s">
        <v>4501</v>
      </c>
      <c r="BA182" t="s">
        <v>4543</v>
      </c>
      <c r="BD182" t="s">
        <v>126</v>
      </c>
    </row>
    <row r="183" spans="1:57">
      <c r="A183" s="1">
        <f>HYPERLINK("https://lsnyc.legalserver.org/matter/dynamic-profile/view/1894366","19-1894366")</f>
        <v>0</v>
      </c>
      <c r="B183" t="s">
        <v>72</v>
      </c>
      <c r="C183" t="s">
        <v>93</v>
      </c>
      <c r="D183" t="s">
        <v>94</v>
      </c>
      <c r="F183" t="s">
        <v>400</v>
      </c>
      <c r="G183" t="s">
        <v>940</v>
      </c>
      <c r="H183" t="s">
        <v>1468</v>
      </c>
      <c r="I183" t="s">
        <v>1917</v>
      </c>
      <c r="J183" t="s">
        <v>2169</v>
      </c>
      <c r="K183" t="s">
        <v>2171</v>
      </c>
      <c r="L183">
        <v>10031</v>
      </c>
      <c r="M183" t="s">
        <v>2173</v>
      </c>
      <c r="N183" t="s">
        <v>2173</v>
      </c>
      <c r="O183" t="s">
        <v>2179</v>
      </c>
      <c r="P183" t="s">
        <v>2351</v>
      </c>
      <c r="Q183">
        <v>20</v>
      </c>
      <c r="R183" t="s">
        <v>2844</v>
      </c>
      <c r="S183" t="s">
        <v>2857</v>
      </c>
      <c r="U183" t="s">
        <v>2869</v>
      </c>
      <c r="V183" t="s">
        <v>2174</v>
      </c>
      <c r="W183" t="s">
        <v>2174</v>
      </c>
      <c r="Y183" t="s">
        <v>2876</v>
      </c>
      <c r="AA183" t="s">
        <v>94</v>
      </c>
      <c r="AB183">
        <v>0</v>
      </c>
      <c r="AC183">
        <v>1009.13</v>
      </c>
      <c r="AD183">
        <v>17.75</v>
      </c>
      <c r="AE183" t="s">
        <v>2894</v>
      </c>
      <c r="AG183" t="s">
        <v>3081</v>
      </c>
      <c r="AI183" t="s">
        <v>3945</v>
      </c>
      <c r="AJ183">
        <v>0</v>
      </c>
      <c r="AK183" t="s">
        <v>4458</v>
      </c>
      <c r="AL183">
        <v>1</v>
      </c>
      <c r="AM183">
        <v>0</v>
      </c>
      <c r="AN183">
        <v>176.14</v>
      </c>
      <c r="AQ183" t="s">
        <v>4473</v>
      </c>
      <c r="AR183" t="s">
        <v>4478</v>
      </c>
      <c r="AS183" t="s">
        <v>4486</v>
      </c>
      <c r="AT183">
        <v>22000</v>
      </c>
      <c r="AX183" t="s">
        <v>4504</v>
      </c>
      <c r="BA183" t="s">
        <v>4546</v>
      </c>
      <c r="BD183" t="s">
        <v>225</v>
      </c>
      <c r="BE183" t="s">
        <v>4703</v>
      </c>
    </row>
    <row r="184" spans="1:57">
      <c r="A184" s="1">
        <f>HYPERLINK("https://lsnyc.legalserver.org/matter/dynamic-profile/view/1894379","19-1894379")</f>
        <v>0</v>
      </c>
      <c r="B184" t="s">
        <v>62</v>
      </c>
      <c r="C184" t="s">
        <v>93</v>
      </c>
      <c r="D184" t="s">
        <v>94</v>
      </c>
      <c r="F184" t="s">
        <v>401</v>
      </c>
      <c r="G184" t="s">
        <v>941</v>
      </c>
      <c r="H184" t="s">
        <v>1469</v>
      </c>
      <c r="I184" t="s">
        <v>1938</v>
      </c>
      <c r="J184" t="s">
        <v>2169</v>
      </c>
      <c r="K184" t="s">
        <v>2171</v>
      </c>
      <c r="L184">
        <v>10031</v>
      </c>
      <c r="M184" t="s">
        <v>2173</v>
      </c>
      <c r="N184" t="s">
        <v>2173</v>
      </c>
      <c r="O184" t="s">
        <v>2179</v>
      </c>
      <c r="P184" t="s">
        <v>2352</v>
      </c>
      <c r="Q184">
        <v>22</v>
      </c>
      <c r="R184" t="s">
        <v>2844</v>
      </c>
      <c r="S184" t="s">
        <v>2857</v>
      </c>
      <c r="U184" t="s">
        <v>2869</v>
      </c>
      <c r="V184" t="s">
        <v>2174</v>
      </c>
      <c r="W184" t="s">
        <v>2174</v>
      </c>
      <c r="Y184" t="s">
        <v>2876</v>
      </c>
      <c r="AA184" t="s">
        <v>94</v>
      </c>
      <c r="AB184">
        <v>0</v>
      </c>
      <c r="AC184">
        <v>897</v>
      </c>
      <c r="AD184">
        <v>37.9</v>
      </c>
      <c r="AE184" t="s">
        <v>2894</v>
      </c>
      <c r="AG184" t="s">
        <v>3082</v>
      </c>
      <c r="AI184" t="s">
        <v>3946</v>
      </c>
      <c r="AJ184">
        <v>0</v>
      </c>
      <c r="AK184" t="s">
        <v>4456</v>
      </c>
      <c r="AL184">
        <v>1</v>
      </c>
      <c r="AM184">
        <v>0</v>
      </c>
      <c r="AN184">
        <v>192.15</v>
      </c>
      <c r="AQ184" t="s">
        <v>4473</v>
      </c>
      <c r="AR184" t="s">
        <v>4476</v>
      </c>
      <c r="AS184" t="s">
        <v>4486</v>
      </c>
      <c r="AT184">
        <v>24000</v>
      </c>
      <c r="AX184" t="s">
        <v>4501</v>
      </c>
      <c r="BA184" t="s">
        <v>4546</v>
      </c>
      <c r="BD184" t="s">
        <v>210</v>
      </c>
      <c r="BE184" t="s">
        <v>4703</v>
      </c>
    </row>
    <row r="185" spans="1:57">
      <c r="A185" s="1">
        <f>HYPERLINK("https://lsnyc.legalserver.org/matter/dynamic-profile/view/1894435","19-1894435")</f>
        <v>0</v>
      </c>
      <c r="B185" t="s">
        <v>72</v>
      </c>
      <c r="C185" t="s">
        <v>93</v>
      </c>
      <c r="D185" t="s">
        <v>94</v>
      </c>
      <c r="F185" t="s">
        <v>402</v>
      </c>
      <c r="G185" t="s">
        <v>942</v>
      </c>
      <c r="H185" t="s">
        <v>1470</v>
      </c>
      <c r="I185" t="s">
        <v>1998</v>
      </c>
      <c r="J185" t="s">
        <v>2169</v>
      </c>
      <c r="K185" t="s">
        <v>2171</v>
      </c>
      <c r="L185">
        <v>10031</v>
      </c>
      <c r="M185" t="s">
        <v>2173</v>
      </c>
      <c r="N185" t="s">
        <v>2173</v>
      </c>
      <c r="O185" t="s">
        <v>2175</v>
      </c>
      <c r="P185" t="s">
        <v>2353</v>
      </c>
      <c r="Q185">
        <v>53</v>
      </c>
      <c r="R185" t="s">
        <v>2844</v>
      </c>
      <c r="S185" t="s">
        <v>2857</v>
      </c>
      <c r="U185" t="s">
        <v>2869</v>
      </c>
      <c r="V185" t="s">
        <v>2174</v>
      </c>
      <c r="W185" t="s">
        <v>2174</v>
      </c>
      <c r="Y185" t="s">
        <v>2876</v>
      </c>
      <c r="AA185" t="s">
        <v>94</v>
      </c>
      <c r="AB185">
        <v>0</v>
      </c>
      <c r="AC185">
        <v>1763</v>
      </c>
      <c r="AD185">
        <v>23.25</v>
      </c>
      <c r="AE185" t="s">
        <v>2894</v>
      </c>
      <c r="AG185" t="s">
        <v>3083</v>
      </c>
      <c r="AH185" t="s">
        <v>3633</v>
      </c>
      <c r="AI185" t="s">
        <v>3947</v>
      </c>
      <c r="AJ185">
        <v>74</v>
      </c>
      <c r="AK185" t="s">
        <v>4461</v>
      </c>
      <c r="AL185">
        <v>2</v>
      </c>
      <c r="AM185">
        <v>0</v>
      </c>
      <c r="AN185">
        <v>175.99</v>
      </c>
      <c r="AQ185" t="s">
        <v>4473</v>
      </c>
      <c r="AR185" t="s">
        <v>4476</v>
      </c>
      <c r="AS185" t="s">
        <v>4486</v>
      </c>
      <c r="AT185">
        <v>29760</v>
      </c>
      <c r="AX185" t="s">
        <v>4501</v>
      </c>
      <c r="BA185" t="s">
        <v>4585</v>
      </c>
      <c r="BD185" t="s">
        <v>210</v>
      </c>
      <c r="BE185" t="s">
        <v>4704</v>
      </c>
    </row>
    <row r="186" spans="1:57">
      <c r="A186" s="1">
        <f>HYPERLINK("https://lsnyc.legalserver.org/matter/dynamic-profile/view/1895027","19-1895027")</f>
        <v>0</v>
      </c>
      <c r="B186" t="s">
        <v>81</v>
      </c>
      <c r="C186" t="s">
        <v>93</v>
      </c>
      <c r="D186" t="s">
        <v>160</v>
      </c>
      <c r="F186" t="s">
        <v>403</v>
      </c>
      <c r="G186" t="s">
        <v>943</v>
      </c>
      <c r="H186" t="s">
        <v>1471</v>
      </c>
      <c r="I186">
        <v>104</v>
      </c>
      <c r="J186" t="s">
        <v>2169</v>
      </c>
      <c r="K186" t="s">
        <v>2171</v>
      </c>
      <c r="L186">
        <v>10031</v>
      </c>
      <c r="M186" t="s">
        <v>2173</v>
      </c>
      <c r="N186" t="s">
        <v>2173</v>
      </c>
      <c r="O186" t="s">
        <v>2179</v>
      </c>
      <c r="P186" t="s">
        <v>2354</v>
      </c>
      <c r="Q186">
        <v>0</v>
      </c>
      <c r="R186" t="s">
        <v>2844</v>
      </c>
      <c r="S186" t="s">
        <v>2857</v>
      </c>
      <c r="U186" t="s">
        <v>2869</v>
      </c>
      <c r="V186" t="s">
        <v>2174</v>
      </c>
      <c r="W186" t="s">
        <v>2174</v>
      </c>
      <c r="Y186" t="s">
        <v>2876</v>
      </c>
      <c r="Z186" t="s">
        <v>2879</v>
      </c>
      <c r="AA186" t="s">
        <v>160</v>
      </c>
      <c r="AB186">
        <v>0</v>
      </c>
      <c r="AC186">
        <v>1147</v>
      </c>
      <c r="AD186">
        <v>25.7</v>
      </c>
      <c r="AE186" t="s">
        <v>2894</v>
      </c>
      <c r="AG186" t="s">
        <v>3084</v>
      </c>
      <c r="AI186" t="s">
        <v>3948</v>
      </c>
      <c r="AJ186">
        <v>0</v>
      </c>
      <c r="AK186" t="s">
        <v>4456</v>
      </c>
      <c r="AL186">
        <v>1</v>
      </c>
      <c r="AM186">
        <v>0</v>
      </c>
      <c r="AN186">
        <v>15.61</v>
      </c>
      <c r="AQ186" t="s">
        <v>4473</v>
      </c>
      <c r="AR186" t="s">
        <v>4478</v>
      </c>
      <c r="AS186" t="s">
        <v>4486</v>
      </c>
      <c r="AT186">
        <v>1950</v>
      </c>
      <c r="AX186" t="s">
        <v>4501</v>
      </c>
      <c r="AY186" t="s">
        <v>4515</v>
      </c>
      <c r="AZ186" t="s">
        <v>4519</v>
      </c>
      <c r="BA186" t="s">
        <v>4551</v>
      </c>
      <c r="BB186" t="s">
        <v>4632</v>
      </c>
      <c r="BC186" t="s">
        <v>4641</v>
      </c>
      <c r="BD186" t="s">
        <v>197</v>
      </c>
    </row>
    <row r="187" spans="1:57">
      <c r="A187" s="1">
        <f>HYPERLINK("https://lsnyc.legalserver.org/matter/dynamic-profile/view/1895038","19-1895038")</f>
        <v>0</v>
      </c>
      <c r="B187" t="s">
        <v>68</v>
      </c>
      <c r="C187" t="s">
        <v>93</v>
      </c>
      <c r="D187" t="s">
        <v>160</v>
      </c>
      <c r="F187" t="s">
        <v>404</v>
      </c>
      <c r="G187" t="s">
        <v>367</v>
      </c>
      <c r="H187" t="s">
        <v>1435</v>
      </c>
      <c r="I187" t="s">
        <v>1987</v>
      </c>
      <c r="J187" t="s">
        <v>2169</v>
      </c>
      <c r="K187" t="s">
        <v>2171</v>
      </c>
      <c r="L187">
        <v>10031</v>
      </c>
      <c r="M187" t="s">
        <v>2173</v>
      </c>
      <c r="N187" t="s">
        <v>2173</v>
      </c>
      <c r="O187" t="s">
        <v>2179</v>
      </c>
      <c r="P187" t="s">
        <v>2355</v>
      </c>
      <c r="Q187">
        <v>4</v>
      </c>
      <c r="R187" t="s">
        <v>2844</v>
      </c>
      <c r="S187" t="s">
        <v>2857</v>
      </c>
      <c r="U187" t="s">
        <v>2869</v>
      </c>
      <c r="V187" t="s">
        <v>2174</v>
      </c>
      <c r="W187" t="s">
        <v>2174</v>
      </c>
      <c r="Y187" t="s">
        <v>2876</v>
      </c>
      <c r="Z187" t="s">
        <v>2880</v>
      </c>
      <c r="AA187" t="s">
        <v>160</v>
      </c>
      <c r="AB187">
        <v>0</v>
      </c>
      <c r="AC187">
        <v>273</v>
      </c>
      <c r="AD187">
        <v>8.800000000000001</v>
      </c>
      <c r="AE187" t="s">
        <v>2894</v>
      </c>
      <c r="AG187" t="s">
        <v>3085</v>
      </c>
      <c r="AI187" t="s">
        <v>3949</v>
      </c>
      <c r="AJ187">
        <v>0</v>
      </c>
      <c r="AK187" t="s">
        <v>4458</v>
      </c>
      <c r="AL187">
        <v>1</v>
      </c>
      <c r="AM187">
        <v>0</v>
      </c>
      <c r="AN187">
        <v>86.47</v>
      </c>
      <c r="AQ187" t="s">
        <v>4473</v>
      </c>
      <c r="AR187" t="s">
        <v>4478</v>
      </c>
      <c r="AS187" t="s">
        <v>4486</v>
      </c>
      <c r="AT187">
        <v>10800</v>
      </c>
      <c r="AX187" t="s">
        <v>4504</v>
      </c>
      <c r="BA187" t="s">
        <v>4569</v>
      </c>
      <c r="BD187" t="s">
        <v>215</v>
      </c>
      <c r="BE187" t="s">
        <v>4703</v>
      </c>
    </row>
    <row r="188" spans="1:57">
      <c r="A188" s="1">
        <f>HYPERLINK("https://lsnyc.legalserver.org/matter/dynamic-profile/view/1895065","19-1895065")</f>
        <v>0</v>
      </c>
      <c r="B188" t="s">
        <v>63</v>
      </c>
      <c r="C188" t="s">
        <v>93</v>
      </c>
      <c r="D188" t="s">
        <v>160</v>
      </c>
      <c r="F188" t="s">
        <v>367</v>
      </c>
      <c r="G188" t="s">
        <v>910</v>
      </c>
      <c r="H188" t="s">
        <v>1435</v>
      </c>
      <c r="I188" t="s">
        <v>1928</v>
      </c>
      <c r="J188" t="s">
        <v>2169</v>
      </c>
      <c r="K188" t="s">
        <v>2171</v>
      </c>
      <c r="L188">
        <v>10031</v>
      </c>
      <c r="M188" t="s">
        <v>2173</v>
      </c>
      <c r="N188" t="s">
        <v>2173</v>
      </c>
      <c r="O188" t="s">
        <v>2175</v>
      </c>
      <c r="P188" t="s">
        <v>2356</v>
      </c>
      <c r="Q188">
        <v>4</v>
      </c>
      <c r="R188" t="s">
        <v>2844</v>
      </c>
      <c r="S188" t="s">
        <v>2856</v>
      </c>
      <c r="U188" t="s">
        <v>2869</v>
      </c>
      <c r="V188" t="s">
        <v>2174</v>
      </c>
      <c r="W188" t="s">
        <v>2174</v>
      </c>
      <c r="Y188" t="s">
        <v>2876</v>
      </c>
      <c r="Z188" t="s">
        <v>2879</v>
      </c>
      <c r="AA188" t="s">
        <v>160</v>
      </c>
      <c r="AB188">
        <v>0</v>
      </c>
      <c r="AC188">
        <v>651.37</v>
      </c>
      <c r="AD188">
        <v>1</v>
      </c>
      <c r="AE188" t="s">
        <v>2894</v>
      </c>
      <c r="AG188" t="s">
        <v>3043</v>
      </c>
      <c r="AH188" t="s">
        <v>3634</v>
      </c>
      <c r="AI188" t="s">
        <v>3907</v>
      </c>
      <c r="AJ188">
        <v>0</v>
      </c>
      <c r="AK188" t="s">
        <v>4456</v>
      </c>
      <c r="AL188">
        <v>1</v>
      </c>
      <c r="AM188">
        <v>0</v>
      </c>
      <c r="AN188">
        <v>249.8</v>
      </c>
      <c r="AQ188" t="s">
        <v>4473</v>
      </c>
      <c r="AR188" t="s">
        <v>4478</v>
      </c>
      <c r="AS188" t="s">
        <v>4486</v>
      </c>
      <c r="AT188">
        <v>31200</v>
      </c>
      <c r="AX188" t="s">
        <v>4501</v>
      </c>
      <c r="BA188" t="s">
        <v>4537</v>
      </c>
      <c r="BD188" t="s">
        <v>160</v>
      </c>
    </row>
    <row r="189" spans="1:57">
      <c r="A189" s="1">
        <f>HYPERLINK("https://lsnyc.legalserver.org/matter/dynamic-profile/view/1895741","19-1895741")</f>
        <v>0</v>
      </c>
      <c r="B189" t="s">
        <v>69</v>
      </c>
      <c r="C189" t="s">
        <v>93</v>
      </c>
      <c r="D189" t="s">
        <v>141</v>
      </c>
      <c r="F189" t="s">
        <v>405</v>
      </c>
      <c r="G189" t="s">
        <v>944</v>
      </c>
      <c r="H189" t="s">
        <v>1472</v>
      </c>
      <c r="I189">
        <v>54</v>
      </c>
      <c r="J189" t="s">
        <v>2169</v>
      </c>
      <c r="K189" t="s">
        <v>2171</v>
      </c>
      <c r="L189">
        <v>10031</v>
      </c>
      <c r="M189" t="s">
        <v>2173</v>
      </c>
      <c r="N189" t="s">
        <v>2173</v>
      </c>
      <c r="O189" t="s">
        <v>2179</v>
      </c>
      <c r="Q189">
        <v>27</v>
      </c>
      <c r="R189" t="s">
        <v>2844</v>
      </c>
      <c r="S189" t="s">
        <v>2857</v>
      </c>
      <c r="U189" t="s">
        <v>2869</v>
      </c>
      <c r="V189" t="s">
        <v>2174</v>
      </c>
      <c r="W189" t="s">
        <v>2174</v>
      </c>
      <c r="Y189" t="s">
        <v>2876</v>
      </c>
      <c r="Z189" t="s">
        <v>2879</v>
      </c>
      <c r="AA189" t="s">
        <v>141</v>
      </c>
      <c r="AB189">
        <v>0</v>
      </c>
      <c r="AC189">
        <v>902.4400000000001</v>
      </c>
      <c r="AD189">
        <v>7.7</v>
      </c>
      <c r="AE189" t="s">
        <v>2894</v>
      </c>
      <c r="AG189" t="s">
        <v>3086</v>
      </c>
      <c r="AI189" t="s">
        <v>3950</v>
      </c>
      <c r="AJ189">
        <v>0</v>
      </c>
      <c r="AK189" t="s">
        <v>4456</v>
      </c>
      <c r="AL189">
        <v>4</v>
      </c>
      <c r="AM189">
        <v>1</v>
      </c>
      <c r="AN189">
        <v>117.2</v>
      </c>
      <c r="AQ189" t="s">
        <v>4475</v>
      </c>
      <c r="AR189" t="s">
        <v>4476</v>
      </c>
      <c r="AS189" t="s">
        <v>4487</v>
      </c>
      <c r="AT189">
        <v>35360</v>
      </c>
      <c r="AX189" t="s">
        <v>4504</v>
      </c>
      <c r="BA189" t="s">
        <v>4546</v>
      </c>
      <c r="BD189" t="s">
        <v>188</v>
      </c>
    </row>
    <row r="190" spans="1:57">
      <c r="A190" s="1">
        <f>HYPERLINK("https://lsnyc.legalserver.org/matter/dynamic-profile/view/1895784","19-1895784")</f>
        <v>0</v>
      </c>
      <c r="B190" t="s">
        <v>73</v>
      </c>
      <c r="C190" t="s">
        <v>92</v>
      </c>
      <c r="D190" t="s">
        <v>141</v>
      </c>
      <c r="E190" t="s">
        <v>176</v>
      </c>
      <c r="F190" t="s">
        <v>406</v>
      </c>
      <c r="G190" t="s">
        <v>945</v>
      </c>
      <c r="H190" t="s">
        <v>1420</v>
      </c>
      <c r="I190">
        <v>62</v>
      </c>
      <c r="J190" t="s">
        <v>2169</v>
      </c>
      <c r="K190" t="s">
        <v>2171</v>
      </c>
      <c r="L190">
        <v>10031</v>
      </c>
      <c r="M190" t="s">
        <v>2173</v>
      </c>
      <c r="N190" t="s">
        <v>2173</v>
      </c>
      <c r="O190" t="s">
        <v>2179</v>
      </c>
      <c r="P190" t="s">
        <v>2357</v>
      </c>
      <c r="Q190">
        <v>48</v>
      </c>
      <c r="R190" t="s">
        <v>2844</v>
      </c>
      <c r="S190" t="s">
        <v>2857</v>
      </c>
      <c r="T190" t="s">
        <v>2864</v>
      </c>
      <c r="U190" t="s">
        <v>2869</v>
      </c>
      <c r="V190" t="s">
        <v>2174</v>
      </c>
      <c r="W190" t="s">
        <v>2174</v>
      </c>
      <c r="Y190" t="s">
        <v>2876</v>
      </c>
      <c r="Z190" t="s">
        <v>2880</v>
      </c>
      <c r="AA190" t="s">
        <v>141</v>
      </c>
      <c r="AB190">
        <v>0</v>
      </c>
      <c r="AC190">
        <v>630.8200000000001</v>
      </c>
      <c r="AD190">
        <v>7.1</v>
      </c>
      <c r="AE190" t="s">
        <v>2894</v>
      </c>
      <c r="AF190" t="s">
        <v>2898</v>
      </c>
      <c r="AG190" t="s">
        <v>3087</v>
      </c>
      <c r="AI190" t="s">
        <v>3951</v>
      </c>
      <c r="AJ190">
        <v>0</v>
      </c>
      <c r="AK190" t="s">
        <v>4456</v>
      </c>
      <c r="AL190">
        <v>1</v>
      </c>
      <c r="AM190">
        <v>0</v>
      </c>
      <c r="AN190">
        <v>69.18000000000001</v>
      </c>
      <c r="AQ190" t="s">
        <v>4473</v>
      </c>
      <c r="AR190" t="s">
        <v>2176</v>
      </c>
      <c r="AS190" t="s">
        <v>4486</v>
      </c>
      <c r="AT190">
        <v>8640</v>
      </c>
      <c r="AX190" t="s">
        <v>4504</v>
      </c>
      <c r="AZ190" t="s">
        <v>4519</v>
      </c>
      <c r="BA190" t="s">
        <v>4548</v>
      </c>
      <c r="BB190" t="s">
        <v>4632</v>
      </c>
      <c r="BC190" t="s">
        <v>4642</v>
      </c>
      <c r="BD190" t="s">
        <v>148</v>
      </c>
      <c r="BE190" t="s">
        <v>4703</v>
      </c>
    </row>
    <row r="191" spans="1:57">
      <c r="A191" s="1">
        <f>HYPERLINK("https://lsnyc.legalserver.org/matter/dynamic-profile/view/1895853","19-1895853")</f>
        <v>0</v>
      </c>
      <c r="B191" t="s">
        <v>73</v>
      </c>
      <c r="C191" t="s">
        <v>93</v>
      </c>
      <c r="D191" t="s">
        <v>141</v>
      </c>
      <c r="F191" t="s">
        <v>407</v>
      </c>
      <c r="G191" t="s">
        <v>946</v>
      </c>
      <c r="H191" t="s">
        <v>1473</v>
      </c>
      <c r="I191" t="s">
        <v>1983</v>
      </c>
      <c r="J191" t="s">
        <v>2169</v>
      </c>
      <c r="K191" t="s">
        <v>2171</v>
      </c>
      <c r="L191">
        <v>10031</v>
      </c>
      <c r="M191" t="s">
        <v>2173</v>
      </c>
      <c r="N191" t="s">
        <v>2173</v>
      </c>
      <c r="O191" t="s">
        <v>2175</v>
      </c>
      <c r="P191" t="s">
        <v>2358</v>
      </c>
      <c r="Q191">
        <v>30</v>
      </c>
      <c r="R191" t="s">
        <v>2844</v>
      </c>
      <c r="S191" t="s">
        <v>2857</v>
      </c>
      <c r="U191" t="s">
        <v>2869</v>
      </c>
      <c r="V191" t="s">
        <v>2174</v>
      </c>
      <c r="W191" t="s">
        <v>2174</v>
      </c>
      <c r="Y191" t="s">
        <v>2876</v>
      </c>
      <c r="Z191" t="s">
        <v>2879</v>
      </c>
      <c r="AA191" t="s">
        <v>141</v>
      </c>
      <c r="AB191">
        <v>0</v>
      </c>
      <c r="AC191">
        <v>524.79</v>
      </c>
      <c r="AD191">
        <v>27.9</v>
      </c>
      <c r="AE191" t="s">
        <v>2894</v>
      </c>
      <c r="AG191" t="s">
        <v>3088</v>
      </c>
      <c r="AH191" t="s">
        <v>3635</v>
      </c>
      <c r="AI191" t="s">
        <v>3952</v>
      </c>
      <c r="AJ191">
        <v>0</v>
      </c>
      <c r="AK191" t="s">
        <v>4464</v>
      </c>
      <c r="AL191">
        <v>1</v>
      </c>
      <c r="AM191">
        <v>0</v>
      </c>
      <c r="AN191">
        <v>16.86</v>
      </c>
      <c r="AQ191" t="s">
        <v>4473</v>
      </c>
      <c r="AR191" t="s">
        <v>2176</v>
      </c>
      <c r="AS191" t="s">
        <v>4486</v>
      </c>
      <c r="AT191">
        <v>2106</v>
      </c>
      <c r="AX191" t="s">
        <v>4501</v>
      </c>
      <c r="BA191" t="s">
        <v>4564</v>
      </c>
      <c r="BD191" t="s">
        <v>215</v>
      </c>
    </row>
    <row r="192" spans="1:57">
      <c r="A192" s="1">
        <f>HYPERLINK("https://lsnyc.legalserver.org/matter/dynamic-profile/view/1896150","19-1896150")</f>
        <v>0</v>
      </c>
      <c r="B192" t="s">
        <v>71</v>
      </c>
      <c r="C192" t="s">
        <v>93</v>
      </c>
      <c r="D192" t="s">
        <v>142</v>
      </c>
      <c r="F192" t="s">
        <v>408</v>
      </c>
      <c r="G192" t="s">
        <v>947</v>
      </c>
      <c r="H192" t="s">
        <v>1474</v>
      </c>
      <c r="J192" t="s">
        <v>2169</v>
      </c>
      <c r="K192" t="s">
        <v>2171</v>
      </c>
      <c r="L192">
        <v>10031</v>
      </c>
      <c r="M192" t="s">
        <v>2173</v>
      </c>
      <c r="N192" t="s">
        <v>2172</v>
      </c>
      <c r="P192" t="s">
        <v>2359</v>
      </c>
      <c r="Q192">
        <v>0</v>
      </c>
      <c r="R192" t="s">
        <v>2844</v>
      </c>
      <c r="S192" t="s">
        <v>2857</v>
      </c>
      <c r="U192" t="s">
        <v>2869</v>
      </c>
      <c r="V192" t="s">
        <v>2174</v>
      </c>
      <c r="W192" t="s">
        <v>2174</v>
      </c>
      <c r="Y192" t="s">
        <v>2876</v>
      </c>
      <c r="AA192" t="s">
        <v>230</v>
      </c>
      <c r="AB192">
        <v>0</v>
      </c>
      <c r="AC192">
        <v>0</v>
      </c>
      <c r="AD192">
        <v>4.45</v>
      </c>
      <c r="AE192" t="s">
        <v>2894</v>
      </c>
      <c r="AG192" t="s">
        <v>3089</v>
      </c>
      <c r="AI192" t="s">
        <v>3953</v>
      </c>
      <c r="AJ192">
        <v>67</v>
      </c>
      <c r="AL192">
        <v>1</v>
      </c>
      <c r="AM192">
        <v>0</v>
      </c>
      <c r="AN192">
        <v>0</v>
      </c>
      <c r="AS192" t="s">
        <v>4486</v>
      </c>
      <c r="AT192">
        <v>0</v>
      </c>
      <c r="AX192" t="s">
        <v>86</v>
      </c>
      <c r="BA192" t="s">
        <v>4539</v>
      </c>
      <c r="BD192" t="s">
        <v>176</v>
      </c>
      <c r="BE192" t="s">
        <v>4703</v>
      </c>
    </row>
    <row r="193" spans="1:57">
      <c r="A193" s="1">
        <f>HYPERLINK("https://lsnyc.legalserver.org/matter/dynamic-profile/view/1896154","19-1896154")</f>
        <v>0</v>
      </c>
      <c r="B193" t="s">
        <v>57</v>
      </c>
      <c r="C193" t="s">
        <v>93</v>
      </c>
      <c r="D193" t="s">
        <v>142</v>
      </c>
      <c r="F193" t="s">
        <v>409</v>
      </c>
      <c r="G193" t="s">
        <v>948</v>
      </c>
      <c r="H193" t="s">
        <v>1475</v>
      </c>
      <c r="I193">
        <v>43</v>
      </c>
      <c r="J193" t="s">
        <v>2169</v>
      </c>
      <c r="K193" t="s">
        <v>2171</v>
      </c>
      <c r="L193">
        <v>10031</v>
      </c>
      <c r="M193" t="s">
        <v>2173</v>
      </c>
      <c r="N193" t="s">
        <v>2173</v>
      </c>
      <c r="O193" t="s">
        <v>2176</v>
      </c>
      <c r="Q193">
        <v>19</v>
      </c>
      <c r="R193" t="s">
        <v>2844</v>
      </c>
      <c r="S193" t="s">
        <v>2857</v>
      </c>
      <c r="U193" t="s">
        <v>2869</v>
      </c>
      <c r="V193" t="s">
        <v>2174</v>
      </c>
      <c r="W193" t="s">
        <v>2174</v>
      </c>
      <c r="Y193" t="s">
        <v>2876</v>
      </c>
      <c r="AB193">
        <v>0</v>
      </c>
      <c r="AC193">
        <v>816.91</v>
      </c>
      <c r="AD193">
        <v>2.4</v>
      </c>
      <c r="AE193" t="s">
        <v>2894</v>
      </c>
      <c r="AG193" t="s">
        <v>3090</v>
      </c>
      <c r="AI193" t="s">
        <v>3954</v>
      </c>
      <c r="AJ193">
        <v>0</v>
      </c>
      <c r="AL193">
        <v>2</v>
      </c>
      <c r="AM193">
        <v>0</v>
      </c>
      <c r="AN193">
        <v>56.77</v>
      </c>
      <c r="AQ193" t="s">
        <v>4473</v>
      </c>
      <c r="AT193">
        <v>9600</v>
      </c>
      <c r="AX193" t="s">
        <v>4506</v>
      </c>
      <c r="BA193" t="s">
        <v>4546</v>
      </c>
      <c r="BD193" t="s">
        <v>95</v>
      </c>
    </row>
    <row r="194" spans="1:57">
      <c r="A194" s="1">
        <f>HYPERLINK("https://lsnyc.legalserver.org/matter/dynamic-profile/view/1896206","19-1896206")</f>
        <v>0</v>
      </c>
      <c r="B194" t="s">
        <v>57</v>
      </c>
      <c r="C194" t="s">
        <v>93</v>
      </c>
      <c r="D194" t="s">
        <v>142</v>
      </c>
      <c r="F194" t="s">
        <v>410</v>
      </c>
      <c r="G194" t="s">
        <v>949</v>
      </c>
      <c r="H194" t="s">
        <v>1476</v>
      </c>
      <c r="I194" t="s">
        <v>1952</v>
      </c>
      <c r="J194" t="s">
        <v>2169</v>
      </c>
      <c r="K194" t="s">
        <v>2171</v>
      </c>
      <c r="L194">
        <v>10031</v>
      </c>
      <c r="M194" t="s">
        <v>2173</v>
      </c>
      <c r="N194" t="s">
        <v>2173</v>
      </c>
      <c r="O194" t="s">
        <v>2176</v>
      </c>
      <c r="Q194">
        <v>14</v>
      </c>
      <c r="R194" t="s">
        <v>2844</v>
      </c>
      <c r="U194" t="s">
        <v>2869</v>
      </c>
      <c r="V194" t="s">
        <v>2174</v>
      </c>
      <c r="W194" t="s">
        <v>2174</v>
      </c>
      <c r="Y194" t="s">
        <v>2876</v>
      </c>
      <c r="AB194">
        <v>0</v>
      </c>
      <c r="AC194">
        <v>1108</v>
      </c>
      <c r="AD194">
        <v>5</v>
      </c>
      <c r="AE194" t="s">
        <v>2894</v>
      </c>
      <c r="AG194" t="s">
        <v>3091</v>
      </c>
      <c r="AI194" t="s">
        <v>3955</v>
      </c>
      <c r="AJ194">
        <v>0</v>
      </c>
      <c r="AK194" t="s">
        <v>4456</v>
      </c>
      <c r="AL194">
        <v>2</v>
      </c>
      <c r="AM194">
        <v>0</v>
      </c>
      <c r="AN194">
        <v>107.63</v>
      </c>
      <c r="AQ194" t="s">
        <v>4473</v>
      </c>
      <c r="AT194">
        <v>18200</v>
      </c>
      <c r="AX194" t="s">
        <v>4506</v>
      </c>
      <c r="BA194" t="s">
        <v>4546</v>
      </c>
      <c r="BD194" t="s">
        <v>183</v>
      </c>
    </row>
    <row r="195" spans="1:57">
      <c r="A195" s="1">
        <f>HYPERLINK("https://lsnyc.legalserver.org/matter/dynamic-profile/view/1896281","19-1896281")</f>
        <v>0</v>
      </c>
      <c r="B195" t="s">
        <v>62</v>
      </c>
      <c r="C195" t="s">
        <v>93</v>
      </c>
      <c r="D195" t="s">
        <v>142</v>
      </c>
      <c r="F195" t="s">
        <v>411</v>
      </c>
      <c r="G195" t="s">
        <v>950</v>
      </c>
      <c r="H195" t="s">
        <v>1477</v>
      </c>
      <c r="J195" t="s">
        <v>2169</v>
      </c>
      <c r="K195" t="s">
        <v>2171</v>
      </c>
      <c r="L195">
        <v>10031</v>
      </c>
      <c r="M195" t="s">
        <v>2172</v>
      </c>
      <c r="N195" t="s">
        <v>2172</v>
      </c>
      <c r="P195" t="s">
        <v>2360</v>
      </c>
      <c r="Q195">
        <v>0</v>
      </c>
      <c r="R195" t="s">
        <v>2844</v>
      </c>
      <c r="S195" t="s">
        <v>2857</v>
      </c>
      <c r="U195" t="s">
        <v>2869</v>
      </c>
      <c r="V195" t="s">
        <v>2174</v>
      </c>
      <c r="W195" t="s">
        <v>2174</v>
      </c>
      <c r="Y195" t="s">
        <v>2876</v>
      </c>
      <c r="AB195">
        <v>0</v>
      </c>
      <c r="AC195">
        <v>1600</v>
      </c>
      <c r="AD195">
        <v>48.65</v>
      </c>
      <c r="AE195" t="s">
        <v>2894</v>
      </c>
      <c r="AG195" t="s">
        <v>3092</v>
      </c>
      <c r="AI195" t="s">
        <v>3956</v>
      </c>
      <c r="AJ195">
        <v>0</v>
      </c>
      <c r="AK195" t="s">
        <v>4456</v>
      </c>
      <c r="AL195">
        <v>1</v>
      </c>
      <c r="AM195">
        <v>0</v>
      </c>
      <c r="AN195">
        <v>0</v>
      </c>
      <c r="AT195">
        <v>0</v>
      </c>
      <c r="AX195" t="s">
        <v>86</v>
      </c>
      <c r="BA195" t="s">
        <v>4539</v>
      </c>
      <c r="BD195" t="s">
        <v>117</v>
      </c>
    </row>
    <row r="196" spans="1:57">
      <c r="A196" s="1">
        <f>HYPERLINK("https://lsnyc.legalserver.org/matter/dynamic-profile/view/1896584","19-1896584")</f>
        <v>0</v>
      </c>
      <c r="B196" t="s">
        <v>62</v>
      </c>
      <c r="C196" t="s">
        <v>93</v>
      </c>
      <c r="D196" t="s">
        <v>143</v>
      </c>
      <c r="F196" t="s">
        <v>412</v>
      </c>
      <c r="G196" t="s">
        <v>951</v>
      </c>
      <c r="H196" t="s">
        <v>1478</v>
      </c>
      <c r="I196" t="s">
        <v>1999</v>
      </c>
      <c r="J196" t="s">
        <v>2169</v>
      </c>
      <c r="K196" t="s">
        <v>2171</v>
      </c>
      <c r="L196">
        <v>10031</v>
      </c>
      <c r="M196" t="s">
        <v>2173</v>
      </c>
      <c r="N196" t="s">
        <v>2173</v>
      </c>
      <c r="O196" t="s">
        <v>2175</v>
      </c>
      <c r="P196" t="s">
        <v>2361</v>
      </c>
      <c r="Q196">
        <v>-1</v>
      </c>
      <c r="R196" t="s">
        <v>2844</v>
      </c>
      <c r="S196" t="s">
        <v>2857</v>
      </c>
      <c r="U196" t="s">
        <v>2869</v>
      </c>
      <c r="V196" t="s">
        <v>2174</v>
      </c>
      <c r="W196" t="s">
        <v>2174</v>
      </c>
      <c r="Y196" t="s">
        <v>2876</v>
      </c>
      <c r="Z196" t="s">
        <v>2879</v>
      </c>
      <c r="AA196" t="s">
        <v>143</v>
      </c>
      <c r="AB196">
        <v>0</v>
      </c>
      <c r="AC196">
        <v>1900</v>
      </c>
      <c r="AD196">
        <v>14.9</v>
      </c>
      <c r="AE196" t="s">
        <v>2894</v>
      </c>
      <c r="AG196" t="s">
        <v>3093</v>
      </c>
      <c r="AI196" t="s">
        <v>3957</v>
      </c>
      <c r="AJ196">
        <v>0</v>
      </c>
      <c r="AK196" t="s">
        <v>4458</v>
      </c>
      <c r="AL196">
        <v>1</v>
      </c>
      <c r="AM196">
        <v>0</v>
      </c>
      <c r="AN196">
        <v>0</v>
      </c>
      <c r="AR196" t="s">
        <v>4476</v>
      </c>
      <c r="AS196" t="s">
        <v>4486</v>
      </c>
      <c r="AT196">
        <v>0</v>
      </c>
      <c r="AX196" t="s">
        <v>4504</v>
      </c>
      <c r="BA196" t="s">
        <v>4539</v>
      </c>
      <c r="BD196" t="s">
        <v>172</v>
      </c>
      <c r="BE196" t="s">
        <v>4703</v>
      </c>
    </row>
    <row r="197" spans="1:57">
      <c r="A197" s="1">
        <f>HYPERLINK("https://lsnyc.legalserver.org/matter/dynamic-profile/view/1897248","19-1897248")</f>
        <v>0</v>
      </c>
      <c r="B197" t="s">
        <v>63</v>
      </c>
      <c r="C197" t="s">
        <v>93</v>
      </c>
      <c r="D197" t="s">
        <v>161</v>
      </c>
      <c r="F197" t="s">
        <v>413</v>
      </c>
      <c r="G197" t="s">
        <v>952</v>
      </c>
      <c r="H197" t="s">
        <v>1479</v>
      </c>
      <c r="I197" t="s">
        <v>1931</v>
      </c>
      <c r="J197" t="s">
        <v>2169</v>
      </c>
      <c r="K197" t="s">
        <v>2171</v>
      </c>
      <c r="L197">
        <v>10031</v>
      </c>
      <c r="M197" t="s">
        <v>2173</v>
      </c>
      <c r="N197" t="s">
        <v>2173</v>
      </c>
      <c r="O197" t="s">
        <v>2175</v>
      </c>
      <c r="P197" t="s">
        <v>2362</v>
      </c>
      <c r="Q197">
        <v>2</v>
      </c>
      <c r="R197" t="s">
        <v>2844</v>
      </c>
      <c r="S197" t="s">
        <v>2857</v>
      </c>
      <c r="U197" t="s">
        <v>2869</v>
      </c>
      <c r="V197" t="s">
        <v>2174</v>
      </c>
      <c r="W197" t="s">
        <v>2174</v>
      </c>
      <c r="Y197" t="s">
        <v>2876</v>
      </c>
      <c r="Z197" t="s">
        <v>2879</v>
      </c>
      <c r="AA197" t="s">
        <v>161</v>
      </c>
      <c r="AB197">
        <v>0</v>
      </c>
      <c r="AC197">
        <v>2495</v>
      </c>
      <c r="AD197">
        <v>123.55</v>
      </c>
      <c r="AE197" t="s">
        <v>2894</v>
      </c>
      <c r="AG197" t="s">
        <v>3094</v>
      </c>
      <c r="AI197" t="s">
        <v>3958</v>
      </c>
      <c r="AJ197">
        <v>0</v>
      </c>
      <c r="AK197" t="s">
        <v>4460</v>
      </c>
      <c r="AL197">
        <v>4</v>
      </c>
      <c r="AM197">
        <v>0</v>
      </c>
      <c r="AN197">
        <v>130.87</v>
      </c>
      <c r="AP197" t="s">
        <v>4471</v>
      </c>
      <c r="AR197" t="s">
        <v>4476</v>
      </c>
      <c r="AT197">
        <v>33700</v>
      </c>
      <c r="AX197" t="s">
        <v>4504</v>
      </c>
      <c r="BA197" t="s">
        <v>4546</v>
      </c>
      <c r="BD197" t="s">
        <v>123</v>
      </c>
      <c r="BE197" t="s">
        <v>4703</v>
      </c>
    </row>
    <row r="198" spans="1:57">
      <c r="A198" s="1">
        <f>HYPERLINK("https://lsnyc.legalserver.org/matter/dynamic-profile/view/1897825","19-1897825")</f>
        <v>0</v>
      </c>
      <c r="B198" t="s">
        <v>61</v>
      </c>
      <c r="C198" t="s">
        <v>92</v>
      </c>
      <c r="D198" t="s">
        <v>144</v>
      </c>
      <c r="E198" t="s">
        <v>223</v>
      </c>
      <c r="F198" t="s">
        <v>414</v>
      </c>
      <c r="G198" t="s">
        <v>953</v>
      </c>
      <c r="H198" t="s">
        <v>1480</v>
      </c>
      <c r="I198" t="s">
        <v>2000</v>
      </c>
      <c r="J198" t="s">
        <v>2169</v>
      </c>
      <c r="K198" t="s">
        <v>2171</v>
      </c>
      <c r="L198">
        <v>10031</v>
      </c>
      <c r="M198" t="s">
        <v>2173</v>
      </c>
      <c r="N198" t="s">
        <v>2174</v>
      </c>
      <c r="O198" t="s">
        <v>2179</v>
      </c>
      <c r="P198" t="s">
        <v>2363</v>
      </c>
      <c r="Q198">
        <v>51</v>
      </c>
      <c r="R198" t="s">
        <v>2844</v>
      </c>
      <c r="S198" t="s">
        <v>2857</v>
      </c>
      <c r="T198" t="s">
        <v>2864</v>
      </c>
      <c r="U198" t="s">
        <v>2869</v>
      </c>
      <c r="V198" t="s">
        <v>2174</v>
      </c>
      <c r="W198" t="s">
        <v>2174</v>
      </c>
      <c r="Y198" t="s">
        <v>2876</v>
      </c>
      <c r="AA198" t="s">
        <v>144</v>
      </c>
      <c r="AB198">
        <v>0</v>
      </c>
      <c r="AC198">
        <v>697</v>
      </c>
      <c r="AD198">
        <v>3</v>
      </c>
      <c r="AE198" t="s">
        <v>2894</v>
      </c>
      <c r="AF198" t="s">
        <v>2898</v>
      </c>
      <c r="AG198" t="s">
        <v>3095</v>
      </c>
      <c r="AI198" t="s">
        <v>3959</v>
      </c>
      <c r="AJ198">
        <v>94</v>
      </c>
      <c r="AK198" t="s">
        <v>4456</v>
      </c>
      <c r="AL198">
        <v>2</v>
      </c>
      <c r="AM198">
        <v>0</v>
      </c>
      <c r="AN198">
        <v>141.93</v>
      </c>
      <c r="AR198" t="s">
        <v>4476</v>
      </c>
      <c r="AS198" t="s">
        <v>4486</v>
      </c>
      <c r="AT198">
        <v>24000</v>
      </c>
      <c r="AX198" t="s">
        <v>4504</v>
      </c>
      <c r="AZ198" t="s">
        <v>4519</v>
      </c>
      <c r="BA198" t="s">
        <v>4586</v>
      </c>
      <c r="BB198" t="s">
        <v>4632</v>
      </c>
      <c r="BC198" t="s">
        <v>4643</v>
      </c>
      <c r="BD198" t="s">
        <v>144</v>
      </c>
      <c r="BE198" t="s">
        <v>4703</v>
      </c>
    </row>
    <row r="199" spans="1:57">
      <c r="A199" s="1">
        <f>HYPERLINK("https://lsnyc.legalserver.org/matter/dynamic-profile/view/1897884","19-1897884")</f>
        <v>0</v>
      </c>
      <c r="B199" t="s">
        <v>62</v>
      </c>
      <c r="C199" t="s">
        <v>93</v>
      </c>
      <c r="D199" t="s">
        <v>144</v>
      </c>
      <c r="F199" t="s">
        <v>415</v>
      </c>
      <c r="G199" t="s">
        <v>954</v>
      </c>
      <c r="H199" t="s">
        <v>1481</v>
      </c>
      <c r="I199">
        <v>1</v>
      </c>
      <c r="J199" t="s">
        <v>2169</v>
      </c>
      <c r="K199" t="s">
        <v>2171</v>
      </c>
      <c r="L199">
        <v>10031</v>
      </c>
      <c r="M199" t="s">
        <v>2173</v>
      </c>
      <c r="N199" t="s">
        <v>2173</v>
      </c>
      <c r="O199" t="s">
        <v>2175</v>
      </c>
      <c r="P199" t="s">
        <v>2364</v>
      </c>
      <c r="Q199">
        <v>2</v>
      </c>
      <c r="R199" t="s">
        <v>2844</v>
      </c>
      <c r="S199" t="s">
        <v>2857</v>
      </c>
      <c r="U199" t="s">
        <v>2869</v>
      </c>
      <c r="V199" t="s">
        <v>2174</v>
      </c>
      <c r="W199" t="s">
        <v>2174</v>
      </c>
      <c r="Y199" t="s">
        <v>2876</v>
      </c>
      <c r="AA199" t="s">
        <v>144</v>
      </c>
      <c r="AB199">
        <v>0</v>
      </c>
      <c r="AC199">
        <v>2575</v>
      </c>
      <c r="AD199">
        <v>7.5</v>
      </c>
      <c r="AE199" t="s">
        <v>2894</v>
      </c>
      <c r="AG199" t="s">
        <v>3096</v>
      </c>
      <c r="AI199" t="s">
        <v>3960</v>
      </c>
      <c r="AJ199">
        <v>0</v>
      </c>
      <c r="AK199" t="s">
        <v>4458</v>
      </c>
      <c r="AL199">
        <v>3</v>
      </c>
      <c r="AM199">
        <v>1</v>
      </c>
      <c r="AN199">
        <v>104.85</v>
      </c>
      <c r="AR199" t="s">
        <v>4476</v>
      </c>
      <c r="AS199" t="s">
        <v>4490</v>
      </c>
      <c r="AT199">
        <v>27000</v>
      </c>
      <c r="AX199" t="s">
        <v>4501</v>
      </c>
      <c r="BA199" t="s">
        <v>4546</v>
      </c>
      <c r="BD199" t="s">
        <v>188</v>
      </c>
      <c r="BE199" t="s">
        <v>4703</v>
      </c>
    </row>
    <row r="200" spans="1:57">
      <c r="A200" s="1">
        <f>HYPERLINK("https://lsnyc.legalserver.org/matter/dynamic-profile/view/1897910","19-1897910")</f>
        <v>0</v>
      </c>
      <c r="B200" t="s">
        <v>62</v>
      </c>
      <c r="C200" t="s">
        <v>93</v>
      </c>
      <c r="D200" t="s">
        <v>144</v>
      </c>
      <c r="F200" t="s">
        <v>416</v>
      </c>
      <c r="G200" t="s">
        <v>889</v>
      </c>
      <c r="H200" t="s">
        <v>1482</v>
      </c>
      <c r="I200" t="s">
        <v>1927</v>
      </c>
      <c r="J200" t="s">
        <v>2169</v>
      </c>
      <c r="K200" t="s">
        <v>2171</v>
      </c>
      <c r="L200">
        <v>10031</v>
      </c>
      <c r="M200" t="s">
        <v>2173</v>
      </c>
      <c r="N200" t="s">
        <v>2173</v>
      </c>
      <c r="O200" t="s">
        <v>2175</v>
      </c>
      <c r="P200" t="s">
        <v>2365</v>
      </c>
      <c r="Q200">
        <v>35</v>
      </c>
      <c r="R200" t="s">
        <v>2844</v>
      </c>
      <c r="S200" t="s">
        <v>2857</v>
      </c>
      <c r="U200" t="s">
        <v>2869</v>
      </c>
      <c r="V200" t="s">
        <v>2174</v>
      </c>
      <c r="W200" t="s">
        <v>2174</v>
      </c>
      <c r="Y200" t="s">
        <v>2876</v>
      </c>
      <c r="AA200" t="s">
        <v>144</v>
      </c>
      <c r="AB200">
        <v>0</v>
      </c>
      <c r="AC200">
        <v>843.28</v>
      </c>
      <c r="AD200">
        <v>0.1</v>
      </c>
      <c r="AE200" t="s">
        <v>2894</v>
      </c>
      <c r="AG200" t="s">
        <v>3097</v>
      </c>
      <c r="AH200" t="s">
        <v>3636</v>
      </c>
      <c r="AI200" t="s">
        <v>3961</v>
      </c>
      <c r="AJ200">
        <v>0</v>
      </c>
      <c r="AK200" t="s">
        <v>4456</v>
      </c>
      <c r="AL200">
        <v>1</v>
      </c>
      <c r="AM200">
        <v>0</v>
      </c>
      <c r="AN200">
        <v>113.27</v>
      </c>
      <c r="AR200" t="s">
        <v>4477</v>
      </c>
      <c r="AS200" t="s">
        <v>4487</v>
      </c>
      <c r="AT200">
        <v>14148</v>
      </c>
      <c r="AX200" t="s">
        <v>4501</v>
      </c>
      <c r="BA200" t="s">
        <v>4587</v>
      </c>
      <c r="BD200" t="s">
        <v>235</v>
      </c>
      <c r="BE200" t="s">
        <v>4704</v>
      </c>
    </row>
    <row r="201" spans="1:57">
      <c r="A201" s="1">
        <f>HYPERLINK("https://lsnyc.legalserver.org/matter/dynamic-profile/view/1897920","19-1897920")</f>
        <v>0</v>
      </c>
      <c r="B201" t="s">
        <v>75</v>
      </c>
      <c r="C201" t="s">
        <v>93</v>
      </c>
      <c r="D201" t="s">
        <v>144</v>
      </c>
      <c r="F201" t="s">
        <v>329</v>
      </c>
      <c r="G201" t="s">
        <v>955</v>
      </c>
      <c r="H201" t="s">
        <v>1483</v>
      </c>
      <c r="I201">
        <v>30</v>
      </c>
      <c r="J201" t="s">
        <v>2169</v>
      </c>
      <c r="K201" t="s">
        <v>2171</v>
      </c>
      <c r="L201">
        <v>10031</v>
      </c>
      <c r="M201" t="s">
        <v>2173</v>
      </c>
      <c r="N201" t="s">
        <v>2173</v>
      </c>
      <c r="O201" t="s">
        <v>2175</v>
      </c>
      <c r="P201" t="s">
        <v>2366</v>
      </c>
      <c r="Q201">
        <v>30</v>
      </c>
      <c r="R201" t="s">
        <v>2844</v>
      </c>
      <c r="S201" t="s">
        <v>2857</v>
      </c>
      <c r="U201" t="s">
        <v>2869</v>
      </c>
      <c r="V201" t="s">
        <v>2174</v>
      </c>
      <c r="W201" t="s">
        <v>2174</v>
      </c>
      <c r="Y201" t="s">
        <v>2876</v>
      </c>
      <c r="AA201" t="s">
        <v>144</v>
      </c>
      <c r="AB201">
        <v>0</v>
      </c>
      <c r="AC201">
        <v>1020</v>
      </c>
      <c r="AD201">
        <v>2.5</v>
      </c>
      <c r="AE201" t="s">
        <v>2894</v>
      </c>
      <c r="AG201" t="s">
        <v>3098</v>
      </c>
      <c r="AI201" t="s">
        <v>3962</v>
      </c>
      <c r="AJ201">
        <v>0</v>
      </c>
      <c r="AK201" t="s">
        <v>4458</v>
      </c>
      <c r="AL201">
        <v>1</v>
      </c>
      <c r="AM201">
        <v>0</v>
      </c>
      <c r="AN201">
        <v>132.78</v>
      </c>
      <c r="AR201" t="s">
        <v>4476</v>
      </c>
      <c r="AS201" t="s">
        <v>4487</v>
      </c>
      <c r="AT201">
        <v>16584</v>
      </c>
      <c r="AX201" t="s">
        <v>4504</v>
      </c>
      <c r="BA201" t="s">
        <v>4588</v>
      </c>
      <c r="BD201" t="s">
        <v>109</v>
      </c>
    </row>
    <row r="202" spans="1:57">
      <c r="A202" s="1">
        <f>HYPERLINK("https://lsnyc.legalserver.org/matter/dynamic-profile/view/1898218","19-1898218")</f>
        <v>0</v>
      </c>
      <c r="B202" t="s">
        <v>71</v>
      </c>
      <c r="C202" t="s">
        <v>93</v>
      </c>
      <c r="D202" t="s">
        <v>145</v>
      </c>
      <c r="F202" t="s">
        <v>417</v>
      </c>
      <c r="G202" t="s">
        <v>956</v>
      </c>
      <c r="H202" t="s">
        <v>1480</v>
      </c>
      <c r="I202" t="s">
        <v>2001</v>
      </c>
      <c r="J202" t="s">
        <v>2169</v>
      </c>
      <c r="K202" t="s">
        <v>2171</v>
      </c>
      <c r="L202">
        <v>10031</v>
      </c>
      <c r="M202" t="s">
        <v>2173</v>
      </c>
      <c r="N202" t="s">
        <v>2173</v>
      </c>
      <c r="O202" t="s">
        <v>2175</v>
      </c>
      <c r="P202" t="s">
        <v>2367</v>
      </c>
      <c r="Q202">
        <v>42</v>
      </c>
      <c r="R202" t="s">
        <v>2844</v>
      </c>
      <c r="S202" t="s">
        <v>2856</v>
      </c>
      <c r="U202" t="s">
        <v>2869</v>
      </c>
      <c r="V202" t="s">
        <v>2174</v>
      </c>
      <c r="W202" t="s">
        <v>2174</v>
      </c>
      <c r="Y202" t="s">
        <v>2876</v>
      </c>
      <c r="Z202" t="s">
        <v>2879</v>
      </c>
      <c r="AA202" t="s">
        <v>121</v>
      </c>
      <c r="AB202">
        <v>0</v>
      </c>
      <c r="AC202">
        <v>998</v>
      </c>
      <c r="AD202">
        <v>5.5</v>
      </c>
      <c r="AE202" t="s">
        <v>2894</v>
      </c>
      <c r="AF202" t="s">
        <v>2896</v>
      </c>
      <c r="AG202" t="s">
        <v>3099</v>
      </c>
      <c r="AI202" t="s">
        <v>3963</v>
      </c>
      <c r="AJ202">
        <v>0</v>
      </c>
      <c r="AK202" t="s">
        <v>4456</v>
      </c>
      <c r="AL202">
        <v>2</v>
      </c>
      <c r="AM202">
        <v>0</v>
      </c>
      <c r="AN202">
        <v>14.15</v>
      </c>
      <c r="AR202" t="s">
        <v>4476</v>
      </c>
      <c r="AS202" t="s">
        <v>4486</v>
      </c>
      <c r="AT202">
        <v>2392</v>
      </c>
      <c r="AX202" t="s">
        <v>4502</v>
      </c>
      <c r="BA202" t="s">
        <v>4589</v>
      </c>
      <c r="BD202" t="s">
        <v>153</v>
      </c>
      <c r="BE202" t="s">
        <v>4703</v>
      </c>
    </row>
    <row r="203" spans="1:57">
      <c r="A203" s="1">
        <f>HYPERLINK("https://lsnyc.legalserver.org/matter/dynamic-profile/view/1898523","19-1898523")</f>
        <v>0</v>
      </c>
      <c r="B203" t="s">
        <v>63</v>
      </c>
      <c r="C203" t="s">
        <v>93</v>
      </c>
      <c r="D203" t="s">
        <v>162</v>
      </c>
      <c r="F203" t="s">
        <v>418</v>
      </c>
      <c r="G203" t="s">
        <v>890</v>
      </c>
      <c r="H203" t="s">
        <v>1479</v>
      </c>
      <c r="I203" t="s">
        <v>1955</v>
      </c>
      <c r="J203" t="s">
        <v>2169</v>
      </c>
      <c r="K203" t="s">
        <v>2171</v>
      </c>
      <c r="L203">
        <v>10031</v>
      </c>
      <c r="M203" t="s">
        <v>2173</v>
      </c>
      <c r="N203" t="s">
        <v>2172</v>
      </c>
      <c r="P203" t="s">
        <v>2368</v>
      </c>
      <c r="Q203">
        <v>24</v>
      </c>
      <c r="R203" t="s">
        <v>2844</v>
      </c>
      <c r="S203" t="s">
        <v>2857</v>
      </c>
      <c r="U203" t="s">
        <v>2869</v>
      </c>
      <c r="V203" t="s">
        <v>2174</v>
      </c>
      <c r="W203" t="s">
        <v>2174</v>
      </c>
      <c r="Y203" t="s">
        <v>2876</v>
      </c>
      <c r="AA203" t="s">
        <v>162</v>
      </c>
      <c r="AB203">
        <v>0</v>
      </c>
      <c r="AC203">
        <v>601.98</v>
      </c>
      <c r="AD203">
        <v>0.9</v>
      </c>
      <c r="AE203" t="s">
        <v>2894</v>
      </c>
      <c r="AG203" t="s">
        <v>3100</v>
      </c>
      <c r="AH203" t="s">
        <v>3637</v>
      </c>
      <c r="AI203" t="s">
        <v>3964</v>
      </c>
      <c r="AJ203">
        <v>24</v>
      </c>
      <c r="AK203" t="s">
        <v>4458</v>
      </c>
      <c r="AL203">
        <v>1</v>
      </c>
      <c r="AM203">
        <v>0</v>
      </c>
      <c r="AN203">
        <v>76.29000000000001</v>
      </c>
      <c r="AS203" t="s">
        <v>4486</v>
      </c>
      <c r="AT203">
        <v>9528</v>
      </c>
      <c r="AX203" t="s">
        <v>4504</v>
      </c>
      <c r="BA203" t="s">
        <v>4590</v>
      </c>
      <c r="BD203" t="s">
        <v>126</v>
      </c>
      <c r="BE203" t="s">
        <v>4704</v>
      </c>
    </row>
    <row r="204" spans="1:57">
      <c r="A204" s="1">
        <f>HYPERLINK("https://lsnyc.legalserver.org/matter/dynamic-profile/view/1898561","19-1898561")</f>
        <v>0</v>
      </c>
      <c r="B204" t="s">
        <v>62</v>
      </c>
      <c r="C204" t="s">
        <v>93</v>
      </c>
      <c r="D204" t="s">
        <v>162</v>
      </c>
      <c r="F204" t="s">
        <v>419</v>
      </c>
      <c r="G204" t="s">
        <v>957</v>
      </c>
      <c r="H204" t="s">
        <v>1484</v>
      </c>
      <c r="I204" t="s">
        <v>1982</v>
      </c>
      <c r="J204" t="s">
        <v>2169</v>
      </c>
      <c r="K204" t="s">
        <v>2171</v>
      </c>
      <c r="L204">
        <v>10031</v>
      </c>
      <c r="M204" t="s">
        <v>2173</v>
      </c>
      <c r="N204" t="s">
        <v>2172</v>
      </c>
      <c r="O204" t="s">
        <v>2179</v>
      </c>
      <c r="P204" t="s">
        <v>2369</v>
      </c>
      <c r="Q204">
        <v>15</v>
      </c>
      <c r="R204" t="s">
        <v>2844</v>
      </c>
      <c r="S204" t="s">
        <v>2857</v>
      </c>
      <c r="U204" t="s">
        <v>2869</v>
      </c>
      <c r="V204" t="s">
        <v>2174</v>
      </c>
      <c r="W204" t="s">
        <v>2174</v>
      </c>
      <c r="Y204" t="s">
        <v>2876</v>
      </c>
      <c r="AA204" t="s">
        <v>162</v>
      </c>
      <c r="AB204">
        <v>0</v>
      </c>
      <c r="AC204">
        <v>1638</v>
      </c>
      <c r="AD204">
        <v>31.2</v>
      </c>
      <c r="AE204" t="s">
        <v>2894</v>
      </c>
      <c r="AG204" t="s">
        <v>3101</v>
      </c>
      <c r="AH204" t="s">
        <v>3638</v>
      </c>
      <c r="AI204" t="s">
        <v>3965</v>
      </c>
      <c r="AJ204">
        <v>0</v>
      </c>
      <c r="AK204" t="s">
        <v>4456</v>
      </c>
      <c r="AL204">
        <v>1</v>
      </c>
      <c r="AM204">
        <v>0</v>
      </c>
      <c r="AN204">
        <v>115.29</v>
      </c>
      <c r="AR204" t="s">
        <v>4477</v>
      </c>
      <c r="AS204" t="s">
        <v>4486</v>
      </c>
      <c r="AT204">
        <v>14400</v>
      </c>
      <c r="AX204" t="s">
        <v>4501</v>
      </c>
      <c r="BA204" t="s">
        <v>4548</v>
      </c>
      <c r="BD204" t="s">
        <v>197</v>
      </c>
      <c r="BE204" t="s">
        <v>4704</v>
      </c>
    </row>
    <row r="205" spans="1:57">
      <c r="A205" s="1">
        <f>HYPERLINK("https://lsnyc.legalserver.org/matter/dynamic-profile/view/1898624","19-1898624")</f>
        <v>0</v>
      </c>
      <c r="B205" t="s">
        <v>62</v>
      </c>
      <c r="C205" t="s">
        <v>93</v>
      </c>
      <c r="D205" t="s">
        <v>162</v>
      </c>
      <c r="F205" t="s">
        <v>420</v>
      </c>
      <c r="G205" t="s">
        <v>896</v>
      </c>
      <c r="H205" t="s">
        <v>1485</v>
      </c>
      <c r="I205" t="s">
        <v>1932</v>
      </c>
      <c r="J205" t="s">
        <v>2169</v>
      </c>
      <c r="K205" t="s">
        <v>2171</v>
      </c>
      <c r="L205">
        <v>10031</v>
      </c>
      <c r="M205" t="s">
        <v>2173</v>
      </c>
      <c r="N205" t="s">
        <v>2173</v>
      </c>
      <c r="P205" t="s">
        <v>2370</v>
      </c>
      <c r="Q205">
        <v>18</v>
      </c>
      <c r="R205" t="s">
        <v>2844</v>
      </c>
      <c r="S205" t="s">
        <v>2857</v>
      </c>
      <c r="U205" t="s">
        <v>2869</v>
      </c>
      <c r="V205" t="s">
        <v>2174</v>
      </c>
      <c r="W205" t="s">
        <v>2174</v>
      </c>
      <c r="Y205" t="s">
        <v>2876</v>
      </c>
      <c r="AA205" t="s">
        <v>162</v>
      </c>
      <c r="AB205">
        <v>0</v>
      </c>
      <c r="AC205">
        <v>1241.25</v>
      </c>
      <c r="AD205">
        <v>12.5</v>
      </c>
      <c r="AE205" t="s">
        <v>2894</v>
      </c>
      <c r="AG205" t="s">
        <v>3102</v>
      </c>
      <c r="AI205" t="s">
        <v>3966</v>
      </c>
      <c r="AJ205">
        <v>67</v>
      </c>
      <c r="AK205" t="s">
        <v>4456</v>
      </c>
      <c r="AL205">
        <v>1</v>
      </c>
      <c r="AM205">
        <v>0</v>
      </c>
      <c r="AN205">
        <v>201.76</v>
      </c>
      <c r="AO205" t="s">
        <v>224</v>
      </c>
      <c r="AP205" t="s">
        <v>4472</v>
      </c>
      <c r="AR205" t="s">
        <v>4477</v>
      </c>
      <c r="AS205" t="s">
        <v>4486</v>
      </c>
      <c r="AT205">
        <v>25200</v>
      </c>
      <c r="AX205" t="s">
        <v>4501</v>
      </c>
      <c r="BA205" t="s">
        <v>4552</v>
      </c>
      <c r="BD205" t="s">
        <v>116</v>
      </c>
      <c r="BE205" t="s">
        <v>4703</v>
      </c>
    </row>
    <row r="206" spans="1:57">
      <c r="A206" s="1">
        <f>HYPERLINK("https://lsnyc.legalserver.org/matter/dynamic-profile/view/1899209","19-1899209")</f>
        <v>0</v>
      </c>
      <c r="B206" t="s">
        <v>64</v>
      </c>
      <c r="C206" t="s">
        <v>93</v>
      </c>
      <c r="D206" t="s">
        <v>113</v>
      </c>
      <c r="F206" t="s">
        <v>421</v>
      </c>
      <c r="G206" t="s">
        <v>958</v>
      </c>
      <c r="H206" t="s">
        <v>1486</v>
      </c>
      <c r="I206" t="s">
        <v>2002</v>
      </c>
      <c r="J206" t="s">
        <v>2169</v>
      </c>
      <c r="K206" t="s">
        <v>2171</v>
      </c>
      <c r="L206">
        <v>10031</v>
      </c>
      <c r="M206" t="s">
        <v>2173</v>
      </c>
      <c r="N206" t="s">
        <v>2172</v>
      </c>
      <c r="O206" t="s">
        <v>2175</v>
      </c>
      <c r="P206" t="s">
        <v>2371</v>
      </c>
      <c r="Q206">
        <v>7</v>
      </c>
      <c r="R206" t="s">
        <v>2844</v>
      </c>
      <c r="S206" t="s">
        <v>2857</v>
      </c>
      <c r="U206" t="s">
        <v>2869</v>
      </c>
      <c r="V206" t="s">
        <v>2174</v>
      </c>
      <c r="W206" t="s">
        <v>2174</v>
      </c>
      <c r="Y206" t="s">
        <v>2876</v>
      </c>
      <c r="Z206" t="s">
        <v>2879</v>
      </c>
      <c r="AA206" t="s">
        <v>113</v>
      </c>
      <c r="AB206">
        <v>0</v>
      </c>
      <c r="AC206">
        <v>2500</v>
      </c>
      <c r="AD206">
        <v>27.1</v>
      </c>
      <c r="AE206" t="s">
        <v>2894</v>
      </c>
      <c r="AG206" t="s">
        <v>3103</v>
      </c>
      <c r="AI206" t="s">
        <v>3967</v>
      </c>
      <c r="AJ206">
        <v>6</v>
      </c>
      <c r="AK206" t="s">
        <v>4458</v>
      </c>
      <c r="AL206">
        <v>1</v>
      </c>
      <c r="AM206">
        <v>0</v>
      </c>
      <c r="AN206">
        <v>36.32</v>
      </c>
      <c r="AR206" t="s">
        <v>2176</v>
      </c>
      <c r="AS206" t="s">
        <v>4486</v>
      </c>
      <c r="AT206">
        <v>4536</v>
      </c>
      <c r="AX206" t="s">
        <v>4507</v>
      </c>
      <c r="BA206" t="s">
        <v>4591</v>
      </c>
      <c r="BD206" t="s">
        <v>217</v>
      </c>
      <c r="BE206" t="s">
        <v>4703</v>
      </c>
    </row>
    <row r="207" spans="1:57">
      <c r="A207" s="1">
        <f>HYPERLINK("https://lsnyc.legalserver.org/matter/dynamic-profile/view/1899235","19-1899235")</f>
        <v>0</v>
      </c>
      <c r="B207" t="s">
        <v>61</v>
      </c>
      <c r="C207" t="s">
        <v>92</v>
      </c>
      <c r="D207" t="s">
        <v>113</v>
      </c>
      <c r="E207" t="s">
        <v>97</v>
      </c>
      <c r="F207" t="s">
        <v>351</v>
      </c>
      <c r="G207" t="s">
        <v>897</v>
      </c>
      <c r="H207" t="s">
        <v>1419</v>
      </c>
      <c r="I207">
        <v>34</v>
      </c>
      <c r="J207" t="s">
        <v>2169</v>
      </c>
      <c r="K207" t="s">
        <v>2171</v>
      </c>
      <c r="L207">
        <v>10031</v>
      </c>
      <c r="M207" t="s">
        <v>2173</v>
      </c>
      <c r="N207" t="s">
        <v>2172</v>
      </c>
      <c r="O207" t="s">
        <v>2175</v>
      </c>
      <c r="P207" t="s">
        <v>2372</v>
      </c>
      <c r="Q207">
        <v>35</v>
      </c>
      <c r="R207" t="s">
        <v>2844</v>
      </c>
      <c r="S207" t="s">
        <v>2857</v>
      </c>
      <c r="T207" t="s">
        <v>2864</v>
      </c>
      <c r="U207" t="s">
        <v>2869</v>
      </c>
      <c r="V207" t="s">
        <v>2174</v>
      </c>
      <c r="W207" t="s">
        <v>2173</v>
      </c>
      <c r="Y207" t="s">
        <v>2876</v>
      </c>
      <c r="AA207" t="s">
        <v>113</v>
      </c>
      <c r="AB207">
        <v>0</v>
      </c>
      <c r="AC207">
        <v>922</v>
      </c>
      <c r="AD207">
        <v>50.7</v>
      </c>
      <c r="AE207" t="s">
        <v>2894</v>
      </c>
      <c r="AF207" t="s">
        <v>2898</v>
      </c>
      <c r="AG207" t="s">
        <v>3026</v>
      </c>
      <c r="AI207" t="s">
        <v>3890</v>
      </c>
      <c r="AJ207">
        <v>39</v>
      </c>
      <c r="AK207" t="s">
        <v>4458</v>
      </c>
      <c r="AL207">
        <v>4</v>
      </c>
      <c r="AM207">
        <v>1</v>
      </c>
      <c r="AN207">
        <v>99.98999999999999</v>
      </c>
      <c r="AS207" t="s">
        <v>4487</v>
      </c>
      <c r="AT207">
        <v>30168</v>
      </c>
      <c r="AX207" t="s">
        <v>4507</v>
      </c>
      <c r="BA207" t="s">
        <v>4592</v>
      </c>
      <c r="BD207" t="s">
        <v>199</v>
      </c>
      <c r="BE207" t="s">
        <v>4703</v>
      </c>
    </row>
    <row r="208" spans="1:57">
      <c r="A208" s="1">
        <f>HYPERLINK("https://lsnyc.legalserver.org/matter/dynamic-profile/view/1900946","19-1900946")</f>
        <v>0</v>
      </c>
      <c r="B208" t="s">
        <v>57</v>
      </c>
      <c r="C208" t="s">
        <v>93</v>
      </c>
      <c r="D208" t="s">
        <v>146</v>
      </c>
      <c r="F208" t="s">
        <v>422</v>
      </c>
      <c r="G208" t="s">
        <v>959</v>
      </c>
      <c r="H208" t="s">
        <v>1487</v>
      </c>
      <c r="I208" t="s">
        <v>1950</v>
      </c>
      <c r="J208" t="s">
        <v>2169</v>
      </c>
      <c r="K208" t="s">
        <v>2171</v>
      </c>
      <c r="L208">
        <v>10031</v>
      </c>
      <c r="M208" t="s">
        <v>2173</v>
      </c>
      <c r="N208" t="s">
        <v>2172</v>
      </c>
      <c r="O208" t="s">
        <v>2179</v>
      </c>
      <c r="P208" t="s">
        <v>2373</v>
      </c>
      <c r="Q208">
        <v>3</v>
      </c>
      <c r="R208" t="s">
        <v>2844</v>
      </c>
      <c r="S208" t="s">
        <v>2856</v>
      </c>
      <c r="U208" t="s">
        <v>2868</v>
      </c>
      <c r="V208" t="s">
        <v>2174</v>
      </c>
      <c r="W208" t="s">
        <v>2174</v>
      </c>
      <c r="Y208" t="s">
        <v>2876</v>
      </c>
      <c r="Z208" t="s">
        <v>2879</v>
      </c>
      <c r="AA208" t="s">
        <v>146</v>
      </c>
      <c r="AB208">
        <v>0</v>
      </c>
      <c r="AC208">
        <v>2500</v>
      </c>
      <c r="AD208">
        <v>2.5</v>
      </c>
      <c r="AE208" t="s">
        <v>2894</v>
      </c>
      <c r="AG208" t="s">
        <v>3104</v>
      </c>
      <c r="AI208" t="s">
        <v>3968</v>
      </c>
      <c r="AJ208">
        <v>63</v>
      </c>
      <c r="AK208" t="s">
        <v>4456</v>
      </c>
      <c r="AL208">
        <v>3</v>
      </c>
      <c r="AM208">
        <v>1</v>
      </c>
      <c r="AN208">
        <v>355.81</v>
      </c>
      <c r="AR208" t="s">
        <v>4476</v>
      </c>
      <c r="AS208" t="s">
        <v>4486</v>
      </c>
      <c r="AT208">
        <v>91619.96000000001</v>
      </c>
      <c r="AX208" t="s">
        <v>4504</v>
      </c>
      <c r="BA208" t="s">
        <v>4593</v>
      </c>
      <c r="BD208" t="s">
        <v>96</v>
      </c>
      <c r="BE208" t="s">
        <v>4703</v>
      </c>
    </row>
    <row r="209" spans="1:57">
      <c r="A209" s="1">
        <f>HYPERLINK("https://lsnyc.legalserver.org/matter/dynamic-profile/view/1901583","19-1901583")</f>
        <v>0</v>
      </c>
      <c r="B209" t="s">
        <v>72</v>
      </c>
      <c r="C209" t="s">
        <v>92</v>
      </c>
      <c r="D209" t="s">
        <v>147</v>
      </c>
      <c r="E209" t="s">
        <v>218</v>
      </c>
      <c r="F209" t="s">
        <v>329</v>
      </c>
      <c r="G209" t="s">
        <v>960</v>
      </c>
      <c r="H209" t="s">
        <v>1488</v>
      </c>
      <c r="I209">
        <v>24</v>
      </c>
      <c r="J209" t="s">
        <v>2169</v>
      </c>
      <c r="K209" t="s">
        <v>2171</v>
      </c>
      <c r="L209">
        <v>10031</v>
      </c>
      <c r="M209" t="s">
        <v>2173</v>
      </c>
      <c r="N209" t="s">
        <v>2172</v>
      </c>
      <c r="O209" t="s">
        <v>2175</v>
      </c>
      <c r="P209" t="s">
        <v>2374</v>
      </c>
      <c r="Q209">
        <v>0</v>
      </c>
      <c r="R209" t="s">
        <v>2844</v>
      </c>
      <c r="S209" t="s">
        <v>2856</v>
      </c>
      <c r="T209" t="s">
        <v>2863</v>
      </c>
      <c r="U209" t="s">
        <v>2869</v>
      </c>
      <c r="V209" t="s">
        <v>2174</v>
      </c>
      <c r="W209" t="s">
        <v>2174</v>
      </c>
      <c r="Y209" t="s">
        <v>2876</v>
      </c>
      <c r="AA209" t="s">
        <v>231</v>
      </c>
      <c r="AB209">
        <v>0</v>
      </c>
      <c r="AC209">
        <v>0</v>
      </c>
      <c r="AD209">
        <v>0.75</v>
      </c>
      <c r="AE209" t="s">
        <v>2894</v>
      </c>
      <c r="AF209" t="s">
        <v>2896</v>
      </c>
      <c r="AG209" t="s">
        <v>3105</v>
      </c>
      <c r="AI209" t="s">
        <v>3969</v>
      </c>
      <c r="AJ209">
        <v>35</v>
      </c>
      <c r="AK209" t="s">
        <v>4464</v>
      </c>
      <c r="AL209">
        <v>1</v>
      </c>
      <c r="AM209">
        <v>0</v>
      </c>
      <c r="AN209">
        <v>151</v>
      </c>
      <c r="AR209" t="s">
        <v>4476</v>
      </c>
      <c r="AS209" t="s">
        <v>4486</v>
      </c>
      <c r="AT209">
        <v>18860</v>
      </c>
      <c r="AX209" t="s">
        <v>4505</v>
      </c>
      <c r="BA209" t="s">
        <v>4531</v>
      </c>
      <c r="BD209" t="s">
        <v>4683</v>
      </c>
      <c r="BE209" t="s">
        <v>4703</v>
      </c>
    </row>
    <row r="210" spans="1:57">
      <c r="A210" s="1">
        <f>HYPERLINK("https://lsnyc.legalserver.org/matter/dynamic-profile/view/1901699","19-1901699")</f>
        <v>0</v>
      </c>
      <c r="B210" t="s">
        <v>73</v>
      </c>
      <c r="C210" t="s">
        <v>93</v>
      </c>
      <c r="D210" t="s">
        <v>147</v>
      </c>
      <c r="F210" t="s">
        <v>423</v>
      </c>
      <c r="G210" t="s">
        <v>417</v>
      </c>
      <c r="H210" t="s">
        <v>1489</v>
      </c>
      <c r="I210" t="s">
        <v>1920</v>
      </c>
      <c r="J210" t="s">
        <v>2169</v>
      </c>
      <c r="K210" t="s">
        <v>2171</v>
      </c>
      <c r="L210">
        <v>10031</v>
      </c>
      <c r="M210" t="s">
        <v>2173</v>
      </c>
      <c r="N210" t="s">
        <v>2172</v>
      </c>
      <c r="O210" t="s">
        <v>2175</v>
      </c>
      <c r="P210" t="s">
        <v>2375</v>
      </c>
      <c r="Q210">
        <v>-3</v>
      </c>
      <c r="R210" t="s">
        <v>2844</v>
      </c>
      <c r="S210" t="s">
        <v>2857</v>
      </c>
      <c r="U210" t="s">
        <v>2869</v>
      </c>
      <c r="V210" t="s">
        <v>2174</v>
      </c>
      <c r="W210" t="s">
        <v>2174</v>
      </c>
      <c r="Y210" t="s">
        <v>2876</v>
      </c>
      <c r="Z210" t="s">
        <v>2879</v>
      </c>
      <c r="AA210" t="s">
        <v>147</v>
      </c>
      <c r="AB210">
        <v>0</v>
      </c>
      <c r="AC210">
        <v>885</v>
      </c>
      <c r="AD210">
        <v>13.85</v>
      </c>
      <c r="AE210" t="s">
        <v>2894</v>
      </c>
      <c r="AG210" t="s">
        <v>3106</v>
      </c>
      <c r="AH210" t="s">
        <v>3639</v>
      </c>
      <c r="AI210" t="s">
        <v>3970</v>
      </c>
      <c r="AJ210">
        <v>81</v>
      </c>
      <c r="AK210" t="s">
        <v>4456</v>
      </c>
      <c r="AL210">
        <v>1</v>
      </c>
      <c r="AM210">
        <v>0</v>
      </c>
      <c r="AN210">
        <v>18.06</v>
      </c>
      <c r="AR210" t="s">
        <v>4476</v>
      </c>
      <c r="AS210" t="s">
        <v>4486</v>
      </c>
      <c r="AT210">
        <v>2256</v>
      </c>
      <c r="AX210" t="s">
        <v>4501</v>
      </c>
      <c r="BA210" t="s">
        <v>4535</v>
      </c>
      <c r="BD210" t="s">
        <v>118</v>
      </c>
      <c r="BE210" t="s">
        <v>4704</v>
      </c>
    </row>
    <row r="211" spans="1:57">
      <c r="A211" s="1">
        <f>HYPERLINK("https://lsnyc.legalserver.org/matter/dynamic-profile/view/1902144","19-1902144")</f>
        <v>0</v>
      </c>
      <c r="B211" t="s">
        <v>68</v>
      </c>
      <c r="C211" t="s">
        <v>92</v>
      </c>
      <c r="D211" t="s">
        <v>136</v>
      </c>
      <c r="E211" t="s">
        <v>197</v>
      </c>
      <c r="F211" t="s">
        <v>424</v>
      </c>
      <c r="G211" t="s">
        <v>609</v>
      </c>
      <c r="H211" t="s">
        <v>1490</v>
      </c>
      <c r="I211" t="s">
        <v>1937</v>
      </c>
      <c r="J211" t="s">
        <v>2169</v>
      </c>
      <c r="K211" t="s">
        <v>2171</v>
      </c>
      <c r="L211">
        <v>10031</v>
      </c>
      <c r="M211" t="s">
        <v>2173</v>
      </c>
      <c r="N211" t="s">
        <v>2172</v>
      </c>
      <c r="O211" t="s">
        <v>2179</v>
      </c>
      <c r="P211" t="s">
        <v>2376</v>
      </c>
      <c r="Q211">
        <v>10</v>
      </c>
      <c r="R211" t="s">
        <v>2844</v>
      </c>
      <c r="S211" t="s">
        <v>2856</v>
      </c>
      <c r="T211" t="s">
        <v>2863</v>
      </c>
      <c r="U211" t="s">
        <v>2868</v>
      </c>
      <c r="V211" t="s">
        <v>2174</v>
      </c>
      <c r="W211" t="s">
        <v>2174</v>
      </c>
      <c r="Y211" t="s">
        <v>2876</v>
      </c>
      <c r="AA211" t="s">
        <v>136</v>
      </c>
      <c r="AB211">
        <v>0</v>
      </c>
      <c r="AC211">
        <v>862</v>
      </c>
      <c r="AD211">
        <v>0.5</v>
      </c>
      <c r="AE211" t="s">
        <v>2894</v>
      </c>
      <c r="AF211" t="s">
        <v>2896</v>
      </c>
      <c r="AG211" t="s">
        <v>3107</v>
      </c>
      <c r="AI211" t="s">
        <v>3971</v>
      </c>
      <c r="AJ211">
        <v>17</v>
      </c>
      <c r="AK211" t="s">
        <v>4458</v>
      </c>
      <c r="AL211">
        <v>3</v>
      </c>
      <c r="AM211">
        <v>1</v>
      </c>
      <c r="AN211">
        <v>274.95</v>
      </c>
      <c r="AR211" t="s">
        <v>4476</v>
      </c>
      <c r="AS211" t="s">
        <v>4486</v>
      </c>
      <c r="AT211">
        <v>70800</v>
      </c>
      <c r="AX211" t="s">
        <v>4501</v>
      </c>
      <c r="BA211" t="s">
        <v>4543</v>
      </c>
      <c r="BD211" t="s">
        <v>136</v>
      </c>
      <c r="BE211" t="s">
        <v>4703</v>
      </c>
    </row>
    <row r="212" spans="1:57">
      <c r="A212" s="1">
        <f>HYPERLINK("https://lsnyc.legalserver.org/matter/dynamic-profile/view/1902171","19-1902171")</f>
        <v>0</v>
      </c>
      <c r="B212" t="s">
        <v>66</v>
      </c>
      <c r="C212" t="s">
        <v>93</v>
      </c>
      <c r="D212" t="s">
        <v>136</v>
      </c>
      <c r="F212" t="s">
        <v>425</v>
      </c>
      <c r="G212" t="s">
        <v>949</v>
      </c>
      <c r="H212" t="s">
        <v>1491</v>
      </c>
      <c r="I212" t="s">
        <v>1924</v>
      </c>
      <c r="J212" t="s">
        <v>2169</v>
      </c>
      <c r="K212" t="s">
        <v>2171</v>
      </c>
      <c r="L212">
        <v>10031</v>
      </c>
      <c r="M212" t="s">
        <v>2173</v>
      </c>
      <c r="N212" t="s">
        <v>2172</v>
      </c>
      <c r="O212" t="s">
        <v>2179</v>
      </c>
      <c r="P212" t="s">
        <v>2377</v>
      </c>
      <c r="Q212">
        <v>21</v>
      </c>
      <c r="R212" t="s">
        <v>2844</v>
      </c>
      <c r="S212" t="s">
        <v>2857</v>
      </c>
      <c r="U212" t="s">
        <v>2869</v>
      </c>
      <c r="V212" t="s">
        <v>2174</v>
      </c>
      <c r="W212" t="s">
        <v>2174</v>
      </c>
      <c r="Y212" t="s">
        <v>2876</v>
      </c>
      <c r="AA212" t="s">
        <v>136</v>
      </c>
      <c r="AB212">
        <v>0</v>
      </c>
      <c r="AC212">
        <v>1052</v>
      </c>
      <c r="AD212">
        <v>15</v>
      </c>
      <c r="AE212" t="s">
        <v>2894</v>
      </c>
      <c r="AG212" t="s">
        <v>3108</v>
      </c>
      <c r="AI212" t="s">
        <v>3972</v>
      </c>
      <c r="AJ212">
        <v>0</v>
      </c>
      <c r="AK212" t="s">
        <v>4456</v>
      </c>
      <c r="AL212">
        <v>3</v>
      </c>
      <c r="AM212">
        <v>1</v>
      </c>
      <c r="AN212">
        <v>74.56</v>
      </c>
      <c r="AR212" t="s">
        <v>4481</v>
      </c>
      <c r="AS212" t="s">
        <v>4487</v>
      </c>
      <c r="AT212">
        <v>19200</v>
      </c>
      <c r="AX212" t="s">
        <v>4501</v>
      </c>
      <c r="BA212" t="s">
        <v>4537</v>
      </c>
      <c r="BD212" t="s">
        <v>117</v>
      </c>
      <c r="BE212" t="s">
        <v>4703</v>
      </c>
    </row>
    <row r="213" spans="1:57">
      <c r="A213" s="1">
        <f>HYPERLINK("https://lsnyc.legalserver.org/matter/dynamic-profile/view/1902240","19-1902240")</f>
        <v>0</v>
      </c>
      <c r="B213" t="s">
        <v>67</v>
      </c>
      <c r="C213" t="s">
        <v>93</v>
      </c>
      <c r="D213" t="s">
        <v>136</v>
      </c>
      <c r="F213" t="s">
        <v>426</v>
      </c>
      <c r="G213" t="s">
        <v>889</v>
      </c>
      <c r="H213" t="s">
        <v>1492</v>
      </c>
      <c r="I213" t="s">
        <v>2003</v>
      </c>
      <c r="J213" t="s">
        <v>2169</v>
      </c>
      <c r="K213" t="s">
        <v>2171</v>
      </c>
      <c r="L213">
        <v>10031</v>
      </c>
      <c r="M213" t="s">
        <v>2173</v>
      </c>
      <c r="N213" t="s">
        <v>2172</v>
      </c>
      <c r="O213" t="s">
        <v>2175</v>
      </c>
      <c r="P213" t="s">
        <v>2378</v>
      </c>
      <c r="Q213">
        <v>10</v>
      </c>
      <c r="R213" t="s">
        <v>2844</v>
      </c>
      <c r="S213" t="s">
        <v>2857</v>
      </c>
      <c r="U213" t="s">
        <v>2869</v>
      </c>
      <c r="V213" t="s">
        <v>2174</v>
      </c>
      <c r="W213" t="s">
        <v>2174</v>
      </c>
      <c r="Y213" t="s">
        <v>2876</v>
      </c>
      <c r="Z213" t="s">
        <v>2880</v>
      </c>
      <c r="AA213" t="s">
        <v>136</v>
      </c>
      <c r="AB213">
        <v>0</v>
      </c>
      <c r="AC213">
        <v>1051.47</v>
      </c>
      <c r="AD213">
        <v>2.9</v>
      </c>
      <c r="AE213" t="s">
        <v>2894</v>
      </c>
      <c r="AG213" t="s">
        <v>3109</v>
      </c>
      <c r="AH213" t="s">
        <v>3640</v>
      </c>
      <c r="AI213" t="s">
        <v>3973</v>
      </c>
      <c r="AJ213">
        <v>86</v>
      </c>
      <c r="AK213" t="s">
        <v>4456</v>
      </c>
      <c r="AL213">
        <v>3</v>
      </c>
      <c r="AM213">
        <v>5</v>
      </c>
      <c r="AN213">
        <v>35.5</v>
      </c>
      <c r="AR213" t="s">
        <v>4480</v>
      </c>
      <c r="AS213" t="s">
        <v>4487</v>
      </c>
      <c r="AT213">
        <v>15416</v>
      </c>
      <c r="AX213" t="s">
        <v>67</v>
      </c>
      <c r="BA213" t="s">
        <v>4565</v>
      </c>
      <c r="BD213" t="s">
        <v>233</v>
      </c>
      <c r="BE213" t="s">
        <v>4704</v>
      </c>
    </row>
    <row r="214" spans="1:57">
      <c r="A214" s="1">
        <f>HYPERLINK("https://lsnyc.legalserver.org/matter/dynamic-profile/view/1903097","19-1903097")</f>
        <v>0</v>
      </c>
      <c r="B214" t="s">
        <v>67</v>
      </c>
      <c r="C214" t="s">
        <v>92</v>
      </c>
      <c r="D214" t="s">
        <v>163</v>
      </c>
      <c r="E214" t="s">
        <v>184</v>
      </c>
      <c r="F214" t="s">
        <v>427</v>
      </c>
      <c r="G214" t="s">
        <v>961</v>
      </c>
      <c r="H214" t="s">
        <v>1493</v>
      </c>
      <c r="I214" t="s">
        <v>1950</v>
      </c>
      <c r="J214" t="s">
        <v>2169</v>
      </c>
      <c r="K214" t="s">
        <v>2171</v>
      </c>
      <c r="L214">
        <v>10031</v>
      </c>
      <c r="M214" t="s">
        <v>2173</v>
      </c>
      <c r="N214" t="s">
        <v>2172</v>
      </c>
      <c r="O214" t="s">
        <v>2175</v>
      </c>
      <c r="P214" t="s">
        <v>2379</v>
      </c>
      <c r="Q214">
        <v>3</v>
      </c>
      <c r="R214" t="s">
        <v>2844</v>
      </c>
      <c r="S214" t="s">
        <v>2856</v>
      </c>
      <c r="T214" t="s">
        <v>2863</v>
      </c>
      <c r="U214" t="s">
        <v>2869</v>
      </c>
      <c r="V214" t="s">
        <v>2174</v>
      </c>
      <c r="W214" t="s">
        <v>2174</v>
      </c>
      <c r="Y214" t="s">
        <v>2876</v>
      </c>
      <c r="Z214" t="s">
        <v>2879</v>
      </c>
      <c r="AA214" t="s">
        <v>163</v>
      </c>
      <c r="AB214">
        <v>0</v>
      </c>
      <c r="AC214">
        <v>1909</v>
      </c>
      <c r="AD214">
        <v>0.5</v>
      </c>
      <c r="AE214" t="s">
        <v>2894</v>
      </c>
      <c r="AF214" t="s">
        <v>2896</v>
      </c>
      <c r="AG214" t="s">
        <v>3110</v>
      </c>
      <c r="AI214" t="s">
        <v>3974</v>
      </c>
      <c r="AJ214">
        <v>12</v>
      </c>
      <c r="AK214" t="s">
        <v>4456</v>
      </c>
      <c r="AL214">
        <v>1</v>
      </c>
      <c r="AM214">
        <v>0</v>
      </c>
      <c r="AN214">
        <v>288.23</v>
      </c>
      <c r="AR214" t="s">
        <v>4476</v>
      </c>
      <c r="AS214" t="s">
        <v>4486</v>
      </c>
      <c r="AT214">
        <v>36000</v>
      </c>
      <c r="AX214" t="s">
        <v>4505</v>
      </c>
      <c r="BA214" t="s">
        <v>4546</v>
      </c>
      <c r="BD214" t="s">
        <v>163</v>
      </c>
      <c r="BE214" t="s">
        <v>4703</v>
      </c>
    </row>
    <row r="215" spans="1:57">
      <c r="A215" s="1">
        <f>HYPERLINK("https://lsnyc.legalserver.org/matter/dynamic-profile/view/1903114","19-1903114")</f>
        <v>0</v>
      </c>
      <c r="B215" t="s">
        <v>67</v>
      </c>
      <c r="C215" t="s">
        <v>93</v>
      </c>
      <c r="D215" t="s">
        <v>163</v>
      </c>
      <c r="F215" t="s">
        <v>334</v>
      </c>
      <c r="G215" t="s">
        <v>962</v>
      </c>
      <c r="H215" t="s">
        <v>1494</v>
      </c>
      <c r="I215" t="s">
        <v>1943</v>
      </c>
      <c r="J215" t="s">
        <v>2169</v>
      </c>
      <c r="K215" t="s">
        <v>2171</v>
      </c>
      <c r="L215">
        <v>10031</v>
      </c>
      <c r="M215" t="s">
        <v>2173</v>
      </c>
      <c r="N215" t="s">
        <v>2172</v>
      </c>
      <c r="O215" t="s">
        <v>2179</v>
      </c>
      <c r="P215" t="s">
        <v>2380</v>
      </c>
      <c r="Q215">
        <v>37</v>
      </c>
      <c r="R215" t="s">
        <v>2844</v>
      </c>
      <c r="S215" t="s">
        <v>2857</v>
      </c>
      <c r="U215" t="s">
        <v>2869</v>
      </c>
      <c r="V215" t="s">
        <v>2174</v>
      </c>
      <c r="W215" t="s">
        <v>2174</v>
      </c>
      <c r="Y215" t="s">
        <v>2876</v>
      </c>
      <c r="Z215" t="s">
        <v>2879</v>
      </c>
      <c r="AA215" t="s">
        <v>163</v>
      </c>
      <c r="AB215">
        <v>0</v>
      </c>
      <c r="AC215">
        <v>969</v>
      </c>
      <c r="AD215">
        <v>4.25</v>
      </c>
      <c r="AE215" t="s">
        <v>2894</v>
      </c>
      <c r="AG215" t="s">
        <v>3111</v>
      </c>
      <c r="AI215" t="s">
        <v>3975</v>
      </c>
      <c r="AJ215">
        <v>0</v>
      </c>
      <c r="AK215" t="s">
        <v>4466</v>
      </c>
      <c r="AL215">
        <v>2</v>
      </c>
      <c r="AM215">
        <v>2</v>
      </c>
      <c r="AN215">
        <v>97.44</v>
      </c>
      <c r="AR215" t="s">
        <v>4478</v>
      </c>
      <c r="AS215" t="s">
        <v>4487</v>
      </c>
      <c r="AT215">
        <v>25092</v>
      </c>
      <c r="AX215" t="s">
        <v>4508</v>
      </c>
      <c r="BA215" t="s">
        <v>4594</v>
      </c>
      <c r="BD215" t="s">
        <v>166</v>
      </c>
      <c r="BE215" t="s">
        <v>4703</v>
      </c>
    </row>
    <row r="216" spans="1:57">
      <c r="A216" s="1">
        <f>HYPERLINK("https://lsnyc.legalserver.org/matter/dynamic-profile/view/1903129","19-1903129")</f>
        <v>0</v>
      </c>
      <c r="B216" t="s">
        <v>73</v>
      </c>
      <c r="C216" t="s">
        <v>93</v>
      </c>
      <c r="D216" t="s">
        <v>163</v>
      </c>
      <c r="F216" t="s">
        <v>428</v>
      </c>
      <c r="G216" t="s">
        <v>874</v>
      </c>
      <c r="H216" t="s">
        <v>1495</v>
      </c>
      <c r="I216">
        <v>20</v>
      </c>
      <c r="J216" t="s">
        <v>2169</v>
      </c>
      <c r="K216" t="s">
        <v>2171</v>
      </c>
      <c r="L216">
        <v>10031</v>
      </c>
      <c r="M216" t="s">
        <v>2173</v>
      </c>
      <c r="N216" t="s">
        <v>2172</v>
      </c>
      <c r="P216" t="s">
        <v>2381</v>
      </c>
      <c r="Q216">
        <v>33</v>
      </c>
      <c r="R216" t="s">
        <v>2844</v>
      </c>
      <c r="S216" t="s">
        <v>2857</v>
      </c>
      <c r="U216" t="s">
        <v>2869</v>
      </c>
      <c r="V216" t="s">
        <v>2174</v>
      </c>
      <c r="W216" t="s">
        <v>2174</v>
      </c>
      <c r="Y216" t="s">
        <v>2876</v>
      </c>
      <c r="Z216" t="s">
        <v>2879</v>
      </c>
      <c r="AA216" t="s">
        <v>163</v>
      </c>
      <c r="AB216">
        <v>0</v>
      </c>
      <c r="AC216">
        <v>481.82</v>
      </c>
      <c r="AD216">
        <v>14.75</v>
      </c>
      <c r="AE216" t="s">
        <v>2894</v>
      </c>
      <c r="AG216" t="s">
        <v>3112</v>
      </c>
      <c r="AI216" t="s">
        <v>3976</v>
      </c>
      <c r="AJ216">
        <v>21</v>
      </c>
      <c r="AL216">
        <v>3</v>
      </c>
      <c r="AM216">
        <v>0</v>
      </c>
      <c r="AN216">
        <v>15.81</v>
      </c>
      <c r="AR216" t="s">
        <v>4477</v>
      </c>
      <c r="AS216" t="s">
        <v>4487</v>
      </c>
      <c r="AT216">
        <v>3372</v>
      </c>
      <c r="AX216" t="s">
        <v>4508</v>
      </c>
      <c r="BA216" t="s">
        <v>4538</v>
      </c>
      <c r="BD216" t="s">
        <v>4678</v>
      </c>
      <c r="BE216" t="s">
        <v>4703</v>
      </c>
    </row>
    <row r="217" spans="1:57">
      <c r="A217" s="1">
        <f>HYPERLINK("https://lsnyc.legalserver.org/matter/dynamic-profile/view/1903956","19-1903956")</f>
        <v>0</v>
      </c>
      <c r="B217" t="s">
        <v>62</v>
      </c>
      <c r="C217" t="s">
        <v>93</v>
      </c>
      <c r="D217" t="s">
        <v>164</v>
      </c>
      <c r="F217" t="s">
        <v>429</v>
      </c>
      <c r="G217" t="s">
        <v>963</v>
      </c>
      <c r="H217" t="s">
        <v>1496</v>
      </c>
      <c r="I217" t="s">
        <v>2004</v>
      </c>
      <c r="J217" t="s">
        <v>2169</v>
      </c>
      <c r="K217" t="s">
        <v>2171</v>
      </c>
      <c r="L217">
        <v>10031</v>
      </c>
      <c r="M217" t="s">
        <v>2173</v>
      </c>
      <c r="N217" t="s">
        <v>2172</v>
      </c>
      <c r="O217" t="s">
        <v>2179</v>
      </c>
      <c r="P217" t="s">
        <v>2382</v>
      </c>
      <c r="Q217">
        <v>3</v>
      </c>
      <c r="R217" t="s">
        <v>2844</v>
      </c>
      <c r="S217" t="s">
        <v>2857</v>
      </c>
      <c r="U217" t="s">
        <v>2869</v>
      </c>
      <c r="V217" t="s">
        <v>2174</v>
      </c>
      <c r="W217" t="s">
        <v>2174</v>
      </c>
      <c r="Y217" t="s">
        <v>2876</v>
      </c>
      <c r="Z217" t="s">
        <v>2879</v>
      </c>
      <c r="AA217" t="s">
        <v>164</v>
      </c>
      <c r="AB217">
        <v>0</v>
      </c>
      <c r="AC217">
        <v>1189</v>
      </c>
      <c r="AD217">
        <v>10.25</v>
      </c>
      <c r="AE217" t="s">
        <v>2894</v>
      </c>
      <c r="AG217" t="s">
        <v>3113</v>
      </c>
      <c r="AI217" t="s">
        <v>3977</v>
      </c>
      <c r="AJ217">
        <v>11</v>
      </c>
      <c r="AK217" t="s">
        <v>4456</v>
      </c>
      <c r="AL217">
        <v>1</v>
      </c>
      <c r="AM217">
        <v>4</v>
      </c>
      <c r="AN217">
        <v>154.17</v>
      </c>
      <c r="AR217" t="s">
        <v>4478</v>
      </c>
      <c r="AS217" t="s">
        <v>4486</v>
      </c>
      <c r="AT217">
        <v>46514</v>
      </c>
      <c r="AX217" t="s">
        <v>4504</v>
      </c>
      <c r="BA217" t="s">
        <v>4546</v>
      </c>
      <c r="BD217" t="s">
        <v>210</v>
      </c>
      <c r="BE217" t="s">
        <v>4703</v>
      </c>
    </row>
    <row r="218" spans="1:57">
      <c r="A218" s="1">
        <f>HYPERLINK("https://lsnyc.legalserver.org/matter/dynamic-profile/view/1904389","19-1904389")</f>
        <v>0</v>
      </c>
      <c r="B218" t="s">
        <v>71</v>
      </c>
      <c r="C218" t="s">
        <v>93</v>
      </c>
      <c r="D218" t="s">
        <v>155</v>
      </c>
      <c r="F218" t="s">
        <v>430</v>
      </c>
      <c r="G218" t="s">
        <v>964</v>
      </c>
      <c r="H218" t="s">
        <v>1497</v>
      </c>
      <c r="I218" t="s">
        <v>1912</v>
      </c>
      <c r="J218" t="s">
        <v>2169</v>
      </c>
      <c r="K218" t="s">
        <v>2171</v>
      </c>
      <c r="L218">
        <v>10031</v>
      </c>
      <c r="M218" t="s">
        <v>2173</v>
      </c>
      <c r="N218" t="s">
        <v>2172</v>
      </c>
      <c r="O218" t="s">
        <v>2175</v>
      </c>
      <c r="P218" t="s">
        <v>2383</v>
      </c>
      <c r="Q218">
        <v>13</v>
      </c>
      <c r="R218" t="s">
        <v>2844</v>
      </c>
      <c r="S218" t="s">
        <v>2857</v>
      </c>
      <c r="U218" t="s">
        <v>2869</v>
      </c>
      <c r="V218" t="s">
        <v>2174</v>
      </c>
      <c r="W218" t="s">
        <v>2174</v>
      </c>
      <c r="Y218" t="s">
        <v>2876</v>
      </c>
      <c r="Z218" t="s">
        <v>2879</v>
      </c>
      <c r="AA218" t="s">
        <v>155</v>
      </c>
      <c r="AB218">
        <v>0</v>
      </c>
      <c r="AC218">
        <v>306</v>
      </c>
      <c r="AD218">
        <v>18.3</v>
      </c>
      <c r="AE218" t="s">
        <v>2894</v>
      </c>
      <c r="AG218" t="s">
        <v>3114</v>
      </c>
      <c r="AH218" t="s">
        <v>3641</v>
      </c>
      <c r="AI218" t="s">
        <v>3978</v>
      </c>
      <c r="AJ218">
        <v>0</v>
      </c>
      <c r="AK218" t="s">
        <v>4466</v>
      </c>
      <c r="AL218">
        <v>1</v>
      </c>
      <c r="AM218">
        <v>1</v>
      </c>
      <c r="AN218">
        <v>67.36</v>
      </c>
      <c r="AR218" t="s">
        <v>4478</v>
      </c>
      <c r="AS218" t="s">
        <v>4486</v>
      </c>
      <c r="AT218">
        <v>11391</v>
      </c>
      <c r="AX218" t="s">
        <v>4504</v>
      </c>
      <c r="BA218" t="s">
        <v>4595</v>
      </c>
      <c r="BD218" t="s">
        <v>96</v>
      </c>
      <c r="BE218" t="s">
        <v>4704</v>
      </c>
    </row>
    <row r="219" spans="1:57">
      <c r="A219" s="1">
        <f>HYPERLINK("https://lsnyc.legalserver.org/matter/dynamic-profile/view/1904402","19-1904402")</f>
        <v>0</v>
      </c>
      <c r="B219" t="s">
        <v>61</v>
      </c>
      <c r="C219" t="s">
        <v>92</v>
      </c>
      <c r="D219" t="s">
        <v>155</v>
      </c>
      <c r="E219" t="s">
        <v>131</v>
      </c>
      <c r="F219" t="s">
        <v>431</v>
      </c>
      <c r="G219" t="s">
        <v>965</v>
      </c>
      <c r="H219" t="s">
        <v>1498</v>
      </c>
      <c r="I219" t="s">
        <v>1922</v>
      </c>
      <c r="J219" t="s">
        <v>2169</v>
      </c>
      <c r="K219" t="s">
        <v>2171</v>
      </c>
      <c r="L219">
        <v>10031</v>
      </c>
      <c r="M219" t="s">
        <v>2173</v>
      </c>
      <c r="N219" t="s">
        <v>2172</v>
      </c>
      <c r="O219" t="s">
        <v>2179</v>
      </c>
      <c r="P219" t="s">
        <v>2384</v>
      </c>
      <c r="Q219">
        <v>15</v>
      </c>
      <c r="R219" t="s">
        <v>2844</v>
      </c>
      <c r="S219" t="s">
        <v>2856</v>
      </c>
      <c r="T219" t="s">
        <v>2863</v>
      </c>
      <c r="U219" t="s">
        <v>2869</v>
      </c>
      <c r="V219" t="s">
        <v>2174</v>
      </c>
      <c r="W219" t="s">
        <v>2174</v>
      </c>
      <c r="Y219" t="s">
        <v>2877</v>
      </c>
      <c r="Z219" t="s">
        <v>2879</v>
      </c>
      <c r="AA219" t="s">
        <v>155</v>
      </c>
      <c r="AB219">
        <v>0</v>
      </c>
      <c r="AC219">
        <v>538</v>
      </c>
      <c r="AD219">
        <v>0.8</v>
      </c>
      <c r="AE219" t="s">
        <v>2894</v>
      </c>
      <c r="AF219" t="s">
        <v>2896</v>
      </c>
      <c r="AG219" t="s">
        <v>3115</v>
      </c>
      <c r="AI219" t="s">
        <v>3979</v>
      </c>
      <c r="AJ219">
        <v>36</v>
      </c>
      <c r="AK219" t="s">
        <v>4466</v>
      </c>
      <c r="AL219">
        <v>1</v>
      </c>
      <c r="AM219">
        <v>0</v>
      </c>
      <c r="AN219">
        <v>307.45</v>
      </c>
      <c r="AR219" t="s">
        <v>4478</v>
      </c>
      <c r="AS219" t="s">
        <v>4486</v>
      </c>
      <c r="AT219">
        <v>38400</v>
      </c>
      <c r="AX219" t="s">
        <v>4504</v>
      </c>
      <c r="BA219" t="s">
        <v>4546</v>
      </c>
      <c r="BD219" t="s">
        <v>155</v>
      </c>
      <c r="BE219" t="s">
        <v>4703</v>
      </c>
    </row>
    <row r="220" spans="1:57">
      <c r="A220" s="1">
        <f>HYPERLINK("https://lsnyc.legalserver.org/matter/dynamic-profile/view/1904426","19-1904426")</f>
        <v>0</v>
      </c>
      <c r="B220" t="s">
        <v>61</v>
      </c>
      <c r="C220" t="s">
        <v>93</v>
      </c>
      <c r="D220" t="s">
        <v>155</v>
      </c>
      <c r="F220" t="s">
        <v>432</v>
      </c>
      <c r="G220" t="s">
        <v>966</v>
      </c>
      <c r="H220" t="s">
        <v>1499</v>
      </c>
      <c r="I220" t="s">
        <v>1983</v>
      </c>
      <c r="J220" t="s">
        <v>2169</v>
      </c>
      <c r="K220" t="s">
        <v>2171</v>
      </c>
      <c r="L220">
        <v>10031</v>
      </c>
      <c r="M220" t="s">
        <v>2173</v>
      </c>
      <c r="N220" t="s">
        <v>2172</v>
      </c>
      <c r="O220" t="s">
        <v>2179</v>
      </c>
      <c r="P220" t="s">
        <v>2385</v>
      </c>
      <c r="Q220">
        <v>9</v>
      </c>
      <c r="R220" t="s">
        <v>2844</v>
      </c>
      <c r="S220" t="s">
        <v>2857</v>
      </c>
      <c r="U220" t="s">
        <v>2869</v>
      </c>
      <c r="V220" t="s">
        <v>2174</v>
      </c>
      <c r="W220" t="s">
        <v>2174</v>
      </c>
      <c r="Y220" t="s">
        <v>2876</v>
      </c>
      <c r="Z220" t="s">
        <v>2879</v>
      </c>
      <c r="AA220" t="s">
        <v>155</v>
      </c>
      <c r="AB220">
        <v>0</v>
      </c>
      <c r="AC220">
        <v>713.02</v>
      </c>
      <c r="AD220">
        <v>3</v>
      </c>
      <c r="AE220" t="s">
        <v>2894</v>
      </c>
      <c r="AG220" t="s">
        <v>3116</v>
      </c>
      <c r="AI220" t="s">
        <v>3980</v>
      </c>
      <c r="AJ220">
        <v>42</v>
      </c>
      <c r="AK220" t="s">
        <v>4456</v>
      </c>
      <c r="AL220">
        <v>4</v>
      </c>
      <c r="AM220">
        <v>0</v>
      </c>
      <c r="AN220">
        <v>130.67</v>
      </c>
      <c r="AR220" t="s">
        <v>4478</v>
      </c>
      <c r="AS220" t="s">
        <v>4486</v>
      </c>
      <c r="AT220">
        <v>33648</v>
      </c>
      <c r="AX220" t="s">
        <v>4504</v>
      </c>
      <c r="BA220" t="s">
        <v>4596</v>
      </c>
      <c r="BD220" t="s">
        <v>174</v>
      </c>
      <c r="BE220" t="s">
        <v>4703</v>
      </c>
    </row>
    <row r="221" spans="1:57">
      <c r="A221" s="1">
        <f>HYPERLINK("https://lsnyc.legalserver.org/matter/dynamic-profile/view/1905130","19-1905130")</f>
        <v>0</v>
      </c>
      <c r="B221" t="s">
        <v>62</v>
      </c>
      <c r="C221" t="s">
        <v>93</v>
      </c>
      <c r="D221" t="s">
        <v>150</v>
      </c>
      <c r="F221" t="s">
        <v>433</v>
      </c>
      <c r="G221" t="s">
        <v>967</v>
      </c>
      <c r="H221" t="s">
        <v>1500</v>
      </c>
      <c r="I221">
        <v>3</v>
      </c>
      <c r="J221" t="s">
        <v>2169</v>
      </c>
      <c r="K221" t="s">
        <v>2171</v>
      </c>
      <c r="L221">
        <v>10031</v>
      </c>
      <c r="M221" t="s">
        <v>2173</v>
      </c>
      <c r="N221" t="s">
        <v>2172</v>
      </c>
      <c r="O221" t="s">
        <v>2179</v>
      </c>
      <c r="P221" t="s">
        <v>2386</v>
      </c>
      <c r="Q221">
        <v>17</v>
      </c>
      <c r="R221" t="s">
        <v>2844</v>
      </c>
      <c r="S221" t="s">
        <v>2857</v>
      </c>
      <c r="U221" t="s">
        <v>2869</v>
      </c>
      <c r="V221" t="s">
        <v>2174</v>
      </c>
      <c r="W221" t="s">
        <v>2174</v>
      </c>
      <c r="Y221" t="s">
        <v>2876</v>
      </c>
      <c r="Z221" t="s">
        <v>2880</v>
      </c>
      <c r="AA221" t="s">
        <v>150</v>
      </c>
      <c r="AB221">
        <v>0</v>
      </c>
      <c r="AC221">
        <v>837</v>
      </c>
      <c r="AD221">
        <v>7.8</v>
      </c>
      <c r="AE221" t="s">
        <v>2894</v>
      </c>
      <c r="AG221" t="s">
        <v>3117</v>
      </c>
      <c r="AI221" t="s">
        <v>3981</v>
      </c>
      <c r="AJ221">
        <v>4</v>
      </c>
      <c r="AK221" t="s">
        <v>4456</v>
      </c>
      <c r="AL221">
        <v>1</v>
      </c>
      <c r="AM221">
        <v>0</v>
      </c>
      <c r="AN221">
        <v>80.06</v>
      </c>
      <c r="AR221" t="s">
        <v>4476</v>
      </c>
      <c r="AS221" t="s">
        <v>4486</v>
      </c>
      <c r="AT221">
        <v>10000</v>
      </c>
      <c r="AX221" t="s">
        <v>4504</v>
      </c>
      <c r="BA221" t="s">
        <v>4545</v>
      </c>
      <c r="BD221" t="s">
        <v>154</v>
      </c>
      <c r="BE221" t="s">
        <v>4703</v>
      </c>
    </row>
    <row r="222" spans="1:57">
      <c r="A222" s="1">
        <f>HYPERLINK("https://lsnyc.legalserver.org/matter/dynamic-profile/view/1905157","19-1905157")</f>
        <v>0</v>
      </c>
      <c r="B222" t="s">
        <v>58</v>
      </c>
      <c r="C222" t="s">
        <v>93</v>
      </c>
      <c r="D222" t="s">
        <v>150</v>
      </c>
      <c r="F222" t="s">
        <v>434</v>
      </c>
      <c r="G222" t="s">
        <v>968</v>
      </c>
      <c r="H222" t="s">
        <v>1501</v>
      </c>
      <c r="I222" t="s">
        <v>1920</v>
      </c>
      <c r="J222" t="s">
        <v>2169</v>
      </c>
      <c r="K222" t="s">
        <v>2171</v>
      </c>
      <c r="L222">
        <v>10031</v>
      </c>
      <c r="M222" t="s">
        <v>2173</v>
      </c>
      <c r="N222" t="s">
        <v>2172</v>
      </c>
      <c r="O222" t="s">
        <v>2179</v>
      </c>
      <c r="P222" t="s">
        <v>2387</v>
      </c>
      <c r="Q222">
        <v>34</v>
      </c>
      <c r="R222" t="s">
        <v>2844</v>
      </c>
      <c r="S222" t="s">
        <v>2857</v>
      </c>
      <c r="U222" t="s">
        <v>2869</v>
      </c>
      <c r="V222" t="s">
        <v>2174</v>
      </c>
      <c r="W222" t="s">
        <v>2174</v>
      </c>
      <c r="Y222" t="s">
        <v>2876</v>
      </c>
      <c r="AA222" t="s">
        <v>150</v>
      </c>
      <c r="AB222">
        <v>0</v>
      </c>
      <c r="AC222">
        <v>855.5599999999999</v>
      </c>
      <c r="AD222">
        <v>15.65</v>
      </c>
      <c r="AE222" t="s">
        <v>2894</v>
      </c>
      <c r="AG222" t="s">
        <v>3118</v>
      </c>
      <c r="AI222" t="s">
        <v>3982</v>
      </c>
      <c r="AJ222">
        <v>24</v>
      </c>
      <c r="AK222" t="s">
        <v>4456</v>
      </c>
      <c r="AL222">
        <v>1</v>
      </c>
      <c r="AM222">
        <v>0</v>
      </c>
      <c r="AN222">
        <v>99.92</v>
      </c>
      <c r="AR222" t="s">
        <v>4476</v>
      </c>
      <c r="AS222" t="s">
        <v>4486</v>
      </c>
      <c r="AT222">
        <v>12480</v>
      </c>
      <c r="AX222" t="s">
        <v>4501</v>
      </c>
      <c r="BA222" t="s">
        <v>4546</v>
      </c>
      <c r="BD222" t="s">
        <v>118</v>
      </c>
      <c r="BE222" t="s">
        <v>4703</v>
      </c>
    </row>
    <row r="223" spans="1:57">
      <c r="A223" s="1">
        <f>HYPERLINK("https://lsnyc.legalserver.org/matter/dynamic-profile/view/1905706","19-1905706")</f>
        <v>0</v>
      </c>
      <c r="B223" t="s">
        <v>72</v>
      </c>
      <c r="C223" t="s">
        <v>93</v>
      </c>
      <c r="D223" t="s">
        <v>165</v>
      </c>
      <c r="F223" t="s">
        <v>435</v>
      </c>
      <c r="G223" t="s">
        <v>969</v>
      </c>
      <c r="H223" t="s">
        <v>1502</v>
      </c>
      <c r="I223">
        <v>31</v>
      </c>
      <c r="J223" t="s">
        <v>2169</v>
      </c>
      <c r="K223" t="s">
        <v>2171</v>
      </c>
      <c r="L223">
        <v>10031</v>
      </c>
      <c r="M223" t="s">
        <v>2173</v>
      </c>
      <c r="N223" t="s">
        <v>2172</v>
      </c>
      <c r="O223" t="s">
        <v>2179</v>
      </c>
      <c r="P223" t="s">
        <v>2388</v>
      </c>
      <c r="Q223">
        <v>9</v>
      </c>
      <c r="R223" t="s">
        <v>2844</v>
      </c>
      <c r="S223" t="s">
        <v>2857</v>
      </c>
      <c r="U223" t="s">
        <v>2869</v>
      </c>
      <c r="V223" t="s">
        <v>2174</v>
      </c>
      <c r="W223" t="s">
        <v>2174</v>
      </c>
      <c r="Y223" t="s">
        <v>2876</v>
      </c>
      <c r="AA223" t="s">
        <v>165</v>
      </c>
      <c r="AB223">
        <v>0</v>
      </c>
      <c r="AC223">
        <v>1120</v>
      </c>
      <c r="AD223">
        <v>10.25</v>
      </c>
      <c r="AE223" t="s">
        <v>2894</v>
      </c>
      <c r="AG223" t="s">
        <v>3119</v>
      </c>
      <c r="AI223" t="s">
        <v>3983</v>
      </c>
      <c r="AJ223">
        <v>21</v>
      </c>
      <c r="AK223" t="s">
        <v>4456</v>
      </c>
      <c r="AL223">
        <v>1</v>
      </c>
      <c r="AM223">
        <v>0</v>
      </c>
      <c r="AN223">
        <v>187.35</v>
      </c>
      <c r="AR223" t="s">
        <v>4476</v>
      </c>
      <c r="AS223" t="s">
        <v>4486</v>
      </c>
      <c r="AT223">
        <v>23400</v>
      </c>
      <c r="AX223" t="s">
        <v>4501</v>
      </c>
      <c r="BA223" t="s">
        <v>4597</v>
      </c>
      <c r="BD223" t="s">
        <v>154</v>
      </c>
      <c r="BE223" t="s">
        <v>4703</v>
      </c>
    </row>
    <row r="224" spans="1:57">
      <c r="A224" s="1">
        <f>HYPERLINK("https://lsnyc.legalserver.org/matter/dynamic-profile/view/1906826","19-1906826")</f>
        <v>0</v>
      </c>
      <c r="B224" t="s">
        <v>64</v>
      </c>
      <c r="C224" t="s">
        <v>93</v>
      </c>
      <c r="D224" t="s">
        <v>152</v>
      </c>
      <c r="F224" t="s">
        <v>436</v>
      </c>
      <c r="G224" t="s">
        <v>970</v>
      </c>
      <c r="H224" t="s">
        <v>1413</v>
      </c>
      <c r="I224" t="s">
        <v>2005</v>
      </c>
      <c r="J224" t="s">
        <v>2169</v>
      </c>
      <c r="K224" t="s">
        <v>2171</v>
      </c>
      <c r="L224">
        <v>10031</v>
      </c>
      <c r="M224" t="s">
        <v>2173</v>
      </c>
      <c r="N224" t="s">
        <v>2172</v>
      </c>
      <c r="O224" t="s">
        <v>2179</v>
      </c>
      <c r="P224" t="s">
        <v>2389</v>
      </c>
      <c r="Q224">
        <v>15</v>
      </c>
      <c r="R224" t="s">
        <v>2844</v>
      </c>
      <c r="S224" t="s">
        <v>2856</v>
      </c>
      <c r="U224" t="s">
        <v>2868</v>
      </c>
      <c r="V224" t="s">
        <v>2174</v>
      </c>
      <c r="W224" t="s">
        <v>2174</v>
      </c>
      <c r="Y224" t="s">
        <v>2876</v>
      </c>
      <c r="AA224" t="s">
        <v>2886</v>
      </c>
      <c r="AB224">
        <v>0</v>
      </c>
      <c r="AC224">
        <v>1400</v>
      </c>
      <c r="AD224">
        <v>0.5</v>
      </c>
      <c r="AE224" t="s">
        <v>2894</v>
      </c>
      <c r="AG224" t="s">
        <v>3120</v>
      </c>
      <c r="AI224" t="s">
        <v>3984</v>
      </c>
      <c r="AJ224">
        <v>96</v>
      </c>
      <c r="AK224" t="s">
        <v>4456</v>
      </c>
      <c r="AL224">
        <v>2</v>
      </c>
      <c r="AM224">
        <v>0</v>
      </c>
      <c r="AN224">
        <v>827.91</v>
      </c>
      <c r="AR224" t="s">
        <v>4476</v>
      </c>
      <c r="AS224" t="s">
        <v>4486</v>
      </c>
      <c r="AT224">
        <v>140000</v>
      </c>
      <c r="AX224" t="s">
        <v>4504</v>
      </c>
      <c r="BA224" t="s">
        <v>4546</v>
      </c>
      <c r="BD224" t="s">
        <v>152</v>
      </c>
      <c r="BE224" t="s">
        <v>4703</v>
      </c>
    </row>
    <row r="225" spans="1:57">
      <c r="A225" s="1">
        <f>HYPERLINK("https://lsnyc.legalserver.org/matter/dynamic-profile/view/1907835","19-1907835")</f>
        <v>0</v>
      </c>
      <c r="B225" t="s">
        <v>68</v>
      </c>
      <c r="C225" t="s">
        <v>93</v>
      </c>
      <c r="D225" t="s">
        <v>105</v>
      </c>
      <c r="F225" t="s">
        <v>426</v>
      </c>
      <c r="G225" t="s">
        <v>889</v>
      </c>
      <c r="H225" t="s">
        <v>1492</v>
      </c>
      <c r="I225" t="s">
        <v>2003</v>
      </c>
      <c r="J225" t="s">
        <v>2169</v>
      </c>
      <c r="K225" t="s">
        <v>2171</v>
      </c>
      <c r="L225">
        <v>10031</v>
      </c>
      <c r="M225" t="s">
        <v>2173</v>
      </c>
      <c r="N225" t="s">
        <v>2172</v>
      </c>
      <c r="O225" t="s">
        <v>2177</v>
      </c>
      <c r="P225" t="s">
        <v>2390</v>
      </c>
      <c r="Q225">
        <v>10</v>
      </c>
      <c r="R225" t="s">
        <v>2844</v>
      </c>
      <c r="S225" t="s">
        <v>2857</v>
      </c>
      <c r="U225" t="s">
        <v>2869</v>
      </c>
      <c r="V225" t="s">
        <v>2174</v>
      </c>
      <c r="W225" t="s">
        <v>2174</v>
      </c>
      <c r="Y225" t="s">
        <v>2876</v>
      </c>
      <c r="Z225" t="s">
        <v>2879</v>
      </c>
      <c r="AA225" t="s">
        <v>105</v>
      </c>
      <c r="AB225">
        <v>0</v>
      </c>
      <c r="AC225">
        <v>1051.47</v>
      </c>
      <c r="AD225">
        <v>6.3</v>
      </c>
      <c r="AE225" t="s">
        <v>2894</v>
      </c>
      <c r="AG225" t="s">
        <v>3109</v>
      </c>
      <c r="AH225" t="s">
        <v>3640</v>
      </c>
      <c r="AI225" t="s">
        <v>3973</v>
      </c>
      <c r="AJ225">
        <v>86</v>
      </c>
      <c r="AK225" t="s">
        <v>4456</v>
      </c>
      <c r="AL225">
        <v>3</v>
      </c>
      <c r="AM225">
        <v>5</v>
      </c>
      <c r="AN225">
        <v>20.53</v>
      </c>
      <c r="AR225" t="s">
        <v>4480</v>
      </c>
      <c r="AS225" t="s">
        <v>4487</v>
      </c>
      <c r="AT225">
        <v>8916</v>
      </c>
      <c r="AX225" t="s">
        <v>4504</v>
      </c>
      <c r="BA225" t="s">
        <v>4548</v>
      </c>
      <c r="BD225" t="s">
        <v>210</v>
      </c>
      <c r="BE225" t="s">
        <v>4704</v>
      </c>
    </row>
    <row r="226" spans="1:57">
      <c r="A226" s="1">
        <f>HYPERLINK("https://lsnyc.legalserver.org/matter/dynamic-profile/view/1908761","19-1908761")</f>
        <v>0</v>
      </c>
      <c r="B226" t="s">
        <v>67</v>
      </c>
      <c r="C226" t="s">
        <v>93</v>
      </c>
      <c r="D226" t="s">
        <v>153</v>
      </c>
      <c r="F226" t="s">
        <v>437</v>
      </c>
      <c r="G226" t="s">
        <v>971</v>
      </c>
      <c r="H226" t="s">
        <v>1503</v>
      </c>
      <c r="I226">
        <v>42</v>
      </c>
      <c r="J226" t="s">
        <v>2169</v>
      </c>
      <c r="K226" t="s">
        <v>2171</v>
      </c>
      <c r="L226">
        <v>10031</v>
      </c>
      <c r="M226" t="s">
        <v>2173</v>
      </c>
      <c r="N226" t="s">
        <v>2172</v>
      </c>
      <c r="O226" t="s">
        <v>2179</v>
      </c>
      <c r="P226" t="s">
        <v>2391</v>
      </c>
      <c r="Q226">
        <v>2</v>
      </c>
      <c r="R226" t="s">
        <v>2844</v>
      </c>
      <c r="S226" t="s">
        <v>2857</v>
      </c>
      <c r="U226" t="s">
        <v>2869</v>
      </c>
      <c r="V226" t="s">
        <v>2174</v>
      </c>
      <c r="W226" t="s">
        <v>2174</v>
      </c>
      <c r="Y226" t="s">
        <v>2876</v>
      </c>
      <c r="Z226" t="s">
        <v>2879</v>
      </c>
      <c r="AB226">
        <v>0</v>
      </c>
      <c r="AC226">
        <v>2900</v>
      </c>
      <c r="AD226">
        <v>4.1</v>
      </c>
      <c r="AE226" t="s">
        <v>2894</v>
      </c>
      <c r="AG226" t="s">
        <v>3121</v>
      </c>
      <c r="AI226" t="s">
        <v>3985</v>
      </c>
      <c r="AJ226">
        <v>21</v>
      </c>
      <c r="AK226" t="s">
        <v>4456</v>
      </c>
      <c r="AL226">
        <v>1</v>
      </c>
      <c r="AM226">
        <v>0</v>
      </c>
      <c r="AN226">
        <v>191.51</v>
      </c>
      <c r="AR226" t="s">
        <v>4476</v>
      </c>
      <c r="AS226" t="s">
        <v>4487</v>
      </c>
      <c r="AT226">
        <v>23920</v>
      </c>
      <c r="AX226" t="s">
        <v>4504</v>
      </c>
      <c r="BA226" t="s">
        <v>4546</v>
      </c>
      <c r="BD226" t="s">
        <v>169</v>
      </c>
      <c r="BE226" t="s">
        <v>4703</v>
      </c>
    </row>
    <row r="227" spans="1:57">
      <c r="A227" s="1">
        <f>HYPERLINK("https://lsnyc.legalserver.org/matter/dynamic-profile/view/1908780","19-1908780")</f>
        <v>0</v>
      </c>
      <c r="B227" t="s">
        <v>64</v>
      </c>
      <c r="C227" t="s">
        <v>93</v>
      </c>
      <c r="D227" t="s">
        <v>153</v>
      </c>
      <c r="F227" t="s">
        <v>438</v>
      </c>
      <c r="G227" t="s">
        <v>879</v>
      </c>
      <c r="H227" t="s">
        <v>1497</v>
      </c>
      <c r="I227" t="s">
        <v>2006</v>
      </c>
      <c r="J227" t="s">
        <v>2169</v>
      </c>
      <c r="K227" t="s">
        <v>2171</v>
      </c>
      <c r="L227">
        <v>10031</v>
      </c>
      <c r="M227" t="s">
        <v>2173</v>
      </c>
      <c r="N227" t="s">
        <v>2172</v>
      </c>
      <c r="O227" t="s">
        <v>2179</v>
      </c>
      <c r="P227" t="s">
        <v>2392</v>
      </c>
      <c r="Q227">
        <v>8</v>
      </c>
      <c r="R227" t="s">
        <v>2844</v>
      </c>
      <c r="S227" t="s">
        <v>2857</v>
      </c>
      <c r="U227" t="s">
        <v>2869</v>
      </c>
      <c r="V227" t="s">
        <v>2174</v>
      </c>
      <c r="W227" t="s">
        <v>2174</v>
      </c>
      <c r="Y227" t="s">
        <v>2876</v>
      </c>
      <c r="AA227" t="s">
        <v>153</v>
      </c>
      <c r="AB227">
        <v>0</v>
      </c>
      <c r="AC227">
        <v>199</v>
      </c>
      <c r="AD227">
        <v>5.7</v>
      </c>
      <c r="AE227" t="s">
        <v>2894</v>
      </c>
      <c r="AG227" t="s">
        <v>3122</v>
      </c>
      <c r="AI227" t="s">
        <v>3986</v>
      </c>
      <c r="AJ227">
        <v>54</v>
      </c>
      <c r="AK227" t="s">
        <v>4466</v>
      </c>
      <c r="AL227">
        <v>1</v>
      </c>
      <c r="AM227">
        <v>0</v>
      </c>
      <c r="AN227">
        <v>78.3</v>
      </c>
      <c r="AR227" t="s">
        <v>4478</v>
      </c>
      <c r="AS227" t="s">
        <v>4486</v>
      </c>
      <c r="AT227">
        <v>9780</v>
      </c>
      <c r="AX227" t="s">
        <v>4501</v>
      </c>
      <c r="BA227" t="s">
        <v>4534</v>
      </c>
      <c r="BD227" t="s">
        <v>210</v>
      </c>
      <c r="BE227" t="s">
        <v>4703</v>
      </c>
    </row>
    <row r="228" spans="1:57">
      <c r="A228" s="1">
        <f>HYPERLINK("https://lsnyc.legalserver.org/matter/dynamic-profile/view/1908858","19-1908858")</f>
        <v>0</v>
      </c>
      <c r="B228" t="s">
        <v>67</v>
      </c>
      <c r="C228" t="s">
        <v>92</v>
      </c>
      <c r="D228" t="s">
        <v>153</v>
      </c>
      <c r="E228" t="s">
        <v>96</v>
      </c>
      <c r="F228" t="s">
        <v>439</v>
      </c>
      <c r="G228" t="s">
        <v>972</v>
      </c>
      <c r="H228" t="s">
        <v>1504</v>
      </c>
      <c r="I228" t="s">
        <v>1955</v>
      </c>
      <c r="J228" t="s">
        <v>2169</v>
      </c>
      <c r="K228" t="s">
        <v>2171</v>
      </c>
      <c r="L228">
        <v>10031</v>
      </c>
      <c r="M228" t="s">
        <v>2173</v>
      </c>
      <c r="N228" t="s">
        <v>2172</v>
      </c>
      <c r="O228" t="s">
        <v>2179</v>
      </c>
      <c r="P228" t="s">
        <v>2393</v>
      </c>
      <c r="Q228">
        <v>38</v>
      </c>
      <c r="R228" t="s">
        <v>2844</v>
      </c>
      <c r="S228" t="s">
        <v>2856</v>
      </c>
      <c r="T228" t="s">
        <v>2863</v>
      </c>
      <c r="U228" t="s">
        <v>2868</v>
      </c>
      <c r="V228" t="s">
        <v>2174</v>
      </c>
      <c r="W228" t="s">
        <v>2174</v>
      </c>
      <c r="Y228" t="s">
        <v>2876</v>
      </c>
      <c r="Z228" t="s">
        <v>2879</v>
      </c>
      <c r="AA228" t="s">
        <v>153</v>
      </c>
      <c r="AB228">
        <v>0</v>
      </c>
      <c r="AC228">
        <v>624</v>
      </c>
      <c r="AD228">
        <v>0.5</v>
      </c>
      <c r="AE228" t="s">
        <v>2894</v>
      </c>
      <c r="AF228" t="s">
        <v>2896</v>
      </c>
      <c r="AG228" t="s">
        <v>3123</v>
      </c>
      <c r="AI228" t="s">
        <v>3987</v>
      </c>
      <c r="AJ228">
        <v>92</v>
      </c>
      <c r="AK228" t="s">
        <v>4458</v>
      </c>
      <c r="AL228">
        <v>2</v>
      </c>
      <c r="AM228">
        <v>0</v>
      </c>
      <c r="AN228">
        <v>260.2</v>
      </c>
      <c r="AR228" t="s">
        <v>4476</v>
      </c>
      <c r="AS228" t="s">
        <v>4487</v>
      </c>
      <c r="AT228">
        <v>44000</v>
      </c>
      <c r="AX228" t="s">
        <v>4501</v>
      </c>
      <c r="BA228" t="s">
        <v>4546</v>
      </c>
      <c r="BD228" t="s">
        <v>153</v>
      </c>
      <c r="BE228" t="s">
        <v>4703</v>
      </c>
    </row>
    <row r="229" spans="1:57">
      <c r="A229" s="1">
        <f>HYPERLINK("https://lsnyc.legalserver.org/matter/dynamic-profile/view/1908870","19-1908870")</f>
        <v>0</v>
      </c>
      <c r="B229" t="s">
        <v>71</v>
      </c>
      <c r="C229" t="s">
        <v>93</v>
      </c>
      <c r="D229" t="s">
        <v>153</v>
      </c>
      <c r="F229" t="s">
        <v>440</v>
      </c>
      <c r="G229" t="s">
        <v>973</v>
      </c>
      <c r="H229" t="s">
        <v>1505</v>
      </c>
      <c r="I229" t="s">
        <v>1982</v>
      </c>
      <c r="J229" t="s">
        <v>2169</v>
      </c>
      <c r="K229" t="s">
        <v>2171</v>
      </c>
      <c r="L229">
        <v>10031</v>
      </c>
      <c r="M229" t="s">
        <v>2173</v>
      </c>
      <c r="N229" t="s">
        <v>2172</v>
      </c>
      <c r="O229" t="s">
        <v>2175</v>
      </c>
      <c r="P229" t="s">
        <v>2394</v>
      </c>
      <c r="Q229">
        <v>10</v>
      </c>
      <c r="R229" t="s">
        <v>2844</v>
      </c>
      <c r="S229" t="s">
        <v>2857</v>
      </c>
      <c r="U229" t="s">
        <v>2869</v>
      </c>
      <c r="V229" t="s">
        <v>2174</v>
      </c>
      <c r="W229" t="s">
        <v>2174</v>
      </c>
      <c r="Y229" t="s">
        <v>2876</v>
      </c>
      <c r="Z229" t="s">
        <v>2879</v>
      </c>
      <c r="AB229">
        <v>0</v>
      </c>
      <c r="AC229">
        <v>2600</v>
      </c>
      <c r="AD229">
        <v>1.7</v>
      </c>
      <c r="AE229" t="s">
        <v>2894</v>
      </c>
      <c r="AG229" t="s">
        <v>3124</v>
      </c>
      <c r="AI229" t="s">
        <v>3988</v>
      </c>
      <c r="AJ229">
        <v>0</v>
      </c>
      <c r="AK229" t="s">
        <v>4456</v>
      </c>
      <c r="AL229">
        <v>1</v>
      </c>
      <c r="AM229">
        <v>0</v>
      </c>
      <c r="AN229">
        <v>0</v>
      </c>
      <c r="AR229" t="s">
        <v>4476</v>
      </c>
      <c r="AS229" t="s">
        <v>4486</v>
      </c>
      <c r="AT229">
        <v>0</v>
      </c>
      <c r="AX229" t="s">
        <v>4504</v>
      </c>
      <c r="BA229" t="s">
        <v>4539</v>
      </c>
      <c r="BD229" t="s">
        <v>96</v>
      </c>
      <c r="BE229" t="s">
        <v>4703</v>
      </c>
    </row>
    <row r="230" spans="1:57">
      <c r="A230" s="1">
        <f>HYPERLINK("https://lsnyc.legalserver.org/matter/dynamic-profile/view/1909373","19-1909373")</f>
        <v>0</v>
      </c>
      <c r="B230" t="s">
        <v>76</v>
      </c>
      <c r="C230" t="s">
        <v>93</v>
      </c>
      <c r="D230" t="s">
        <v>166</v>
      </c>
      <c r="F230" t="s">
        <v>441</v>
      </c>
      <c r="G230" t="s">
        <v>974</v>
      </c>
      <c r="H230" t="s">
        <v>1506</v>
      </c>
      <c r="I230">
        <v>43</v>
      </c>
      <c r="J230" t="s">
        <v>2169</v>
      </c>
      <c r="K230" t="s">
        <v>2171</v>
      </c>
      <c r="L230">
        <v>10031</v>
      </c>
      <c r="M230" t="s">
        <v>2173</v>
      </c>
      <c r="N230" t="s">
        <v>2172</v>
      </c>
      <c r="O230" t="s">
        <v>2179</v>
      </c>
      <c r="P230" t="s">
        <v>2395</v>
      </c>
      <c r="Q230">
        <v>25</v>
      </c>
      <c r="R230" t="s">
        <v>2844</v>
      </c>
      <c r="S230" t="s">
        <v>2857</v>
      </c>
      <c r="U230" t="s">
        <v>2869</v>
      </c>
      <c r="V230" t="s">
        <v>2174</v>
      </c>
      <c r="W230" t="s">
        <v>2174</v>
      </c>
      <c r="Y230" t="s">
        <v>2876</v>
      </c>
      <c r="Z230" t="s">
        <v>2879</v>
      </c>
      <c r="AB230">
        <v>0</v>
      </c>
      <c r="AC230">
        <v>1020</v>
      </c>
      <c r="AD230">
        <v>3.7</v>
      </c>
      <c r="AE230" t="s">
        <v>2894</v>
      </c>
      <c r="AG230" t="s">
        <v>3125</v>
      </c>
      <c r="AI230" t="s">
        <v>3989</v>
      </c>
      <c r="AJ230">
        <v>0</v>
      </c>
      <c r="AK230" t="s">
        <v>4456</v>
      </c>
      <c r="AL230">
        <v>1</v>
      </c>
      <c r="AM230">
        <v>1</v>
      </c>
      <c r="AN230">
        <v>122.7</v>
      </c>
      <c r="AR230" t="s">
        <v>4476</v>
      </c>
      <c r="AS230" t="s">
        <v>4486</v>
      </c>
      <c r="AT230">
        <v>20748</v>
      </c>
      <c r="AX230" t="s">
        <v>4504</v>
      </c>
      <c r="BA230" t="s">
        <v>4546</v>
      </c>
      <c r="BD230" t="s">
        <v>4684</v>
      </c>
      <c r="BE230" t="s">
        <v>4703</v>
      </c>
    </row>
    <row r="231" spans="1:57">
      <c r="A231" s="1">
        <f>HYPERLINK("https://lsnyc.legalserver.org/matter/dynamic-profile/view/1909381","19-1909381")</f>
        <v>0</v>
      </c>
      <c r="B231" t="s">
        <v>82</v>
      </c>
      <c r="C231" t="s">
        <v>93</v>
      </c>
      <c r="D231" t="s">
        <v>166</v>
      </c>
      <c r="F231" t="s">
        <v>350</v>
      </c>
      <c r="G231" t="s">
        <v>896</v>
      </c>
      <c r="H231" t="s">
        <v>1418</v>
      </c>
      <c r="I231" t="s">
        <v>1931</v>
      </c>
      <c r="J231" t="s">
        <v>2169</v>
      </c>
      <c r="K231" t="s">
        <v>2171</v>
      </c>
      <c r="L231">
        <v>10031</v>
      </c>
      <c r="M231" t="s">
        <v>2173</v>
      </c>
      <c r="N231" t="s">
        <v>2172</v>
      </c>
      <c r="O231" t="s">
        <v>2179</v>
      </c>
      <c r="P231" t="s">
        <v>2396</v>
      </c>
      <c r="Q231">
        <v>-1</v>
      </c>
      <c r="R231" t="s">
        <v>2844</v>
      </c>
      <c r="S231" t="s">
        <v>2857</v>
      </c>
      <c r="U231" t="s">
        <v>2869</v>
      </c>
      <c r="V231" t="s">
        <v>2174</v>
      </c>
      <c r="W231" t="s">
        <v>2174</v>
      </c>
      <c r="Y231" t="s">
        <v>2876</v>
      </c>
      <c r="Z231" t="s">
        <v>2879</v>
      </c>
      <c r="AA231" t="s">
        <v>166</v>
      </c>
      <c r="AB231">
        <v>0</v>
      </c>
      <c r="AC231">
        <v>779</v>
      </c>
      <c r="AD231">
        <v>5.3</v>
      </c>
      <c r="AE231" t="s">
        <v>2894</v>
      </c>
      <c r="AG231" t="s">
        <v>3025</v>
      </c>
      <c r="AI231" t="s">
        <v>3889</v>
      </c>
      <c r="AJ231">
        <v>21</v>
      </c>
      <c r="AK231" t="s">
        <v>4456</v>
      </c>
      <c r="AL231">
        <v>1</v>
      </c>
      <c r="AM231">
        <v>1</v>
      </c>
      <c r="AN231">
        <v>106.09</v>
      </c>
      <c r="AR231" t="s">
        <v>4478</v>
      </c>
      <c r="AS231" t="s">
        <v>4486</v>
      </c>
      <c r="AT231">
        <v>17940</v>
      </c>
      <c r="AX231" t="s">
        <v>4504</v>
      </c>
      <c r="BA231" t="s">
        <v>4537</v>
      </c>
      <c r="BD231" t="s">
        <v>215</v>
      </c>
      <c r="BE231" t="s">
        <v>4703</v>
      </c>
    </row>
    <row r="232" spans="1:57">
      <c r="A232" s="1">
        <f>HYPERLINK("https://lsnyc.legalserver.org/matter/dynamic-profile/view/1909388","19-1909388")</f>
        <v>0</v>
      </c>
      <c r="B232" t="s">
        <v>82</v>
      </c>
      <c r="C232" t="s">
        <v>92</v>
      </c>
      <c r="D232" t="s">
        <v>166</v>
      </c>
      <c r="E232" t="s">
        <v>97</v>
      </c>
      <c r="F232" t="s">
        <v>270</v>
      </c>
      <c r="G232" t="s">
        <v>975</v>
      </c>
      <c r="H232" t="s">
        <v>1507</v>
      </c>
      <c r="I232" t="s">
        <v>1986</v>
      </c>
      <c r="J232" t="s">
        <v>2169</v>
      </c>
      <c r="K232" t="s">
        <v>2171</v>
      </c>
      <c r="L232">
        <v>10031</v>
      </c>
      <c r="M232" t="s">
        <v>2173</v>
      </c>
      <c r="N232" t="s">
        <v>2172</v>
      </c>
      <c r="O232" t="s">
        <v>2179</v>
      </c>
      <c r="P232" t="s">
        <v>2397</v>
      </c>
      <c r="Q232">
        <v>14</v>
      </c>
      <c r="R232" t="s">
        <v>2844</v>
      </c>
      <c r="S232" t="s">
        <v>2856</v>
      </c>
      <c r="T232" t="s">
        <v>2863</v>
      </c>
      <c r="U232" t="s">
        <v>2869</v>
      </c>
      <c r="V232" t="s">
        <v>2174</v>
      </c>
      <c r="W232" t="s">
        <v>2174</v>
      </c>
      <c r="Y232" t="s">
        <v>2876</v>
      </c>
      <c r="AA232" t="s">
        <v>166</v>
      </c>
      <c r="AB232">
        <v>0</v>
      </c>
      <c r="AC232">
        <v>2353.49</v>
      </c>
      <c r="AD232">
        <v>1.5</v>
      </c>
      <c r="AE232" t="s">
        <v>2894</v>
      </c>
      <c r="AF232" t="s">
        <v>2896</v>
      </c>
      <c r="AG232" t="s">
        <v>3126</v>
      </c>
      <c r="AI232" t="s">
        <v>3990</v>
      </c>
      <c r="AJ232">
        <v>0</v>
      </c>
      <c r="AK232" t="s">
        <v>4458</v>
      </c>
      <c r="AL232">
        <v>5</v>
      </c>
      <c r="AM232">
        <v>2</v>
      </c>
      <c r="AN232">
        <v>266.6</v>
      </c>
      <c r="AR232" t="s">
        <v>4476</v>
      </c>
      <c r="AS232" t="s">
        <v>4487</v>
      </c>
      <c r="AT232">
        <v>104000</v>
      </c>
      <c r="AX232" t="s">
        <v>4504</v>
      </c>
      <c r="BA232" t="s">
        <v>4546</v>
      </c>
      <c r="BD232" t="s">
        <v>166</v>
      </c>
      <c r="BE232" t="s">
        <v>4703</v>
      </c>
    </row>
    <row r="233" spans="1:57">
      <c r="A233" s="1">
        <f>HYPERLINK("https://lsnyc.legalserver.org/matter/dynamic-profile/view/1909898","19-1909898")</f>
        <v>0</v>
      </c>
      <c r="B233" t="s">
        <v>82</v>
      </c>
      <c r="C233" t="s">
        <v>93</v>
      </c>
      <c r="D233" t="s">
        <v>167</v>
      </c>
      <c r="F233" t="s">
        <v>431</v>
      </c>
      <c r="G233" t="s">
        <v>976</v>
      </c>
      <c r="H233" t="s">
        <v>1508</v>
      </c>
      <c r="I233">
        <v>64</v>
      </c>
      <c r="J233" t="s">
        <v>2169</v>
      </c>
      <c r="K233" t="s">
        <v>2171</v>
      </c>
      <c r="L233">
        <v>10031</v>
      </c>
      <c r="M233" t="s">
        <v>2173</v>
      </c>
      <c r="N233" t="s">
        <v>2172</v>
      </c>
      <c r="O233" t="s">
        <v>2179</v>
      </c>
      <c r="P233" t="s">
        <v>2398</v>
      </c>
      <c r="Q233">
        <v>48</v>
      </c>
      <c r="R233" t="s">
        <v>2844</v>
      </c>
      <c r="S233" t="s">
        <v>2857</v>
      </c>
      <c r="U233" t="s">
        <v>2869</v>
      </c>
      <c r="V233" t="s">
        <v>2174</v>
      </c>
      <c r="W233" t="s">
        <v>2174</v>
      </c>
      <c r="Y233" t="s">
        <v>2876</v>
      </c>
      <c r="Z233" t="s">
        <v>2879</v>
      </c>
      <c r="AA233" t="s">
        <v>167</v>
      </c>
      <c r="AB233">
        <v>0</v>
      </c>
      <c r="AC233">
        <v>977</v>
      </c>
      <c r="AD233">
        <v>8.4</v>
      </c>
      <c r="AE233" t="s">
        <v>2894</v>
      </c>
      <c r="AG233" t="s">
        <v>3127</v>
      </c>
      <c r="AI233" t="s">
        <v>3991</v>
      </c>
      <c r="AJ233">
        <v>30</v>
      </c>
      <c r="AK233" t="s">
        <v>4456</v>
      </c>
      <c r="AL233">
        <v>1</v>
      </c>
      <c r="AM233">
        <v>0</v>
      </c>
      <c r="AN233">
        <v>105.68</v>
      </c>
      <c r="AR233" t="s">
        <v>4477</v>
      </c>
      <c r="AS233" t="s">
        <v>4486</v>
      </c>
      <c r="AT233">
        <v>13200</v>
      </c>
      <c r="AX233" t="s">
        <v>4501</v>
      </c>
      <c r="BA233" t="s">
        <v>4531</v>
      </c>
      <c r="BD233" t="s">
        <v>4670</v>
      </c>
      <c r="BE233" t="s">
        <v>4703</v>
      </c>
    </row>
    <row r="234" spans="1:57">
      <c r="A234" s="1">
        <f>HYPERLINK("https://lsnyc.legalserver.org/matter/dynamic-profile/view/1909912","19-1909912")</f>
        <v>0</v>
      </c>
      <c r="B234" t="s">
        <v>82</v>
      </c>
      <c r="C234" t="s">
        <v>93</v>
      </c>
      <c r="D234" t="s">
        <v>167</v>
      </c>
      <c r="F234" t="s">
        <v>329</v>
      </c>
      <c r="G234" t="s">
        <v>977</v>
      </c>
      <c r="H234" t="s">
        <v>1503</v>
      </c>
      <c r="I234">
        <v>24</v>
      </c>
      <c r="J234" t="s">
        <v>2169</v>
      </c>
      <c r="K234" t="s">
        <v>2171</v>
      </c>
      <c r="L234">
        <v>10031</v>
      </c>
      <c r="M234" t="s">
        <v>2173</v>
      </c>
      <c r="N234" t="s">
        <v>2172</v>
      </c>
      <c r="O234" t="s">
        <v>2175</v>
      </c>
      <c r="P234" t="s">
        <v>2399</v>
      </c>
      <c r="Q234">
        <v>5</v>
      </c>
      <c r="R234" t="s">
        <v>2844</v>
      </c>
      <c r="S234" t="s">
        <v>2857</v>
      </c>
      <c r="U234" t="s">
        <v>2869</v>
      </c>
      <c r="V234" t="s">
        <v>2174</v>
      </c>
      <c r="W234" t="s">
        <v>2174</v>
      </c>
      <c r="Y234" t="s">
        <v>2876</v>
      </c>
      <c r="Z234" t="s">
        <v>2879</v>
      </c>
      <c r="AA234" t="s">
        <v>167</v>
      </c>
      <c r="AB234">
        <v>0</v>
      </c>
      <c r="AC234">
        <v>1708</v>
      </c>
      <c r="AD234">
        <v>2.5</v>
      </c>
      <c r="AE234" t="s">
        <v>2894</v>
      </c>
      <c r="AG234" t="s">
        <v>3128</v>
      </c>
      <c r="AH234" t="s">
        <v>3642</v>
      </c>
      <c r="AI234" t="s">
        <v>3992</v>
      </c>
      <c r="AJ234">
        <v>0</v>
      </c>
      <c r="AK234" t="s">
        <v>4456</v>
      </c>
      <c r="AL234">
        <v>1</v>
      </c>
      <c r="AM234">
        <v>2</v>
      </c>
      <c r="AN234">
        <v>59.87</v>
      </c>
      <c r="AR234" t="s">
        <v>4480</v>
      </c>
      <c r="AS234" t="s">
        <v>4486</v>
      </c>
      <c r="AT234">
        <v>12770</v>
      </c>
      <c r="AX234" t="s">
        <v>4504</v>
      </c>
      <c r="BA234" t="s">
        <v>4565</v>
      </c>
      <c r="BD234" t="s">
        <v>123</v>
      </c>
      <c r="BE234" t="s">
        <v>4704</v>
      </c>
    </row>
    <row r="235" spans="1:57">
      <c r="A235" s="1">
        <f>HYPERLINK("https://lsnyc.legalserver.org/matter/dynamic-profile/view/1909922","19-1909922")</f>
        <v>0</v>
      </c>
      <c r="B235" t="s">
        <v>61</v>
      </c>
      <c r="C235" t="s">
        <v>93</v>
      </c>
      <c r="D235" t="s">
        <v>167</v>
      </c>
      <c r="F235" t="s">
        <v>442</v>
      </c>
      <c r="G235" t="s">
        <v>978</v>
      </c>
      <c r="H235" t="s">
        <v>1509</v>
      </c>
      <c r="I235" t="s">
        <v>1983</v>
      </c>
      <c r="J235" t="s">
        <v>2169</v>
      </c>
      <c r="K235" t="s">
        <v>2171</v>
      </c>
      <c r="L235">
        <v>10031</v>
      </c>
      <c r="M235" t="s">
        <v>2173</v>
      </c>
      <c r="N235" t="s">
        <v>2172</v>
      </c>
      <c r="O235" t="s">
        <v>2179</v>
      </c>
      <c r="P235" t="s">
        <v>2400</v>
      </c>
      <c r="Q235">
        <v>30</v>
      </c>
      <c r="R235" t="s">
        <v>2844</v>
      </c>
      <c r="S235" t="s">
        <v>2857</v>
      </c>
      <c r="U235" t="s">
        <v>2869</v>
      </c>
      <c r="V235" t="s">
        <v>2174</v>
      </c>
      <c r="W235" t="s">
        <v>2174</v>
      </c>
      <c r="Y235" t="s">
        <v>2876</v>
      </c>
      <c r="AA235" t="s">
        <v>167</v>
      </c>
      <c r="AB235">
        <v>0</v>
      </c>
      <c r="AC235">
        <v>821.29</v>
      </c>
      <c r="AD235">
        <v>2</v>
      </c>
      <c r="AE235" t="s">
        <v>2894</v>
      </c>
      <c r="AG235" t="s">
        <v>3129</v>
      </c>
      <c r="AI235" t="s">
        <v>3993</v>
      </c>
      <c r="AJ235">
        <v>0</v>
      </c>
      <c r="AK235" t="s">
        <v>4456</v>
      </c>
      <c r="AL235">
        <v>1</v>
      </c>
      <c r="AM235">
        <v>0</v>
      </c>
      <c r="AN235">
        <v>158.53</v>
      </c>
      <c r="AR235" t="s">
        <v>4477</v>
      </c>
      <c r="AS235" t="s">
        <v>4486</v>
      </c>
      <c r="AT235">
        <v>19800</v>
      </c>
      <c r="AX235" t="s">
        <v>4501</v>
      </c>
      <c r="BA235" t="s">
        <v>4531</v>
      </c>
      <c r="BD235" t="s">
        <v>117</v>
      </c>
      <c r="BE235" t="s">
        <v>4703</v>
      </c>
    </row>
    <row r="236" spans="1:57">
      <c r="A236" s="1">
        <f>HYPERLINK("https://lsnyc.legalserver.org/matter/dynamic-profile/view/1909928","19-1909928")</f>
        <v>0</v>
      </c>
      <c r="B236" t="s">
        <v>82</v>
      </c>
      <c r="C236" t="s">
        <v>93</v>
      </c>
      <c r="D236" t="s">
        <v>167</v>
      </c>
      <c r="F236" t="s">
        <v>443</v>
      </c>
      <c r="G236" t="s">
        <v>979</v>
      </c>
      <c r="H236" t="s">
        <v>1510</v>
      </c>
      <c r="J236" t="s">
        <v>2169</v>
      </c>
      <c r="K236" t="s">
        <v>2171</v>
      </c>
      <c r="L236">
        <v>10031</v>
      </c>
      <c r="M236" t="s">
        <v>2173</v>
      </c>
      <c r="N236" t="s">
        <v>2172</v>
      </c>
      <c r="O236" t="s">
        <v>2179</v>
      </c>
      <c r="P236" t="s">
        <v>2401</v>
      </c>
      <c r="Q236">
        <v>3</v>
      </c>
      <c r="R236" t="s">
        <v>2844</v>
      </c>
      <c r="S236" t="s">
        <v>2857</v>
      </c>
      <c r="U236" t="s">
        <v>2869</v>
      </c>
      <c r="V236" t="s">
        <v>2174</v>
      </c>
      <c r="W236" t="s">
        <v>2174</v>
      </c>
      <c r="Y236" t="s">
        <v>2876</v>
      </c>
      <c r="Z236" t="s">
        <v>2879</v>
      </c>
      <c r="AA236" t="s">
        <v>167</v>
      </c>
      <c r="AB236">
        <v>0</v>
      </c>
      <c r="AC236">
        <v>1200</v>
      </c>
      <c r="AD236">
        <v>4.3</v>
      </c>
      <c r="AE236" t="s">
        <v>2894</v>
      </c>
      <c r="AG236" t="s">
        <v>3130</v>
      </c>
      <c r="AI236" t="s">
        <v>3994</v>
      </c>
      <c r="AJ236">
        <v>15</v>
      </c>
      <c r="AK236" t="s">
        <v>4456</v>
      </c>
      <c r="AL236">
        <v>1</v>
      </c>
      <c r="AM236">
        <v>2</v>
      </c>
      <c r="AN236">
        <v>85.33</v>
      </c>
      <c r="AR236" t="s">
        <v>4481</v>
      </c>
      <c r="AS236" t="s">
        <v>4486</v>
      </c>
      <c r="AT236">
        <v>18200</v>
      </c>
      <c r="AX236" t="s">
        <v>4504</v>
      </c>
      <c r="BA236" t="s">
        <v>4546</v>
      </c>
      <c r="BD236" t="s">
        <v>169</v>
      </c>
      <c r="BE236" t="s">
        <v>4703</v>
      </c>
    </row>
    <row r="237" spans="1:57">
      <c r="A237" s="1">
        <f>HYPERLINK("https://lsnyc.legalserver.org/matter/dynamic-profile/view/1910990","19-1910990")</f>
        <v>0</v>
      </c>
      <c r="B237" t="s">
        <v>83</v>
      </c>
      <c r="C237" t="s">
        <v>93</v>
      </c>
      <c r="D237" t="s">
        <v>168</v>
      </c>
      <c r="F237" t="s">
        <v>444</v>
      </c>
      <c r="G237" t="s">
        <v>980</v>
      </c>
      <c r="H237" t="s">
        <v>1511</v>
      </c>
      <c r="I237">
        <v>4</v>
      </c>
      <c r="J237" t="s">
        <v>2169</v>
      </c>
      <c r="K237" t="s">
        <v>2171</v>
      </c>
      <c r="L237">
        <v>10031</v>
      </c>
      <c r="M237" t="s">
        <v>2173</v>
      </c>
      <c r="N237" t="s">
        <v>2172</v>
      </c>
      <c r="O237" t="s">
        <v>2175</v>
      </c>
      <c r="P237" t="s">
        <v>2402</v>
      </c>
      <c r="Q237">
        <v>9</v>
      </c>
      <c r="R237" t="s">
        <v>2844</v>
      </c>
      <c r="S237" t="s">
        <v>2857</v>
      </c>
      <c r="U237" t="s">
        <v>2869</v>
      </c>
      <c r="V237" t="s">
        <v>2174</v>
      </c>
      <c r="W237" t="s">
        <v>2174</v>
      </c>
      <c r="Y237" t="s">
        <v>2876</v>
      </c>
      <c r="AA237" t="s">
        <v>168</v>
      </c>
      <c r="AB237">
        <v>0</v>
      </c>
      <c r="AC237">
        <v>2095.12</v>
      </c>
      <c r="AD237">
        <v>6</v>
      </c>
      <c r="AE237" t="s">
        <v>2894</v>
      </c>
      <c r="AG237" t="s">
        <v>3131</v>
      </c>
      <c r="AH237" t="s">
        <v>3643</v>
      </c>
      <c r="AI237" t="s">
        <v>3995</v>
      </c>
      <c r="AJ237">
        <v>0</v>
      </c>
      <c r="AK237" t="s">
        <v>4456</v>
      </c>
      <c r="AL237">
        <v>2</v>
      </c>
      <c r="AM237">
        <v>2</v>
      </c>
      <c r="AN237">
        <v>121.68</v>
      </c>
      <c r="AR237" t="s">
        <v>4483</v>
      </c>
      <c r="AS237" t="s">
        <v>4486</v>
      </c>
      <c r="AT237">
        <v>31332</v>
      </c>
      <c r="AX237" t="s">
        <v>4501</v>
      </c>
      <c r="BA237" t="s">
        <v>4584</v>
      </c>
      <c r="BD237" t="s">
        <v>210</v>
      </c>
      <c r="BE237" t="s">
        <v>4704</v>
      </c>
    </row>
    <row r="238" spans="1:57">
      <c r="A238" s="1">
        <f>HYPERLINK("https://lsnyc.legalserver.org/matter/dynamic-profile/view/1911019","19-1911019")</f>
        <v>0</v>
      </c>
      <c r="B238" t="s">
        <v>76</v>
      </c>
      <c r="C238" t="s">
        <v>93</v>
      </c>
      <c r="D238" t="s">
        <v>168</v>
      </c>
      <c r="F238" t="s">
        <v>445</v>
      </c>
      <c r="G238" t="s">
        <v>981</v>
      </c>
      <c r="H238" t="s">
        <v>1416</v>
      </c>
      <c r="I238">
        <v>52</v>
      </c>
      <c r="J238" t="s">
        <v>2169</v>
      </c>
      <c r="K238" t="s">
        <v>2171</v>
      </c>
      <c r="L238">
        <v>10031</v>
      </c>
      <c r="M238" t="s">
        <v>2173</v>
      </c>
      <c r="N238" t="s">
        <v>2172</v>
      </c>
      <c r="O238" t="s">
        <v>2179</v>
      </c>
      <c r="P238" t="s">
        <v>2403</v>
      </c>
      <c r="Q238">
        <v>19</v>
      </c>
      <c r="R238" t="s">
        <v>2844</v>
      </c>
      <c r="S238" t="s">
        <v>2858</v>
      </c>
      <c r="U238" t="s">
        <v>2869</v>
      </c>
      <c r="V238" t="s">
        <v>2174</v>
      </c>
      <c r="W238" t="s">
        <v>2174</v>
      </c>
      <c r="Y238" t="s">
        <v>2876</v>
      </c>
      <c r="AA238" t="s">
        <v>168</v>
      </c>
      <c r="AB238">
        <v>0</v>
      </c>
      <c r="AC238">
        <v>1560</v>
      </c>
      <c r="AD238">
        <v>0.1</v>
      </c>
      <c r="AE238" t="s">
        <v>2894</v>
      </c>
      <c r="AG238" t="s">
        <v>3132</v>
      </c>
      <c r="AI238" t="s">
        <v>3996</v>
      </c>
      <c r="AJ238">
        <v>0</v>
      </c>
      <c r="AK238" t="s">
        <v>4458</v>
      </c>
      <c r="AL238">
        <v>2</v>
      </c>
      <c r="AM238">
        <v>2</v>
      </c>
      <c r="AN238">
        <v>131.26</v>
      </c>
      <c r="AR238" t="s">
        <v>4476</v>
      </c>
      <c r="AS238" t="s">
        <v>4487</v>
      </c>
      <c r="AT238">
        <v>33800</v>
      </c>
      <c r="AX238" t="s">
        <v>4501</v>
      </c>
      <c r="BA238" t="s">
        <v>4546</v>
      </c>
      <c r="BD238" t="s">
        <v>217</v>
      </c>
      <c r="BE238" t="s">
        <v>4703</v>
      </c>
    </row>
    <row r="239" spans="1:57">
      <c r="A239" s="1">
        <f>HYPERLINK("https://lsnyc.legalserver.org/matter/dynamic-profile/view/1911032","19-1911032")</f>
        <v>0</v>
      </c>
      <c r="B239" t="s">
        <v>83</v>
      </c>
      <c r="C239" t="s">
        <v>93</v>
      </c>
      <c r="D239" t="s">
        <v>168</v>
      </c>
      <c r="F239" t="s">
        <v>446</v>
      </c>
      <c r="G239" t="s">
        <v>982</v>
      </c>
      <c r="H239" t="s">
        <v>1413</v>
      </c>
      <c r="I239" t="s">
        <v>2007</v>
      </c>
      <c r="J239" t="s">
        <v>2169</v>
      </c>
      <c r="K239" t="s">
        <v>2171</v>
      </c>
      <c r="L239">
        <v>10031</v>
      </c>
      <c r="M239" t="s">
        <v>2173</v>
      </c>
      <c r="N239" t="s">
        <v>2172</v>
      </c>
      <c r="O239" t="s">
        <v>2175</v>
      </c>
      <c r="P239" t="s">
        <v>2404</v>
      </c>
      <c r="Q239">
        <v>20</v>
      </c>
      <c r="R239" t="s">
        <v>2844</v>
      </c>
      <c r="S239" t="s">
        <v>2857</v>
      </c>
      <c r="U239" t="s">
        <v>2869</v>
      </c>
      <c r="V239" t="s">
        <v>2174</v>
      </c>
      <c r="W239" t="s">
        <v>2174</v>
      </c>
      <c r="Y239" t="s">
        <v>2876</v>
      </c>
      <c r="AA239" t="s">
        <v>168</v>
      </c>
      <c r="AB239">
        <v>0</v>
      </c>
      <c r="AC239">
        <v>1037</v>
      </c>
      <c r="AD239">
        <v>4</v>
      </c>
      <c r="AE239" t="s">
        <v>2894</v>
      </c>
      <c r="AG239" t="s">
        <v>3133</v>
      </c>
      <c r="AI239" t="s">
        <v>3997</v>
      </c>
      <c r="AJ239">
        <v>0</v>
      </c>
      <c r="AK239" t="s">
        <v>4456</v>
      </c>
      <c r="AL239">
        <v>1</v>
      </c>
      <c r="AM239">
        <v>0</v>
      </c>
      <c r="AN239">
        <v>87.08</v>
      </c>
      <c r="AR239" t="s">
        <v>4477</v>
      </c>
      <c r="AS239" t="s">
        <v>4486</v>
      </c>
      <c r="AT239">
        <v>10876.8</v>
      </c>
      <c r="AX239" t="s">
        <v>4504</v>
      </c>
      <c r="BA239" t="s">
        <v>4560</v>
      </c>
      <c r="BD239" t="s">
        <v>117</v>
      </c>
      <c r="BE239" t="s">
        <v>4703</v>
      </c>
    </row>
    <row r="240" spans="1:57">
      <c r="A240" s="1">
        <f>HYPERLINK("https://lsnyc.legalserver.org/matter/dynamic-profile/view/1911044","19-1911044")</f>
        <v>0</v>
      </c>
      <c r="B240" t="s">
        <v>76</v>
      </c>
      <c r="C240" t="s">
        <v>93</v>
      </c>
      <c r="D240" t="s">
        <v>168</v>
      </c>
      <c r="F240" t="s">
        <v>447</v>
      </c>
      <c r="G240" t="s">
        <v>983</v>
      </c>
      <c r="H240" t="s">
        <v>1512</v>
      </c>
      <c r="I240">
        <v>11</v>
      </c>
      <c r="J240" t="s">
        <v>2169</v>
      </c>
      <c r="K240" t="s">
        <v>2171</v>
      </c>
      <c r="L240">
        <v>10031</v>
      </c>
      <c r="M240" t="s">
        <v>2173</v>
      </c>
      <c r="N240" t="s">
        <v>2172</v>
      </c>
      <c r="O240" t="s">
        <v>2179</v>
      </c>
      <c r="P240" t="s">
        <v>2405</v>
      </c>
      <c r="Q240">
        <v>7</v>
      </c>
      <c r="R240" t="s">
        <v>2844</v>
      </c>
      <c r="S240" t="s">
        <v>2857</v>
      </c>
      <c r="U240" t="s">
        <v>2869</v>
      </c>
      <c r="V240" t="s">
        <v>2174</v>
      </c>
      <c r="W240" t="s">
        <v>2174</v>
      </c>
      <c r="Y240" t="s">
        <v>2876</v>
      </c>
      <c r="AA240" t="s">
        <v>168</v>
      </c>
      <c r="AB240">
        <v>0</v>
      </c>
      <c r="AC240">
        <v>1092</v>
      </c>
      <c r="AD240">
        <v>0</v>
      </c>
      <c r="AE240" t="s">
        <v>2894</v>
      </c>
      <c r="AG240" t="s">
        <v>3134</v>
      </c>
      <c r="AH240" t="s">
        <v>3644</v>
      </c>
      <c r="AI240" t="s">
        <v>3998</v>
      </c>
      <c r="AJ240">
        <v>0</v>
      </c>
      <c r="AK240" t="s">
        <v>4456</v>
      </c>
      <c r="AL240">
        <v>1</v>
      </c>
      <c r="AM240">
        <v>0</v>
      </c>
      <c r="AN240">
        <v>16.65</v>
      </c>
      <c r="AR240" t="s">
        <v>2176</v>
      </c>
      <c r="AS240" t="s">
        <v>4487</v>
      </c>
      <c r="AT240">
        <v>2080</v>
      </c>
      <c r="AX240" t="s">
        <v>4501</v>
      </c>
      <c r="BA240" t="s">
        <v>4551</v>
      </c>
      <c r="BE240" t="s">
        <v>4704</v>
      </c>
    </row>
    <row r="241" spans="1:57">
      <c r="A241" s="1">
        <f>HYPERLINK("https://lsnyc.legalserver.org/matter/dynamic-profile/view/1911058","19-1911058")</f>
        <v>0</v>
      </c>
      <c r="B241" t="s">
        <v>72</v>
      </c>
      <c r="C241" t="s">
        <v>93</v>
      </c>
      <c r="D241" t="s">
        <v>168</v>
      </c>
      <c r="F241" t="s">
        <v>448</v>
      </c>
      <c r="G241" t="s">
        <v>984</v>
      </c>
      <c r="H241" t="s">
        <v>1415</v>
      </c>
      <c r="I241" t="s">
        <v>1937</v>
      </c>
      <c r="J241" t="s">
        <v>2169</v>
      </c>
      <c r="K241" t="s">
        <v>2171</v>
      </c>
      <c r="L241">
        <v>10031</v>
      </c>
      <c r="M241" t="s">
        <v>2172</v>
      </c>
      <c r="N241" t="s">
        <v>2172</v>
      </c>
      <c r="O241" t="s">
        <v>2179</v>
      </c>
      <c r="P241" t="s">
        <v>2406</v>
      </c>
      <c r="Q241">
        <v>72</v>
      </c>
      <c r="R241" t="s">
        <v>2844</v>
      </c>
      <c r="S241" t="s">
        <v>2857</v>
      </c>
      <c r="U241" t="s">
        <v>2869</v>
      </c>
      <c r="V241" t="s">
        <v>2174</v>
      </c>
      <c r="W241" t="s">
        <v>2174</v>
      </c>
      <c r="Y241" t="s">
        <v>2876</v>
      </c>
      <c r="AB241">
        <v>0</v>
      </c>
      <c r="AC241">
        <v>450</v>
      </c>
      <c r="AD241">
        <v>1</v>
      </c>
      <c r="AE241" t="s">
        <v>2894</v>
      </c>
      <c r="AG241" t="s">
        <v>3135</v>
      </c>
      <c r="AI241" t="s">
        <v>3999</v>
      </c>
      <c r="AJ241">
        <v>0</v>
      </c>
      <c r="AK241" t="s">
        <v>4461</v>
      </c>
      <c r="AL241">
        <v>1</v>
      </c>
      <c r="AM241">
        <v>0</v>
      </c>
      <c r="AN241">
        <v>74.08</v>
      </c>
      <c r="AR241" t="s">
        <v>4476</v>
      </c>
      <c r="AS241" t="s">
        <v>4486</v>
      </c>
      <c r="AT241">
        <v>9252</v>
      </c>
      <c r="AX241" t="s">
        <v>4504</v>
      </c>
      <c r="BA241" t="s">
        <v>4531</v>
      </c>
      <c r="BD241" t="s">
        <v>168</v>
      </c>
      <c r="BE241" t="s">
        <v>4703</v>
      </c>
    </row>
    <row r="242" spans="1:57">
      <c r="A242" s="1">
        <f>HYPERLINK("https://lsnyc.legalserver.org/matter/dynamic-profile/view/1911084","19-1911084")</f>
        <v>0</v>
      </c>
      <c r="B242" t="s">
        <v>73</v>
      </c>
      <c r="C242" t="s">
        <v>93</v>
      </c>
      <c r="D242" t="s">
        <v>168</v>
      </c>
      <c r="F242" t="s">
        <v>449</v>
      </c>
      <c r="G242" t="s">
        <v>985</v>
      </c>
      <c r="H242" t="s">
        <v>1513</v>
      </c>
      <c r="I242">
        <v>23</v>
      </c>
      <c r="J242" t="s">
        <v>2169</v>
      </c>
      <c r="K242" t="s">
        <v>2171</v>
      </c>
      <c r="L242">
        <v>10031</v>
      </c>
      <c r="M242" t="s">
        <v>2173</v>
      </c>
      <c r="N242" t="s">
        <v>2172</v>
      </c>
      <c r="O242" t="s">
        <v>2179</v>
      </c>
      <c r="P242" t="s">
        <v>2407</v>
      </c>
      <c r="Q242">
        <v>26</v>
      </c>
      <c r="R242" t="s">
        <v>2844</v>
      </c>
      <c r="S242" t="s">
        <v>2857</v>
      </c>
      <c r="U242" t="s">
        <v>2869</v>
      </c>
      <c r="V242" t="s">
        <v>2174</v>
      </c>
      <c r="W242" t="s">
        <v>2174</v>
      </c>
      <c r="Y242" t="s">
        <v>2876</v>
      </c>
      <c r="AA242" t="s">
        <v>168</v>
      </c>
      <c r="AB242">
        <v>0</v>
      </c>
      <c r="AC242">
        <v>1274.86</v>
      </c>
      <c r="AD242">
        <v>14.6</v>
      </c>
      <c r="AE242" t="s">
        <v>2894</v>
      </c>
      <c r="AG242" t="s">
        <v>3136</v>
      </c>
      <c r="AI242" t="s">
        <v>4000</v>
      </c>
      <c r="AJ242">
        <v>49</v>
      </c>
      <c r="AK242" t="s">
        <v>4458</v>
      </c>
      <c r="AL242">
        <v>2</v>
      </c>
      <c r="AM242">
        <v>0</v>
      </c>
      <c r="AN242">
        <v>145.69</v>
      </c>
      <c r="AR242" t="s">
        <v>4476</v>
      </c>
      <c r="AS242" t="s">
        <v>4487</v>
      </c>
      <c r="AT242">
        <v>24636</v>
      </c>
      <c r="AX242" t="s">
        <v>4501</v>
      </c>
      <c r="BA242" t="s">
        <v>4537</v>
      </c>
      <c r="BD242" t="s">
        <v>154</v>
      </c>
      <c r="BE242" t="s">
        <v>4703</v>
      </c>
    </row>
    <row r="243" spans="1:57">
      <c r="A243" s="1">
        <f>HYPERLINK("https://lsnyc.legalserver.org/matter/dynamic-profile/view/1911568","19-1911568")</f>
        <v>0</v>
      </c>
      <c r="B243" t="s">
        <v>62</v>
      </c>
      <c r="C243" t="s">
        <v>93</v>
      </c>
      <c r="D243" t="s">
        <v>169</v>
      </c>
      <c r="F243" t="s">
        <v>450</v>
      </c>
      <c r="G243" t="s">
        <v>986</v>
      </c>
      <c r="H243" t="s">
        <v>1449</v>
      </c>
      <c r="I243" t="s">
        <v>2008</v>
      </c>
      <c r="J243" t="s">
        <v>2169</v>
      </c>
      <c r="K243" t="s">
        <v>2171</v>
      </c>
      <c r="L243">
        <v>10031</v>
      </c>
      <c r="M243" t="s">
        <v>2173</v>
      </c>
      <c r="N243" t="s">
        <v>2172</v>
      </c>
      <c r="O243" t="s">
        <v>2179</v>
      </c>
      <c r="P243" t="s">
        <v>2408</v>
      </c>
      <c r="Q243">
        <v>7</v>
      </c>
      <c r="R243" t="s">
        <v>2844</v>
      </c>
      <c r="S243" t="s">
        <v>2857</v>
      </c>
      <c r="U243" t="s">
        <v>2869</v>
      </c>
      <c r="V243" t="s">
        <v>2174</v>
      </c>
      <c r="W243" t="s">
        <v>2174</v>
      </c>
      <c r="Y243" t="s">
        <v>2876</v>
      </c>
      <c r="Z243" t="s">
        <v>2879</v>
      </c>
      <c r="AA243" t="s">
        <v>169</v>
      </c>
      <c r="AB243">
        <v>0</v>
      </c>
      <c r="AC243">
        <v>1428</v>
      </c>
      <c r="AD243">
        <v>0</v>
      </c>
      <c r="AE243" t="s">
        <v>2894</v>
      </c>
      <c r="AG243" t="s">
        <v>3137</v>
      </c>
      <c r="AI243" t="s">
        <v>4001</v>
      </c>
      <c r="AJ243">
        <v>0</v>
      </c>
      <c r="AL243">
        <v>2</v>
      </c>
      <c r="AM243">
        <v>2</v>
      </c>
      <c r="AN243">
        <v>132.82</v>
      </c>
      <c r="AR243" t="s">
        <v>4476</v>
      </c>
      <c r="AS243" t="s">
        <v>4491</v>
      </c>
      <c r="AT243">
        <v>34200</v>
      </c>
      <c r="AX243" t="s">
        <v>4504</v>
      </c>
      <c r="BA243" t="s">
        <v>4543</v>
      </c>
      <c r="BE243" t="s">
        <v>4703</v>
      </c>
    </row>
    <row r="244" spans="1:57">
      <c r="A244" s="1">
        <f>HYPERLINK("https://lsnyc.legalserver.org/matter/dynamic-profile/view/1887769","19-1887769")</f>
        <v>0</v>
      </c>
      <c r="B244" t="s">
        <v>75</v>
      </c>
      <c r="C244" t="s">
        <v>93</v>
      </c>
      <c r="D244" t="s">
        <v>99</v>
      </c>
      <c r="F244" t="s">
        <v>451</v>
      </c>
      <c r="G244" t="s">
        <v>879</v>
      </c>
      <c r="H244" t="s">
        <v>1514</v>
      </c>
      <c r="I244">
        <v>65</v>
      </c>
      <c r="J244" t="s">
        <v>2169</v>
      </c>
      <c r="K244" t="s">
        <v>2171</v>
      </c>
      <c r="L244">
        <v>10031</v>
      </c>
      <c r="M244" t="s">
        <v>2172</v>
      </c>
      <c r="N244" t="s">
        <v>2172</v>
      </c>
      <c r="Q244">
        <v>0</v>
      </c>
      <c r="U244" t="s">
        <v>2870</v>
      </c>
      <c r="V244" t="s">
        <v>2174</v>
      </c>
      <c r="X244" t="s">
        <v>2868</v>
      </c>
      <c r="Y244" t="s">
        <v>2876</v>
      </c>
      <c r="AB244">
        <v>0</v>
      </c>
      <c r="AC244">
        <v>0</v>
      </c>
      <c r="AD244">
        <v>8</v>
      </c>
      <c r="AE244" t="s">
        <v>2894</v>
      </c>
      <c r="AG244" t="s">
        <v>3138</v>
      </c>
      <c r="AJ244">
        <v>0</v>
      </c>
      <c r="AL244">
        <v>1</v>
      </c>
      <c r="AM244">
        <v>4</v>
      </c>
      <c r="AN244">
        <v>53.03</v>
      </c>
      <c r="AS244" t="s">
        <v>4487</v>
      </c>
      <c r="AT244">
        <v>15600</v>
      </c>
      <c r="AX244" t="s">
        <v>4506</v>
      </c>
      <c r="BA244" t="s">
        <v>4546</v>
      </c>
      <c r="BD244" t="s">
        <v>112</v>
      </c>
    </row>
    <row r="245" spans="1:57">
      <c r="A245" s="1">
        <f>HYPERLINK("https://lsnyc.legalserver.org/matter/dynamic-profile/view/1892859","19-1892859")</f>
        <v>0</v>
      </c>
      <c r="B245" t="s">
        <v>63</v>
      </c>
      <c r="C245" t="s">
        <v>93</v>
      </c>
      <c r="D245" t="s">
        <v>140</v>
      </c>
      <c r="F245" t="s">
        <v>338</v>
      </c>
      <c r="G245" t="s">
        <v>987</v>
      </c>
      <c r="H245" t="s">
        <v>1515</v>
      </c>
      <c r="J245" t="s">
        <v>2169</v>
      </c>
      <c r="K245" t="s">
        <v>2171</v>
      </c>
      <c r="L245">
        <v>10031</v>
      </c>
      <c r="M245" t="s">
        <v>2172</v>
      </c>
      <c r="N245" t="s">
        <v>2172</v>
      </c>
      <c r="Q245">
        <v>34</v>
      </c>
      <c r="U245" t="s">
        <v>2869</v>
      </c>
      <c r="V245" t="s">
        <v>2174</v>
      </c>
      <c r="Y245" t="s">
        <v>2875</v>
      </c>
      <c r="AB245">
        <v>0</v>
      </c>
      <c r="AC245">
        <v>607</v>
      </c>
      <c r="AD245">
        <v>6</v>
      </c>
      <c r="AE245" t="s">
        <v>2894</v>
      </c>
      <c r="AG245" t="s">
        <v>3139</v>
      </c>
      <c r="AI245" t="s">
        <v>4002</v>
      </c>
      <c r="AJ245">
        <v>150</v>
      </c>
      <c r="AL245">
        <v>1</v>
      </c>
      <c r="AM245">
        <v>0</v>
      </c>
      <c r="AN245">
        <v>240.19</v>
      </c>
      <c r="AS245" t="s">
        <v>4486</v>
      </c>
      <c r="AT245">
        <v>30000</v>
      </c>
      <c r="AX245" t="s">
        <v>86</v>
      </c>
      <c r="BA245" t="s">
        <v>4546</v>
      </c>
      <c r="BD245" t="s">
        <v>104</v>
      </c>
    </row>
    <row r="246" spans="1:57">
      <c r="A246" s="1">
        <f>HYPERLINK("https://lsnyc.legalserver.org/matter/dynamic-profile/view/1899322","19-1899322")</f>
        <v>0</v>
      </c>
      <c r="B246" t="s">
        <v>69</v>
      </c>
      <c r="C246" t="s">
        <v>93</v>
      </c>
      <c r="D246" t="s">
        <v>170</v>
      </c>
      <c r="F246" t="s">
        <v>452</v>
      </c>
      <c r="G246" t="s">
        <v>988</v>
      </c>
      <c r="H246" t="s">
        <v>1516</v>
      </c>
      <c r="I246">
        <v>41</v>
      </c>
      <c r="J246" t="s">
        <v>2169</v>
      </c>
      <c r="K246" t="s">
        <v>2171</v>
      </c>
      <c r="L246">
        <v>10031</v>
      </c>
      <c r="M246" t="s">
        <v>2172</v>
      </c>
      <c r="N246" t="s">
        <v>2172</v>
      </c>
      <c r="O246" t="s">
        <v>2177</v>
      </c>
      <c r="Q246">
        <v>6</v>
      </c>
      <c r="S246" t="s">
        <v>2858</v>
      </c>
      <c r="U246" t="s">
        <v>2868</v>
      </c>
      <c r="V246" t="s">
        <v>2174</v>
      </c>
      <c r="W246" t="s">
        <v>2174</v>
      </c>
      <c r="Y246" t="s">
        <v>2876</v>
      </c>
      <c r="Z246" t="s">
        <v>2883</v>
      </c>
      <c r="AB246">
        <v>0</v>
      </c>
      <c r="AC246">
        <v>2088</v>
      </c>
      <c r="AD246">
        <v>1.1</v>
      </c>
      <c r="AE246" t="s">
        <v>2894</v>
      </c>
      <c r="AG246" t="s">
        <v>3140</v>
      </c>
      <c r="AI246" t="s">
        <v>4003</v>
      </c>
      <c r="AJ246">
        <v>0</v>
      </c>
      <c r="AK246" t="s">
        <v>4456</v>
      </c>
      <c r="AL246">
        <v>1</v>
      </c>
      <c r="AM246">
        <v>0</v>
      </c>
      <c r="AN246">
        <v>270.55</v>
      </c>
      <c r="AR246" t="s">
        <v>4476</v>
      </c>
      <c r="AS246" t="s">
        <v>4486</v>
      </c>
      <c r="AT246">
        <v>33792</v>
      </c>
      <c r="AX246" t="s">
        <v>4504</v>
      </c>
      <c r="BA246" t="s">
        <v>4598</v>
      </c>
      <c r="BD246" t="s">
        <v>4677</v>
      </c>
    </row>
    <row r="247" spans="1:57">
      <c r="A247" s="1">
        <f>HYPERLINK("https://lsnyc.legalserver.org/matter/dynamic-profile/view/1905335","19-1905335")</f>
        <v>0</v>
      </c>
      <c r="B247" t="s">
        <v>62</v>
      </c>
      <c r="C247" t="s">
        <v>93</v>
      </c>
      <c r="D247" t="s">
        <v>171</v>
      </c>
      <c r="F247" t="s">
        <v>453</v>
      </c>
      <c r="G247" t="s">
        <v>989</v>
      </c>
      <c r="H247" t="s">
        <v>1517</v>
      </c>
      <c r="I247">
        <v>1</v>
      </c>
      <c r="J247" t="s">
        <v>2169</v>
      </c>
      <c r="K247" t="s">
        <v>2171</v>
      </c>
      <c r="L247">
        <v>10031</v>
      </c>
      <c r="M247" t="s">
        <v>2174</v>
      </c>
      <c r="N247" t="s">
        <v>2172</v>
      </c>
      <c r="O247" t="s">
        <v>2177</v>
      </c>
      <c r="P247" t="s">
        <v>2409</v>
      </c>
      <c r="Q247">
        <v>30</v>
      </c>
      <c r="S247" t="s">
        <v>2861</v>
      </c>
      <c r="U247" t="s">
        <v>2868</v>
      </c>
      <c r="V247" t="s">
        <v>2174</v>
      </c>
      <c r="W247" t="s">
        <v>2174</v>
      </c>
      <c r="Y247" t="s">
        <v>2876</v>
      </c>
      <c r="AB247">
        <v>0</v>
      </c>
      <c r="AC247">
        <v>300</v>
      </c>
      <c r="AD247">
        <v>18.8</v>
      </c>
      <c r="AE247" t="s">
        <v>2894</v>
      </c>
      <c r="AG247" t="s">
        <v>3141</v>
      </c>
      <c r="AI247" t="s">
        <v>4004</v>
      </c>
      <c r="AJ247">
        <v>0</v>
      </c>
      <c r="AK247" t="s">
        <v>4458</v>
      </c>
      <c r="AL247">
        <v>1</v>
      </c>
      <c r="AM247">
        <v>0</v>
      </c>
      <c r="AN247">
        <v>72.06</v>
      </c>
      <c r="AR247" t="s">
        <v>4476</v>
      </c>
      <c r="AS247" t="s">
        <v>4486</v>
      </c>
      <c r="AT247">
        <v>9000</v>
      </c>
      <c r="AX247" t="s">
        <v>4504</v>
      </c>
      <c r="BA247" t="s">
        <v>4538</v>
      </c>
      <c r="BD247" t="s">
        <v>210</v>
      </c>
    </row>
    <row r="248" spans="1:57">
      <c r="A248" s="1">
        <f>HYPERLINK("https://lsnyc.legalserver.org/matter/dynamic-profile/view/1908225","19-1908225")</f>
        <v>0</v>
      </c>
      <c r="B248" t="s">
        <v>75</v>
      </c>
      <c r="C248" t="s">
        <v>93</v>
      </c>
      <c r="D248" t="s">
        <v>172</v>
      </c>
      <c r="F248" t="s">
        <v>454</v>
      </c>
      <c r="G248" t="s">
        <v>990</v>
      </c>
      <c r="H248" t="s">
        <v>1518</v>
      </c>
      <c r="I248">
        <v>31</v>
      </c>
      <c r="J248" t="s">
        <v>2169</v>
      </c>
      <c r="K248" t="s">
        <v>2171</v>
      </c>
      <c r="L248">
        <v>10031</v>
      </c>
      <c r="M248" t="s">
        <v>2172</v>
      </c>
      <c r="N248" t="s">
        <v>2172</v>
      </c>
      <c r="P248" t="s">
        <v>2410</v>
      </c>
      <c r="Q248">
        <v>22</v>
      </c>
      <c r="U248" t="s">
        <v>2868</v>
      </c>
      <c r="V248" t="s">
        <v>2174</v>
      </c>
      <c r="Y248" t="s">
        <v>2876</v>
      </c>
      <c r="AB248">
        <v>0</v>
      </c>
      <c r="AC248">
        <v>1279</v>
      </c>
      <c r="AD248">
        <v>0</v>
      </c>
      <c r="AE248" t="s">
        <v>2894</v>
      </c>
      <c r="AG248" t="s">
        <v>3142</v>
      </c>
      <c r="AI248" t="s">
        <v>4005</v>
      </c>
      <c r="AJ248">
        <v>0</v>
      </c>
      <c r="AL248">
        <v>1</v>
      </c>
      <c r="AM248">
        <v>1</v>
      </c>
      <c r="AN248">
        <v>0</v>
      </c>
      <c r="AS248" t="s">
        <v>4486</v>
      </c>
      <c r="AT248">
        <v>0</v>
      </c>
      <c r="AX248" t="s">
        <v>4499</v>
      </c>
      <c r="BA248" t="s">
        <v>4547</v>
      </c>
    </row>
    <row r="249" spans="1:57">
      <c r="A249" s="1">
        <f>HYPERLINK("https://lsnyc.legalserver.org/matter/dynamic-profile/view/1887716","19-1887716")</f>
        <v>0</v>
      </c>
      <c r="B249" t="s">
        <v>63</v>
      </c>
      <c r="C249" t="s">
        <v>92</v>
      </c>
      <c r="D249" t="s">
        <v>99</v>
      </c>
      <c r="E249" t="s">
        <v>226</v>
      </c>
      <c r="F249" t="s">
        <v>455</v>
      </c>
      <c r="G249" t="s">
        <v>991</v>
      </c>
      <c r="H249" t="s">
        <v>1519</v>
      </c>
      <c r="I249" t="s">
        <v>1917</v>
      </c>
      <c r="J249" t="s">
        <v>2169</v>
      </c>
      <c r="K249" t="s">
        <v>2171</v>
      </c>
      <c r="L249">
        <v>10030</v>
      </c>
      <c r="M249" t="s">
        <v>2173</v>
      </c>
      <c r="N249" t="s">
        <v>2173</v>
      </c>
      <c r="O249" t="s">
        <v>2175</v>
      </c>
      <c r="P249" t="s">
        <v>2411</v>
      </c>
      <c r="Q249">
        <v>35</v>
      </c>
      <c r="R249" t="s">
        <v>2843</v>
      </c>
      <c r="S249" t="s">
        <v>2856</v>
      </c>
      <c r="T249" t="s">
        <v>2862</v>
      </c>
      <c r="U249" t="s">
        <v>2868</v>
      </c>
      <c r="V249" t="s">
        <v>2174</v>
      </c>
      <c r="W249" t="s">
        <v>2174</v>
      </c>
      <c r="Y249" t="s">
        <v>2876</v>
      </c>
      <c r="Z249" t="s">
        <v>2879</v>
      </c>
      <c r="AA249" t="s">
        <v>99</v>
      </c>
      <c r="AB249">
        <v>0</v>
      </c>
      <c r="AC249">
        <v>1120.05</v>
      </c>
      <c r="AD249">
        <v>4.2</v>
      </c>
      <c r="AE249" t="s">
        <v>2894</v>
      </c>
      <c r="AF249" t="s">
        <v>2896</v>
      </c>
      <c r="AG249" t="s">
        <v>3143</v>
      </c>
      <c r="AI249" t="s">
        <v>4006</v>
      </c>
      <c r="AJ249">
        <v>35</v>
      </c>
      <c r="AK249" t="s">
        <v>4463</v>
      </c>
      <c r="AL249">
        <v>2</v>
      </c>
      <c r="AM249">
        <v>0</v>
      </c>
      <c r="AN249">
        <v>138.73</v>
      </c>
      <c r="AQ249" t="s">
        <v>4473</v>
      </c>
      <c r="AR249" t="s">
        <v>2176</v>
      </c>
      <c r="AS249" t="s">
        <v>4486</v>
      </c>
      <c r="AT249">
        <v>23460</v>
      </c>
      <c r="AX249" t="s">
        <v>4502</v>
      </c>
      <c r="BA249" t="s">
        <v>4599</v>
      </c>
      <c r="BD249" t="s">
        <v>163</v>
      </c>
      <c r="BE249" t="s">
        <v>4703</v>
      </c>
    </row>
    <row r="250" spans="1:57">
      <c r="A250" s="1">
        <f>HYPERLINK("https://lsnyc.legalserver.org/matter/dynamic-profile/view/1891608","19-1891608")</f>
        <v>0</v>
      </c>
      <c r="B250" t="s">
        <v>57</v>
      </c>
      <c r="C250" t="s">
        <v>92</v>
      </c>
      <c r="D250" t="s">
        <v>107</v>
      </c>
      <c r="E250" t="s">
        <v>216</v>
      </c>
      <c r="F250" t="s">
        <v>456</v>
      </c>
      <c r="G250" t="s">
        <v>992</v>
      </c>
      <c r="H250" t="s">
        <v>1520</v>
      </c>
      <c r="I250">
        <v>22</v>
      </c>
      <c r="J250" t="s">
        <v>2169</v>
      </c>
      <c r="K250" t="s">
        <v>2171</v>
      </c>
      <c r="L250">
        <v>10030</v>
      </c>
      <c r="M250" t="s">
        <v>2173</v>
      </c>
      <c r="N250" t="s">
        <v>2173</v>
      </c>
      <c r="O250" t="s">
        <v>2175</v>
      </c>
      <c r="P250" t="s">
        <v>2412</v>
      </c>
      <c r="Q250">
        <v>-1</v>
      </c>
      <c r="R250" t="s">
        <v>2843</v>
      </c>
      <c r="S250" t="s">
        <v>2856</v>
      </c>
      <c r="T250" t="s">
        <v>2863</v>
      </c>
      <c r="U250" t="s">
        <v>2868</v>
      </c>
      <c r="V250" t="s">
        <v>2174</v>
      </c>
      <c r="W250" t="s">
        <v>2174</v>
      </c>
      <c r="Y250" t="s">
        <v>2876</v>
      </c>
      <c r="AA250" t="s">
        <v>107</v>
      </c>
      <c r="AB250">
        <v>0</v>
      </c>
      <c r="AC250">
        <v>800</v>
      </c>
      <c r="AD250">
        <v>1.1</v>
      </c>
      <c r="AE250" t="s">
        <v>2894</v>
      </c>
      <c r="AF250" t="s">
        <v>2896</v>
      </c>
      <c r="AG250" t="s">
        <v>2997</v>
      </c>
      <c r="AI250" t="s">
        <v>4004</v>
      </c>
      <c r="AJ250">
        <v>0</v>
      </c>
      <c r="AK250" t="s">
        <v>4458</v>
      </c>
      <c r="AL250">
        <v>2</v>
      </c>
      <c r="AM250">
        <v>0</v>
      </c>
      <c r="AN250">
        <v>0</v>
      </c>
      <c r="AQ250" t="s">
        <v>4473</v>
      </c>
      <c r="AS250" t="s">
        <v>4487</v>
      </c>
      <c r="AT250">
        <v>0</v>
      </c>
      <c r="AX250" t="s">
        <v>4501</v>
      </c>
      <c r="BA250" t="s">
        <v>4539</v>
      </c>
      <c r="BD250" t="s">
        <v>212</v>
      </c>
    </row>
    <row r="251" spans="1:57">
      <c r="A251" s="1">
        <f>HYPERLINK("https://lsnyc.legalserver.org/matter/dynamic-profile/view/1891638","19-1891638")</f>
        <v>0</v>
      </c>
      <c r="B251" t="s">
        <v>62</v>
      </c>
      <c r="C251" t="s">
        <v>92</v>
      </c>
      <c r="D251" t="s">
        <v>107</v>
      </c>
      <c r="E251" t="s">
        <v>213</v>
      </c>
      <c r="F251" t="s">
        <v>457</v>
      </c>
      <c r="G251" t="s">
        <v>993</v>
      </c>
      <c r="H251" t="s">
        <v>1521</v>
      </c>
      <c r="I251" t="s">
        <v>1983</v>
      </c>
      <c r="J251" t="s">
        <v>2169</v>
      </c>
      <c r="K251" t="s">
        <v>2171</v>
      </c>
      <c r="L251">
        <v>10030</v>
      </c>
      <c r="M251" t="s">
        <v>2173</v>
      </c>
      <c r="N251" t="s">
        <v>2173</v>
      </c>
      <c r="O251" t="s">
        <v>2175</v>
      </c>
      <c r="P251" t="s">
        <v>2413</v>
      </c>
      <c r="Q251">
        <v>8</v>
      </c>
      <c r="R251" t="s">
        <v>2843</v>
      </c>
      <c r="S251" t="s">
        <v>2856</v>
      </c>
      <c r="T251" t="s">
        <v>2863</v>
      </c>
      <c r="U251" t="s">
        <v>2868</v>
      </c>
      <c r="V251" t="s">
        <v>2174</v>
      </c>
      <c r="W251" t="s">
        <v>2174</v>
      </c>
      <c r="Y251" t="s">
        <v>2876</v>
      </c>
      <c r="AA251" t="s">
        <v>107</v>
      </c>
      <c r="AB251">
        <v>0</v>
      </c>
      <c r="AC251">
        <v>1283</v>
      </c>
      <c r="AD251">
        <v>2.1</v>
      </c>
      <c r="AE251" t="s">
        <v>2894</v>
      </c>
      <c r="AF251" t="s">
        <v>2896</v>
      </c>
      <c r="AG251" t="s">
        <v>3144</v>
      </c>
      <c r="AH251" t="s">
        <v>3645</v>
      </c>
      <c r="AI251" t="s">
        <v>4007</v>
      </c>
      <c r="AJ251">
        <v>29</v>
      </c>
      <c r="AK251" t="s">
        <v>4456</v>
      </c>
      <c r="AL251">
        <v>1</v>
      </c>
      <c r="AM251">
        <v>0</v>
      </c>
      <c r="AN251">
        <v>18.94</v>
      </c>
      <c r="AQ251" t="s">
        <v>4473</v>
      </c>
      <c r="AR251" t="s">
        <v>4482</v>
      </c>
      <c r="AS251" t="s">
        <v>4486</v>
      </c>
      <c r="AT251">
        <v>2366</v>
      </c>
      <c r="AX251" t="s">
        <v>4501</v>
      </c>
      <c r="BA251" t="s">
        <v>4564</v>
      </c>
      <c r="BD251" t="s">
        <v>107</v>
      </c>
      <c r="BE251" t="s">
        <v>4704</v>
      </c>
    </row>
    <row r="252" spans="1:57">
      <c r="A252" s="1">
        <f>HYPERLINK("https://lsnyc.legalserver.org/matter/dynamic-profile/view/1894708","19-1894708")</f>
        <v>0</v>
      </c>
      <c r="B252" t="s">
        <v>71</v>
      </c>
      <c r="C252" t="s">
        <v>93</v>
      </c>
      <c r="D252" t="s">
        <v>119</v>
      </c>
      <c r="F252" t="s">
        <v>458</v>
      </c>
      <c r="G252" t="s">
        <v>994</v>
      </c>
      <c r="H252" t="s">
        <v>1522</v>
      </c>
      <c r="I252" t="s">
        <v>1937</v>
      </c>
      <c r="J252" t="s">
        <v>2169</v>
      </c>
      <c r="K252" t="s">
        <v>2171</v>
      </c>
      <c r="L252">
        <v>10030</v>
      </c>
      <c r="M252" t="s">
        <v>2173</v>
      </c>
      <c r="N252" t="s">
        <v>2173</v>
      </c>
      <c r="O252" t="s">
        <v>2178</v>
      </c>
      <c r="P252" t="s">
        <v>2414</v>
      </c>
      <c r="Q252">
        <v>7</v>
      </c>
      <c r="R252" t="s">
        <v>2843</v>
      </c>
      <c r="S252" t="s">
        <v>2856</v>
      </c>
      <c r="U252" t="s">
        <v>2868</v>
      </c>
      <c r="V252" t="s">
        <v>2174</v>
      </c>
      <c r="W252" t="s">
        <v>2174</v>
      </c>
      <c r="Y252" t="s">
        <v>2876</v>
      </c>
      <c r="AA252" t="s">
        <v>119</v>
      </c>
      <c r="AB252">
        <v>0</v>
      </c>
      <c r="AC252">
        <v>1080</v>
      </c>
      <c r="AD252">
        <v>0</v>
      </c>
      <c r="AE252" t="s">
        <v>2894</v>
      </c>
      <c r="AG252" t="s">
        <v>3145</v>
      </c>
      <c r="AI252" t="s">
        <v>4008</v>
      </c>
      <c r="AJ252">
        <v>10</v>
      </c>
      <c r="AK252" t="s">
        <v>4457</v>
      </c>
      <c r="AL252">
        <v>2</v>
      </c>
      <c r="AM252">
        <v>0</v>
      </c>
      <c r="AN252">
        <v>12.76</v>
      </c>
      <c r="AQ252" t="s">
        <v>4473</v>
      </c>
      <c r="AR252" t="s">
        <v>4476</v>
      </c>
      <c r="AS252" t="s">
        <v>4486</v>
      </c>
      <c r="AT252">
        <v>2158</v>
      </c>
      <c r="AX252" t="s">
        <v>4502</v>
      </c>
      <c r="BA252" t="s">
        <v>4564</v>
      </c>
    </row>
    <row r="253" spans="1:57">
      <c r="A253" s="1">
        <f>HYPERLINK("https://lsnyc.legalserver.org/matter/dynamic-profile/view/1897473","19-1897473")</f>
        <v>0</v>
      </c>
      <c r="B253" t="s">
        <v>64</v>
      </c>
      <c r="C253" t="s">
        <v>92</v>
      </c>
      <c r="D253" t="s">
        <v>112</v>
      </c>
      <c r="E253" t="s">
        <v>112</v>
      </c>
      <c r="F253" t="s">
        <v>459</v>
      </c>
      <c r="G253" t="s">
        <v>406</v>
      </c>
      <c r="H253" t="s">
        <v>1523</v>
      </c>
      <c r="I253" t="s">
        <v>1960</v>
      </c>
      <c r="J253" t="s">
        <v>2170</v>
      </c>
      <c r="K253" t="s">
        <v>2171</v>
      </c>
      <c r="L253">
        <v>10030</v>
      </c>
      <c r="M253" t="s">
        <v>2173</v>
      </c>
      <c r="N253" t="s">
        <v>2173</v>
      </c>
      <c r="O253" t="s">
        <v>2183</v>
      </c>
      <c r="P253" t="s">
        <v>2415</v>
      </c>
      <c r="Q253">
        <v>19</v>
      </c>
      <c r="R253" t="s">
        <v>2843</v>
      </c>
      <c r="S253" t="s">
        <v>2855</v>
      </c>
      <c r="T253" t="s">
        <v>2862</v>
      </c>
      <c r="U253" t="s">
        <v>2868</v>
      </c>
      <c r="V253" t="s">
        <v>2174</v>
      </c>
      <c r="W253" t="s">
        <v>2174</v>
      </c>
      <c r="Y253" t="s">
        <v>2876</v>
      </c>
      <c r="AA253" t="s">
        <v>112</v>
      </c>
      <c r="AB253">
        <v>0</v>
      </c>
      <c r="AC253">
        <v>221</v>
      </c>
      <c r="AD253">
        <v>0.1</v>
      </c>
      <c r="AE253" t="s">
        <v>2894</v>
      </c>
      <c r="AF253" t="s">
        <v>2896</v>
      </c>
      <c r="AG253" t="s">
        <v>3146</v>
      </c>
      <c r="AI253" t="s">
        <v>4009</v>
      </c>
      <c r="AJ253">
        <v>10</v>
      </c>
      <c r="AK253" t="s">
        <v>4456</v>
      </c>
      <c r="AL253">
        <v>2</v>
      </c>
      <c r="AM253">
        <v>1</v>
      </c>
      <c r="AN253">
        <v>51.29</v>
      </c>
      <c r="AR253" t="s">
        <v>4478</v>
      </c>
      <c r="AS253" t="s">
        <v>4486</v>
      </c>
      <c r="AT253">
        <v>10940</v>
      </c>
      <c r="AX253" t="s">
        <v>4505</v>
      </c>
      <c r="BA253" t="s">
        <v>4600</v>
      </c>
      <c r="BD253" t="s">
        <v>112</v>
      </c>
    </row>
    <row r="254" spans="1:57">
      <c r="A254" s="1">
        <f>HYPERLINK("https://lsnyc.legalserver.org/matter/dynamic-profile/view/1901191","19-1901191")</f>
        <v>0</v>
      </c>
      <c r="B254" t="s">
        <v>57</v>
      </c>
      <c r="C254" t="s">
        <v>93</v>
      </c>
      <c r="D254" t="s">
        <v>104</v>
      </c>
      <c r="F254" t="s">
        <v>460</v>
      </c>
      <c r="G254" t="s">
        <v>995</v>
      </c>
      <c r="H254" t="s">
        <v>1524</v>
      </c>
      <c r="I254" t="s">
        <v>2009</v>
      </c>
      <c r="J254" t="s">
        <v>2169</v>
      </c>
      <c r="K254" t="s">
        <v>2171</v>
      </c>
      <c r="L254">
        <v>10030</v>
      </c>
      <c r="M254" t="s">
        <v>2173</v>
      </c>
      <c r="N254" t="s">
        <v>2172</v>
      </c>
      <c r="O254" t="s">
        <v>2175</v>
      </c>
      <c r="P254" t="s">
        <v>2416</v>
      </c>
      <c r="Q254">
        <v>3</v>
      </c>
      <c r="R254" t="s">
        <v>2843</v>
      </c>
      <c r="S254" t="s">
        <v>2856</v>
      </c>
      <c r="U254" t="s">
        <v>2868</v>
      </c>
      <c r="V254" t="s">
        <v>2174</v>
      </c>
      <c r="W254" t="s">
        <v>2174</v>
      </c>
      <c r="Y254" t="s">
        <v>2875</v>
      </c>
      <c r="Z254" t="s">
        <v>2879</v>
      </c>
      <c r="AA254" t="s">
        <v>104</v>
      </c>
      <c r="AB254">
        <v>0</v>
      </c>
      <c r="AC254">
        <v>187</v>
      </c>
      <c r="AD254">
        <v>1.1</v>
      </c>
      <c r="AE254" t="s">
        <v>2894</v>
      </c>
      <c r="AG254" t="s">
        <v>3147</v>
      </c>
      <c r="AI254" t="s">
        <v>4010</v>
      </c>
      <c r="AJ254">
        <v>0</v>
      </c>
      <c r="AK254" t="s">
        <v>4457</v>
      </c>
      <c r="AL254">
        <v>1</v>
      </c>
      <c r="AM254">
        <v>0</v>
      </c>
      <c r="AN254">
        <v>76.86</v>
      </c>
      <c r="AR254" t="s">
        <v>4476</v>
      </c>
      <c r="AS254" t="s">
        <v>4486</v>
      </c>
      <c r="AT254">
        <v>9600</v>
      </c>
      <c r="AX254" t="s">
        <v>4502</v>
      </c>
      <c r="BA254" t="s">
        <v>4548</v>
      </c>
      <c r="BD254" t="s">
        <v>212</v>
      </c>
      <c r="BE254" t="s">
        <v>4703</v>
      </c>
    </row>
    <row r="255" spans="1:57">
      <c r="A255" s="1">
        <f>HYPERLINK("https://lsnyc.legalserver.org/matter/dynamic-profile/view/1907061","19-1907061")</f>
        <v>0</v>
      </c>
      <c r="B255" t="s">
        <v>68</v>
      </c>
      <c r="C255" t="s">
        <v>92</v>
      </c>
      <c r="D255" t="s">
        <v>128</v>
      </c>
      <c r="E255" t="s">
        <v>197</v>
      </c>
      <c r="F255" t="s">
        <v>461</v>
      </c>
      <c r="G255" t="s">
        <v>245</v>
      </c>
      <c r="H255" t="s">
        <v>1525</v>
      </c>
      <c r="I255" t="s">
        <v>2010</v>
      </c>
      <c r="J255" t="s">
        <v>2169</v>
      </c>
      <c r="K255" t="s">
        <v>2171</v>
      </c>
      <c r="L255">
        <v>10030</v>
      </c>
      <c r="M255" t="s">
        <v>2173</v>
      </c>
      <c r="N255" t="s">
        <v>2172</v>
      </c>
      <c r="O255" t="s">
        <v>2175</v>
      </c>
      <c r="P255" t="s">
        <v>2417</v>
      </c>
      <c r="Q255">
        <v>45</v>
      </c>
      <c r="R255" t="s">
        <v>2843</v>
      </c>
      <c r="S255" t="s">
        <v>2856</v>
      </c>
      <c r="T255" t="s">
        <v>2863</v>
      </c>
      <c r="U255" t="s">
        <v>2868</v>
      </c>
      <c r="V255" t="s">
        <v>2174</v>
      </c>
      <c r="W255" t="s">
        <v>2174</v>
      </c>
      <c r="Y255" t="s">
        <v>2876</v>
      </c>
      <c r="Z255" t="s">
        <v>2879</v>
      </c>
      <c r="AA255" t="s">
        <v>128</v>
      </c>
      <c r="AB255">
        <v>0</v>
      </c>
      <c r="AC255">
        <v>829</v>
      </c>
      <c r="AD255">
        <v>1.3</v>
      </c>
      <c r="AE255" t="s">
        <v>2894</v>
      </c>
      <c r="AF255" t="s">
        <v>2896</v>
      </c>
      <c r="AG255" t="s">
        <v>3148</v>
      </c>
      <c r="AI255" t="s">
        <v>4011</v>
      </c>
      <c r="AJ255">
        <v>240</v>
      </c>
      <c r="AK255" t="s">
        <v>4456</v>
      </c>
      <c r="AL255">
        <v>1</v>
      </c>
      <c r="AM255">
        <v>0</v>
      </c>
      <c r="AN255">
        <v>166.53</v>
      </c>
      <c r="AR255" t="s">
        <v>4478</v>
      </c>
      <c r="AS255" t="s">
        <v>4486</v>
      </c>
      <c r="AT255">
        <v>20800</v>
      </c>
      <c r="AX255" t="s">
        <v>4501</v>
      </c>
      <c r="BA255" t="s">
        <v>4546</v>
      </c>
      <c r="BD255" t="s">
        <v>187</v>
      </c>
      <c r="BE255" t="s">
        <v>4703</v>
      </c>
    </row>
    <row r="256" spans="1:57">
      <c r="A256" s="1">
        <f>HYPERLINK("https://lsnyc.legalserver.org/matter/dynamic-profile/view/1910177","19-1910177")</f>
        <v>0</v>
      </c>
      <c r="B256" t="s">
        <v>62</v>
      </c>
      <c r="C256" t="s">
        <v>92</v>
      </c>
      <c r="D256" t="s">
        <v>114</v>
      </c>
      <c r="E256" t="s">
        <v>213</v>
      </c>
      <c r="F256" t="s">
        <v>462</v>
      </c>
      <c r="G256" t="s">
        <v>996</v>
      </c>
      <c r="H256" t="s">
        <v>1526</v>
      </c>
      <c r="I256" t="s">
        <v>2011</v>
      </c>
      <c r="J256" t="s">
        <v>2169</v>
      </c>
      <c r="K256" t="s">
        <v>2171</v>
      </c>
      <c r="L256">
        <v>10030</v>
      </c>
      <c r="M256" t="s">
        <v>2173</v>
      </c>
      <c r="N256" t="s">
        <v>2172</v>
      </c>
      <c r="O256" t="s">
        <v>2175</v>
      </c>
      <c r="P256" t="s">
        <v>2418</v>
      </c>
      <c r="Q256">
        <v>16</v>
      </c>
      <c r="R256" t="s">
        <v>2843</v>
      </c>
      <c r="S256" t="s">
        <v>2856</v>
      </c>
      <c r="T256" t="s">
        <v>2863</v>
      </c>
      <c r="U256" t="s">
        <v>2868</v>
      </c>
      <c r="V256" t="s">
        <v>2174</v>
      </c>
      <c r="W256" t="s">
        <v>2174</v>
      </c>
      <c r="Y256" t="s">
        <v>2875</v>
      </c>
      <c r="AA256" t="s">
        <v>114</v>
      </c>
      <c r="AB256">
        <v>0</v>
      </c>
      <c r="AC256">
        <v>232</v>
      </c>
      <c r="AD256">
        <v>0</v>
      </c>
      <c r="AE256" t="s">
        <v>2894</v>
      </c>
      <c r="AF256" t="s">
        <v>2896</v>
      </c>
      <c r="AG256" t="s">
        <v>3149</v>
      </c>
      <c r="AH256" t="s">
        <v>3646</v>
      </c>
      <c r="AI256" t="s">
        <v>4012</v>
      </c>
      <c r="AJ256">
        <v>247</v>
      </c>
      <c r="AK256" t="s">
        <v>4459</v>
      </c>
      <c r="AL256">
        <v>1</v>
      </c>
      <c r="AM256">
        <v>0</v>
      </c>
      <c r="AN256">
        <v>74.08</v>
      </c>
      <c r="AR256" t="s">
        <v>4476</v>
      </c>
      <c r="AS256" t="s">
        <v>4486</v>
      </c>
      <c r="AT256">
        <v>9252</v>
      </c>
      <c r="AX256" t="s">
        <v>4501</v>
      </c>
      <c r="BA256" t="s">
        <v>4538</v>
      </c>
      <c r="BD256" t="s">
        <v>4670</v>
      </c>
      <c r="BE256" t="s">
        <v>4704</v>
      </c>
    </row>
    <row r="257" spans="1:57">
      <c r="A257" s="1">
        <f>HYPERLINK("https://lsnyc.legalserver.org/matter/dynamic-profile/view/1910227","19-1910227")</f>
        <v>0</v>
      </c>
      <c r="B257" t="s">
        <v>62</v>
      </c>
      <c r="C257" t="s">
        <v>92</v>
      </c>
      <c r="D257" t="s">
        <v>114</v>
      </c>
      <c r="E257" t="s">
        <v>213</v>
      </c>
      <c r="F257" t="s">
        <v>463</v>
      </c>
      <c r="G257" t="s">
        <v>997</v>
      </c>
      <c r="H257" t="s">
        <v>1527</v>
      </c>
      <c r="I257">
        <v>5</v>
      </c>
      <c r="J257" t="s">
        <v>2169</v>
      </c>
      <c r="K257" t="s">
        <v>2171</v>
      </c>
      <c r="L257">
        <v>10030</v>
      </c>
      <c r="M257" t="s">
        <v>2173</v>
      </c>
      <c r="N257" t="s">
        <v>2172</v>
      </c>
      <c r="O257" t="s">
        <v>2183</v>
      </c>
      <c r="P257" t="s">
        <v>2419</v>
      </c>
      <c r="Q257">
        <v>6</v>
      </c>
      <c r="R257" t="s">
        <v>2843</v>
      </c>
      <c r="S257" t="s">
        <v>2856</v>
      </c>
      <c r="T257" t="s">
        <v>2863</v>
      </c>
      <c r="U257" t="s">
        <v>2868</v>
      </c>
      <c r="V257" t="s">
        <v>2174</v>
      </c>
      <c r="W257" t="s">
        <v>2174</v>
      </c>
      <c r="Y257" t="s">
        <v>2876</v>
      </c>
      <c r="AB257">
        <v>0</v>
      </c>
      <c r="AC257">
        <v>1000</v>
      </c>
      <c r="AD257">
        <v>0</v>
      </c>
      <c r="AE257" t="s">
        <v>2894</v>
      </c>
      <c r="AF257" t="s">
        <v>2896</v>
      </c>
      <c r="AG257" t="s">
        <v>2952</v>
      </c>
      <c r="AI257" t="s">
        <v>4013</v>
      </c>
      <c r="AJ257">
        <v>42</v>
      </c>
      <c r="AK257" t="s">
        <v>4458</v>
      </c>
      <c r="AL257">
        <v>1</v>
      </c>
      <c r="AM257">
        <v>0</v>
      </c>
      <c r="AN257">
        <v>249.8</v>
      </c>
      <c r="AR257" t="s">
        <v>4476</v>
      </c>
      <c r="AS257" t="s">
        <v>4487</v>
      </c>
      <c r="AT257">
        <v>31200</v>
      </c>
      <c r="AX257" t="s">
        <v>4504</v>
      </c>
      <c r="BA257" t="s">
        <v>4546</v>
      </c>
      <c r="BD257" t="s">
        <v>4670</v>
      </c>
      <c r="BE257" t="s">
        <v>4703</v>
      </c>
    </row>
    <row r="258" spans="1:57">
      <c r="A258" s="1">
        <f>HYPERLINK("https://lsnyc.legalserver.org/matter/dynamic-profile/view/1887702","19-1887702")</f>
        <v>0</v>
      </c>
      <c r="B258" t="s">
        <v>62</v>
      </c>
      <c r="C258" t="s">
        <v>93</v>
      </c>
      <c r="D258" t="s">
        <v>99</v>
      </c>
      <c r="F258" t="s">
        <v>464</v>
      </c>
      <c r="G258" t="s">
        <v>998</v>
      </c>
      <c r="H258" t="s">
        <v>1528</v>
      </c>
      <c r="I258" t="s">
        <v>1931</v>
      </c>
      <c r="J258" t="s">
        <v>2169</v>
      </c>
      <c r="K258" t="s">
        <v>2171</v>
      </c>
      <c r="L258">
        <v>10030</v>
      </c>
      <c r="M258" t="s">
        <v>2173</v>
      </c>
      <c r="N258" t="s">
        <v>2173</v>
      </c>
      <c r="O258" t="s">
        <v>2175</v>
      </c>
      <c r="P258" t="s">
        <v>2420</v>
      </c>
      <c r="Q258">
        <v>8</v>
      </c>
      <c r="R258" t="s">
        <v>2844</v>
      </c>
      <c r="S258" t="s">
        <v>2856</v>
      </c>
      <c r="U258" t="s">
        <v>2868</v>
      </c>
      <c r="V258" t="s">
        <v>2174</v>
      </c>
      <c r="W258" t="s">
        <v>2174</v>
      </c>
      <c r="Y258" t="s">
        <v>2876</v>
      </c>
      <c r="Z258" t="s">
        <v>2879</v>
      </c>
      <c r="AA258" t="s">
        <v>2889</v>
      </c>
      <c r="AB258">
        <v>0</v>
      </c>
      <c r="AC258">
        <v>885.1799999999999</v>
      </c>
      <c r="AD258">
        <v>0</v>
      </c>
      <c r="AE258" t="s">
        <v>2894</v>
      </c>
      <c r="AG258" t="s">
        <v>3150</v>
      </c>
      <c r="AI258" t="s">
        <v>4014</v>
      </c>
      <c r="AJ258">
        <v>13</v>
      </c>
      <c r="AK258" t="s">
        <v>4456</v>
      </c>
      <c r="AL258">
        <v>1</v>
      </c>
      <c r="AM258">
        <v>1</v>
      </c>
      <c r="AN258">
        <v>177.41</v>
      </c>
      <c r="AQ258" t="s">
        <v>4475</v>
      </c>
      <c r="AR258" t="s">
        <v>4476</v>
      </c>
      <c r="AS258" t="s">
        <v>4486</v>
      </c>
      <c r="AT258">
        <v>30000</v>
      </c>
      <c r="AX258" t="s">
        <v>4502</v>
      </c>
      <c r="BA258" t="s">
        <v>4546</v>
      </c>
    </row>
    <row r="259" spans="1:57">
      <c r="A259" s="1">
        <f>HYPERLINK("https://lsnyc.legalserver.org/matter/dynamic-profile/view/1887704","19-1887704")</f>
        <v>0</v>
      </c>
      <c r="B259" t="s">
        <v>63</v>
      </c>
      <c r="C259" t="s">
        <v>92</v>
      </c>
      <c r="D259" t="s">
        <v>99</v>
      </c>
      <c r="E259" t="s">
        <v>226</v>
      </c>
      <c r="F259" t="s">
        <v>465</v>
      </c>
      <c r="G259" t="s">
        <v>274</v>
      </c>
      <c r="H259" t="s">
        <v>1529</v>
      </c>
      <c r="I259" t="s">
        <v>1950</v>
      </c>
      <c r="J259" t="s">
        <v>2169</v>
      </c>
      <c r="K259" t="s">
        <v>2171</v>
      </c>
      <c r="L259">
        <v>10030</v>
      </c>
      <c r="M259" t="s">
        <v>2173</v>
      </c>
      <c r="N259" t="s">
        <v>2173</v>
      </c>
      <c r="O259" t="s">
        <v>2175</v>
      </c>
      <c r="P259" t="s">
        <v>2421</v>
      </c>
      <c r="Q259">
        <v>22</v>
      </c>
      <c r="R259" t="s">
        <v>2844</v>
      </c>
      <c r="S259" t="s">
        <v>2856</v>
      </c>
      <c r="T259" t="s">
        <v>2863</v>
      </c>
      <c r="U259" t="s">
        <v>2868</v>
      </c>
      <c r="V259" t="s">
        <v>2174</v>
      </c>
      <c r="W259" t="s">
        <v>2174</v>
      </c>
      <c r="Y259" t="s">
        <v>2876</v>
      </c>
      <c r="Z259" t="s">
        <v>2879</v>
      </c>
      <c r="AA259" t="s">
        <v>99</v>
      </c>
      <c r="AB259">
        <v>0</v>
      </c>
      <c r="AC259">
        <v>826.75</v>
      </c>
      <c r="AD259">
        <v>0.1</v>
      </c>
      <c r="AE259" t="s">
        <v>2894</v>
      </c>
      <c r="AF259" t="s">
        <v>2896</v>
      </c>
      <c r="AG259" t="s">
        <v>3082</v>
      </c>
      <c r="AI259" t="s">
        <v>4015</v>
      </c>
      <c r="AJ259">
        <v>19</v>
      </c>
      <c r="AK259" t="s">
        <v>4456</v>
      </c>
      <c r="AL259">
        <v>1</v>
      </c>
      <c r="AM259">
        <v>0</v>
      </c>
      <c r="AN259">
        <v>123.36</v>
      </c>
      <c r="AQ259" t="s">
        <v>4473</v>
      </c>
      <c r="AR259" t="s">
        <v>4476</v>
      </c>
      <c r="AS259" t="s">
        <v>4486</v>
      </c>
      <c r="AT259">
        <v>14976</v>
      </c>
      <c r="AX259" t="s">
        <v>4502</v>
      </c>
      <c r="BA259" t="s">
        <v>4546</v>
      </c>
      <c r="BD259" t="s">
        <v>176</v>
      </c>
    </row>
    <row r="260" spans="1:57">
      <c r="A260" s="1">
        <f>HYPERLINK("https://lsnyc.legalserver.org/matter/dynamic-profile/view/1894652","19-1894652")</f>
        <v>0</v>
      </c>
      <c r="B260" t="s">
        <v>71</v>
      </c>
      <c r="C260" t="s">
        <v>93</v>
      </c>
      <c r="D260" t="s">
        <v>119</v>
      </c>
      <c r="F260" t="s">
        <v>346</v>
      </c>
      <c r="G260" t="s">
        <v>933</v>
      </c>
      <c r="H260" t="s">
        <v>1530</v>
      </c>
      <c r="I260" t="s">
        <v>2004</v>
      </c>
      <c r="J260" t="s">
        <v>2169</v>
      </c>
      <c r="K260" t="s">
        <v>2171</v>
      </c>
      <c r="L260">
        <v>10030</v>
      </c>
      <c r="M260" t="s">
        <v>2173</v>
      </c>
      <c r="N260" t="s">
        <v>2173</v>
      </c>
      <c r="O260" t="s">
        <v>2178</v>
      </c>
      <c r="P260" t="s">
        <v>2422</v>
      </c>
      <c r="Q260">
        <v>5</v>
      </c>
      <c r="R260" t="s">
        <v>2844</v>
      </c>
      <c r="S260" t="s">
        <v>2857</v>
      </c>
      <c r="U260" t="s">
        <v>2868</v>
      </c>
      <c r="V260" t="s">
        <v>2174</v>
      </c>
      <c r="W260" t="s">
        <v>2174</v>
      </c>
      <c r="Y260" t="s">
        <v>2876</v>
      </c>
      <c r="AA260" t="s">
        <v>119</v>
      </c>
      <c r="AB260">
        <v>0</v>
      </c>
      <c r="AC260">
        <v>238</v>
      </c>
      <c r="AD260">
        <v>22</v>
      </c>
      <c r="AE260" t="s">
        <v>2894</v>
      </c>
      <c r="AG260" t="s">
        <v>3151</v>
      </c>
      <c r="AI260" t="s">
        <v>4016</v>
      </c>
      <c r="AJ260">
        <v>24</v>
      </c>
      <c r="AK260" t="s">
        <v>4456</v>
      </c>
      <c r="AL260">
        <v>1</v>
      </c>
      <c r="AM260">
        <v>0</v>
      </c>
      <c r="AN260">
        <v>119.86</v>
      </c>
      <c r="AQ260" t="s">
        <v>4473</v>
      </c>
      <c r="AR260" t="s">
        <v>4476</v>
      </c>
      <c r="AS260" t="s">
        <v>4486</v>
      </c>
      <c r="AT260">
        <v>14970.36</v>
      </c>
      <c r="AX260" t="s">
        <v>4502</v>
      </c>
      <c r="BA260" t="s">
        <v>4536</v>
      </c>
      <c r="BD260" t="s">
        <v>4670</v>
      </c>
    </row>
    <row r="261" spans="1:57">
      <c r="A261" s="1">
        <f>HYPERLINK("https://lsnyc.legalserver.org/matter/dynamic-profile/view/1898839","19-1898839")</f>
        <v>0</v>
      </c>
      <c r="B261" t="s">
        <v>57</v>
      </c>
      <c r="C261" t="s">
        <v>92</v>
      </c>
      <c r="D261" t="s">
        <v>109</v>
      </c>
      <c r="E261" t="s">
        <v>216</v>
      </c>
      <c r="F261" t="s">
        <v>466</v>
      </c>
      <c r="G261" t="s">
        <v>798</v>
      </c>
      <c r="H261" t="s">
        <v>1531</v>
      </c>
      <c r="I261" t="s">
        <v>2004</v>
      </c>
      <c r="J261" t="s">
        <v>2169</v>
      </c>
      <c r="K261" t="s">
        <v>2171</v>
      </c>
      <c r="L261">
        <v>10030</v>
      </c>
      <c r="M261" t="s">
        <v>2173</v>
      </c>
      <c r="N261" t="s">
        <v>2173</v>
      </c>
      <c r="O261" t="s">
        <v>2180</v>
      </c>
      <c r="P261" t="s">
        <v>2423</v>
      </c>
      <c r="Q261">
        <v>21</v>
      </c>
      <c r="R261" t="s">
        <v>2844</v>
      </c>
      <c r="S261" t="s">
        <v>2856</v>
      </c>
      <c r="T261" t="s">
        <v>2863</v>
      </c>
      <c r="U261" t="s">
        <v>2868</v>
      </c>
      <c r="V261" t="s">
        <v>2174</v>
      </c>
      <c r="W261" t="s">
        <v>2174</v>
      </c>
      <c r="Y261" t="s">
        <v>2876</v>
      </c>
      <c r="AA261" t="s">
        <v>109</v>
      </c>
      <c r="AB261">
        <v>0</v>
      </c>
      <c r="AC261">
        <v>750.34</v>
      </c>
      <c r="AD261">
        <v>1</v>
      </c>
      <c r="AE261" t="s">
        <v>2894</v>
      </c>
      <c r="AF261" t="s">
        <v>2896</v>
      </c>
      <c r="AG261" t="s">
        <v>3152</v>
      </c>
      <c r="AI261" t="s">
        <v>4017</v>
      </c>
      <c r="AJ261">
        <v>13</v>
      </c>
      <c r="AK261" t="s">
        <v>4456</v>
      </c>
      <c r="AL261">
        <v>2</v>
      </c>
      <c r="AM261">
        <v>1</v>
      </c>
      <c r="AN261">
        <v>135.47</v>
      </c>
      <c r="AR261" t="s">
        <v>4477</v>
      </c>
      <c r="AS261" t="s">
        <v>4486</v>
      </c>
      <c r="AT261">
        <v>28896</v>
      </c>
      <c r="AX261" t="s">
        <v>4501</v>
      </c>
      <c r="BA261" t="s">
        <v>4601</v>
      </c>
      <c r="BD261" t="s">
        <v>109</v>
      </c>
      <c r="BE261" t="s">
        <v>4703</v>
      </c>
    </row>
    <row r="262" spans="1:57">
      <c r="A262" s="1">
        <f>HYPERLINK("https://lsnyc.legalserver.org/matter/dynamic-profile/view/1898840","19-1898840")</f>
        <v>0</v>
      </c>
      <c r="B262" t="s">
        <v>72</v>
      </c>
      <c r="C262" t="s">
        <v>92</v>
      </c>
      <c r="D262" t="s">
        <v>109</v>
      </c>
      <c r="E262" t="s">
        <v>218</v>
      </c>
      <c r="F262" t="s">
        <v>467</v>
      </c>
      <c r="G262" t="s">
        <v>906</v>
      </c>
      <c r="H262" t="s">
        <v>1532</v>
      </c>
      <c r="I262">
        <v>4</v>
      </c>
      <c r="J262" t="s">
        <v>2169</v>
      </c>
      <c r="K262" t="s">
        <v>2171</v>
      </c>
      <c r="L262">
        <v>10030</v>
      </c>
      <c r="M262" t="s">
        <v>2173</v>
      </c>
      <c r="N262" t="s">
        <v>2173</v>
      </c>
      <c r="O262" t="s">
        <v>2183</v>
      </c>
      <c r="P262" t="s">
        <v>2424</v>
      </c>
      <c r="Q262">
        <v>8</v>
      </c>
      <c r="R262" t="s">
        <v>2844</v>
      </c>
      <c r="S262" t="s">
        <v>2856</v>
      </c>
      <c r="T262" t="s">
        <v>2863</v>
      </c>
      <c r="U262" t="s">
        <v>2868</v>
      </c>
      <c r="V262" t="s">
        <v>2174</v>
      </c>
      <c r="W262" t="s">
        <v>2174</v>
      </c>
      <c r="Y262" t="s">
        <v>2876</v>
      </c>
      <c r="AA262" t="s">
        <v>109</v>
      </c>
      <c r="AB262">
        <v>0</v>
      </c>
      <c r="AC262">
        <v>1255</v>
      </c>
      <c r="AD262">
        <v>1.25</v>
      </c>
      <c r="AE262" t="s">
        <v>2894</v>
      </c>
      <c r="AF262" t="s">
        <v>2896</v>
      </c>
      <c r="AG262" t="s">
        <v>3153</v>
      </c>
      <c r="AH262" t="s">
        <v>3647</v>
      </c>
      <c r="AI262" t="s">
        <v>4018</v>
      </c>
      <c r="AJ262">
        <v>0</v>
      </c>
      <c r="AK262" t="s">
        <v>4456</v>
      </c>
      <c r="AL262">
        <v>1</v>
      </c>
      <c r="AM262">
        <v>4</v>
      </c>
      <c r="AN262">
        <v>51.71</v>
      </c>
      <c r="AR262" t="s">
        <v>4476</v>
      </c>
      <c r="AS262" t="s">
        <v>4486</v>
      </c>
      <c r="AT262">
        <v>15600</v>
      </c>
      <c r="AX262" t="s">
        <v>4504</v>
      </c>
      <c r="BA262" t="s">
        <v>4602</v>
      </c>
      <c r="BD262" t="s">
        <v>164</v>
      </c>
      <c r="BE262" t="s">
        <v>4704</v>
      </c>
    </row>
    <row r="263" spans="1:57">
      <c r="A263" s="1">
        <f>HYPERLINK("https://lsnyc.legalserver.org/matter/dynamic-profile/view/1902452","19-1902452")</f>
        <v>0</v>
      </c>
      <c r="B263" t="s">
        <v>73</v>
      </c>
      <c r="C263" t="s">
        <v>92</v>
      </c>
      <c r="D263" t="s">
        <v>173</v>
      </c>
      <c r="E263" t="s">
        <v>176</v>
      </c>
      <c r="F263" t="s">
        <v>468</v>
      </c>
      <c r="G263" t="s">
        <v>999</v>
      </c>
      <c r="H263" t="s">
        <v>1533</v>
      </c>
      <c r="I263">
        <v>57</v>
      </c>
      <c r="J263" t="s">
        <v>2169</v>
      </c>
      <c r="K263" t="s">
        <v>2171</v>
      </c>
      <c r="L263">
        <v>10030</v>
      </c>
      <c r="M263" t="s">
        <v>2173</v>
      </c>
      <c r="N263" t="s">
        <v>2172</v>
      </c>
      <c r="O263" t="s">
        <v>2175</v>
      </c>
      <c r="P263" t="s">
        <v>2425</v>
      </c>
      <c r="Q263">
        <v>19</v>
      </c>
      <c r="R263" t="s">
        <v>2844</v>
      </c>
      <c r="S263" t="s">
        <v>2856</v>
      </c>
      <c r="T263" t="s">
        <v>2863</v>
      </c>
      <c r="U263" t="s">
        <v>2868</v>
      </c>
      <c r="V263" t="s">
        <v>2174</v>
      </c>
      <c r="W263" t="s">
        <v>2174</v>
      </c>
      <c r="Y263" t="s">
        <v>2876</v>
      </c>
      <c r="AA263" t="s">
        <v>173</v>
      </c>
      <c r="AB263">
        <v>0</v>
      </c>
      <c r="AC263">
        <v>300</v>
      </c>
      <c r="AD263">
        <v>1</v>
      </c>
      <c r="AE263" t="s">
        <v>2894</v>
      </c>
      <c r="AF263" t="s">
        <v>2896</v>
      </c>
      <c r="AG263" t="s">
        <v>3154</v>
      </c>
      <c r="AH263" t="s">
        <v>3648</v>
      </c>
      <c r="AI263" t="s">
        <v>4019</v>
      </c>
      <c r="AJ263">
        <v>0</v>
      </c>
      <c r="AK263" t="s">
        <v>4456</v>
      </c>
      <c r="AL263">
        <v>1</v>
      </c>
      <c r="AM263">
        <v>0</v>
      </c>
      <c r="AN263">
        <v>132.11</v>
      </c>
      <c r="AR263" t="s">
        <v>4476</v>
      </c>
      <c r="AS263" t="s">
        <v>4486</v>
      </c>
      <c r="AT263">
        <v>16500</v>
      </c>
      <c r="AX263" t="s">
        <v>4501</v>
      </c>
      <c r="BA263" t="s">
        <v>4603</v>
      </c>
      <c r="BD263" t="s">
        <v>173</v>
      </c>
      <c r="BE263" t="s">
        <v>4704</v>
      </c>
    </row>
    <row r="264" spans="1:57">
      <c r="A264" s="1">
        <f>HYPERLINK("https://lsnyc.legalserver.org/matter/dynamic-profile/view/1902453","19-1902453")</f>
        <v>0</v>
      </c>
      <c r="B264" t="s">
        <v>57</v>
      </c>
      <c r="C264" t="s">
        <v>93</v>
      </c>
      <c r="D264" t="s">
        <v>173</v>
      </c>
      <c r="F264" t="s">
        <v>283</v>
      </c>
      <c r="G264" t="s">
        <v>1000</v>
      </c>
      <c r="H264" t="s">
        <v>1534</v>
      </c>
      <c r="I264" t="s">
        <v>1927</v>
      </c>
      <c r="J264" t="s">
        <v>2169</v>
      </c>
      <c r="K264" t="s">
        <v>2171</v>
      </c>
      <c r="L264">
        <v>10030</v>
      </c>
      <c r="M264" t="s">
        <v>2173</v>
      </c>
      <c r="N264" t="s">
        <v>2172</v>
      </c>
      <c r="O264" t="s">
        <v>2175</v>
      </c>
      <c r="P264" t="s">
        <v>2426</v>
      </c>
      <c r="Q264">
        <v>30</v>
      </c>
      <c r="R264" t="s">
        <v>2844</v>
      </c>
      <c r="S264" t="s">
        <v>2857</v>
      </c>
      <c r="U264" t="s">
        <v>2868</v>
      </c>
      <c r="V264" t="s">
        <v>2174</v>
      </c>
      <c r="W264" t="s">
        <v>2174</v>
      </c>
      <c r="Y264" t="s">
        <v>2875</v>
      </c>
      <c r="AA264" t="s">
        <v>173</v>
      </c>
      <c r="AB264">
        <v>0</v>
      </c>
      <c r="AC264">
        <v>1296</v>
      </c>
      <c r="AD264">
        <v>5.8</v>
      </c>
      <c r="AE264" t="s">
        <v>2894</v>
      </c>
      <c r="AG264" t="s">
        <v>3155</v>
      </c>
      <c r="AI264" t="s">
        <v>4020</v>
      </c>
      <c r="AJ264">
        <v>0</v>
      </c>
      <c r="AK264" t="s">
        <v>4459</v>
      </c>
      <c r="AL264">
        <v>5</v>
      </c>
      <c r="AM264">
        <v>0</v>
      </c>
      <c r="AN264">
        <v>171.71</v>
      </c>
      <c r="AR264" t="s">
        <v>4476</v>
      </c>
      <c r="AS264" t="s">
        <v>4486</v>
      </c>
      <c r="AT264">
        <v>51804.94</v>
      </c>
      <c r="AX264" t="s">
        <v>4504</v>
      </c>
      <c r="BA264" t="s">
        <v>4604</v>
      </c>
      <c r="BD264" t="s">
        <v>210</v>
      </c>
      <c r="BE264" t="s">
        <v>4703</v>
      </c>
    </row>
    <row r="265" spans="1:57">
      <c r="A265" s="1">
        <f>HYPERLINK("https://lsnyc.legalserver.org/matter/dynamic-profile/view/1909363","19-1909363")</f>
        <v>0</v>
      </c>
      <c r="B265" t="s">
        <v>57</v>
      </c>
      <c r="C265" t="s">
        <v>93</v>
      </c>
      <c r="D265" t="s">
        <v>174</v>
      </c>
      <c r="F265" t="s">
        <v>338</v>
      </c>
      <c r="G265" t="s">
        <v>1001</v>
      </c>
      <c r="H265" t="s">
        <v>1535</v>
      </c>
      <c r="I265">
        <v>38</v>
      </c>
      <c r="J265" t="s">
        <v>2169</v>
      </c>
      <c r="K265" t="s">
        <v>2171</v>
      </c>
      <c r="L265">
        <v>10030</v>
      </c>
      <c r="M265" t="s">
        <v>2172</v>
      </c>
      <c r="N265" t="s">
        <v>2172</v>
      </c>
      <c r="O265" t="s">
        <v>2180</v>
      </c>
      <c r="P265" t="s">
        <v>2427</v>
      </c>
      <c r="Q265">
        <v>8</v>
      </c>
      <c r="R265" t="s">
        <v>2844</v>
      </c>
      <c r="S265" t="s">
        <v>2857</v>
      </c>
      <c r="U265" t="s">
        <v>2868</v>
      </c>
      <c r="V265" t="s">
        <v>2174</v>
      </c>
      <c r="W265" t="s">
        <v>2174</v>
      </c>
      <c r="Y265" t="s">
        <v>2876</v>
      </c>
      <c r="AB265">
        <v>0</v>
      </c>
      <c r="AC265">
        <v>350.77</v>
      </c>
      <c r="AD265">
        <v>1</v>
      </c>
      <c r="AE265" t="s">
        <v>2894</v>
      </c>
      <c r="AG265" t="s">
        <v>3156</v>
      </c>
      <c r="AI265" t="s">
        <v>4021</v>
      </c>
      <c r="AJ265">
        <v>72</v>
      </c>
      <c r="AK265" t="s">
        <v>4461</v>
      </c>
      <c r="AL265">
        <v>1</v>
      </c>
      <c r="AM265">
        <v>0</v>
      </c>
      <c r="AN265">
        <v>134.51</v>
      </c>
      <c r="AT265">
        <v>16800</v>
      </c>
      <c r="AX265" t="s">
        <v>4500</v>
      </c>
      <c r="BA265" t="s">
        <v>4531</v>
      </c>
      <c r="BD265" t="s">
        <v>166</v>
      </c>
    </row>
    <row r="266" spans="1:57">
      <c r="A266" s="1">
        <f>HYPERLINK("https://lsnyc.legalserver.org/matter/dynamic-profile/view/1912296","19-1912296")</f>
        <v>0</v>
      </c>
      <c r="B266" t="s">
        <v>73</v>
      </c>
      <c r="C266" t="s">
        <v>93</v>
      </c>
      <c r="D266" t="s">
        <v>120</v>
      </c>
      <c r="F266" t="s">
        <v>247</v>
      </c>
      <c r="G266" t="s">
        <v>381</v>
      </c>
      <c r="H266" t="s">
        <v>1536</v>
      </c>
      <c r="I266" t="s">
        <v>1982</v>
      </c>
      <c r="J266" t="s">
        <v>2169</v>
      </c>
      <c r="K266" t="s">
        <v>2171</v>
      </c>
      <c r="L266">
        <v>10030</v>
      </c>
      <c r="M266" t="s">
        <v>2173</v>
      </c>
      <c r="N266" t="s">
        <v>2172</v>
      </c>
      <c r="O266" t="s">
        <v>2175</v>
      </c>
      <c r="P266" t="s">
        <v>2428</v>
      </c>
      <c r="Q266">
        <v>35</v>
      </c>
      <c r="R266" t="s">
        <v>2844</v>
      </c>
      <c r="S266" t="s">
        <v>2858</v>
      </c>
      <c r="U266" t="s">
        <v>2868</v>
      </c>
      <c r="V266" t="s">
        <v>2174</v>
      </c>
      <c r="W266" t="s">
        <v>2174</v>
      </c>
      <c r="Y266" t="s">
        <v>2876</v>
      </c>
      <c r="Z266" t="s">
        <v>2879</v>
      </c>
      <c r="AA266" t="s">
        <v>120</v>
      </c>
      <c r="AB266">
        <v>0</v>
      </c>
      <c r="AC266">
        <v>466</v>
      </c>
      <c r="AD266">
        <v>0</v>
      </c>
      <c r="AE266" t="s">
        <v>2894</v>
      </c>
      <c r="AG266" t="s">
        <v>3157</v>
      </c>
      <c r="AI266" t="s">
        <v>4022</v>
      </c>
      <c r="AJ266">
        <v>19</v>
      </c>
      <c r="AK266" t="s">
        <v>4461</v>
      </c>
      <c r="AL266">
        <v>1</v>
      </c>
      <c r="AM266">
        <v>0</v>
      </c>
      <c r="AN266">
        <v>125</v>
      </c>
      <c r="AS266" t="s">
        <v>4486</v>
      </c>
      <c r="AT266">
        <v>15612</v>
      </c>
      <c r="AX266" t="s">
        <v>4500</v>
      </c>
      <c r="BA266" t="s">
        <v>4605</v>
      </c>
      <c r="BE266" t="s">
        <v>4703</v>
      </c>
    </row>
    <row r="267" spans="1:57">
      <c r="A267" s="1">
        <f>HYPERLINK("https://lsnyc.legalserver.org/matter/dynamic-profile/view/1896064","19-1896064")</f>
        <v>0</v>
      </c>
      <c r="B267" t="s">
        <v>71</v>
      </c>
      <c r="C267" t="s">
        <v>93</v>
      </c>
      <c r="D267" t="s">
        <v>100</v>
      </c>
      <c r="F267" t="s">
        <v>469</v>
      </c>
      <c r="G267" t="s">
        <v>1002</v>
      </c>
      <c r="H267" t="s">
        <v>1537</v>
      </c>
      <c r="I267" t="s">
        <v>1950</v>
      </c>
      <c r="J267" t="s">
        <v>2169</v>
      </c>
      <c r="K267" t="s">
        <v>2171</v>
      </c>
      <c r="L267">
        <v>10030</v>
      </c>
      <c r="M267" t="s">
        <v>2173</v>
      </c>
      <c r="N267" t="s">
        <v>2173</v>
      </c>
      <c r="O267" t="s">
        <v>2178</v>
      </c>
      <c r="Q267">
        <v>28</v>
      </c>
      <c r="R267" t="s">
        <v>2847</v>
      </c>
      <c r="S267" t="s">
        <v>2856</v>
      </c>
      <c r="U267" t="s">
        <v>2868</v>
      </c>
      <c r="V267" t="s">
        <v>2174</v>
      </c>
      <c r="W267" t="s">
        <v>2174</v>
      </c>
      <c r="Y267" t="s">
        <v>2875</v>
      </c>
      <c r="Z267" t="s">
        <v>2879</v>
      </c>
      <c r="AA267" t="s">
        <v>100</v>
      </c>
      <c r="AB267">
        <v>0</v>
      </c>
      <c r="AC267">
        <v>474</v>
      </c>
      <c r="AD267">
        <v>0.7</v>
      </c>
      <c r="AE267" t="s">
        <v>2894</v>
      </c>
      <c r="AG267" t="s">
        <v>3158</v>
      </c>
      <c r="AI267" t="s">
        <v>4023</v>
      </c>
      <c r="AJ267">
        <v>0</v>
      </c>
      <c r="AK267" t="s">
        <v>4457</v>
      </c>
      <c r="AL267">
        <v>2</v>
      </c>
      <c r="AM267">
        <v>2</v>
      </c>
      <c r="AN267">
        <v>83.23999999999999</v>
      </c>
      <c r="AQ267" t="s">
        <v>4474</v>
      </c>
      <c r="AR267" t="s">
        <v>4476</v>
      </c>
      <c r="AS267" t="s">
        <v>4486</v>
      </c>
      <c r="AT267">
        <v>21434</v>
      </c>
      <c r="AX267" t="s">
        <v>4502</v>
      </c>
      <c r="BA267" t="s">
        <v>4606</v>
      </c>
      <c r="BD267" t="s">
        <v>100</v>
      </c>
    </row>
    <row r="268" spans="1:57">
      <c r="A268" s="1">
        <f>HYPERLINK("https://lsnyc.legalserver.org/matter/dynamic-profile/view/1905967","19-1905967")</f>
        <v>0</v>
      </c>
      <c r="B268" t="s">
        <v>63</v>
      </c>
      <c r="C268" t="s">
        <v>93</v>
      </c>
      <c r="D268" t="s">
        <v>127</v>
      </c>
      <c r="F268" t="s">
        <v>470</v>
      </c>
      <c r="G268" t="s">
        <v>809</v>
      </c>
      <c r="H268" t="s">
        <v>1538</v>
      </c>
      <c r="I268" t="s">
        <v>2012</v>
      </c>
      <c r="J268" t="s">
        <v>2169</v>
      </c>
      <c r="K268" t="s">
        <v>2171</v>
      </c>
      <c r="L268">
        <v>10030</v>
      </c>
      <c r="M268" t="s">
        <v>2173</v>
      </c>
      <c r="N268" t="s">
        <v>2172</v>
      </c>
      <c r="O268" t="s">
        <v>2183</v>
      </c>
      <c r="P268" t="s">
        <v>2429</v>
      </c>
      <c r="Q268">
        <v>21</v>
      </c>
      <c r="R268" t="s">
        <v>2847</v>
      </c>
      <c r="S268" t="s">
        <v>2858</v>
      </c>
      <c r="U268" t="s">
        <v>2868</v>
      </c>
      <c r="V268" t="s">
        <v>2174</v>
      </c>
      <c r="W268" t="s">
        <v>2173</v>
      </c>
      <c r="Y268" t="s">
        <v>2875</v>
      </c>
      <c r="AA268" t="s">
        <v>127</v>
      </c>
      <c r="AB268">
        <v>0</v>
      </c>
      <c r="AC268">
        <v>240.6</v>
      </c>
      <c r="AD268">
        <v>1</v>
      </c>
      <c r="AE268" t="s">
        <v>2894</v>
      </c>
      <c r="AG268" t="s">
        <v>3159</v>
      </c>
      <c r="AI268" t="s">
        <v>4024</v>
      </c>
      <c r="AJ268">
        <v>245</v>
      </c>
      <c r="AK268" t="s">
        <v>4459</v>
      </c>
      <c r="AL268">
        <v>1</v>
      </c>
      <c r="AM268">
        <v>0</v>
      </c>
      <c r="AN268">
        <v>72.06</v>
      </c>
      <c r="AR268" t="s">
        <v>4476</v>
      </c>
      <c r="AS268" t="s">
        <v>4486</v>
      </c>
      <c r="AT268">
        <v>9000</v>
      </c>
      <c r="AX268" t="s">
        <v>4504</v>
      </c>
      <c r="BA268" t="s">
        <v>4548</v>
      </c>
      <c r="BD268" t="s">
        <v>127</v>
      </c>
      <c r="BE268" t="s">
        <v>4703</v>
      </c>
    </row>
    <row r="269" spans="1:57">
      <c r="A269" s="1">
        <f>HYPERLINK("https://lsnyc.legalserver.org/matter/dynamic-profile/view/1888414","19-1888414")</f>
        <v>0</v>
      </c>
      <c r="B269" t="s">
        <v>66</v>
      </c>
      <c r="C269" t="s">
        <v>92</v>
      </c>
      <c r="D269" t="s">
        <v>103</v>
      </c>
      <c r="E269" t="s">
        <v>215</v>
      </c>
      <c r="F269" t="s">
        <v>471</v>
      </c>
      <c r="G269" t="s">
        <v>1003</v>
      </c>
      <c r="H269" t="s">
        <v>1539</v>
      </c>
      <c r="I269" t="s">
        <v>1955</v>
      </c>
      <c r="J269" t="s">
        <v>2169</v>
      </c>
      <c r="K269" t="s">
        <v>2171</v>
      </c>
      <c r="L269">
        <v>10029</v>
      </c>
      <c r="M269" t="s">
        <v>2173</v>
      </c>
      <c r="N269" t="s">
        <v>2173</v>
      </c>
      <c r="O269" t="s">
        <v>2175</v>
      </c>
      <c r="P269" t="s">
        <v>2430</v>
      </c>
      <c r="Q269">
        <v>1</v>
      </c>
      <c r="R269" t="s">
        <v>2843</v>
      </c>
      <c r="S269" t="s">
        <v>2856</v>
      </c>
      <c r="T269" t="s">
        <v>2863</v>
      </c>
      <c r="U269" t="s">
        <v>2868</v>
      </c>
      <c r="V269" t="s">
        <v>2174</v>
      </c>
      <c r="Y269" t="s">
        <v>2876</v>
      </c>
      <c r="AA269" t="s">
        <v>103</v>
      </c>
      <c r="AB269">
        <v>0</v>
      </c>
      <c r="AC269">
        <v>868</v>
      </c>
      <c r="AD269">
        <v>2.3</v>
      </c>
      <c r="AE269" t="s">
        <v>2894</v>
      </c>
      <c r="AF269" t="s">
        <v>2896</v>
      </c>
      <c r="AG269" t="s">
        <v>3160</v>
      </c>
      <c r="AI269" t="s">
        <v>4025</v>
      </c>
      <c r="AJ269">
        <v>0</v>
      </c>
      <c r="AL269">
        <v>1</v>
      </c>
      <c r="AM269">
        <v>0</v>
      </c>
      <c r="AN269">
        <v>98.84999999999999</v>
      </c>
      <c r="AS269" t="s">
        <v>4487</v>
      </c>
      <c r="AT269">
        <v>12000</v>
      </c>
      <c r="AX269" t="s">
        <v>4499</v>
      </c>
      <c r="BA269" t="s">
        <v>4546</v>
      </c>
      <c r="BD269" t="s">
        <v>4688</v>
      </c>
      <c r="BE269" t="s">
        <v>4703</v>
      </c>
    </row>
    <row r="270" spans="1:57">
      <c r="A270" s="1">
        <f>HYPERLINK("https://lsnyc.legalserver.org/matter/dynamic-profile/view/1889132","19-1889132")</f>
        <v>0</v>
      </c>
      <c r="B270" t="s">
        <v>71</v>
      </c>
      <c r="C270" t="s">
        <v>93</v>
      </c>
      <c r="D270" t="s">
        <v>132</v>
      </c>
      <c r="F270" t="s">
        <v>441</v>
      </c>
      <c r="G270" t="s">
        <v>1004</v>
      </c>
      <c r="H270" t="s">
        <v>1540</v>
      </c>
      <c r="I270" t="s">
        <v>1924</v>
      </c>
      <c r="J270" t="s">
        <v>2169</v>
      </c>
      <c r="K270" t="s">
        <v>2171</v>
      </c>
      <c r="L270">
        <v>10029</v>
      </c>
      <c r="M270" t="s">
        <v>2173</v>
      </c>
      <c r="N270" t="s">
        <v>2173</v>
      </c>
      <c r="O270" t="s">
        <v>2183</v>
      </c>
      <c r="P270" t="s">
        <v>2431</v>
      </c>
      <c r="Q270">
        <v>20</v>
      </c>
      <c r="R270" t="s">
        <v>2843</v>
      </c>
      <c r="S270" t="s">
        <v>2856</v>
      </c>
      <c r="U270" t="s">
        <v>2868</v>
      </c>
      <c r="V270" t="s">
        <v>2174</v>
      </c>
      <c r="W270" t="s">
        <v>2174</v>
      </c>
      <c r="Y270" t="s">
        <v>2876</v>
      </c>
      <c r="Z270" t="s">
        <v>2879</v>
      </c>
      <c r="AA270" t="s">
        <v>132</v>
      </c>
      <c r="AB270">
        <v>0</v>
      </c>
      <c r="AC270">
        <v>2150</v>
      </c>
      <c r="AD270">
        <v>12.45</v>
      </c>
      <c r="AE270" t="s">
        <v>2894</v>
      </c>
      <c r="AG270" t="s">
        <v>3161</v>
      </c>
      <c r="AI270" t="s">
        <v>4026</v>
      </c>
      <c r="AJ270">
        <v>4</v>
      </c>
      <c r="AK270" t="s">
        <v>4456</v>
      </c>
      <c r="AL270">
        <v>2</v>
      </c>
      <c r="AM270">
        <v>1</v>
      </c>
      <c r="AN270">
        <v>97.52</v>
      </c>
      <c r="AQ270" t="s">
        <v>4474</v>
      </c>
      <c r="AR270" t="s">
        <v>2176</v>
      </c>
      <c r="AS270" t="s">
        <v>4486</v>
      </c>
      <c r="AT270">
        <v>20800</v>
      </c>
      <c r="AX270" t="s">
        <v>4505</v>
      </c>
      <c r="BA270" t="s">
        <v>4584</v>
      </c>
      <c r="BD270" t="s">
        <v>173</v>
      </c>
    </row>
    <row r="271" spans="1:57">
      <c r="A271" s="1">
        <f>HYPERLINK("https://lsnyc.legalserver.org/matter/dynamic-profile/view/1890383","19-1890383")</f>
        <v>0</v>
      </c>
      <c r="B271" t="s">
        <v>64</v>
      </c>
      <c r="C271" t="s">
        <v>93</v>
      </c>
      <c r="D271" t="s">
        <v>101</v>
      </c>
      <c r="F271" t="s">
        <v>343</v>
      </c>
      <c r="G271" t="s">
        <v>883</v>
      </c>
      <c r="H271" t="s">
        <v>1541</v>
      </c>
      <c r="I271" t="s">
        <v>1912</v>
      </c>
      <c r="J271" t="s">
        <v>2169</v>
      </c>
      <c r="K271" t="s">
        <v>2171</v>
      </c>
      <c r="L271">
        <v>10029</v>
      </c>
      <c r="M271" t="s">
        <v>2173</v>
      </c>
      <c r="N271" t="s">
        <v>2173</v>
      </c>
      <c r="O271" t="s">
        <v>2175</v>
      </c>
      <c r="P271" t="s">
        <v>2432</v>
      </c>
      <c r="Q271">
        <v>8</v>
      </c>
      <c r="R271" t="s">
        <v>2843</v>
      </c>
      <c r="S271" t="s">
        <v>2857</v>
      </c>
      <c r="U271" t="s">
        <v>2868</v>
      </c>
      <c r="V271" t="s">
        <v>2174</v>
      </c>
      <c r="W271" t="s">
        <v>2174</v>
      </c>
      <c r="Y271" t="s">
        <v>2876</v>
      </c>
      <c r="Z271" t="s">
        <v>2879</v>
      </c>
      <c r="AB271">
        <v>0</v>
      </c>
      <c r="AC271">
        <v>1547</v>
      </c>
      <c r="AD271">
        <v>24.15</v>
      </c>
      <c r="AE271" t="s">
        <v>2894</v>
      </c>
      <c r="AG271" t="s">
        <v>3162</v>
      </c>
      <c r="AH271" t="s">
        <v>3649</v>
      </c>
      <c r="AI271" t="s">
        <v>4027</v>
      </c>
      <c r="AJ271">
        <v>0</v>
      </c>
      <c r="AK271" t="s">
        <v>4458</v>
      </c>
      <c r="AL271">
        <v>1</v>
      </c>
      <c r="AM271">
        <v>2</v>
      </c>
      <c r="AN271">
        <v>118.99</v>
      </c>
      <c r="AQ271" t="s">
        <v>4474</v>
      </c>
      <c r="AR271" t="s">
        <v>4478</v>
      </c>
      <c r="AS271" t="s">
        <v>4486</v>
      </c>
      <c r="AT271">
        <v>25380</v>
      </c>
      <c r="AX271" t="s">
        <v>4501</v>
      </c>
      <c r="BA271" t="s">
        <v>4540</v>
      </c>
      <c r="BD271" t="s">
        <v>4684</v>
      </c>
    </row>
    <row r="272" spans="1:57">
      <c r="A272" s="1">
        <f>HYPERLINK("https://lsnyc.legalserver.org/matter/dynamic-profile/view/1894616","19-1894616")</f>
        <v>0</v>
      </c>
      <c r="B272" t="s">
        <v>68</v>
      </c>
      <c r="C272" t="s">
        <v>92</v>
      </c>
      <c r="D272" t="s">
        <v>119</v>
      </c>
      <c r="E272" t="s">
        <v>197</v>
      </c>
      <c r="F272" t="s">
        <v>472</v>
      </c>
      <c r="G272" t="s">
        <v>1005</v>
      </c>
      <c r="H272" t="s">
        <v>1542</v>
      </c>
      <c r="I272" t="s">
        <v>1983</v>
      </c>
      <c r="J272" t="s">
        <v>2169</v>
      </c>
      <c r="K272" t="s">
        <v>2171</v>
      </c>
      <c r="L272">
        <v>10029</v>
      </c>
      <c r="M272" t="s">
        <v>2173</v>
      </c>
      <c r="N272" t="s">
        <v>2173</v>
      </c>
      <c r="O272" t="s">
        <v>2175</v>
      </c>
      <c r="P272" t="s">
        <v>2433</v>
      </c>
      <c r="Q272">
        <v>35</v>
      </c>
      <c r="R272" t="s">
        <v>2843</v>
      </c>
      <c r="S272" t="s">
        <v>2856</v>
      </c>
      <c r="T272" t="s">
        <v>2863</v>
      </c>
      <c r="U272" t="s">
        <v>2868</v>
      </c>
      <c r="V272" t="s">
        <v>2174</v>
      </c>
      <c r="W272" t="s">
        <v>2174</v>
      </c>
      <c r="Y272" t="s">
        <v>2876</v>
      </c>
      <c r="AA272" t="s">
        <v>119</v>
      </c>
      <c r="AB272">
        <v>0</v>
      </c>
      <c r="AC272">
        <v>1111</v>
      </c>
      <c r="AD272">
        <v>1.3</v>
      </c>
      <c r="AE272" t="s">
        <v>2894</v>
      </c>
      <c r="AF272" t="s">
        <v>2896</v>
      </c>
      <c r="AG272" t="s">
        <v>3163</v>
      </c>
      <c r="AH272" t="s">
        <v>3650</v>
      </c>
      <c r="AI272" t="s">
        <v>4028</v>
      </c>
      <c r="AJ272">
        <v>118</v>
      </c>
      <c r="AK272" t="s">
        <v>4462</v>
      </c>
      <c r="AL272">
        <v>1</v>
      </c>
      <c r="AM272">
        <v>0</v>
      </c>
      <c r="AN272">
        <v>0</v>
      </c>
      <c r="AQ272" t="s">
        <v>4473</v>
      </c>
      <c r="AR272" t="s">
        <v>4476</v>
      </c>
      <c r="AS272" t="s">
        <v>4486</v>
      </c>
      <c r="AT272">
        <v>0</v>
      </c>
      <c r="AX272" t="s">
        <v>4502</v>
      </c>
      <c r="BA272" t="s">
        <v>4539</v>
      </c>
      <c r="BD272" t="s">
        <v>168</v>
      </c>
    </row>
    <row r="273" spans="1:57">
      <c r="A273" s="1">
        <f>HYPERLINK("https://lsnyc.legalserver.org/matter/dynamic-profile/view/1897454","19-1897454")</f>
        <v>0</v>
      </c>
      <c r="B273" t="s">
        <v>62</v>
      </c>
      <c r="C273" t="s">
        <v>93</v>
      </c>
      <c r="D273" t="s">
        <v>112</v>
      </c>
      <c r="F273" t="s">
        <v>473</v>
      </c>
      <c r="G273" t="s">
        <v>762</v>
      </c>
      <c r="H273" t="s">
        <v>1543</v>
      </c>
      <c r="I273">
        <v>7</v>
      </c>
      <c r="J273" t="s">
        <v>2169</v>
      </c>
      <c r="K273" t="s">
        <v>2171</v>
      </c>
      <c r="L273">
        <v>10029</v>
      </c>
      <c r="M273" t="s">
        <v>2173</v>
      </c>
      <c r="N273" t="s">
        <v>2173</v>
      </c>
      <c r="O273" t="s">
        <v>2175</v>
      </c>
      <c r="Q273">
        <v>6</v>
      </c>
      <c r="R273" t="s">
        <v>2843</v>
      </c>
      <c r="S273" t="s">
        <v>2856</v>
      </c>
      <c r="U273" t="s">
        <v>2868</v>
      </c>
      <c r="V273" t="s">
        <v>2174</v>
      </c>
      <c r="W273" t="s">
        <v>2174</v>
      </c>
      <c r="Y273" t="s">
        <v>2876</v>
      </c>
      <c r="AA273" t="s">
        <v>112</v>
      </c>
      <c r="AB273">
        <v>0</v>
      </c>
      <c r="AC273">
        <v>1183.26</v>
      </c>
      <c r="AD273">
        <v>0.1</v>
      </c>
      <c r="AE273" t="s">
        <v>2894</v>
      </c>
      <c r="AG273" t="s">
        <v>3164</v>
      </c>
      <c r="AI273" t="s">
        <v>4029</v>
      </c>
      <c r="AJ273">
        <v>15</v>
      </c>
      <c r="AK273" t="s">
        <v>4458</v>
      </c>
      <c r="AL273">
        <v>4</v>
      </c>
      <c r="AM273">
        <v>2</v>
      </c>
      <c r="AN273">
        <v>47.44</v>
      </c>
      <c r="AR273" t="s">
        <v>4476</v>
      </c>
      <c r="AS273" t="s">
        <v>4492</v>
      </c>
      <c r="AT273">
        <v>16409</v>
      </c>
      <c r="AX273" t="s">
        <v>4505</v>
      </c>
      <c r="BA273" t="s">
        <v>4546</v>
      </c>
      <c r="BD273" t="s">
        <v>112</v>
      </c>
    </row>
    <row r="274" spans="1:57">
      <c r="A274" s="1">
        <f>HYPERLINK("https://lsnyc.legalserver.org/matter/dynamic-profile/view/1897533","19-1897533")</f>
        <v>0</v>
      </c>
      <c r="B274" t="s">
        <v>66</v>
      </c>
      <c r="C274" t="s">
        <v>93</v>
      </c>
      <c r="D274" t="s">
        <v>112</v>
      </c>
      <c r="F274" t="s">
        <v>256</v>
      </c>
      <c r="G274" t="s">
        <v>929</v>
      </c>
      <c r="H274" t="s">
        <v>1544</v>
      </c>
      <c r="I274" t="s">
        <v>1937</v>
      </c>
      <c r="J274" t="s">
        <v>2169</v>
      </c>
      <c r="K274" t="s">
        <v>2171</v>
      </c>
      <c r="L274">
        <v>10029</v>
      </c>
      <c r="M274" t="s">
        <v>2173</v>
      </c>
      <c r="N274" t="s">
        <v>2173</v>
      </c>
      <c r="O274" t="s">
        <v>2178</v>
      </c>
      <c r="P274" t="s">
        <v>2434</v>
      </c>
      <c r="Q274">
        <v>14</v>
      </c>
      <c r="R274" t="s">
        <v>2843</v>
      </c>
      <c r="S274" t="s">
        <v>2856</v>
      </c>
      <c r="U274" t="s">
        <v>2868</v>
      </c>
      <c r="V274" t="s">
        <v>2174</v>
      </c>
      <c r="W274" t="s">
        <v>2174</v>
      </c>
      <c r="Y274" t="s">
        <v>2876</v>
      </c>
      <c r="AA274" t="s">
        <v>112</v>
      </c>
      <c r="AB274">
        <v>0</v>
      </c>
      <c r="AC274">
        <v>735.5</v>
      </c>
      <c r="AD274">
        <v>1.8</v>
      </c>
      <c r="AE274" t="s">
        <v>2894</v>
      </c>
      <c r="AG274" t="s">
        <v>3165</v>
      </c>
      <c r="AI274" t="s">
        <v>4030</v>
      </c>
      <c r="AJ274">
        <v>8</v>
      </c>
      <c r="AK274" t="s">
        <v>4461</v>
      </c>
      <c r="AL274">
        <v>2</v>
      </c>
      <c r="AM274">
        <v>2</v>
      </c>
      <c r="AN274">
        <v>116.5</v>
      </c>
      <c r="AR274" t="s">
        <v>4476</v>
      </c>
      <c r="AS274" t="s">
        <v>4487</v>
      </c>
      <c r="AT274">
        <v>30000</v>
      </c>
      <c r="AX274" t="s">
        <v>4501</v>
      </c>
      <c r="BA274" t="s">
        <v>4546</v>
      </c>
      <c r="BD274" t="s">
        <v>2887</v>
      </c>
    </row>
    <row r="275" spans="1:57">
      <c r="A275" s="1">
        <f>HYPERLINK("https://lsnyc.legalserver.org/matter/dynamic-profile/view/1902416","19-1902416")</f>
        <v>0</v>
      </c>
      <c r="B275" t="s">
        <v>64</v>
      </c>
      <c r="C275" t="s">
        <v>92</v>
      </c>
      <c r="D275" t="s">
        <v>173</v>
      </c>
      <c r="E275" t="s">
        <v>114</v>
      </c>
      <c r="F275" t="s">
        <v>474</v>
      </c>
      <c r="G275" t="s">
        <v>819</v>
      </c>
      <c r="H275" t="s">
        <v>1545</v>
      </c>
      <c r="I275" t="s">
        <v>2013</v>
      </c>
      <c r="J275" t="s">
        <v>2169</v>
      </c>
      <c r="K275" t="s">
        <v>2171</v>
      </c>
      <c r="L275">
        <v>10029</v>
      </c>
      <c r="M275" t="s">
        <v>2173</v>
      </c>
      <c r="N275" t="s">
        <v>2172</v>
      </c>
      <c r="O275" t="s">
        <v>2175</v>
      </c>
      <c r="P275" t="s">
        <v>2435</v>
      </c>
      <c r="Q275">
        <v>40</v>
      </c>
      <c r="R275" t="s">
        <v>2843</v>
      </c>
      <c r="S275" t="s">
        <v>2855</v>
      </c>
      <c r="T275" t="s">
        <v>2862</v>
      </c>
      <c r="U275" t="s">
        <v>2868</v>
      </c>
      <c r="V275" t="s">
        <v>2174</v>
      </c>
      <c r="W275" t="s">
        <v>2174</v>
      </c>
      <c r="Y275" t="s">
        <v>2875</v>
      </c>
      <c r="Z275" t="s">
        <v>2879</v>
      </c>
      <c r="AA275" t="s">
        <v>173</v>
      </c>
      <c r="AB275">
        <v>0</v>
      </c>
      <c r="AC275">
        <v>266</v>
      </c>
      <c r="AD275">
        <v>5.6</v>
      </c>
      <c r="AE275" t="s">
        <v>2894</v>
      </c>
      <c r="AF275" t="s">
        <v>2901</v>
      </c>
      <c r="AG275" t="s">
        <v>3166</v>
      </c>
      <c r="AI275" t="s">
        <v>4031</v>
      </c>
      <c r="AJ275">
        <v>0</v>
      </c>
      <c r="AK275" t="s">
        <v>4459</v>
      </c>
      <c r="AL275">
        <v>1</v>
      </c>
      <c r="AM275">
        <v>0</v>
      </c>
      <c r="AN275">
        <v>253.93</v>
      </c>
      <c r="AR275" t="s">
        <v>4476</v>
      </c>
      <c r="AS275" t="s">
        <v>4486</v>
      </c>
      <c r="AT275">
        <v>31716</v>
      </c>
      <c r="AX275" t="s">
        <v>4501</v>
      </c>
      <c r="BA275" t="s">
        <v>4586</v>
      </c>
      <c r="BD275" t="s">
        <v>114</v>
      </c>
      <c r="BE275" t="s">
        <v>4703</v>
      </c>
    </row>
    <row r="276" spans="1:57">
      <c r="A276" s="1">
        <f>HYPERLINK("https://lsnyc.legalserver.org/matter/dynamic-profile/view/1904619","19-1904619")</f>
        <v>0</v>
      </c>
      <c r="B276" t="s">
        <v>72</v>
      </c>
      <c r="C276" t="s">
        <v>92</v>
      </c>
      <c r="D276" t="s">
        <v>131</v>
      </c>
      <c r="E276" t="s">
        <v>186</v>
      </c>
      <c r="F276" t="s">
        <v>331</v>
      </c>
      <c r="G276" t="s">
        <v>1006</v>
      </c>
      <c r="H276" t="s">
        <v>1546</v>
      </c>
      <c r="I276" t="s">
        <v>2013</v>
      </c>
      <c r="J276" t="s">
        <v>2169</v>
      </c>
      <c r="K276" t="s">
        <v>2171</v>
      </c>
      <c r="L276">
        <v>10029</v>
      </c>
      <c r="M276" t="s">
        <v>2173</v>
      </c>
      <c r="N276" t="s">
        <v>2172</v>
      </c>
      <c r="O276" t="s">
        <v>2175</v>
      </c>
      <c r="P276" t="s">
        <v>2436</v>
      </c>
      <c r="Q276">
        <v>2</v>
      </c>
      <c r="R276" t="s">
        <v>2843</v>
      </c>
      <c r="S276" t="s">
        <v>2856</v>
      </c>
      <c r="T276" t="s">
        <v>2863</v>
      </c>
      <c r="U276" t="s">
        <v>2868</v>
      </c>
      <c r="V276" t="s">
        <v>2174</v>
      </c>
      <c r="W276" t="s">
        <v>2174</v>
      </c>
      <c r="Y276" t="s">
        <v>2875</v>
      </c>
      <c r="Z276" t="s">
        <v>2879</v>
      </c>
      <c r="AA276" t="s">
        <v>131</v>
      </c>
      <c r="AB276">
        <v>0</v>
      </c>
      <c r="AC276">
        <v>268</v>
      </c>
      <c r="AD276">
        <v>1</v>
      </c>
      <c r="AE276" t="s">
        <v>2894</v>
      </c>
      <c r="AF276" t="s">
        <v>2896</v>
      </c>
      <c r="AG276" t="s">
        <v>3167</v>
      </c>
      <c r="AI276" t="s">
        <v>4032</v>
      </c>
      <c r="AJ276">
        <v>595</v>
      </c>
      <c r="AK276" t="s">
        <v>4457</v>
      </c>
      <c r="AL276">
        <v>1</v>
      </c>
      <c r="AM276">
        <v>0</v>
      </c>
      <c r="AN276">
        <v>160.54</v>
      </c>
      <c r="AR276" t="s">
        <v>4476</v>
      </c>
      <c r="AS276" t="s">
        <v>4486</v>
      </c>
      <c r="AT276">
        <v>20052</v>
      </c>
      <c r="AX276" t="s">
        <v>4502</v>
      </c>
      <c r="BA276" t="s">
        <v>4536</v>
      </c>
      <c r="BD276" t="s">
        <v>127</v>
      </c>
      <c r="BE276" t="s">
        <v>4703</v>
      </c>
    </row>
    <row r="277" spans="1:57">
      <c r="A277" s="1">
        <f>HYPERLINK("https://lsnyc.legalserver.org/matter/dynamic-profile/view/1904643","19-1904643")</f>
        <v>0</v>
      </c>
      <c r="B277" t="s">
        <v>57</v>
      </c>
      <c r="C277" t="s">
        <v>93</v>
      </c>
      <c r="D277" t="s">
        <v>131</v>
      </c>
      <c r="F277" t="s">
        <v>475</v>
      </c>
      <c r="G277" t="s">
        <v>686</v>
      </c>
      <c r="H277" t="s">
        <v>1541</v>
      </c>
      <c r="I277" t="s">
        <v>2014</v>
      </c>
      <c r="J277" t="s">
        <v>2169</v>
      </c>
      <c r="K277" t="s">
        <v>2171</v>
      </c>
      <c r="L277">
        <v>10029</v>
      </c>
      <c r="M277" t="s">
        <v>2173</v>
      </c>
      <c r="N277" t="s">
        <v>2172</v>
      </c>
      <c r="O277" t="s">
        <v>2180</v>
      </c>
      <c r="P277" t="s">
        <v>2437</v>
      </c>
      <c r="Q277">
        <v>3</v>
      </c>
      <c r="R277" t="s">
        <v>2843</v>
      </c>
      <c r="S277" t="s">
        <v>2857</v>
      </c>
      <c r="U277" t="s">
        <v>2868</v>
      </c>
      <c r="V277" t="s">
        <v>2174</v>
      </c>
      <c r="W277" t="s">
        <v>2174</v>
      </c>
      <c r="Y277" t="s">
        <v>2875</v>
      </c>
      <c r="Z277" t="s">
        <v>2879</v>
      </c>
      <c r="AA277" t="s">
        <v>131</v>
      </c>
      <c r="AB277">
        <v>0</v>
      </c>
      <c r="AC277">
        <v>368</v>
      </c>
      <c r="AD277">
        <v>5.6</v>
      </c>
      <c r="AE277" t="s">
        <v>2894</v>
      </c>
      <c r="AG277" t="s">
        <v>3168</v>
      </c>
      <c r="AI277" t="s">
        <v>4033</v>
      </c>
      <c r="AJ277">
        <v>81</v>
      </c>
      <c r="AK277" t="s">
        <v>4457</v>
      </c>
      <c r="AL277">
        <v>1</v>
      </c>
      <c r="AM277">
        <v>3</v>
      </c>
      <c r="AN277">
        <v>71.39</v>
      </c>
      <c r="AR277" t="s">
        <v>4476</v>
      </c>
      <c r="AS277" t="s">
        <v>4486</v>
      </c>
      <c r="AT277">
        <v>18384</v>
      </c>
      <c r="AX277" t="s">
        <v>4502</v>
      </c>
      <c r="BA277" t="s">
        <v>4548</v>
      </c>
      <c r="BD277" t="s">
        <v>125</v>
      </c>
      <c r="BE277" t="s">
        <v>4703</v>
      </c>
    </row>
    <row r="278" spans="1:57">
      <c r="A278" s="1">
        <f>HYPERLINK("https://lsnyc.legalserver.org/matter/dynamic-profile/view/1907043","19-1907043")</f>
        <v>0</v>
      </c>
      <c r="B278" t="s">
        <v>68</v>
      </c>
      <c r="C278" t="s">
        <v>92</v>
      </c>
      <c r="D278" t="s">
        <v>128</v>
      </c>
      <c r="E278" t="s">
        <v>197</v>
      </c>
      <c r="F278" t="s">
        <v>476</v>
      </c>
      <c r="G278" t="s">
        <v>1007</v>
      </c>
      <c r="H278" t="s">
        <v>1547</v>
      </c>
      <c r="I278">
        <v>1</v>
      </c>
      <c r="J278" t="s">
        <v>2169</v>
      </c>
      <c r="K278" t="s">
        <v>2171</v>
      </c>
      <c r="L278">
        <v>10029</v>
      </c>
      <c r="M278" t="s">
        <v>2173</v>
      </c>
      <c r="N278" t="s">
        <v>2172</v>
      </c>
      <c r="O278" t="s">
        <v>2178</v>
      </c>
      <c r="P278" t="s">
        <v>2438</v>
      </c>
      <c r="Q278">
        <v>1</v>
      </c>
      <c r="R278" t="s">
        <v>2843</v>
      </c>
      <c r="S278" t="s">
        <v>2856</v>
      </c>
      <c r="T278" t="s">
        <v>2863</v>
      </c>
      <c r="U278" t="s">
        <v>2868</v>
      </c>
      <c r="V278" t="s">
        <v>2174</v>
      </c>
      <c r="W278" t="s">
        <v>2174</v>
      </c>
      <c r="Y278" t="s">
        <v>2876</v>
      </c>
      <c r="AA278" t="s">
        <v>128</v>
      </c>
      <c r="AB278">
        <v>0</v>
      </c>
      <c r="AC278">
        <v>2900</v>
      </c>
      <c r="AD278">
        <v>1</v>
      </c>
      <c r="AE278" t="s">
        <v>2894</v>
      </c>
      <c r="AF278" t="s">
        <v>2896</v>
      </c>
      <c r="AG278" t="s">
        <v>3169</v>
      </c>
      <c r="AI278" t="s">
        <v>4034</v>
      </c>
      <c r="AJ278">
        <v>3</v>
      </c>
      <c r="AK278" t="s">
        <v>4458</v>
      </c>
      <c r="AL278">
        <v>2</v>
      </c>
      <c r="AM278">
        <v>0</v>
      </c>
      <c r="AN278">
        <v>418.1</v>
      </c>
      <c r="AR278" t="s">
        <v>4476</v>
      </c>
      <c r="AS278" t="s">
        <v>4486</v>
      </c>
      <c r="AT278">
        <v>70700</v>
      </c>
      <c r="AX278" t="s">
        <v>4501</v>
      </c>
      <c r="BA278" t="s">
        <v>4541</v>
      </c>
      <c r="BD278" t="s">
        <v>128</v>
      </c>
      <c r="BE278" t="s">
        <v>4703</v>
      </c>
    </row>
    <row r="279" spans="1:57">
      <c r="A279" s="1">
        <f>HYPERLINK("https://lsnyc.legalserver.org/matter/dynamic-profile/view/1910203","19-1910203")</f>
        <v>0</v>
      </c>
      <c r="B279" t="s">
        <v>62</v>
      </c>
      <c r="C279" t="s">
        <v>92</v>
      </c>
      <c r="D279" t="s">
        <v>114</v>
      </c>
      <c r="E279" t="s">
        <v>213</v>
      </c>
      <c r="F279" t="s">
        <v>477</v>
      </c>
      <c r="G279" t="s">
        <v>1008</v>
      </c>
      <c r="H279" t="s">
        <v>1548</v>
      </c>
      <c r="I279" t="s">
        <v>2015</v>
      </c>
      <c r="J279" t="s">
        <v>2169</v>
      </c>
      <c r="K279" t="s">
        <v>2171</v>
      </c>
      <c r="L279">
        <v>10029</v>
      </c>
      <c r="M279" t="s">
        <v>2173</v>
      </c>
      <c r="N279" t="s">
        <v>2172</v>
      </c>
      <c r="O279" t="s">
        <v>2178</v>
      </c>
      <c r="P279" t="s">
        <v>2439</v>
      </c>
      <c r="Q279">
        <v>4</v>
      </c>
      <c r="R279" t="s">
        <v>2843</v>
      </c>
      <c r="S279" t="s">
        <v>2856</v>
      </c>
      <c r="T279" t="s">
        <v>2863</v>
      </c>
      <c r="U279" t="s">
        <v>2868</v>
      </c>
      <c r="V279" t="s">
        <v>2174</v>
      </c>
      <c r="W279" t="s">
        <v>2174</v>
      </c>
      <c r="Y279" t="s">
        <v>2876</v>
      </c>
      <c r="AA279" t="s">
        <v>114</v>
      </c>
      <c r="AB279">
        <v>0</v>
      </c>
      <c r="AC279">
        <v>215</v>
      </c>
      <c r="AD279">
        <v>0</v>
      </c>
      <c r="AE279" t="s">
        <v>2894</v>
      </c>
      <c r="AF279" t="s">
        <v>2896</v>
      </c>
      <c r="AG279" t="s">
        <v>3170</v>
      </c>
      <c r="AI279" t="s">
        <v>4035</v>
      </c>
      <c r="AJ279">
        <v>24</v>
      </c>
      <c r="AK279" t="s">
        <v>4456</v>
      </c>
      <c r="AL279">
        <v>1</v>
      </c>
      <c r="AM279">
        <v>0</v>
      </c>
      <c r="AN279">
        <v>16.24</v>
      </c>
      <c r="AR279" t="s">
        <v>4476</v>
      </c>
      <c r="AS279" t="s">
        <v>4486</v>
      </c>
      <c r="AT279">
        <v>2028</v>
      </c>
      <c r="AX279" t="s">
        <v>4501</v>
      </c>
      <c r="BA279" t="s">
        <v>4551</v>
      </c>
      <c r="BD279" t="s">
        <v>4670</v>
      </c>
      <c r="BE279" t="s">
        <v>4703</v>
      </c>
    </row>
    <row r="280" spans="1:57">
      <c r="A280" s="1">
        <f>HYPERLINK("https://lsnyc.legalserver.org/matter/dynamic-profile/view/1910237","19-1910237")</f>
        <v>0</v>
      </c>
      <c r="B280" t="s">
        <v>72</v>
      </c>
      <c r="C280" t="s">
        <v>93</v>
      </c>
      <c r="D280" t="s">
        <v>114</v>
      </c>
      <c r="F280" t="s">
        <v>478</v>
      </c>
      <c r="G280" t="s">
        <v>1009</v>
      </c>
      <c r="H280" t="s">
        <v>1549</v>
      </c>
      <c r="I280" t="s">
        <v>2016</v>
      </c>
      <c r="J280" t="s">
        <v>2169</v>
      </c>
      <c r="K280" t="s">
        <v>2171</v>
      </c>
      <c r="L280">
        <v>10029</v>
      </c>
      <c r="M280" t="s">
        <v>2173</v>
      </c>
      <c r="N280" t="s">
        <v>2172</v>
      </c>
      <c r="O280" t="s">
        <v>2179</v>
      </c>
      <c r="P280" t="s">
        <v>2440</v>
      </c>
      <c r="Q280">
        <v>0</v>
      </c>
      <c r="R280" t="s">
        <v>2843</v>
      </c>
      <c r="S280" t="s">
        <v>2858</v>
      </c>
      <c r="U280" t="s">
        <v>2868</v>
      </c>
      <c r="V280" t="s">
        <v>2174</v>
      </c>
      <c r="W280" t="s">
        <v>2174</v>
      </c>
      <c r="Y280" t="s">
        <v>2875</v>
      </c>
      <c r="Z280" t="s">
        <v>2879</v>
      </c>
      <c r="AB280">
        <v>0</v>
      </c>
      <c r="AC280">
        <v>248.6</v>
      </c>
      <c r="AD280">
        <v>0.5</v>
      </c>
      <c r="AE280" t="s">
        <v>2894</v>
      </c>
      <c r="AG280" t="s">
        <v>3171</v>
      </c>
      <c r="AI280" t="s">
        <v>4036</v>
      </c>
      <c r="AJ280">
        <v>0</v>
      </c>
      <c r="AK280" t="s">
        <v>4459</v>
      </c>
      <c r="AL280">
        <v>1</v>
      </c>
      <c r="AM280">
        <v>0</v>
      </c>
      <c r="AN280">
        <v>101.04</v>
      </c>
      <c r="AR280" t="s">
        <v>4476</v>
      </c>
      <c r="AS280" t="s">
        <v>4487</v>
      </c>
      <c r="AT280">
        <v>12620.52</v>
      </c>
      <c r="AX280" t="s">
        <v>4504</v>
      </c>
      <c r="BA280" t="s">
        <v>4560</v>
      </c>
      <c r="BD280" t="s">
        <v>114</v>
      </c>
      <c r="BE280" t="s">
        <v>4703</v>
      </c>
    </row>
    <row r="281" spans="1:57">
      <c r="A281" s="1">
        <f>HYPERLINK("https://lsnyc.legalserver.org/matter/dynamic-profile/view/1902437","19-1902437")</f>
        <v>0</v>
      </c>
      <c r="B281" t="s">
        <v>73</v>
      </c>
      <c r="C281" t="s">
        <v>92</v>
      </c>
      <c r="D281" t="s">
        <v>173</v>
      </c>
      <c r="E281" t="s">
        <v>176</v>
      </c>
      <c r="F281" t="s">
        <v>334</v>
      </c>
      <c r="G281" t="s">
        <v>1010</v>
      </c>
      <c r="H281" t="s">
        <v>1550</v>
      </c>
      <c r="I281" t="s">
        <v>2017</v>
      </c>
      <c r="J281" t="s">
        <v>2169</v>
      </c>
      <c r="K281" t="s">
        <v>2171</v>
      </c>
      <c r="L281">
        <v>10029</v>
      </c>
      <c r="M281" t="s">
        <v>2173</v>
      </c>
      <c r="N281" t="s">
        <v>2172</v>
      </c>
      <c r="O281" t="s">
        <v>2183</v>
      </c>
      <c r="P281" t="s">
        <v>2441</v>
      </c>
      <c r="Q281">
        <v>22</v>
      </c>
      <c r="R281" t="s">
        <v>2845</v>
      </c>
      <c r="S281" t="s">
        <v>2856</v>
      </c>
      <c r="T281" t="s">
        <v>2863</v>
      </c>
      <c r="U281" t="s">
        <v>2868</v>
      </c>
      <c r="V281" t="s">
        <v>2174</v>
      </c>
      <c r="W281" t="s">
        <v>2174</v>
      </c>
      <c r="Y281" t="s">
        <v>2875</v>
      </c>
      <c r="AA281" t="s">
        <v>173</v>
      </c>
      <c r="AB281">
        <v>0</v>
      </c>
      <c r="AC281">
        <v>527.6</v>
      </c>
      <c r="AD281">
        <v>1</v>
      </c>
      <c r="AE281" t="s">
        <v>2894</v>
      </c>
      <c r="AF281" t="s">
        <v>2896</v>
      </c>
      <c r="AG281" t="s">
        <v>3062</v>
      </c>
      <c r="AI281" t="s">
        <v>4037</v>
      </c>
      <c r="AJ281">
        <v>0</v>
      </c>
      <c r="AK281" t="s">
        <v>4457</v>
      </c>
      <c r="AL281">
        <v>1</v>
      </c>
      <c r="AM281">
        <v>0</v>
      </c>
      <c r="AN281">
        <v>141.55</v>
      </c>
      <c r="AR281" t="s">
        <v>4476</v>
      </c>
      <c r="AS281" t="s">
        <v>4487</v>
      </c>
      <c r="AT281">
        <v>17680</v>
      </c>
      <c r="AX281" t="s">
        <v>4504</v>
      </c>
      <c r="BA281" t="s">
        <v>4537</v>
      </c>
      <c r="BD281" t="s">
        <v>173</v>
      </c>
      <c r="BE281" t="s">
        <v>4703</v>
      </c>
    </row>
    <row r="282" spans="1:57">
      <c r="A282" s="1">
        <f>HYPERLINK("https://lsnyc.legalserver.org/matter/dynamic-profile/view/1887727","19-1887727")</f>
        <v>0</v>
      </c>
      <c r="B282" t="s">
        <v>68</v>
      </c>
      <c r="C282" t="s">
        <v>92</v>
      </c>
      <c r="D282" t="s">
        <v>99</v>
      </c>
      <c r="E282" t="s">
        <v>217</v>
      </c>
      <c r="F282" t="s">
        <v>479</v>
      </c>
      <c r="G282" t="s">
        <v>1011</v>
      </c>
      <c r="H282" t="s">
        <v>1551</v>
      </c>
      <c r="I282" t="s">
        <v>2018</v>
      </c>
      <c r="J282" t="s">
        <v>2169</v>
      </c>
      <c r="K282" t="s">
        <v>2171</v>
      </c>
      <c r="L282">
        <v>10029</v>
      </c>
      <c r="M282" t="s">
        <v>2173</v>
      </c>
      <c r="N282" t="s">
        <v>2173</v>
      </c>
      <c r="O282" t="s">
        <v>2175</v>
      </c>
      <c r="P282" t="s">
        <v>2442</v>
      </c>
      <c r="Q282">
        <v>15</v>
      </c>
      <c r="R282" t="s">
        <v>2844</v>
      </c>
      <c r="S282" t="s">
        <v>2856</v>
      </c>
      <c r="T282" t="s">
        <v>2863</v>
      </c>
      <c r="U282" t="s">
        <v>2868</v>
      </c>
      <c r="V282" t="s">
        <v>2174</v>
      </c>
      <c r="W282" t="s">
        <v>2174</v>
      </c>
      <c r="Y282" t="s">
        <v>2876</v>
      </c>
      <c r="AA282" t="s">
        <v>99</v>
      </c>
      <c r="AB282">
        <v>0</v>
      </c>
      <c r="AC282">
        <v>3958</v>
      </c>
      <c r="AD282">
        <v>0.1</v>
      </c>
      <c r="AE282" t="s">
        <v>2894</v>
      </c>
      <c r="AF282" t="s">
        <v>2896</v>
      </c>
      <c r="AG282" t="s">
        <v>3172</v>
      </c>
      <c r="AH282" t="s">
        <v>3651</v>
      </c>
      <c r="AI282" t="s">
        <v>4038</v>
      </c>
      <c r="AJ282">
        <v>329</v>
      </c>
      <c r="AK282" t="s">
        <v>4458</v>
      </c>
      <c r="AL282">
        <v>3</v>
      </c>
      <c r="AM282">
        <v>3</v>
      </c>
      <c r="AN282">
        <v>59.61</v>
      </c>
      <c r="AQ282" t="s">
        <v>4474</v>
      </c>
      <c r="AR282" t="s">
        <v>4478</v>
      </c>
      <c r="AS282" t="s">
        <v>4486</v>
      </c>
      <c r="AT282">
        <v>20112</v>
      </c>
      <c r="AX282" t="s">
        <v>4501</v>
      </c>
      <c r="BA282" t="s">
        <v>4536</v>
      </c>
      <c r="BD282" t="s">
        <v>217</v>
      </c>
      <c r="BE282" t="s">
        <v>4704</v>
      </c>
    </row>
    <row r="283" spans="1:57">
      <c r="A283" s="1">
        <f>HYPERLINK("https://lsnyc.legalserver.org/matter/dynamic-profile/view/1890738","19-1890738")</f>
        <v>0</v>
      </c>
      <c r="B283" t="s">
        <v>82</v>
      </c>
      <c r="C283" t="s">
        <v>92</v>
      </c>
      <c r="D283" t="s">
        <v>138</v>
      </c>
      <c r="E283" t="s">
        <v>227</v>
      </c>
      <c r="F283" t="s">
        <v>480</v>
      </c>
      <c r="G283" t="s">
        <v>1012</v>
      </c>
      <c r="H283" t="s">
        <v>1552</v>
      </c>
      <c r="I283">
        <v>5</v>
      </c>
      <c r="J283" t="s">
        <v>2169</v>
      </c>
      <c r="K283" t="s">
        <v>2171</v>
      </c>
      <c r="L283">
        <v>10029</v>
      </c>
      <c r="M283" t="s">
        <v>2173</v>
      </c>
      <c r="N283" t="s">
        <v>2173</v>
      </c>
      <c r="O283" t="s">
        <v>2175</v>
      </c>
      <c r="P283" t="s">
        <v>2443</v>
      </c>
      <c r="Q283">
        <v>10</v>
      </c>
      <c r="R283" t="s">
        <v>2844</v>
      </c>
      <c r="S283" t="s">
        <v>2857</v>
      </c>
      <c r="T283" t="s">
        <v>2864</v>
      </c>
      <c r="U283" t="s">
        <v>2868</v>
      </c>
      <c r="V283" t="s">
        <v>2174</v>
      </c>
      <c r="W283" t="s">
        <v>2174</v>
      </c>
      <c r="Y283" t="s">
        <v>2876</v>
      </c>
      <c r="Z283" t="s">
        <v>2879</v>
      </c>
      <c r="AA283" t="s">
        <v>138</v>
      </c>
      <c r="AB283">
        <v>0</v>
      </c>
      <c r="AC283">
        <v>1223.47</v>
      </c>
      <c r="AD283">
        <v>40.7</v>
      </c>
      <c r="AE283" t="s">
        <v>2894</v>
      </c>
      <c r="AF283" t="s">
        <v>2902</v>
      </c>
      <c r="AG283" t="s">
        <v>3173</v>
      </c>
      <c r="AH283" t="s">
        <v>3652</v>
      </c>
      <c r="AI283" t="s">
        <v>4004</v>
      </c>
      <c r="AJ283">
        <v>8</v>
      </c>
      <c r="AK283" t="s">
        <v>4458</v>
      </c>
      <c r="AL283">
        <v>1</v>
      </c>
      <c r="AM283">
        <v>4</v>
      </c>
      <c r="AN283">
        <v>62.98</v>
      </c>
      <c r="AQ283" t="s">
        <v>4474</v>
      </c>
      <c r="AR283" t="s">
        <v>4476</v>
      </c>
      <c r="AS283" t="s">
        <v>4487</v>
      </c>
      <c r="AT283">
        <v>19000</v>
      </c>
      <c r="AX283" t="s">
        <v>4501</v>
      </c>
      <c r="AY283" t="s">
        <v>4515</v>
      </c>
      <c r="AZ283" t="s">
        <v>4522</v>
      </c>
      <c r="BA283" t="s">
        <v>4607</v>
      </c>
      <c r="BB283" t="s">
        <v>4632</v>
      </c>
      <c r="BC283" t="s">
        <v>4644</v>
      </c>
      <c r="BD283" t="s">
        <v>209</v>
      </c>
      <c r="BE283" t="s">
        <v>4704</v>
      </c>
    </row>
    <row r="284" spans="1:57">
      <c r="A284" s="1">
        <f>HYPERLINK("https://lsnyc.legalserver.org/matter/dynamic-profile/view/1891028","19-1891028")</f>
        <v>0</v>
      </c>
      <c r="B284" t="s">
        <v>68</v>
      </c>
      <c r="C284" t="s">
        <v>92</v>
      </c>
      <c r="D284" t="s">
        <v>133</v>
      </c>
      <c r="E284" t="s">
        <v>197</v>
      </c>
      <c r="F284" t="s">
        <v>481</v>
      </c>
      <c r="G284" t="s">
        <v>834</v>
      </c>
      <c r="H284" t="s">
        <v>1553</v>
      </c>
      <c r="I284" t="s">
        <v>2019</v>
      </c>
      <c r="J284" t="s">
        <v>2169</v>
      </c>
      <c r="K284" t="s">
        <v>2171</v>
      </c>
      <c r="L284">
        <v>10029</v>
      </c>
      <c r="M284" t="s">
        <v>2173</v>
      </c>
      <c r="N284" t="s">
        <v>2173</v>
      </c>
      <c r="O284" t="s">
        <v>2180</v>
      </c>
      <c r="P284" t="s">
        <v>2444</v>
      </c>
      <c r="Q284">
        <v>2</v>
      </c>
      <c r="R284" t="s">
        <v>2844</v>
      </c>
      <c r="S284" t="s">
        <v>2856</v>
      </c>
      <c r="T284" t="s">
        <v>2863</v>
      </c>
      <c r="U284" t="s">
        <v>2868</v>
      </c>
      <c r="V284" t="s">
        <v>2174</v>
      </c>
      <c r="W284" t="s">
        <v>2174</v>
      </c>
      <c r="Y284" t="s">
        <v>2875</v>
      </c>
      <c r="AA284" t="s">
        <v>133</v>
      </c>
      <c r="AB284">
        <v>0</v>
      </c>
      <c r="AC284">
        <v>881</v>
      </c>
      <c r="AD284">
        <v>0.9</v>
      </c>
      <c r="AE284" t="s">
        <v>2894</v>
      </c>
      <c r="AF284" t="s">
        <v>2896</v>
      </c>
      <c r="AG284" t="s">
        <v>3174</v>
      </c>
      <c r="AH284" t="s">
        <v>3653</v>
      </c>
      <c r="AI284" t="s">
        <v>4039</v>
      </c>
      <c r="AJ284">
        <v>225</v>
      </c>
      <c r="AK284" t="s">
        <v>4459</v>
      </c>
      <c r="AL284">
        <v>2</v>
      </c>
      <c r="AM284">
        <v>4</v>
      </c>
      <c r="AN284">
        <v>18.79</v>
      </c>
      <c r="AQ284" t="s">
        <v>4474</v>
      </c>
      <c r="AR284" t="s">
        <v>2176</v>
      </c>
      <c r="AS284" t="s">
        <v>4487</v>
      </c>
      <c r="AT284">
        <v>6500</v>
      </c>
      <c r="AX284" t="s">
        <v>4501</v>
      </c>
      <c r="BA284" t="s">
        <v>4567</v>
      </c>
      <c r="BD284" t="s">
        <v>140</v>
      </c>
      <c r="BE284" t="s">
        <v>4704</v>
      </c>
    </row>
    <row r="285" spans="1:57">
      <c r="A285" s="1">
        <f>HYPERLINK("https://lsnyc.legalserver.org/matter/dynamic-profile/view/1894640","19-1894640")</f>
        <v>0</v>
      </c>
      <c r="B285" t="s">
        <v>72</v>
      </c>
      <c r="C285" t="s">
        <v>92</v>
      </c>
      <c r="D285" t="s">
        <v>119</v>
      </c>
      <c r="E285" t="s">
        <v>104</v>
      </c>
      <c r="F285" t="s">
        <v>482</v>
      </c>
      <c r="G285" t="s">
        <v>972</v>
      </c>
      <c r="H285" t="s">
        <v>1554</v>
      </c>
      <c r="I285" t="s">
        <v>1946</v>
      </c>
      <c r="J285" t="s">
        <v>2169</v>
      </c>
      <c r="K285" t="s">
        <v>2171</v>
      </c>
      <c r="L285">
        <v>10029</v>
      </c>
      <c r="M285" t="s">
        <v>2173</v>
      </c>
      <c r="N285" t="s">
        <v>2173</v>
      </c>
      <c r="O285" t="s">
        <v>2175</v>
      </c>
      <c r="P285" t="s">
        <v>2445</v>
      </c>
      <c r="Q285">
        <v>25</v>
      </c>
      <c r="R285" t="s">
        <v>2844</v>
      </c>
      <c r="S285" t="s">
        <v>2856</v>
      </c>
      <c r="T285" t="s">
        <v>2863</v>
      </c>
      <c r="U285" t="s">
        <v>2868</v>
      </c>
      <c r="V285" t="s">
        <v>2174</v>
      </c>
      <c r="W285" t="s">
        <v>2174</v>
      </c>
      <c r="Y285" t="s">
        <v>2875</v>
      </c>
      <c r="Z285" t="s">
        <v>2879</v>
      </c>
      <c r="AA285" t="s">
        <v>119</v>
      </c>
      <c r="AB285">
        <v>0</v>
      </c>
      <c r="AC285">
        <v>274</v>
      </c>
      <c r="AD285">
        <v>1.5</v>
      </c>
      <c r="AE285" t="s">
        <v>2894</v>
      </c>
      <c r="AF285" t="s">
        <v>2896</v>
      </c>
      <c r="AG285" t="s">
        <v>3175</v>
      </c>
      <c r="AI285" t="s">
        <v>4040</v>
      </c>
      <c r="AJ285">
        <v>0</v>
      </c>
      <c r="AK285" t="s">
        <v>4457</v>
      </c>
      <c r="AL285">
        <v>1</v>
      </c>
      <c r="AM285">
        <v>0</v>
      </c>
      <c r="AN285">
        <v>94.16</v>
      </c>
      <c r="AQ285" t="s">
        <v>4473</v>
      </c>
      <c r="AR285" t="s">
        <v>4476</v>
      </c>
      <c r="AS285" t="s">
        <v>4487</v>
      </c>
      <c r="AT285">
        <v>11760</v>
      </c>
      <c r="AX285" t="s">
        <v>4502</v>
      </c>
      <c r="BA285" t="s">
        <v>4552</v>
      </c>
      <c r="BD285" t="s">
        <v>207</v>
      </c>
      <c r="BE285" t="s">
        <v>4703</v>
      </c>
    </row>
    <row r="286" spans="1:57">
      <c r="A286" s="1">
        <f>HYPERLINK("https://lsnyc.legalserver.org/matter/dynamic-profile/view/1894651","19-1894651")</f>
        <v>0</v>
      </c>
      <c r="B286" t="s">
        <v>68</v>
      </c>
      <c r="C286" t="s">
        <v>92</v>
      </c>
      <c r="D286" t="s">
        <v>119</v>
      </c>
      <c r="E286" t="s">
        <v>221</v>
      </c>
      <c r="F286" t="s">
        <v>346</v>
      </c>
      <c r="G286" t="s">
        <v>1013</v>
      </c>
      <c r="H286" t="s">
        <v>1555</v>
      </c>
      <c r="I286" t="s">
        <v>1944</v>
      </c>
      <c r="J286" t="s">
        <v>2169</v>
      </c>
      <c r="K286" t="s">
        <v>2171</v>
      </c>
      <c r="L286">
        <v>10029</v>
      </c>
      <c r="M286" t="s">
        <v>2173</v>
      </c>
      <c r="N286" t="s">
        <v>2173</v>
      </c>
      <c r="O286" t="s">
        <v>2175</v>
      </c>
      <c r="P286" t="s">
        <v>2446</v>
      </c>
      <c r="Q286">
        <v>5</v>
      </c>
      <c r="R286" t="s">
        <v>2844</v>
      </c>
      <c r="S286" t="s">
        <v>2856</v>
      </c>
      <c r="T286" t="s">
        <v>2863</v>
      </c>
      <c r="U286" t="s">
        <v>2868</v>
      </c>
      <c r="V286" t="s">
        <v>2174</v>
      </c>
      <c r="W286" t="s">
        <v>2174</v>
      </c>
      <c r="Y286" t="s">
        <v>2875</v>
      </c>
      <c r="AA286" t="s">
        <v>119</v>
      </c>
      <c r="AB286">
        <v>0</v>
      </c>
      <c r="AC286">
        <v>1732</v>
      </c>
      <c r="AD286">
        <v>1.75</v>
      </c>
      <c r="AE286" t="s">
        <v>2894</v>
      </c>
      <c r="AF286" t="s">
        <v>2896</v>
      </c>
      <c r="AG286" t="s">
        <v>3176</v>
      </c>
      <c r="AI286" t="s">
        <v>4041</v>
      </c>
      <c r="AJ286">
        <v>0</v>
      </c>
      <c r="AK286" t="s">
        <v>4459</v>
      </c>
      <c r="AL286">
        <v>2</v>
      </c>
      <c r="AM286">
        <v>0</v>
      </c>
      <c r="AN286">
        <v>153.76</v>
      </c>
      <c r="AQ286" t="s">
        <v>4473</v>
      </c>
      <c r="AR286" t="s">
        <v>4476</v>
      </c>
      <c r="AS286" t="s">
        <v>4486</v>
      </c>
      <c r="AT286">
        <v>26000</v>
      </c>
      <c r="AX286" t="s">
        <v>4501</v>
      </c>
      <c r="BA286" t="s">
        <v>4546</v>
      </c>
      <c r="BD286" t="s">
        <v>207</v>
      </c>
      <c r="BE286" t="s">
        <v>4703</v>
      </c>
    </row>
    <row r="287" spans="1:57">
      <c r="A287" s="1">
        <f>HYPERLINK("https://lsnyc.legalserver.org/matter/dynamic-profile/view/1896019","19-1896019")</f>
        <v>0</v>
      </c>
      <c r="B287" t="s">
        <v>71</v>
      </c>
      <c r="C287" t="s">
        <v>93</v>
      </c>
      <c r="D287" t="s">
        <v>100</v>
      </c>
      <c r="F287" t="s">
        <v>483</v>
      </c>
      <c r="G287" t="s">
        <v>1014</v>
      </c>
      <c r="H287" t="s">
        <v>1556</v>
      </c>
      <c r="I287" t="s">
        <v>1969</v>
      </c>
      <c r="J287" t="s">
        <v>2169</v>
      </c>
      <c r="K287" t="s">
        <v>2171</v>
      </c>
      <c r="L287">
        <v>10029</v>
      </c>
      <c r="M287" t="s">
        <v>2173</v>
      </c>
      <c r="N287" t="s">
        <v>2173</v>
      </c>
      <c r="O287" t="s">
        <v>2175</v>
      </c>
      <c r="P287" t="s">
        <v>2447</v>
      </c>
      <c r="Q287">
        <v>3</v>
      </c>
      <c r="R287" t="s">
        <v>2844</v>
      </c>
      <c r="S287" t="s">
        <v>2856</v>
      </c>
      <c r="U287" t="s">
        <v>2868</v>
      </c>
      <c r="V287" t="s">
        <v>2174</v>
      </c>
      <c r="W287" t="s">
        <v>2174</v>
      </c>
      <c r="Y287" t="s">
        <v>2875</v>
      </c>
      <c r="Z287" t="s">
        <v>2879</v>
      </c>
      <c r="AA287" t="s">
        <v>100</v>
      </c>
      <c r="AB287">
        <v>0</v>
      </c>
      <c r="AC287">
        <v>225</v>
      </c>
      <c r="AD287">
        <v>0.7</v>
      </c>
      <c r="AE287" t="s">
        <v>2894</v>
      </c>
      <c r="AG287" t="s">
        <v>3177</v>
      </c>
      <c r="AI287" t="s">
        <v>4042</v>
      </c>
      <c r="AJ287">
        <v>0</v>
      </c>
      <c r="AK287" t="s">
        <v>4457</v>
      </c>
      <c r="AL287">
        <v>1</v>
      </c>
      <c r="AM287">
        <v>0</v>
      </c>
      <c r="AN287">
        <v>0</v>
      </c>
      <c r="AQ287" t="s">
        <v>4473</v>
      </c>
      <c r="AR287" t="s">
        <v>4476</v>
      </c>
      <c r="AS287" t="s">
        <v>4486</v>
      </c>
      <c r="AT287">
        <v>0</v>
      </c>
      <c r="AX287" t="s">
        <v>4502</v>
      </c>
      <c r="BA287" t="s">
        <v>4539</v>
      </c>
      <c r="BD287" t="s">
        <v>100</v>
      </c>
    </row>
    <row r="288" spans="1:57">
      <c r="A288" s="1">
        <f>HYPERLINK("https://lsnyc.legalserver.org/matter/dynamic-profile/view/1896021","19-1896021")</f>
        <v>0</v>
      </c>
      <c r="B288" t="s">
        <v>63</v>
      </c>
      <c r="C288" t="s">
        <v>93</v>
      </c>
      <c r="D288" t="s">
        <v>100</v>
      </c>
      <c r="F288" t="s">
        <v>484</v>
      </c>
      <c r="G288" t="s">
        <v>1015</v>
      </c>
      <c r="H288" t="s">
        <v>1557</v>
      </c>
      <c r="I288" t="s">
        <v>2020</v>
      </c>
      <c r="J288" t="s">
        <v>2169</v>
      </c>
      <c r="K288" t="s">
        <v>2171</v>
      </c>
      <c r="L288">
        <v>10029</v>
      </c>
      <c r="M288" t="s">
        <v>2173</v>
      </c>
      <c r="N288" t="s">
        <v>2172</v>
      </c>
      <c r="O288" t="s">
        <v>2175</v>
      </c>
      <c r="P288" t="s">
        <v>2448</v>
      </c>
      <c r="Q288">
        <v>33</v>
      </c>
      <c r="R288" t="s">
        <v>2844</v>
      </c>
      <c r="S288" t="s">
        <v>2856</v>
      </c>
      <c r="U288" t="s">
        <v>2868</v>
      </c>
      <c r="V288" t="s">
        <v>2174</v>
      </c>
      <c r="W288" t="s">
        <v>2174</v>
      </c>
      <c r="Y288" t="s">
        <v>2875</v>
      </c>
      <c r="Z288" t="s">
        <v>2884</v>
      </c>
      <c r="AA288" t="s">
        <v>100</v>
      </c>
      <c r="AB288">
        <v>0</v>
      </c>
      <c r="AC288">
        <v>543.6</v>
      </c>
      <c r="AD288">
        <v>0</v>
      </c>
      <c r="AE288" t="s">
        <v>2894</v>
      </c>
      <c r="AG288" t="s">
        <v>3178</v>
      </c>
      <c r="AH288" t="s">
        <v>3654</v>
      </c>
      <c r="AI288" t="s">
        <v>4043</v>
      </c>
      <c r="AJ288">
        <v>0</v>
      </c>
      <c r="AK288" t="s">
        <v>4459</v>
      </c>
      <c r="AL288">
        <v>2</v>
      </c>
      <c r="AM288">
        <v>0</v>
      </c>
      <c r="AN288">
        <v>80.19</v>
      </c>
      <c r="AQ288" t="s">
        <v>4473</v>
      </c>
      <c r="AR288" t="s">
        <v>4476</v>
      </c>
      <c r="AS288" t="s">
        <v>4486</v>
      </c>
      <c r="AT288">
        <v>13560</v>
      </c>
      <c r="AX288" t="s">
        <v>4501</v>
      </c>
      <c r="BA288" t="s">
        <v>4608</v>
      </c>
    </row>
    <row r="289" spans="1:57">
      <c r="A289" s="1">
        <f>HYPERLINK("https://lsnyc.legalserver.org/matter/dynamic-profile/view/1897442","19-1897442")</f>
        <v>0</v>
      </c>
      <c r="B289" t="s">
        <v>64</v>
      </c>
      <c r="C289" t="s">
        <v>93</v>
      </c>
      <c r="D289" t="s">
        <v>112</v>
      </c>
      <c r="F289" t="s">
        <v>485</v>
      </c>
      <c r="G289" t="s">
        <v>1016</v>
      </c>
      <c r="H289" t="s">
        <v>1558</v>
      </c>
      <c r="I289">
        <v>1705</v>
      </c>
      <c r="J289" t="s">
        <v>2169</v>
      </c>
      <c r="K289" t="s">
        <v>2171</v>
      </c>
      <c r="L289">
        <v>10029</v>
      </c>
      <c r="M289" t="s">
        <v>2173</v>
      </c>
      <c r="N289" t="s">
        <v>2173</v>
      </c>
      <c r="O289" t="s">
        <v>2175</v>
      </c>
      <c r="P289" t="s">
        <v>2449</v>
      </c>
      <c r="Q289">
        <v>40</v>
      </c>
      <c r="R289" t="s">
        <v>2844</v>
      </c>
      <c r="S289" t="s">
        <v>2856</v>
      </c>
      <c r="U289" t="s">
        <v>2868</v>
      </c>
      <c r="V289" t="s">
        <v>2174</v>
      </c>
      <c r="W289" t="s">
        <v>2174</v>
      </c>
      <c r="Y289" t="s">
        <v>2876</v>
      </c>
      <c r="AA289" t="s">
        <v>112</v>
      </c>
      <c r="AB289">
        <v>0</v>
      </c>
      <c r="AC289">
        <v>790</v>
      </c>
      <c r="AD289">
        <v>0</v>
      </c>
      <c r="AE289" t="s">
        <v>2894</v>
      </c>
      <c r="AG289" t="s">
        <v>3179</v>
      </c>
      <c r="AI289" t="s">
        <v>4044</v>
      </c>
      <c r="AJ289">
        <v>1604</v>
      </c>
      <c r="AK289" t="s">
        <v>4462</v>
      </c>
      <c r="AL289">
        <v>3</v>
      </c>
      <c r="AM289">
        <v>0</v>
      </c>
      <c r="AN289">
        <v>283.15</v>
      </c>
      <c r="AR289" t="s">
        <v>4476</v>
      </c>
      <c r="AS289" t="s">
        <v>4486</v>
      </c>
      <c r="AT289">
        <v>60396</v>
      </c>
      <c r="AX289" t="s">
        <v>4501</v>
      </c>
      <c r="BA289" t="s">
        <v>4599</v>
      </c>
    </row>
    <row r="290" spans="1:57">
      <c r="A290" s="1">
        <f>HYPERLINK("https://lsnyc.legalserver.org/matter/dynamic-profile/view/1897444","19-1897444")</f>
        <v>0</v>
      </c>
      <c r="B290" t="s">
        <v>66</v>
      </c>
      <c r="C290" t="s">
        <v>92</v>
      </c>
      <c r="D290" t="s">
        <v>112</v>
      </c>
      <c r="E290" t="s">
        <v>109</v>
      </c>
      <c r="F290" t="s">
        <v>486</v>
      </c>
      <c r="G290" t="s">
        <v>1017</v>
      </c>
      <c r="H290" t="s">
        <v>1559</v>
      </c>
      <c r="I290" t="s">
        <v>2021</v>
      </c>
      <c r="J290" t="s">
        <v>2169</v>
      </c>
      <c r="K290" t="s">
        <v>2171</v>
      </c>
      <c r="L290">
        <v>10029</v>
      </c>
      <c r="M290" t="s">
        <v>2173</v>
      </c>
      <c r="N290" t="s">
        <v>2173</v>
      </c>
      <c r="O290" t="s">
        <v>2175</v>
      </c>
      <c r="P290" t="s">
        <v>2450</v>
      </c>
      <c r="Q290">
        <v>17</v>
      </c>
      <c r="R290" t="s">
        <v>2844</v>
      </c>
      <c r="S290" t="s">
        <v>2856</v>
      </c>
      <c r="T290" t="s">
        <v>2862</v>
      </c>
      <c r="U290" t="s">
        <v>2868</v>
      </c>
      <c r="V290" t="s">
        <v>2174</v>
      </c>
      <c r="W290" t="s">
        <v>2174</v>
      </c>
      <c r="Y290" t="s">
        <v>2876</v>
      </c>
      <c r="AA290" t="s">
        <v>112</v>
      </c>
      <c r="AB290">
        <v>0</v>
      </c>
      <c r="AC290">
        <v>879</v>
      </c>
      <c r="AD290">
        <v>0.8</v>
      </c>
      <c r="AE290" t="s">
        <v>2894</v>
      </c>
      <c r="AF290" t="s">
        <v>2896</v>
      </c>
      <c r="AG290" t="s">
        <v>3180</v>
      </c>
      <c r="AI290" t="s">
        <v>4045</v>
      </c>
      <c r="AJ290">
        <v>200</v>
      </c>
      <c r="AK290" t="s">
        <v>4456</v>
      </c>
      <c r="AL290">
        <v>2</v>
      </c>
      <c r="AM290">
        <v>2</v>
      </c>
      <c r="AN290">
        <v>63.61</v>
      </c>
      <c r="AR290" t="s">
        <v>2176</v>
      </c>
      <c r="AS290" t="s">
        <v>4486</v>
      </c>
      <c r="AT290">
        <v>16380</v>
      </c>
      <c r="AX290" t="s">
        <v>4505</v>
      </c>
      <c r="BA290" t="s">
        <v>4537</v>
      </c>
      <c r="BD290" t="s">
        <v>109</v>
      </c>
    </row>
    <row r="291" spans="1:57">
      <c r="A291" s="1">
        <f>HYPERLINK("https://lsnyc.legalserver.org/matter/dynamic-profile/view/1897499","19-1897499")</f>
        <v>0</v>
      </c>
      <c r="B291" t="s">
        <v>62</v>
      </c>
      <c r="C291" t="s">
        <v>93</v>
      </c>
      <c r="D291" t="s">
        <v>112</v>
      </c>
      <c r="F291" t="s">
        <v>487</v>
      </c>
      <c r="G291" t="s">
        <v>821</v>
      </c>
      <c r="H291" t="s">
        <v>1560</v>
      </c>
      <c r="I291" t="s">
        <v>2022</v>
      </c>
      <c r="J291" t="s">
        <v>2169</v>
      </c>
      <c r="K291" t="s">
        <v>2171</v>
      </c>
      <c r="L291">
        <v>10029</v>
      </c>
      <c r="M291" t="s">
        <v>2173</v>
      </c>
      <c r="N291" t="s">
        <v>2173</v>
      </c>
      <c r="O291" t="s">
        <v>2175</v>
      </c>
      <c r="P291" t="s">
        <v>2451</v>
      </c>
      <c r="Q291">
        <v>20</v>
      </c>
      <c r="R291" t="s">
        <v>2844</v>
      </c>
      <c r="S291" t="s">
        <v>2857</v>
      </c>
      <c r="U291" t="s">
        <v>2868</v>
      </c>
      <c r="V291" t="s">
        <v>2174</v>
      </c>
      <c r="W291" t="s">
        <v>2174</v>
      </c>
      <c r="Y291" t="s">
        <v>2876</v>
      </c>
      <c r="AA291" t="s">
        <v>230</v>
      </c>
      <c r="AB291">
        <v>0</v>
      </c>
      <c r="AC291">
        <v>429</v>
      </c>
      <c r="AD291">
        <v>1</v>
      </c>
      <c r="AE291" t="s">
        <v>2894</v>
      </c>
      <c r="AG291" t="s">
        <v>3181</v>
      </c>
      <c r="AH291" t="s">
        <v>3655</v>
      </c>
      <c r="AI291" t="s">
        <v>4046</v>
      </c>
      <c r="AJ291">
        <v>0</v>
      </c>
      <c r="AK291" t="s">
        <v>4466</v>
      </c>
      <c r="AL291">
        <v>2</v>
      </c>
      <c r="AM291">
        <v>0</v>
      </c>
      <c r="AN291">
        <v>73.8</v>
      </c>
      <c r="AR291" t="s">
        <v>4476</v>
      </c>
      <c r="AS291" t="s">
        <v>4486</v>
      </c>
      <c r="AT291">
        <v>12480</v>
      </c>
      <c r="AX291" t="s">
        <v>4504</v>
      </c>
      <c r="BA291" t="s">
        <v>4537</v>
      </c>
      <c r="BD291" t="s">
        <v>112</v>
      </c>
      <c r="BE291" t="s">
        <v>4704</v>
      </c>
    </row>
    <row r="292" spans="1:57">
      <c r="A292" s="1">
        <f>HYPERLINK("https://lsnyc.legalserver.org/matter/dynamic-profile/view/1898890","19-1898890")</f>
        <v>0</v>
      </c>
      <c r="B292" t="s">
        <v>67</v>
      </c>
      <c r="C292" t="s">
        <v>92</v>
      </c>
      <c r="D292" t="s">
        <v>109</v>
      </c>
      <c r="E292" t="s">
        <v>208</v>
      </c>
      <c r="F292" t="s">
        <v>488</v>
      </c>
      <c r="G292" t="s">
        <v>890</v>
      </c>
      <c r="H292" t="s">
        <v>1561</v>
      </c>
      <c r="I292" t="s">
        <v>1922</v>
      </c>
      <c r="J292" t="s">
        <v>2169</v>
      </c>
      <c r="K292" t="s">
        <v>2171</v>
      </c>
      <c r="L292">
        <v>10029</v>
      </c>
      <c r="M292" t="s">
        <v>2173</v>
      </c>
      <c r="N292" t="s">
        <v>2173</v>
      </c>
      <c r="O292" t="s">
        <v>2175</v>
      </c>
      <c r="P292" t="s">
        <v>2452</v>
      </c>
      <c r="Q292">
        <v>8</v>
      </c>
      <c r="R292" t="s">
        <v>2844</v>
      </c>
      <c r="S292" t="s">
        <v>2856</v>
      </c>
      <c r="T292" t="s">
        <v>2863</v>
      </c>
      <c r="U292" t="s">
        <v>2868</v>
      </c>
      <c r="V292" t="s">
        <v>2174</v>
      </c>
      <c r="W292" t="s">
        <v>2174</v>
      </c>
      <c r="Y292" t="s">
        <v>2875</v>
      </c>
      <c r="AA292" t="s">
        <v>109</v>
      </c>
      <c r="AB292">
        <v>0</v>
      </c>
      <c r="AC292">
        <v>1026</v>
      </c>
      <c r="AD292">
        <v>1.8</v>
      </c>
      <c r="AE292" t="s">
        <v>2894</v>
      </c>
      <c r="AF292" t="s">
        <v>2896</v>
      </c>
      <c r="AG292" t="s">
        <v>3182</v>
      </c>
      <c r="AI292" t="s">
        <v>4047</v>
      </c>
      <c r="AJ292">
        <v>398</v>
      </c>
      <c r="AK292" t="s">
        <v>4459</v>
      </c>
      <c r="AL292">
        <v>1</v>
      </c>
      <c r="AM292">
        <v>2</v>
      </c>
      <c r="AN292">
        <v>168.78</v>
      </c>
      <c r="AR292" t="s">
        <v>4476</v>
      </c>
      <c r="AS292" t="s">
        <v>4486</v>
      </c>
      <c r="AT292">
        <v>36000</v>
      </c>
      <c r="AX292" t="s">
        <v>4504</v>
      </c>
      <c r="BA292" t="s">
        <v>4581</v>
      </c>
      <c r="BD292" t="s">
        <v>136</v>
      </c>
      <c r="BE292" t="s">
        <v>4703</v>
      </c>
    </row>
    <row r="293" spans="1:57">
      <c r="A293" s="1">
        <f>HYPERLINK("https://lsnyc.legalserver.org/matter/dynamic-profile/view/1901198","19-1901198")</f>
        <v>0</v>
      </c>
      <c r="B293" t="s">
        <v>67</v>
      </c>
      <c r="C293" t="s">
        <v>93</v>
      </c>
      <c r="D293" t="s">
        <v>104</v>
      </c>
      <c r="F293" t="s">
        <v>489</v>
      </c>
      <c r="G293" t="s">
        <v>1018</v>
      </c>
      <c r="H293" t="s">
        <v>1562</v>
      </c>
      <c r="I293" t="s">
        <v>2023</v>
      </c>
      <c r="J293" t="s">
        <v>2169</v>
      </c>
      <c r="K293" t="s">
        <v>2171</v>
      </c>
      <c r="L293">
        <v>10029</v>
      </c>
      <c r="M293" t="s">
        <v>2173</v>
      </c>
      <c r="N293" t="s">
        <v>2172</v>
      </c>
      <c r="O293" t="s">
        <v>2184</v>
      </c>
      <c r="P293" t="s">
        <v>2453</v>
      </c>
      <c r="Q293">
        <v>20</v>
      </c>
      <c r="R293" t="s">
        <v>2844</v>
      </c>
      <c r="S293" t="s">
        <v>2856</v>
      </c>
      <c r="U293" t="s">
        <v>2868</v>
      </c>
      <c r="V293" t="s">
        <v>2174</v>
      </c>
      <c r="W293" t="s">
        <v>2174</v>
      </c>
      <c r="Y293" t="s">
        <v>2875</v>
      </c>
      <c r="Z293" t="s">
        <v>2879</v>
      </c>
      <c r="AA293" t="s">
        <v>104</v>
      </c>
      <c r="AB293">
        <v>0</v>
      </c>
      <c r="AC293">
        <v>879</v>
      </c>
      <c r="AD293">
        <v>0.5</v>
      </c>
      <c r="AE293" t="s">
        <v>2894</v>
      </c>
      <c r="AG293" t="s">
        <v>3183</v>
      </c>
      <c r="AI293" t="s">
        <v>4048</v>
      </c>
      <c r="AJ293">
        <v>672</v>
      </c>
      <c r="AK293" t="s">
        <v>4457</v>
      </c>
      <c r="AL293">
        <v>1</v>
      </c>
      <c r="AM293">
        <v>0</v>
      </c>
      <c r="AN293">
        <v>520.42</v>
      </c>
      <c r="AR293" t="s">
        <v>4476</v>
      </c>
      <c r="AS293" t="s">
        <v>4486</v>
      </c>
      <c r="AT293">
        <v>65000</v>
      </c>
      <c r="AX293" t="s">
        <v>4502</v>
      </c>
      <c r="BA293" t="s">
        <v>4546</v>
      </c>
      <c r="BD293" t="s">
        <v>147</v>
      </c>
      <c r="BE293" t="s">
        <v>4703</v>
      </c>
    </row>
    <row r="294" spans="1:57">
      <c r="A294" s="1">
        <f>HYPERLINK("https://lsnyc.legalserver.org/matter/dynamic-profile/view/1901201","19-1901201")</f>
        <v>0</v>
      </c>
      <c r="B294" t="s">
        <v>57</v>
      </c>
      <c r="C294" t="s">
        <v>93</v>
      </c>
      <c r="D294" t="s">
        <v>104</v>
      </c>
      <c r="F294" t="s">
        <v>490</v>
      </c>
      <c r="G294" t="s">
        <v>1019</v>
      </c>
      <c r="H294" t="s">
        <v>1563</v>
      </c>
      <c r="I294" t="s">
        <v>1951</v>
      </c>
      <c r="J294" t="s">
        <v>2169</v>
      </c>
      <c r="K294" t="s">
        <v>2171</v>
      </c>
      <c r="L294">
        <v>10029</v>
      </c>
      <c r="M294" t="s">
        <v>2173</v>
      </c>
      <c r="N294" t="s">
        <v>2172</v>
      </c>
      <c r="O294" t="s">
        <v>2178</v>
      </c>
      <c r="P294" t="s">
        <v>2454</v>
      </c>
      <c r="Q294">
        <v>10</v>
      </c>
      <c r="R294" t="s">
        <v>2844</v>
      </c>
      <c r="S294" t="s">
        <v>2856</v>
      </c>
      <c r="U294" t="s">
        <v>2868</v>
      </c>
      <c r="V294" t="s">
        <v>2174</v>
      </c>
      <c r="W294" t="s">
        <v>2174</v>
      </c>
      <c r="Y294" t="s">
        <v>2875</v>
      </c>
      <c r="AA294" t="s">
        <v>104</v>
      </c>
      <c r="AB294">
        <v>0</v>
      </c>
      <c r="AC294">
        <v>429</v>
      </c>
      <c r="AD294">
        <v>0.3</v>
      </c>
      <c r="AE294" t="s">
        <v>2894</v>
      </c>
      <c r="AG294" t="s">
        <v>3184</v>
      </c>
      <c r="AI294" t="s">
        <v>4049</v>
      </c>
      <c r="AJ294">
        <v>724</v>
      </c>
      <c r="AK294" t="s">
        <v>4459</v>
      </c>
      <c r="AL294">
        <v>1</v>
      </c>
      <c r="AM294">
        <v>0</v>
      </c>
      <c r="AN294">
        <v>124.9</v>
      </c>
      <c r="AR294" t="s">
        <v>4476</v>
      </c>
      <c r="AS294" t="s">
        <v>4487</v>
      </c>
      <c r="AT294">
        <v>15600</v>
      </c>
      <c r="AX294" t="s">
        <v>4501</v>
      </c>
      <c r="BA294" t="s">
        <v>4546</v>
      </c>
      <c r="BD294" t="s">
        <v>136</v>
      </c>
      <c r="BE294" t="s">
        <v>4703</v>
      </c>
    </row>
    <row r="295" spans="1:57">
      <c r="A295" s="1">
        <f>HYPERLINK("https://lsnyc.legalserver.org/matter/dynamic-profile/view/1902446","19-1902446")</f>
        <v>0</v>
      </c>
      <c r="B295" t="s">
        <v>71</v>
      </c>
      <c r="C295" t="s">
        <v>93</v>
      </c>
      <c r="D295" t="s">
        <v>173</v>
      </c>
      <c r="F295" t="s">
        <v>491</v>
      </c>
      <c r="G295" t="s">
        <v>1020</v>
      </c>
      <c r="H295" t="s">
        <v>1564</v>
      </c>
      <c r="I295" t="s">
        <v>1938</v>
      </c>
      <c r="J295" t="s">
        <v>2169</v>
      </c>
      <c r="K295" t="s">
        <v>2171</v>
      </c>
      <c r="L295">
        <v>10029</v>
      </c>
      <c r="M295" t="s">
        <v>2173</v>
      </c>
      <c r="N295" t="s">
        <v>2172</v>
      </c>
      <c r="O295" t="s">
        <v>2175</v>
      </c>
      <c r="P295" t="s">
        <v>2455</v>
      </c>
      <c r="Q295">
        <v>15</v>
      </c>
      <c r="R295" t="s">
        <v>2844</v>
      </c>
      <c r="S295" t="s">
        <v>2856</v>
      </c>
      <c r="U295" t="s">
        <v>2868</v>
      </c>
      <c r="V295" t="s">
        <v>2174</v>
      </c>
      <c r="W295" t="s">
        <v>2174</v>
      </c>
      <c r="Y295" t="s">
        <v>2875</v>
      </c>
      <c r="AA295" t="s">
        <v>2886</v>
      </c>
      <c r="AB295">
        <v>0</v>
      </c>
      <c r="AC295">
        <v>223</v>
      </c>
      <c r="AD295">
        <v>0.25</v>
      </c>
      <c r="AE295" t="s">
        <v>2894</v>
      </c>
      <c r="AG295" t="s">
        <v>3185</v>
      </c>
      <c r="AH295" t="s">
        <v>3656</v>
      </c>
      <c r="AI295" t="s">
        <v>4050</v>
      </c>
      <c r="AJ295">
        <v>48</v>
      </c>
      <c r="AK295" t="s">
        <v>4459</v>
      </c>
      <c r="AL295">
        <v>1</v>
      </c>
      <c r="AM295">
        <v>0</v>
      </c>
      <c r="AN295">
        <v>74.36</v>
      </c>
      <c r="AR295" t="s">
        <v>4476</v>
      </c>
      <c r="AS295" t="s">
        <v>4486</v>
      </c>
      <c r="AT295">
        <v>9288</v>
      </c>
      <c r="AX295" t="s">
        <v>4504</v>
      </c>
      <c r="BA295" t="s">
        <v>4609</v>
      </c>
      <c r="BD295" t="s">
        <v>116</v>
      </c>
      <c r="BE295" t="s">
        <v>4704</v>
      </c>
    </row>
    <row r="296" spans="1:57">
      <c r="A296" s="1">
        <f>HYPERLINK("https://lsnyc.legalserver.org/matter/dynamic-profile/view/1902448","19-1902448")</f>
        <v>0</v>
      </c>
      <c r="B296" t="s">
        <v>64</v>
      </c>
      <c r="C296" t="s">
        <v>93</v>
      </c>
      <c r="D296" t="s">
        <v>173</v>
      </c>
      <c r="F296" t="s">
        <v>492</v>
      </c>
      <c r="G296" t="s">
        <v>1021</v>
      </c>
      <c r="H296" t="s">
        <v>1565</v>
      </c>
      <c r="I296" t="s">
        <v>1917</v>
      </c>
      <c r="J296" t="s">
        <v>2169</v>
      </c>
      <c r="K296" t="s">
        <v>2171</v>
      </c>
      <c r="L296">
        <v>10029</v>
      </c>
      <c r="M296" t="s">
        <v>2173</v>
      </c>
      <c r="N296" t="s">
        <v>2172</v>
      </c>
      <c r="O296" t="s">
        <v>2175</v>
      </c>
      <c r="P296" t="s">
        <v>2456</v>
      </c>
      <c r="Q296">
        <v>26</v>
      </c>
      <c r="R296" t="s">
        <v>2844</v>
      </c>
      <c r="S296" t="s">
        <v>2857</v>
      </c>
      <c r="U296" t="s">
        <v>2868</v>
      </c>
      <c r="V296" t="s">
        <v>2174</v>
      </c>
      <c r="W296" t="s">
        <v>2174</v>
      </c>
      <c r="Y296" t="s">
        <v>2875</v>
      </c>
      <c r="Z296" t="s">
        <v>2879</v>
      </c>
      <c r="AA296" t="s">
        <v>173</v>
      </c>
      <c r="AB296">
        <v>0</v>
      </c>
      <c r="AC296">
        <v>650</v>
      </c>
      <c r="AD296">
        <v>12.8</v>
      </c>
      <c r="AE296" t="s">
        <v>2894</v>
      </c>
      <c r="AG296" t="s">
        <v>3186</v>
      </c>
      <c r="AH296" t="s">
        <v>3657</v>
      </c>
      <c r="AI296" t="s">
        <v>4051</v>
      </c>
      <c r="AJ296">
        <v>34</v>
      </c>
      <c r="AK296" t="s">
        <v>4459</v>
      </c>
      <c r="AL296">
        <v>4</v>
      </c>
      <c r="AM296">
        <v>0</v>
      </c>
      <c r="AN296">
        <v>136.43</v>
      </c>
      <c r="AR296" t="s">
        <v>4476</v>
      </c>
      <c r="AS296" t="s">
        <v>4486</v>
      </c>
      <c r="AT296">
        <v>35132</v>
      </c>
      <c r="AX296" t="s">
        <v>4501</v>
      </c>
      <c r="BA296" t="s">
        <v>4608</v>
      </c>
      <c r="BD296" t="s">
        <v>4673</v>
      </c>
      <c r="BE296" t="s">
        <v>4704</v>
      </c>
    </row>
    <row r="297" spans="1:57">
      <c r="A297" s="1">
        <f>HYPERLINK("https://lsnyc.legalserver.org/matter/dynamic-profile/view/1902742","19-1902742")</f>
        <v>0</v>
      </c>
      <c r="B297" t="s">
        <v>64</v>
      </c>
      <c r="C297" t="s">
        <v>93</v>
      </c>
      <c r="D297" t="s">
        <v>175</v>
      </c>
      <c r="F297" t="s">
        <v>493</v>
      </c>
      <c r="G297" t="s">
        <v>1022</v>
      </c>
      <c r="H297" t="s">
        <v>1566</v>
      </c>
      <c r="I297" t="s">
        <v>1938</v>
      </c>
      <c r="J297" t="s">
        <v>2169</v>
      </c>
      <c r="K297" t="s">
        <v>2171</v>
      </c>
      <c r="L297">
        <v>10029</v>
      </c>
      <c r="M297" t="s">
        <v>2173</v>
      </c>
      <c r="N297" t="s">
        <v>2172</v>
      </c>
      <c r="O297" t="s">
        <v>2175</v>
      </c>
      <c r="P297" t="s">
        <v>2457</v>
      </c>
      <c r="Q297">
        <v>13</v>
      </c>
      <c r="R297" t="s">
        <v>2844</v>
      </c>
      <c r="S297" t="s">
        <v>2857</v>
      </c>
      <c r="U297" t="s">
        <v>2868</v>
      </c>
      <c r="V297" t="s">
        <v>2174</v>
      </c>
      <c r="W297" t="s">
        <v>2174</v>
      </c>
      <c r="Y297" t="s">
        <v>2875</v>
      </c>
      <c r="Z297" t="s">
        <v>2881</v>
      </c>
      <c r="AA297" t="s">
        <v>175</v>
      </c>
      <c r="AB297">
        <v>0</v>
      </c>
      <c r="AC297">
        <v>350</v>
      </c>
      <c r="AD297">
        <v>18.05</v>
      </c>
      <c r="AE297" t="s">
        <v>2894</v>
      </c>
      <c r="AG297" t="s">
        <v>3187</v>
      </c>
      <c r="AI297" t="s">
        <v>4052</v>
      </c>
      <c r="AJ297">
        <v>80</v>
      </c>
      <c r="AK297" t="s">
        <v>4466</v>
      </c>
      <c r="AL297">
        <v>1</v>
      </c>
      <c r="AM297">
        <v>0</v>
      </c>
      <c r="AN297">
        <v>160.13</v>
      </c>
      <c r="AR297" t="s">
        <v>4476</v>
      </c>
      <c r="AS297" t="s">
        <v>4486</v>
      </c>
      <c r="AT297">
        <v>20000</v>
      </c>
      <c r="AX297" t="s">
        <v>4504</v>
      </c>
      <c r="BA297" t="s">
        <v>4546</v>
      </c>
      <c r="BD297" t="s">
        <v>230</v>
      </c>
      <c r="BE297" t="s">
        <v>4703</v>
      </c>
    </row>
    <row r="298" spans="1:57">
      <c r="A298" s="1">
        <f>HYPERLINK("https://lsnyc.legalserver.org/matter/dynamic-profile/view/1903613","19-1903613")</f>
        <v>0</v>
      </c>
      <c r="B298" t="s">
        <v>63</v>
      </c>
      <c r="C298" t="s">
        <v>93</v>
      </c>
      <c r="D298" t="s">
        <v>176</v>
      </c>
      <c r="F298" t="s">
        <v>494</v>
      </c>
      <c r="G298" t="s">
        <v>933</v>
      </c>
      <c r="H298" t="s">
        <v>1567</v>
      </c>
      <c r="I298" t="s">
        <v>2024</v>
      </c>
      <c r="J298" t="s">
        <v>2169</v>
      </c>
      <c r="K298" t="s">
        <v>2171</v>
      </c>
      <c r="L298">
        <v>10029</v>
      </c>
      <c r="M298" t="s">
        <v>2173</v>
      </c>
      <c r="N298" t="s">
        <v>2172</v>
      </c>
      <c r="O298" t="s">
        <v>2175</v>
      </c>
      <c r="P298" t="s">
        <v>2458</v>
      </c>
      <c r="Q298">
        <v>6</v>
      </c>
      <c r="R298" t="s">
        <v>2844</v>
      </c>
      <c r="S298" t="s">
        <v>2856</v>
      </c>
      <c r="U298" t="s">
        <v>2868</v>
      </c>
      <c r="V298" t="s">
        <v>2174</v>
      </c>
      <c r="W298" t="s">
        <v>2174</v>
      </c>
      <c r="Y298" t="s">
        <v>2875</v>
      </c>
      <c r="Z298" t="s">
        <v>2879</v>
      </c>
      <c r="AA298" t="s">
        <v>176</v>
      </c>
      <c r="AB298">
        <v>0</v>
      </c>
      <c r="AC298">
        <v>136.6</v>
      </c>
      <c r="AD298">
        <v>0.3</v>
      </c>
      <c r="AE298" t="s">
        <v>2894</v>
      </c>
      <c r="AG298" t="s">
        <v>3188</v>
      </c>
      <c r="AH298" t="s">
        <v>3658</v>
      </c>
      <c r="AI298" t="s">
        <v>4053</v>
      </c>
      <c r="AJ298">
        <v>595</v>
      </c>
      <c r="AK298" t="s">
        <v>4457</v>
      </c>
      <c r="AL298">
        <v>1</v>
      </c>
      <c r="AM298">
        <v>1</v>
      </c>
      <c r="AN298">
        <v>0</v>
      </c>
      <c r="AR298" t="s">
        <v>4476</v>
      </c>
      <c r="AS298" t="s">
        <v>4486</v>
      </c>
      <c r="AT298">
        <v>0</v>
      </c>
      <c r="AX298" t="s">
        <v>4502</v>
      </c>
      <c r="BA298" t="s">
        <v>4539</v>
      </c>
      <c r="BD298" t="s">
        <v>176</v>
      </c>
      <c r="BE298" t="s">
        <v>4704</v>
      </c>
    </row>
    <row r="299" spans="1:57">
      <c r="A299" s="1">
        <f>HYPERLINK("https://lsnyc.legalserver.org/matter/dynamic-profile/view/1903618","19-1903618")</f>
        <v>0</v>
      </c>
      <c r="B299" t="s">
        <v>58</v>
      </c>
      <c r="C299" t="s">
        <v>92</v>
      </c>
      <c r="D299" t="s">
        <v>176</v>
      </c>
      <c r="E299" t="s">
        <v>176</v>
      </c>
      <c r="F299" t="s">
        <v>253</v>
      </c>
      <c r="G299" t="s">
        <v>906</v>
      </c>
      <c r="H299" t="s">
        <v>1568</v>
      </c>
      <c r="I299" t="s">
        <v>1987</v>
      </c>
      <c r="J299" t="s">
        <v>2169</v>
      </c>
      <c r="K299" t="s">
        <v>2171</v>
      </c>
      <c r="L299">
        <v>10029</v>
      </c>
      <c r="M299" t="s">
        <v>2173</v>
      </c>
      <c r="N299" t="s">
        <v>2172</v>
      </c>
      <c r="O299" t="s">
        <v>2175</v>
      </c>
      <c r="P299" t="s">
        <v>2459</v>
      </c>
      <c r="Q299">
        <v>21</v>
      </c>
      <c r="R299" t="s">
        <v>2844</v>
      </c>
      <c r="S299" t="s">
        <v>2858</v>
      </c>
      <c r="T299" t="s">
        <v>2863</v>
      </c>
      <c r="U299" t="s">
        <v>2868</v>
      </c>
      <c r="V299" t="s">
        <v>2174</v>
      </c>
      <c r="W299" t="s">
        <v>2174</v>
      </c>
      <c r="Y299" t="s">
        <v>2875</v>
      </c>
      <c r="Z299" t="s">
        <v>2879</v>
      </c>
      <c r="AA299" t="s">
        <v>176</v>
      </c>
      <c r="AB299">
        <v>0</v>
      </c>
      <c r="AC299">
        <v>370</v>
      </c>
      <c r="AD299">
        <v>1</v>
      </c>
      <c r="AE299" t="s">
        <v>2894</v>
      </c>
      <c r="AF299" t="s">
        <v>2896</v>
      </c>
      <c r="AG299" t="s">
        <v>3189</v>
      </c>
      <c r="AI299" t="s">
        <v>4054</v>
      </c>
      <c r="AJ299">
        <v>0</v>
      </c>
      <c r="AK299" t="s">
        <v>4457</v>
      </c>
      <c r="AL299">
        <v>4</v>
      </c>
      <c r="AM299">
        <v>1</v>
      </c>
      <c r="AN299">
        <v>10.06</v>
      </c>
      <c r="AR299" t="s">
        <v>4476</v>
      </c>
      <c r="AS299" t="s">
        <v>4486</v>
      </c>
      <c r="AT299">
        <v>3036</v>
      </c>
      <c r="AX299" t="s">
        <v>4502</v>
      </c>
      <c r="BA299" t="s">
        <v>4609</v>
      </c>
      <c r="BD299" t="s">
        <v>176</v>
      </c>
      <c r="BE299" t="s">
        <v>4703</v>
      </c>
    </row>
    <row r="300" spans="1:57">
      <c r="A300" s="1">
        <f>HYPERLINK("https://lsnyc.legalserver.org/matter/dynamic-profile/view/1903629","19-1903629")</f>
        <v>0</v>
      </c>
      <c r="B300" t="s">
        <v>62</v>
      </c>
      <c r="C300" t="s">
        <v>93</v>
      </c>
      <c r="D300" t="s">
        <v>176</v>
      </c>
      <c r="F300" t="s">
        <v>495</v>
      </c>
      <c r="G300" t="s">
        <v>1023</v>
      </c>
      <c r="H300" t="s">
        <v>1569</v>
      </c>
      <c r="I300" t="s">
        <v>2025</v>
      </c>
      <c r="J300" t="s">
        <v>2169</v>
      </c>
      <c r="K300" t="s">
        <v>2171</v>
      </c>
      <c r="L300">
        <v>10029</v>
      </c>
      <c r="M300" t="s">
        <v>2173</v>
      </c>
      <c r="N300" t="s">
        <v>2172</v>
      </c>
      <c r="O300" t="s">
        <v>2175</v>
      </c>
      <c r="P300" t="s">
        <v>2460</v>
      </c>
      <c r="Q300">
        <v>2</v>
      </c>
      <c r="R300" t="s">
        <v>2844</v>
      </c>
      <c r="S300" t="s">
        <v>2856</v>
      </c>
      <c r="U300" t="s">
        <v>2868</v>
      </c>
      <c r="V300" t="s">
        <v>2174</v>
      </c>
      <c r="W300" t="s">
        <v>2174</v>
      </c>
      <c r="Y300" t="s">
        <v>2875</v>
      </c>
      <c r="Z300" t="s">
        <v>2879</v>
      </c>
      <c r="AA300" t="s">
        <v>176</v>
      </c>
      <c r="AB300">
        <v>0</v>
      </c>
      <c r="AC300">
        <v>482</v>
      </c>
      <c r="AD300">
        <v>0</v>
      </c>
      <c r="AE300" t="s">
        <v>2894</v>
      </c>
      <c r="AG300" t="s">
        <v>3190</v>
      </c>
      <c r="AI300" t="s">
        <v>4055</v>
      </c>
      <c r="AJ300">
        <v>0</v>
      </c>
      <c r="AK300" t="s">
        <v>4457</v>
      </c>
      <c r="AL300">
        <v>2</v>
      </c>
      <c r="AM300">
        <v>1</v>
      </c>
      <c r="AN300">
        <v>67.51000000000001</v>
      </c>
      <c r="AR300" t="s">
        <v>4476</v>
      </c>
      <c r="AS300" t="s">
        <v>4486</v>
      </c>
      <c r="AT300">
        <v>14400</v>
      </c>
      <c r="AX300" t="s">
        <v>4502</v>
      </c>
      <c r="BA300" t="s">
        <v>4546</v>
      </c>
      <c r="BE300" t="s">
        <v>4703</v>
      </c>
    </row>
    <row r="301" spans="1:57">
      <c r="A301" s="1">
        <f>HYPERLINK("https://lsnyc.legalserver.org/matter/dynamic-profile/view/1906932","19-1906932")</f>
        <v>0</v>
      </c>
      <c r="B301" t="s">
        <v>73</v>
      </c>
      <c r="C301" t="s">
        <v>93</v>
      </c>
      <c r="D301" t="s">
        <v>125</v>
      </c>
      <c r="F301" t="s">
        <v>496</v>
      </c>
      <c r="G301" t="s">
        <v>1024</v>
      </c>
      <c r="H301" t="s">
        <v>1570</v>
      </c>
      <c r="I301" t="s">
        <v>1932</v>
      </c>
      <c r="J301" t="s">
        <v>2169</v>
      </c>
      <c r="K301" t="s">
        <v>2171</v>
      </c>
      <c r="L301">
        <v>10029</v>
      </c>
      <c r="M301" t="s">
        <v>2173</v>
      </c>
      <c r="N301" t="s">
        <v>2172</v>
      </c>
      <c r="O301" t="s">
        <v>2181</v>
      </c>
      <c r="P301" t="s">
        <v>2461</v>
      </c>
      <c r="Q301">
        <v>10</v>
      </c>
      <c r="R301" t="s">
        <v>2844</v>
      </c>
      <c r="S301" t="s">
        <v>2857</v>
      </c>
      <c r="U301" t="s">
        <v>2868</v>
      </c>
      <c r="V301" t="s">
        <v>2174</v>
      </c>
      <c r="W301" t="s">
        <v>2174</v>
      </c>
      <c r="Y301" t="s">
        <v>2876</v>
      </c>
      <c r="AA301" t="s">
        <v>2886</v>
      </c>
      <c r="AB301">
        <v>0</v>
      </c>
      <c r="AC301">
        <v>1123.25</v>
      </c>
      <c r="AD301">
        <v>13.8</v>
      </c>
      <c r="AE301" t="s">
        <v>2894</v>
      </c>
      <c r="AG301" t="s">
        <v>3191</v>
      </c>
      <c r="AI301" t="s">
        <v>4056</v>
      </c>
      <c r="AJ301">
        <v>114</v>
      </c>
      <c r="AK301" t="s">
        <v>4462</v>
      </c>
      <c r="AL301">
        <v>1</v>
      </c>
      <c r="AM301">
        <v>0</v>
      </c>
      <c r="AN301">
        <v>32.09</v>
      </c>
      <c r="AR301" t="s">
        <v>4478</v>
      </c>
      <c r="AS301" t="s">
        <v>4489</v>
      </c>
      <c r="AT301">
        <v>4008</v>
      </c>
      <c r="AX301" t="s">
        <v>4504</v>
      </c>
      <c r="BA301" t="s">
        <v>4534</v>
      </c>
      <c r="BD301" t="s">
        <v>4684</v>
      </c>
      <c r="BE301" t="s">
        <v>4703</v>
      </c>
    </row>
    <row r="302" spans="1:57">
      <c r="A302" s="1">
        <f>HYPERLINK("https://lsnyc.legalserver.org/matter/dynamic-profile/view/1908998","19-1908998")</f>
        <v>0</v>
      </c>
      <c r="B302" t="s">
        <v>62</v>
      </c>
      <c r="C302" t="s">
        <v>93</v>
      </c>
      <c r="D302" t="s">
        <v>98</v>
      </c>
      <c r="F302" t="s">
        <v>459</v>
      </c>
      <c r="G302" t="s">
        <v>1025</v>
      </c>
      <c r="H302" t="s">
        <v>1571</v>
      </c>
      <c r="I302" t="s">
        <v>2004</v>
      </c>
      <c r="J302" t="s">
        <v>2169</v>
      </c>
      <c r="K302" t="s">
        <v>2171</v>
      </c>
      <c r="L302">
        <v>10029</v>
      </c>
      <c r="M302" t="s">
        <v>2173</v>
      </c>
      <c r="N302" t="s">
        <v>2172</v>
      </c>
      <c r="O302" t="s">
        <v>2175</v>
      </c>
      <c r="P302" t="s">
        <v>2462</v>
      </c>
      <c r="Q302">
        <v>17</v>
      </c>
      <c r="R302" t="s">
        <v>2844</v>
      </c>
      <c r="S302" t="s">
        <v>2856</v>
      </c>
      <c r="U302" t="s">
        <v>2868</v>
      </c>
      <c r="V302" t="s">
        <v>2174</v>
      </c>
      <c r="W302" t="s">
        <v>2174</v>
      </c>
      <c r="Y302" t="s">
        <v>2876</v>
      </c>
      <c r="Z302" t="s">
        <v>2879</v>
      </c>
      <c r="AA302" t="s">
        <v>98</v>
      </c>
      <c r="AB302">
        <v>0</v>
      </c>
      <c r="AC302">
        <v>900.15</v>
      </c>
      <c r="AD302">
        <v>0.9</v>
      </c>
      <c r="AE302" t="s">
        <v>2894</v>
      </c>
      <c r="AG302" t="s">
        <v>3192</v>
      </c>
      <c r="AI302" t="s">
        <v>4057</v>
      </c>
      <c r="AJ302">
        <v>20</v>
      </c>
      <c r="AK302" t="s">
        <v>4464</v>
      </c>
      <c r="AL302">
        <v>1</v>
      </c>
      <c r="AM302">
        <v>0</v>
      </c>
      <c r="AN302">
        <v>127.92</v>
      </c>
      <c r="AR302" t="s">
        <v>4476</v>
      </c>
      <c r="AS302" t="s">
        <v>4486</v>
      </c>
      <c r="AT302">
        <v>15976.8</v>
      </c>
      <c r="AX302" t="s">
        <v>4502</v>
      </c>
      <c r="BA302" t="s">
        <v>4534</v>
      </c>
      <c r="BD302" t="s">
        <v>4689</v>
      </c>
      <c r="BE302" t="s">
        <v>4703</v>
      </c>
    </row>
    <row r="303" spans="1:57">
      <c r="A303" s="1">
        <f>HYPERLINK("https://lsnyc.legalserver.org/matter/dynamic-profile/view/1909042","19-1909042")</f>
        <v>0</v>
      </c>
      <c r="B303" t="s">
        <v>62</v>
      </c>
      <c r="C303" t="s">
        <v>93</v>
      </c>
      <c r="D303" t="s">
        <v>98</v>
      </c>
      <c r="F303" t="s">
        <v>497</v>
      </c>
      <c r="G303" t="s">
        <v>1026</v>
      </c>
      <c r="H303" t="s">
        <v>1572</v>
      </c>
      <c r="I303" t="s">
        <v>2026</v>
      </c>
      <c r="J303" t="s">
        <v>2169</v>
      </c>
      <c r="K303" t="s">
        <v>2171</v>
      </c>
      <c r="L303">
        <v>10029</v>
      </c>
      <c r="M303" t="s">
        <v>2173</v>
      </c>
      <c r="N303" t="s">
        <v>2172</v>
      </c>
      <c r="O303" t="s">
        <v>2178</v>
      </c>
      <c r="Q303">
        <v>19</v>
      </c>
      <c r="R303" t="s">
        <v>2847</v>
      </c>
      <c r="S303" t="s">
        <v>2858</v>
      </c>
      <c r="U303" t="s">
        <v>2868</v>
      </c>
      <c r="V303" t="s">
        <v>2174</v>
      </c>
      <c r="W303" t="s">
        <v>2174</v>
      </c>
      <c r="Y303" t="s">
        <v>2875</v>
      </c>
      <c r="Z303" t="s">
        <v>2879</v>
      </c>
      <c r="AA303" t="s">
        <v>98</v>
      </c>
      <c r="AB303">
        <v>0</v>
      </c>
      <c r="AC303">
        <v>230</v>
      </c>
      <c r="AD303">
        <v>0</v>
      </c>
      <c r="AE303" t="s">
        <v>2894</v>
      </c>
      <c r="AG303" t="s">
        <v>3193</v>
      </c>
      <c r="AI303" t="s">
        <v>4058</v>
      </c>
      <c r="AJ303">
        <v>0</v>
      </c>
      <c r="AK303" t="s">
        <v>4457</v>
      </c>
      <c r="AL303">
        <v>2</v>
      </c>
      <c r="AM303">
        <v>0</v>
      </c>
      <c r="AN303">
        <v>185.41</v>
      </c>
      <c r="AR303" t="s">
        <v>4476</v>
      </c>
      <c r="AS303" t="s">
        <v>4486</v>
      </c>
      <c r="AT303">
        <v>31352</v>
      </c>
      <c r="AX303" t="s">
        <v>4502</v>
      </c>
      <c r="BA303" t="s">
        <v>4581</v>
      </c>
      <c r="BE303" t="s">
        <v>4703</v>
      </c>
    </row>
    <row r="304" spans="1:57">
      <c r="A304" s="1">
        <f>HYPERLINK("https://lsnyc.legalserver.org/matter/dynamic-profile/view/1911868","19-1911868")</f>
        <v>0</v>
      </c>
      <c r="B304" t="s">
        <v>84</v>
      </c>
      <c r="C304" t="s">
        <v>93</v>
      </c>
      <c r="D304" t="s">
        <v>117</v>
      </c>
      <c r="F304" t="s">
        <v>469</v>
      </c>
      <c r="G304" t="s">
        <v>933</v>
      </c>
      <c r="H304" t="s">
        <v>1572</v>
      </c>
      <c r="I304" t="s">
        <v>2027</v>
      </c>
      <c r="J304" t="s">
        <v>2169</v>
      </c>
      <c r="K304" t="s">
        <v>2171</v>
      </c>
      <c r="L304">
        <v>10029</v>
      </c>
      <c r="M304" t="s">
        <v>2173</v>
      </c>
      <c r="N304" t="s">
        <v>2172</v>
      </c>
      <c r="O304" t="s">
        <v>2175</v>
      </c>
      <c r="Q304">
        <v>0</v>
      </c>
      <c r="R304" t="s">
        <v>2847</v>
      </c>
      <c r="U304" t="s">
        <v>2871</v>
      </c>
      <c r="V304" t="s">
        <v>2174</v>
      </c>
      <c r="W304" t="s">
        <v>2174</v>
      </c>
      <c r="Y304" t="s">
        <v>2875</v>
      </c>
      <c r="AB304">
        <v>0</v>
      </c>
      <c r="AC304">
        <v>0</v>
      </c>
      <c r="AD304">
        <v>0.25</v>
      </c>
      <c r="AE304" t="s">
        <v>2894</v>
      </c>
      <c r="AG304" t="s">
        <v>3194</v>
      </c>
      <c r="AI304" t="s">
        <v>4059</v>
      </c>
      <c r="AJ304">
        <v>0</v>
      </c>
      <c r="AK304" t="s">
        <v>4459</v>
      </c>
      <c r="AL304">
        <v>1</v>
      </c>
      <c r="AM304">
        <v>0</v>
      </c>
      <c r="AN304">
        <v>67.25</v>
      </c>
      <c r="AS304" t="s">
        <v>4486</v>
      </c>
      <c r="AT304">
        <v>8400</v>
      </c>
      <c r="AX304" t="s">
        <v>4509</v>
      </c>
      <c r="BA304" t="s">
        <v>4538</v>
      </c>
      <c r="BD304" t="s">
        <v>117</v>
      </c>
      <c r="BE304" t="s">
        <v>4703</v>
      </c>
    </row>
    <row r="305" spans="1:57">
      <c r="A305" s="1">
        <f>HYPERLINK("https://lsnyc.legalserver.org/matter/dynamic-profile/view/1888425","19-1888425")</f>
        <v>0</v>
      </c>
      <c r="B305" t="s">
        <v>66</v>
      </c>
      <c r="C305" t="s">
        <v>93</v>
      </c>
      <c r="D305" t="s">
        <v>103</v>
      </c>
      <c r="F305" t="s">
        <v>498</v>
      </c>
      <c r="G305" t="s">
        <v>1027</v>
      </c>
      <c r="H305" t="s">
        <v>1573</v>
      </c>
      <c r="I305" t="s">
        <v>2028</v>
      </c>
      <c r="J305" t="s">
        <v>2169</v>
      </c>
      <c r="K305" t="s">
        <v>2171</v>
      </c>
      <c r="L305">
        <v>10028</v>
      </c>
      <c r="M305" t="s">
        <v>2173</v>
      </c>
      <c r="N305" t="s">
        <v>2173</v>
      </c>
      <c r="O305" t="s">
        <v>2175</v>
      </c>
      <c r="P305">
        <v>80357</v>
      </c>
      <c r="Q305">
        <v>3</v>
      </c>
      <c r="R305" t="s">
        <v>2843</v>
      </c>
      <c r="S305" t="s">
        <v>2856</v>
      </c>
      <c r="U305" t="s">
        <v>2868</v>
      </c>
      <c r="V305" t="s">
        <v>2174</v>
      </c>
      <c r="W305" t="s">
        <v>2174</v>
      </c>
      <c r="Y305" t="s">
        <v>2876</v>
      </c>
      <c r="AA305" t="s">
        <v>132</v>
      </c>
      <c r="AB305">
        <v>0</v>
      </c>
      <c r="AC305">
        <v>522.72</v>
      </c>
      <c r="AD305">
        <v>2.8</v>
      </c>
      <c r="AE305" t="s">
        <v>2894</v>
      </c>
      <c r="AG305" t="s">
        <v>3195</v>
      </c>
      <c r="AH305" t="s">
        <v>3659</v>
      </c>
      <c r="AI305" t="s">
        <v>4060</v>
      </c>
      <c r="AJ305">
        <v>17</v>
      </c>
      <c r="AL305">
        <v>1</v>
      </c>
      <c r="AM305">
        <v>0</v>
      </c>
      <c r="AN305">
        <v>85.7</v>
      </c>
      <c r="AS305" t="s">
        <v>4486</v>
      </c>
      <c r="AT305">
        <v>10404</v>
      </c>
      <c r="AX305" t="s">
        <v>4499</v>
      </c>
      <c r="BA305" t="s">
        <v>4548</v>
      </c>
      <c r="BD305" t="s">
        <v>101</v>
      </c>
    </row>
    <row r="306" spans="1:57">
      <c r="A306" s="1">
        <f>HYPERLINK("https://lsnyc.legalserver.org/matter/dynamic-profile/view/1890418","19-1890418")</f>
        <v>0</v>
      </c>
      <c r="B306" t="s">
        <v>79</v>
      </c>
      <c r="C306" t="s">
        <v>92</v>
      </c>
      <c r="D306" t="s">
        <v>101</v>
      </c>
      <c r="E306" t="s">
        <v>220</v>
      </c>
      <c r="F306" t="s">
        <v>499</v>
      </c>
      <c r="G306" t="s">
        <v>1028</v>
      </c>
      <c r="H306" t="s">
        <v>1574</v>
      </c>
      <c r="I306" t="s">
        <v>2029</v>
      </c>
      <c r="J306" t="s">
        <v>2169</v>
      </c>
      <c r="K306" t="s">
        <v>2171</v>
      </c>
      <c r="L306">
        <v>10028</v>
      </c>
      <c r="M306" t="s">
        <v>2173</v>
      </c>
      <c r="N306" t="s">
        <v>2173</v>
      </c>
      <c r="O306" t="s">
        <v>2175</v>
      </c>
      <c r="P306" t="s">
        <v>2463</v>
      </c>
      <c r="Q306">
        <v>18</v>
      </c>
      <c r="R306" t="s">
        <v>2843</v>
      </c>
      <c r="S306" t="s">
        <v>2856</v>
      </c>
      <c r="T306" t="s">
        <v>2863</v>
      </c>
      <c r="U306" t="s">
        <v>2868</v>
      </c>
      <c r="V306" t="s">
        <v>2174</v>
      </c>
      <c r="W306" t="s">
        <v>2174</v>
      </c>
      <c r="Y306" t="s">
        <v>2876</v>
      </c>
      <c r="Z306" t="s">
        <v>2879</v>
      </c>
      <c r="AA306" t="s">
        <v>220</v>
      </c>
      <c r="AB306">
        <v>0</v>
      </c>
      <c r="AC306">
        <v>895</v>
      </c>
      <c r="AD306">
        <v>0.1</v>
      </c>
      <c r="AE306" t="s">
        <v>2894</v>
      </c>
      <c r="AF306" t="s">
        <v>2896</v>
      </c>
      <c r="AG306" t="s">
        <v>3196</v>
      </c>
      <c r="AI306" t="s">
        <v>4061</v>
      </c>
      <c r="AJ306">
        <v>0</v>
      </c>
      <c r="AK306" t="s">
        <v>4456</v>
      </c>
      <c r="AL306">
        <v>1</v>
      </c>
      <c r="AM306">
        <v>0</v>
      </c>
      <c r="AN306">
        <v>0</v>
      </c>
      <c r="AQ306" t="s">
        <v>4473</v>
      </c>
      <c r="AR306" t="s">
        <v>4476</v>
      </c>
      <c r="AS306" t="s">
        <v>4486</v>
      </c>
      <c r="AT306">
        <v>0</v>
      </c>
      <c r="AX306" t="s">
        <v>4501</v>
      </c>
      <c r="BA306" t="s">
        <v>4539</v>
      </c>
      <c r="BD306" t="s">
        <v>101</v>
      </c>
    </row>
    <row r="307" spans="1:57">
      <c r="A307" s="1">
        <f>HYPERLINK("https://lsnyc.legalserver.org/matter/dynamic-profile/view/1896090","19-1896090")</f>
        <v>0</v>
      </c>
      <c r="B307" t="s">
        <v>66</v>
      </c>
      <c r="C307" t="s">
        <v>92</v>
      </c>
      <c r="D307" t="s">
        <v>100</v>
      </c>
      <c r="E307" t="s">
        <v>197</v>
      </c>
      <c r="F307" t="s">
        <v>500</v>
      </c>
      <c r="G307" t="s">
        <v>1029</v>
      </c>
      <c r="H307" t="s">
        <v>1575</v>
      </c>
      <c r="I307">
        <v>5</v>
      </c>
      <c r="J307" t="s">
        <v>2169</v>
      </c>
      <c r="K307" t="s">
        <v>2171</v>
      </c>
      <c r="L307">
        <v>10028</v>
      </c>
      <c r="M307" t="s">
        <v>2173</v>
      </c>
      <c r="N307" t="s">
        <v>2173</v>
      </c>
      <c r="O307" t="s">
        <v>2178</v>
      </c>
      <c r="P307" t="s">
        <v>2464</v>
      </c>
      <c r="Q307">
        <v>21</v>
      </c>
      <c r="R307" t="s">
        <v>2843</v>
      </c>
      <c r="S307" t="s">
        <v>2856</v>
      </c>
      <c r="T307" t="s">
        <v>2863</v>
      </c>
      <c r="U307" t="s">
        <v>2868</v>
      </c>
      <c r="V307" t="s">
        <v>2174</v>
      </c>
      <c r="W307" t="s">
        <v>2174</v>
      </c>
      <c r="Y307" t="s">
        <v>2876</v>
      </c>
      <c r="AA307" t="s">
        <v>100</v>
      </c>
      <c r="AB307">
        <v>0</v>
      </c>
      <c r="AC307">
        <v>1150</v>
      </c>
      <c r="AD307">
        <v>0.3</v>
      </c>
      <c r="AE307" t="s">
        <v>2894</v>
      </c>
      <c r="AF307" t="s">
        <v>2896</v>
      </c>
      <c r="AG307" t="s">
        <v>3197</v>
      </c>
      <c r="AI307" t="s">
        <v>4062</v>
      </c>
      <c r="AJ307">
        <v>0</v>
      </c>
      <c r="AK307" t="s">
        <v>4456</v>
      </c>
      <c r="AL307">
        <v>1</v>
      </c>
      <c r="AM307">
        <v>0</v>
      </c>
      <c r="AN307">
        <v>56.04</v>
      </c>
      <c r="AQ307" t="s">
        <v>4473</v>
      </c>
      <c r="AR307" t="s">
        <v>4476</v>
      </c>
      <c r="AS307" t="s">
        <v>4486</v>
      </c>
      <c r="AT307">
        <v>7000</v>
      </c>
      <c r="AX307" t="s">
        <v>4501</v>
      </c>
      <c r="BA307" t="s">
        <v>4545</v>
      </c>
      <c r="BD307" t="s">
        <v>168</v>
      </c>
      <c r="BE307" t="s">
        <v>4703</v>
      </c>
    </row>
    <row r="308" spans="1:57">
      <c r="A308" s="1">
        <f>HYPERLINK("https://lsnyc.legalserver.org/matter/dynamic-profile/view/1893138","19-1893138")</f>
        <v>0</v>
      </c>
      <c r="B308" t="s">
        <v>64</v>
      </c>
      <c r="C308" t="s">
        <v>92</v>
      </c>
      <c r="D308" t="s">
        <v>108</v>
      </c>
      <c r="E308" t="s">
        <v>108</v>
      </c>
      <c r="F308" t="s">
        <v>501</v>
      </c>
      <c r="G308" t="s">
        <v>1030</v>
      </c>
      <c r="H308" t="s">
        <v>1576</v>
      </c>
      <c r="I308" t="s">
        <v>2030</v>
      </c>
      <c r="J308" t="s">
        <v>2169</v>
      </c>
      <c r="K308" t="s">
        <v>2171</v>
      </c>
      <c r="L308">
        <v>10028</v>
      </c>
      <c r="M308" t="s">
        <v>2173</v>
      </c>
      <c r="N308" t="s">
        <v>2173</v>
      </c>
      <c r="O308" t="s">
        <v>2175</v>
      </c>
      <c r="P308" t="s">
        <v>2465</v>
      </c>
      <c r="Q308">
        <v>27</v>
      </c>
      <c r="R308" t="s">
        <v>2844</v>
      </c>
      <c r="S308" t="s">
        <v>2856</v>
      </c>
      <c r="T308" t="s">
        <v>2863</v>
      </c>
      <c r="U308" t="s">
        <v>2868</v>
      </c>
      <c r="V308" t="s">
        <v>2174</v>
      </c>
      <c r="W308" t="s">
        <v>2174</v>
      </c>
      <c r="Y308" t="s">
        <v>2876</v>
      </c>
      <c r="Z308" t="s">
        <v>2879</v>
      </c>
      <c r="AA308" t="s">
        <v>108</v>
      </c>
      <c r="AB308">
        <v>0</v>
      </c>
      <c r="AC308">
        <v>2778</v>
      </c>
      <c r="AD308">
        <v>1</v>
      </c>
      <c r="AE308" t="s">
        <v>2894</v>
      </c>
      <c r="AF308" t="s">
        <v>2896</v>
      </c>
      <c r="AG308" t="s">
        <v>3198</v>
      </c>
      <c r="AH308" t="s">
        <v>3660</v>
      </c>
      <c r="AI308" t="s">
        <v>4063</v>
      </c>
      <c r="AJ308">
        <v>0</v>
      </c>
      <c r="AK308" t="s">
        <v>4456</v>
      </c>
      <c r="AL308">
        <v>1</v>
      </c>
      <c r="AM308">
        <v>0</v>
      </c>
      <c r="AN308">
        <v>17.58</v>
      </c>
      <c r="AQ308" t="s">
        <v>4473</v>
      </c>
      <c r="AR308" t="s">
        <v>4476</v>
      </c>
      <c r="AS308" t="s">
        <v>4486</v>
      </c>
      <c r="AT308">
        <v>2196</v>
      </c>
      <c r="AX308" t="s">
        <v>4504</v>
      </c>
      <c r="BA308" t="s">
        <v>4551</v>
      </c>
      <c r="BD308" t="s">
        <v>108</v>
      </c>
    </row>
    <row r="309" spans="1:57">
      <c r="A309" s="1">
        <f>HYPERLINK("https://lsnyc.legalserver.org/matter/dynamic-profile/view/1891304","19-1891304")</f>
        <v>0</v>
      </c>
      <c r="B309" t="s">
        <v>69</v>
      </c>
      <c r="C309" t="s">
        <v>92</v>
      </c>
      <c r="D309" t="s">
        <v>139</v>
      </c>
      <c r="E309" t="s">
        <v>228</v>
      </c>
      <c r="F309" t="s">
        <v>502</v>
      </c>
      <c r="G309" t="s">
        <v>798</v>
      </c>
      <c r="H309" t="s">
        <v>1577</v>
      </c>
      <c r="I309" t="s">
        <v>2031</v>
      </c>
      <c r="J309" t="s">
        <v>2169</v>
      </c>
      <c r="K309" t="s">
        <v>2171</v>
      </c>
      <c r="L309">
        <v>10027</v>
      </c>
      <c r="M309" t="s">
        <v>2173</v>
      </c>
      <c r="N309" t="s">
        <v>2173</v>
      </c>
      <c r="O309" t="s">
        <v>2179</v>
      </c>
      <c r="P309" t="s">
        <v>2466</v>
      </c>
      <c r="Q309">
        <v>1</v>
      </c>
      <c r="R309" t="s">
        <v>2843</v>
      </c>
      <c r="S309" t="s">
        <v>2857</v>
      </c>
      <c r="T309" t="s">
        <v>2864</v>
      </c>
      <c r="U309" t="s">
        <v>2869</v>
      </c>
      <c r="V309" t="s">
        <v>2174</v>
      </c>
      <c r="W309" t="s">
        <v>2174</v>
      </c>
      <c r="Y309" t="s">
        <v>2876</v>
      </c>
      <c r="Z309" t="s">
        <v>2882</v>
      </c>
      <c r="AA309" t="s">
        <v>139</v>
      </c>
      <c r="AB309">
        <v>0</v>
      </c>
      <c r="AC309">
        <v>700</v>
      </c>
      <c r="AD309">
        <v>2</v>
      </c>
      <c r="AE309" t="s">
        <v>2894</v>
      </c>
      <c r="AF309" t="s">
        <v>2898</v>
      </c>
      <c r="AG309" t="s">
        <v>3199</v>
      </c>
      <c r="AI309" t="s">
        <v>4064</v>
      </c>
      <c r="AJ309">
        <v>0</v>
      </c>
      <c r="AK309" t="s">
        <v>4458</v>
      </c>
      <c r="AL309">
        <v>2</v>
      </c>
      <c r="AM309">
        <v>2</v>
      </c>
      <c r="AN309">
        <v>194.61</v>
      </c>
      <c r="AQ309" t="s">
        <v>4475</v>
      </c>
      <c r="AR309" t="s">
        <v>4476</v>
      </c>
      <c r="AS309" t="s">
        <v>4486</v>
      </c>
      <c r="AT309">
        <v>50112</v>
      </c>
      <c r="AX309" t="s">
        <v>4504</v>
      </c>
      <c r="BA309" t="s">
        <v>4581</v>
      </c>
      <c r="BB309" t="s">
        <v>4632</v>
      </c>
      <c r="BC309" t="s">
        <v>4645</v>
      </c>
      <c r="BD309" t="s">
        <v>4690</v>
      </c>
    </row>
    <row r="310" spans="1:57">
      <c r="A310" s="1">
        <f>HYPERLINK("https://lsnyc.legalserver.org/matter/dynamic-profile/view/1891362","19-1891362")</f>
        <v>0</v>
      </c>
      <c r="B310" t="s">
        <v>79</v>
      </c>
      <c r="C310" t="s">
        <v>92</v>
      </c>
      <c r="D310" t="s">
        <v>139</v>
      </c>
      <c r="E310" t="s">
        <v>229</v>
      </c>
      <c r="F310" t="s">
        <v>298</v>
      </c>
      <c r="G310" t="s">
        <v>1031</v>
      </c>
      <c r="H310" t="s">
        <v>1578</v>
      </c>
      <c r="I310" t="s">
        <v>1931</v>
      </c>
      <c r="J310" t="s">
        <v>2169</v>
      </c>
      <c r="K310" t="s">
        <v>2171</v>
      </c>
      <c r="L310">
        <v>10027</v>
      </c>
      <c r="M310" t="s">
        <v>2173</v>
      </c>
      <c r="N310" t="s">
        <v>2173</v>
      </c>
      <c r="O310" t="s">
        <v>2179</v>
      </c>
      <c r="P310" t="s">
        <v>2467</v>
      </c>
      <c r="Q310">
        <v>3</v>
      </c>
      <c r="R310" t="s">
        <v>2843</v>
      </c>
      <c r="S310" t="s">
        <v>2856</v>
      </c>
      <c r="T310" t="s">
        <v>2865</v>
      </c>
      <c r="U310" t="s">
        <v>2868</v>
      </c>
      <c r="V310" t="s">
        <v>2174</v>
      </c>
      <c r="W310" t="s">
        <v>2174</v>
      </c>
      <c r="Y310" t="s">
        <v>2876</v>
      </c>
      <c r="Z310" t="s">
        <v>2879</v>
      </c>
      <c r="AB310">
        <v>0</v>
      </c>
      <c r="AC310">
        <v>2150</v>
      </c>
      <c r="AD310">
        <v>0.3</v>
      </c>
      <c r="AE310" t="s">
        <v>2894</v>
      </c>
      <c r="AF310" t="s">
        <v>2900</v>
      </c>
      <c r="AG310" t="s">
        <v>3200</v>
      </c>
      <c r="AI310" t="s">
        <v>4065</v>
      </c>
      <c r="AJ310">
        <v>0</v>
      </c>
      <c r="AK310" t="s">
        <v>4458</v>
      </c>
      <c r="AL310">
        <v>1</v>
      </c>
      <c r="AM310">
        <v>0</v>
      </c>
      <c r="AN310">
        <v>288.23</v>
      </c>
      <c r="AQ310" t="s">
        <v>4473</v>
      </c>
      <c r="AR310" t="s">
        <v>4476</v>
      </c>
      <c r="AS310" t="s">
        <v>4486</v>
      </c>
      <c r="AT310">
        <v>36000</v>
      </c>
      <c r="AX310" t="s">
        <v>4501</v>
      </c>
      <c r="BA310" t="s">
        <v>4546</v>
      </c>
      <c r="BD310" t="s">
        <v>4691</v>
      </c>
    </row>
    <row r="311" spans="1:57">
      <c r="A311" s="1">
        <f>HYPERLINK("https://lsnyc.legalserver.org/matter/dynamic-profile/view/1891712","19-1891712")</f>
        <v>0</v>
      </c>
      <c r="B311" t="s">
        <v>62</v>
      </c>
      <c r="C311" t="s">
        <v>93</v>
      </c>
      <c r="D311" t="s">
        <v>107</v>
      </c>
      <c r="F311" t="s">
        <v>503</v>
      </c>
      <c r="G311" t="s">
        <v>1032</v>
      </c>
      <c r="H311" t="s">
        <v>1579</v>
      </c>
      <c r="I311">
        <v>18</v>
      </c>
      <c r="J311" t="s">
        <v>2169</v>
      </c>
      <c r="K311" t="s">
        <v>2171</v>
      </c>
      <c r="L311">
        <v>10027</v>
      </c>
      <c r="M311" t="s">
        <v>2173</v>
      </c>
      <c r="N311" t="s">
        <v>2173</v>
      </c>
      <c r="O311" t="s">
        <v>2177</v>
      </c>
      <c r="P311" t="s">
        <v>2468</v>
      </c>
      <c r="Q311">
        <v>14</v>
      </c>
      <c r="R311" t="s">
        <v>2843</v>
      </c>
      <c r="S311" t="s">
        <v>2857</v>
      </c>
      <c r="U311" t="s">
        <v>2868</v>
      </c>
      <c r="V311" t="s">
        <v>2174</v>
      </c>
      <c r="W311" t="s">
        <v>2174</v>
      </c>
      <c r="Y311" t="s">
        <v>2876</v>
      </c>
      <c r="AB311">
        <v>0</v>
      </c>
      <c r="AC311">
        <v>1537.32</v>
      </c>
      <c r="AD311">
        <v>50.35</v>
      </c>
      <c r="AE311" t="s">
        <v>2894</v>
      </c>
      <c r="AG311" t="s">
        <v>3201</v>
      </c>
      <c r="AI311" t="s">
        <v>4066</v>
      </c>
      <c r="AJ311">
        <v>0</v>
      </c>
      <c r="AK311" t="s">
        <v>4456</v>
      </c>
      <c r="AL311">
        <v>1</v>
      </c>
      <c r="AM311">
        <v>0</v>
      </c>
      <c r="AN311">
        <v>160.13</v>
      </c>
      <c r="AQ311" t="s">
        <v>4473</v>
      </c>
      <c r="AR311" t="s">
        <v>4476</v>
      </c>
      <c r="AS311" t="s">
        <v>4486</v>
      </c>
      <c r="AT311">
        <v>20000</v>
      </c>
      <c r="AX311" t="s">
        <v>4504</v>
      </c>
      <c r="BA311" t="s">
        <v>4545</v>
      </c>
      <c r="BD311" t="s">
        <v>172</v>
      </c>
    </row>
    <row r="312" spans="1:57">
      <c r="A312" s="1">
        <f>HYPERLINK("https://lsnyc.legalserver.org/matter/dynamic-profile/view/1892077","19-1892077")</f>
        <v>0</v>
      </c>
      <c r="B312" t="s">
        <v>58</v>
      </c>
      <c r="C312" t="s">
        <v>92</v>
      </c>
      <c r="D312" t="s">
        <v>158</v>
      </c>
      <c r="E312" t="s">
        <v>230</v>
      </c>
      <c r="F312" t="s">
        <v>504</v>
      </c>
      <c r="G312" t="s">
        <v>857</v>
      </c>
      <c r="H312" t="s">
        <v>1580</v>
      </c>
      <c r="I312" t="s">
        <v>1967</v>
      </c>
      <c r="J312" t="s">
        <v>2169</v>
      </c>
      <c r="K312" t="s">
        <v>2171</v>
      </c>
      <c r="L312">
        <v>10027</v>
      </c>
      <c r="M312" t="s">
        <v>2173</v>
      </c>
      <c r="N312" t="s">
        <v>2173</v>
      </c>
      <c r="O312" t="s">
        <v>2179</v>
      </c>
      <c r="P312" t="s">
        <v>2469</v>
      </c>
      <c r="Q312">
        <v>15</v>
      </c>
      <c r="R312" t="s">
        <v>2843</v>
      </c>
      <c r="S312" t="s">
        <v>2856</v>
      </c>
      <c r="T312" t="s">
        <v>2863</v>
      </c>
      <c r="U312" t="s">
        <v>2869</v>
      </c>
      <c r="V312" t="s">
        <v>2174</v>
      </c>
      <c r="W312" t="s">
        <v>2174</v>
      </c>
      <c r="Y312" t="s">
        <v>2876</v>
      </c>
      <c r="Z312" t="s">
        <v>2879</v>
      </c>
      <c r="AA312" t="s">
        <v>220</v>
      </c>
      <c r="AB312">
        <v>0</v>
      </c>
      <c r="AC312">
        <v>0</v>
      </c>
      <c r="AD312">
        <v>1.25</v>
      </c>
      <c r="AE312" t="s">
        <v>2894</v>
      </c>
      <c r="AF312" t="s">
        <v>2896</v>
      </c>
      <c r="AG312" t="s">
        <v>3202</v>
      </c>
      <c r="AI312" t="s">
        <v>4067</v>
      </c>
      <c r="AJ312">
        <v>30</v>
      </c>
      <c r="AK312" t="s">
        <v>4458</v>
      </c>
      <c r="AL312">
        <v>2</v>
      </c>
      <c r="AM312">
        <v>1</v>
      </c>
      <c r="AN312">
        <v>290.11</v>
      </c>
      <c r="AQ312" t="s">
        <v>4475</v>
      </c>
      <c r="AR312" t="s">
        <v>4476</v>
      </c>
      <c r="AS312" t="s">
        <v>4487</v>
      </c>
      <c r="AT312">
        <v>61880</v>
      </c>
      <c r="AX312" t="s">
        <v>4501</v>
      </c>
      <c r="BA312" t="s">
        <v>4580</v>
      </c>
      <c r="BD312" t="s">
        <v>176</v>
      </c>
      <c r="BE312" t="s">
        <v>4703</v>
      </c>
    </row>
    <row r="313" spans="1:57">
      <c r="A313" s="1">
        <f>HYPERLINK("https://lsnyc.legalserver.org/matter/dynamic-profile/view/1893594","19-1893594")</f>
        <v>0</v>
      </c>
      <c r="B313" t="s">
        <v>58</v>
      </c>
      <c r="C313" t="s">
        <v>93</v>
      </c>
      <c r="D313" t="s">
        <v>159</v>
      </c>
      <c r="F313" t="s">
        <v>505</v>
      </c>
      <c r="G313" t="s">
        <v>1033</v>
      </c>
      <c r="H313" t="s">
        <v>1581</v>
      </c>
      <c r="I313">
        <v>72</v>
      </c>
      <c r="J313" t="s">
        <v>2169</v>
      </c>
      <c r="K313" t="s">
        <v>2171</v>
      </c>
      <c r="L313">
        <v>10027</v>
      </c>
      <c r="M313" t="s">
        <v>2173</v>
      </c>
      <c r="N313" t="s">
        <v>2173</v>
      </c>
      <c r="O313" t="s">
        <v>2176</v>
      </c>
      <c r="P313" t="s">
        <v>2470</v>
      </c>
      <c r="Q313">
        <v>3</v>
      </c>
      <c r="R313" t="s">
        <v>2843</v>
      </c>
      <c r="S313" t="s">
        <v>2857</v>
      </c>
      <c r="U313" t="s">
        <v>2869</v>
      </c>
      <c r="V313" t="s">
        <v>2174</v>
      </c>
      <c r="W313" t="s">
        <v>2174</v>
      </c>
      <c r="Y313" t="s">
        <v>2876</v>
      </c>
      <c r="Z313" t="s">
        <v>2879</v>
      </c>
      <c r="AA313" t="s">
        <v>159</v>
      </c>
      <c r="AB313">
        <v>0</v>
      </c>
      <c r="AC313">
        <v>761</v>
      </c>
      <c r="AD313">
        <v>12.25</v>
      </c>
      <c r="AE313" t="s">
        <v>2894</v>
      </c>
      <c r="AG313" t="s">
        <v>3203</v>
      </c>
      <c r="AI313" t="s">
        <v>4068</v>
      </c>
      <c r="AJ313">
        <v>50</v>
      </c>
      <c r="AK313" t="s">
        <v>4456</v>
      </c>
      <c r="AL313">
        <v>2</v>
      </c>
      <c r="AM313">
        <v>0</v>
      </c>
      <c r="AN313">
        <v>201.06</v>
      </c>
      <c r="AQ313" t="s">
        <v>4473</v>
      </c>
      <c r="AS313" t="s">
        <v>4486</v>
      </c>
      <c r="AT313">
        <v>34000</v>
      </c>
      <c r="AX313" t="s">
        <v>4510</v>
      </c>
      <c r="BA313" t="s">
        <v>4541</v>
      </c>
      <c r="BD313" t="s">
        <v>4692</v>
      </c>
      <c r="BE313" t="s">
        <v>4703</v>
      </c>
    </row>
    <row r="314" spans="1:57">
      <c r="A314" s="1">
        <f>HYPERLINK("https://lsnyc.legalserver.org/matter/dynamic-profile/view/1893618","19-1893618")</f>
        <v>0</v>
      </c>
      <c r="B314" t="s">
        <v>67</v>
      </c>
      <c r="C314" t="s">
        <v>92</v>
      </c>
      <c r="D314" t="s">
        <v>159</v>
      </c>
      <c r="E314" t="s">
        <v>96</v>
      </c>
      <c r="F314" t="s">
        <v>506</v>
      </c>
      <c r="G314" t="s">
        <v>1034</v>
      </c>
      <c r="H314" t="s">
        <v>1581</v>
      </c>
      <c r="I314">
        <v>67</v>
      </c>
      <c r="J314" t="s">
        <v>2169</v>
      </c>
      <c r="K314" t="s">
        <v>2171</v>
      </c>
      <c r="L314">
        <v>10027</v>
      </c>
      <c r="M314" t="s">
        <v>2173</v>
      </c>
      <c r="N314" t="s">
        <v>2172</v>
      </c>
      <c r="P314" t="s">
        <v>2471</v>
      </c>
      <c r="Q314">
        <v>5</v>
      </c>
      <c r="R314" t="s">
        <v>2843</v>
      </c>
      <c r="S314" t="s">
        <v>2857</v>
      </c>
      <c r="T314" t="s">
        <v>2864</v>
      </c>
      <c r="U314" t="s">
        <v>2868</v>
      </c>
      <c r="V314" t="s">
        <v>2174</v>
      </c>
      <c r="W314" t="s">
        <v>2174</v>
      </c>
      <c r="Y314" t="s">
        <v>2876</v>
      </c>
      <c r="Z314" t="s">
        <v>2879</v>
      </c>
      <c r="AA314" t="s">
        <v>159</v>
      </c>
      <c r="AB314">
        <v>0</v>
      </c>
      <c r="AC314">
        <v>776</v>
      </c>
      <c r="AD314">
        <v>7.75</v>
      </c>
      <c r="AE314" t="s">
        <v>2894</v>
      </c>
      <c r="AF314" t="s">
        <v>2901</v>
      </c>
      <c r="AG314" t="s">
        <v>3204</v>
      </c>
      <c r="AI314" t="s">
        <v>4069</v>
      </c>
      <c r="AJ314">
        <v>48</v>
      </c>
      <c r="AK314" t="s">
        <v>4458</v>
      </c>
      <c r="AL314">
        <v>1</v>
      </c>
      <c r="AM314">
        <v>0</v>
      </c>
      <c r="AN314">
        <v>38.24</v>
      </c>
      <c r="AS314" t="s">
        <v>4487</v>
      </c>
      <c r="AT314">
        <v>4776</v>
      </c>
      <c r="AX314" t="s">
        <v>4499</v>
      </c>
      <c r="AZ314" t="s">
        <v>4523</v>
      </c>
      <c r="BA314" t="s">
        <v>4589</v>
      </c>
      <c r="BB314" t="s">
        <v>4633</v>
      </c>
      <c r="BC314" t="s">
        <v>4646</v>
      </c>
      <c r="BD314" t="s">
        <v>96</v>
      </c>
      <c r="BE314" t="s">
        <v>4703</v>
      </c>
    </row>
    <row r="315" spans="1:57">
      <c r="A315" s="1">
        <f>HYPERLINK("https://lsnyc.legalserver.org/matter/dynamic-profile/view/1893666","19-1893666")</f>
        <v>0</v>
      </c>
      <c r="B315" t="s">
        <v>64</v>
      </c>
      <c r="C315" t="s">
        <v>93</v>
      </c>
      <c r="D315" t="s">
        <v>159</v>
      </c>
      <c r="F315" t="s">
        <v>331</v>
      </c>
      <c r="G315" t="s">
        <v>1035</v>
      </c>
      <c r="H315" t="s">
        <v>1582</v>
      </c>
      <c r="I315" t="s">
        <v>1943</v>
      </c>
      <c r="J315" t="s">
        <v>2169</v>
      </c>
      <c r="K315" t="s">
        <v>2171</v>
      </c>
      <c r="L315">
        <v>10027</v>
      </c>
      <c r="M315" t="s">
        <v>2173</v>
      </c>
      <c r="N315" t="s">
        <v>2173</v>
      </c>
      <c r="O315" t="s">
        <v>2175</v>
      </c>
      <c r="P315" t="s">
        <v>2472</v>
      </c>
      <c r="Q315">
        <v>4</v>
      </c>
      <c r="R315" t="s">
        <v>2843</v>
      </c>
      <c r="S315" t="s">
        <v>2857</v>
      </c>
      <c r="U315" t="s">
        <v>2869</v>
      </c>
      <c r="V315" t="s">
        <v>2174</v>
      </c>
      <c r="W315" t="s">
        <v>2174</v>
      </c>
      <c r="Y315" t="s">
        <v>2875</v>
      </c>
      <c r="Z315" t="s">
        <v>2879</v>
      </c>
      <c r="AA315" t="s">
        <v>159</v>
      </c>
      <c r="AB315">
        <v>0</v>
      </c>
      <c r="AC315">
        <v>221</v>
      </c>
      <c r="AD315">
        <v>14.1</v>
      </c>
      <c r="AE315" t="s">
        <v>2894</v>
      </c>
      <c r="AG315" t="s">
        <v>3205</v>
      </c>
      <c r="AH315" t="s">
        <v>3661</v>
      </c>
      <c r="AI315" t="s">
        <v>4070</v>
      </c>
      <c r="AJ315">
        <v>0</v>
      </c>
      <c r="AK315" t="s">
        <v>4459</v>
      </c>
      <c r="AL315">
        <v>1</v>
      </c>
      <c r="AM315">
        <v>0</v>
      </c>
      <c r="AN315">
        <v>70.14</v>
      </c>
      <c r="AQ315" t="s">
        <v>4473</v>
      </c>
      <c r="AR315" t="s">
        <v>4476</v>
      </c>
      <c r="AS315" t="s">
        <v>4486</v>
      </c>
      <c r="AT315">
        <v>8760</v>
      </c>
      <c r="AX315" t="s">
        <v>4501</v>
      </c>
      <c r="BA315" t="s">
        <v>4548</v>
      </c>
      <c r="BD315" t="s">
        <v>233</v>
      </c>
    </row>
    <row r="316" spans="1:57">
      <c r="A316" s="1">
        <f>HYPERLINK("https://lsnyc.legalserver.org/matter/dynamic-profile/view/1894311","19-1894311")</f>
        <v>0</v>
      </c>
      <c r="B316" t="s">
        <v>62</v>
      </c>
      <c r="C316" t="s">
        <v>93</v>
      </c>
      <c r="D316" t="s">
        <v>177</v>
      </c>
      <c r="F316" t="s">
        <v>507</v>
      </c>
      <c r="G316" t="s">
        <v>1036</v>
      </c>
      <c r="H316" t="s">
        <v>1583</v>
      </c>
      <c r="I316" t="s">
        <v>1937</v>
      </c>
      <c r="J316" t="s">
        <v>2169</v>
      </c>
      <c r="K316" t="s">
        <v>2171</v>
      </c>
      <c r="L316">
        <v>10027</v>
      </c>
      <c r="M316" t="s">
        <v>2173</v>
      </c>
      <c r="N316" t="s">
        <v>2173</v>
      </c>
      <c r="O316" t="s">
        <v>2175</v>
      </c>
      <c r="P316" t="s">
        <v>2473</v>
      </c>
      <c r="Q316">
        <v>9</v>
      </c>
      <c r="R316" t="s">
        <v>2843</v>
      </c>
      <c r="S316" t="s">
        <v>2857</v>
      </c>
      <c r="U316" t="s">
        <v>2869</v>
      </c>
      <c r="V316" t="s">
        <v>2174</v>
      </c>
      <c r="W316" t="s">
        <v>2174</v>
      </c>
      <c r="Y316" t="s">
        <v>2875</v>
      </c>
      <c r="Z316" t="s">
        <v>2884</v>
      </c>
      <c r="AA316" t="s">
        <v>177</v>
      </c>
      <c r="AB316">
        <v>0</v>
      </c>
      <c r="AC316">
        <v>648</v>
      </c>
      <c r="AD316">
        <v>18.4</v>
      </c>
      <c r="AE316" t="s">
        <v>2894</v>
      </c>
      <c r="AG316" t="s">
        <v>3206</v>
      </c>
      <c r="AI316" t="s">
        <v>4071</v>
      </c>
      <c r="AJ316">
        <v>0</v>
      </c>
      <c r="AK316" t="s">
        <v>4457</v>
      </c>
      <c r="AL316">
        <v>1</v>
      </c>
      <c r="AM316">
        <v>0</v>
      </c>
      <c r="AN316">
        <v>304.24</v>
      </c>
      <c r="AQ316" t="s">
        <v>4473</v>
      </c>
      <c r="AR316" t="s">
        <v>4476</v>
      </c>
      <c r="AS316" t="s">
        <v>4486</v>
      </c>
      <c r="AT316">
        <v>38000</v>
      </c>
      <c r="AX316" t="s">
        <v>4502</v>
      </c>
      <c r="BA316" t="s">
        <v>4546</v>
      </c>
      <c r="BD316" t="s">
        <v>4689</v>
      </c>
    </row>
    <row r="317" spans="1:57">
      <c r="A317" s="1">
        <f>HYPERLINK("https://lsnyc.legalserver.org/matter/dynamic-profile/view/1894385","19-1894385")</f>
        <v>0</v>
      </c>
      <c r="B317" t="s">
        <v>64</v>
      </c>
      <c r="C317" t="s">
        <v>93</v>
      </c>
      <c r="D317" t="s">
        <v>94</v>
      </c>
      <c r="F317" t="s">
        <v>508</v>
      </c>
      <c r="G317" t="s">
        <v>381</v>
      </c>
      <c r="H317" t="s">
        <v>1584</v>
      </c>
      <c r="I317" t="s">
        <v>1950</v>
      </c>
      <c r="J317" t="s">
        <v>2169</v>
      </c>
      <c r="K317" t="s">
        <v>2171</v>
      </c>
      <c r="L317">
        <v>10027</v>
      </c>
      <c r="M317" t="s">
        <v>2173</v>
      </c>
      <c r="N317" t="s">
        <v>2173</v>
      </c>
      <c r="O317" t="s">
        <v>2175</v>
      </c>
      <c r="P317" t="s">
        <v>2474</v>
      </c>
      <c r="Q317">
        <v>13</v>
      </c>
      <c r="R317" t="s">
        <v>2843</v>
      </c>
      <c r="S317" t="s">
        <v>2857</v>
      </c>
      <c r="U317" t="s">
        <v>2869</v>
      </c>
      <c r="V317" t="s">
        <v>2174</v>
      </c>
      <c r="W317" t="s">
        <v>2174</v>
      </c>
      <c r="Y317" t="s">
        <v>2876</v>
      </c>
      <c r="Z317" t="s">
        <v>2879</v>
      </c>
      <c r="AA317" t="s">
        <v>94</v>
      </c>
      <c r="AB317">
        <v>0</v>
      </c>
      <c r="AC317">
        <v>638.8</v>
      </c>
      <c r="AD317">
        <v>12.5</v>
      </c>
      <c r="AE317" t="s">
        <v>2894</v>
      </c>
      <c r="AG317" t="s">
        <v>3207</v>
      </c>
      <c r="AI317" t="s">
        <v>4072</v>
      </c>
      <c r="AJ317">
        <v>0</v>
      </c>
      <c r="AK317" t="s">
        <v>4458</v>
      </c>
      <c r="AL317">
        <v>1</v>
      </c>
      <c r="AM317">
        <v>1</v>
      </c>
      <c r="AN317">
        <v>150.68</v>
      </c>
      <c r="AQ317" t="s">
        <v>4475</v>
      </c>
      <c r="AR317" t="s">
        <v>4476</v>
      </c>
      <c r="AS317" t="s">
        <v>4486</v>
      </c>
      <c r="AT317">
        <v>25480</v>
      </c>
      <c r="AX317" t="s">
        <v>4504</v>
      </c>
      <c r="BA317" t="s">
        <v>4546</v>
      </c>
      <c r="BD317" t="s">
        <v>172</v>
      </c>
    </row>
    <row r="318" spans="1:57">
      <c r="A318" s="1">
        <f>HYPERLINK("https://lsnyc.legalserver.org/matter/dynamic-profile/view/1894443","19-1894443")</f>
        <v>0</v>
      </c>
      <c r="B318" t="s">
        <v>85</v>
      </c>
      <c r="C318" t="s">
        <v>92</v>
      </c>
      <c r="D318" t="s">
        <v>94</v>
      </c>
      <c r="E318" t="s">
        <v>192</v>
      </c>
      <c r="F318" t="s">
        <v>509</v>
      </c>
      <c r="G318" t="s">
        <v>1027</v>
      </c>
      <c r="H318" t="s">
        <v>1585</v>
      </c>
      <c r="I318" t="s">
        <v>2032</v>
      </c>
      <c r="J318" t="s">
        <v>2169</v>
      </c>
      <c r="K318" t="s">
        <v>2171</v>
      </c>
      <c r="L318">
        <v>10027</v>
      </c>
      <c r="M318" t="s">
        <v>2173</v>
      </c>
      <c r="N318" t="s">
        <v>2173</v>
      </c>
      <c r="O318" t="s">
        <v>2175</v>
      </c>
      <c r="P318" t="s">
        <v>2475</v>
      </c>
      <c r="Q318">
        <v>7</v>
      </c>
      <c r="R318" t="s">
        <v>2843</v>
      </c>
      <c r="S318" t="s">
        <v>2855</v>
      </c>
      <c r="T318" t="s">
        <v>2863</v>
      </c>
      <c r="U318" t="s">
        <v>2869</v>
      </c>
      <c r="V318" t="s">
        <v>2174</v>
      </c>
      <c r="W318" t="s">
        <v>2174</v>
      </c>
      <c r="Y318" t="s">
        <v>2876</v>
      </c>
      <c r="AA318" t="s">
        <v>94</v>
      </c>
      <c r="AB318">
        <v>0</v>
      </c>
      <c r="AC318">
        <v>245</v>
      </c>
      <c r="AD318">
        <v>6.4</v>
      </c>
      <c r="AE318" t="s">
        <v>2894</v>
      </c>
      <c r="AF318" t="s">
        <v>2896</v>
      </c>
      <c r="AG318" t="s">
        <v>3208</v>
      </c>
      <c r="AH318" t="s">
        <v>3662</v>
      </c>
      <c r="AI318" t="s">
        <v>4073</v>
      </c>
      <c r="AJ318">
        <v>0</v>
      </c>
      <c r="AK318" t="s">
        <v>4459</v>
      </c>
      <c r="AL318">
        <v>1</v>
      </c>
      <c r="AM318">
        <v>0</v>
      </c>
      <c r="AN318">
        <v>67.25</v>
      </c>
      <c r="AQ318" t="s">
        <v>4473</v>
      </c>
      <c r="AR318" t="s">
        <v>4476</v>
      </c>
      <c r="AS318" t="s">
        <v>4486</v>
      </c>
      <c r="AT318">
        <v>8400</v>
      </c>
      <c r="AX318" t="s">
        <v>4501</v>
      </c>
      <c r="BA318" t="s">
        <v>4534</v>
      </c>
      <c r="BD318" t="s">
        <v>192</v>
      </c>
    </row>
    <row r="319" spans="1:57">
      <c r="A319" s="1">
        <f>HYPERLINK("https://lsnyc.legalserver.org/matter/dynamic-profile/view/1895103","19-1895103")</f>
        <v>0</v>
      </c>
      <c r="B319" t="s">
        <v>66</v>
      </c>
      <c r="C319" t="s">
        <v>93</v>
      </c>
      <c r="D319" t="s">
        <v>160</v>
      </c>
      <c r="F319" t="s">
        <v>510</v>
      </c>
      <c r="G319" t="s">
        <v>1037</v>
      </c>
      <c r="H319" t="s">
        <v>1586</v>
      </c>
      <c r="I319" t="s">
        <v>2033</v>
      </c>
      <c r="J319" t="s">
        <v>2169</v>
      </c>
      <c r="K319" t="s">
        <v>2171</v>
      </c>
      <c r="L319">
        <v>10027</v>
      </c>
      <c r="M319" t="s">
        <v>2173</v>
      </c>
      <c r="N319" t="s">
        <v>2172</v>
      </c>
      <c r="O319" t="s">
        <v>2175</v>
      </c>
      <c r="P319" t="s">
        <v>2476</v>
      </c>
      <c r="Q319">
        <v>28</v>
      </c>
      <c r="R319" t="s">
        <v>2843</v>
      </c>
      <c r="S319" t="s">
        <v>2857</v>
      </c>
      <c r="U319" t="s">
        <v>2869</v>
      </c>
      <c r="V319" t="s">
        <v>2174</v>
      </c>
      <c r="W319" t="s">
        <v>2174</v>
      </c>
      <c r="Y319" t="s">
        <v>2875</v>
      </c>
      <c r="Z319" t="s">
        <v>2879</v>
      </c>
      <c r="AA319" t="s">
        <v>160</v>
      </c>
      <c r="AB319">
        <v>0</v>
      </c>
      <c r="AC319">
        <v>358</v>
      </c>
      <c r="AD319">
        <v>6.1</v>
      </c>
      <c r="AE319" t="s">
        <v>2894</v>
      </c>
      <c r="AG319" t="s">
        <v>3209</v>
      </c>
      <c r="AH319" t="s">
        <v>3663</v>
      </c>
      <c r="AI319" t="s">
        <v>4074</v>
      </c>
      <c r="AJ319">
        <v>0</v>
      </c>
      <c r="AK319" t="s">
        <v>4459</v>
      </c>
      <c r="AL319">
        <v>4</v>
      </c>
      <c r="AM319">
        <v>0</v>
      </c>
      <c r="AN319">
        <v>9.24</v>
      </c>
      <c r="AQ319" t="s">
        <v>4473</v>
      </c>
      <c r="AR319" t="s">
        <v>4476</v>
      </c>
      <c r="AS319" t="s">
        <v>4487</v>
      </c>
      <c r="AT319">
        <v>2379</v>
      </c>
      <c r="AX319" t="s">
        <v>4501</v>
      </c>
      <c r="BA319" t="s">
        <v>4535</v>
      </c>
      <c r="BD319" t="s">
        <v>102</v>
      </c>
    </row>
    <row r="320" spans="1:57">
      <c r="A320" s="1">
        <f>HYPERLINK("https://lsnyc.legalserver.org/matter/dynamic-profile/view/1897512","19-1897512")</f>
        <v>0</v>
      </c>
      <c r="B320" t="s">
        <v>66</v>
      </c>
      <c r="C320" t="s">
        <v>92</v>
      </c>
      <c r="D320" t="s">
        <v>112</v>
      </c>
      <c r="E320" t="s">
        <v>197</v>
      </c>
      <c r="F320" t="s">
        <v>511</v>
      </c>
      <c r="G320" t="s">
        <v>1038</v>
      </c>
      <c r="H320" t="s">
        <v>1587</v>
      </c>
      <c r="I320" t="s">
        <v>2034</v>
      </c>
      <c r="J320" t="s">
        <v>2169</v>
      </c>
      <c r="K320" t="s">
        <v>2171</v>
      </c>
      <c r="L320">
        <v>10027</v>
      </c>
      <c r="M320" t="s">
        <v>2173</v>
      </c>
      <c r="N320" t="s">
        <v>2173</v>
      </c>
      <c r="O320" t="s">
        <v>2175</v>
      </c>
      <c r="P320" t="s">
        <v>2477</v>
      </c>
      <c r="Q320">
        <v>4</v>
      </c>
      <c r="R320" t="s">
        <v>2843</v>
      </c>
      <c r="S320" t="s">
        <v>2856</v>
      </c>
      <c r="T320" t="s">
        <v>2863</v>
      </c>
      <c r="U320" t="s">
        <v>2869</v>
      </c>
      <c r="V320" t="s">
        <v>2174</v>
      </c>
      <c r="W320" t="s">
        <v>2174</v>
      </c>
      <c r="Y320" t="s">
        <v>2875</v>
      </c>
      <c r="AA320" t="s">
        <v>112</v>
      </c>
      <c r="AB320">
        <v>0</v>
      </c>
      <c r="AC320">
        <v>430</v>
      </c>
      <c r="AD320">
        <v>1</v>
      </c>
      <c r="AE320" t="s">
        <v>2894</v>
      </c>
      <c r="AF320" t="s">
        <v>2896</v>
      </c>
      <c r="AG320" t="s">
        <v>3210</v>
      </c>
      <c r="AH320" t="s">
        <v>3664</v>
      </c>
      <c r="AI320" t="s">
        <v>4075</v>
      </c>
      <c r="AJ320">
        <v>650</v>
      </c>
      <c r="AK320" t="s">
        <v>4459</v>
      </c>
      <c r="AL320">
        <v>1</v>
      </c>
      <c r="AM320">
        <v>0</v>
      </c>
      <c r="AN320">
        <v>72.06</v>
      </c>
      <c r="AR320" t="s">
        <v>4476</v>
      </c>
      <c r="AS320" t="s">
        <v>4486</v>
      </c>
      <c r="AT320">
        <v>9000</v>
      </c>
      <c r="AX320" t="s">
        <v>4501</v>
      </c>
      <c r="BA320" t="s">
        <v>4534</v>
      </c>
      <c r="BD320" t="s">
        <v>112</v>
      </c>
    </row>
    <row r="321" spans="1:57">
      <c r="A321" s="1">
        <f>HYPERLINK("https://lsnyc.legalserver.org/matter/dynamic-profile/view/1897927","19-1897927")</f>
        <v>0</v>
      </c>
      <c r="B321" t="s">
        <v>75</v>
      </c>
      <c r="C321" t="s">
        <v>93</v>
      </c>
      <c r="D321" t="s">
        <v>144</v>
      </c>
      <c r="F321" t="s">
        <v>512</v>
      </c>
      <c r="G321" t="s">
        <v>1039</v>
      </c>
      <c r="H321" t="s">
        <v>1588</v>
      </c>
      <c r="I321">
        <v>7</v>
      </c>
      <c r="J321" t="s">
        <v>2169</v>
      </c>
      <c r="K321" t="s">
        <v>2171</v>
      </c>
      <c r="L321">
        <v>10027</v>
      </c>
      <c r="M321" t="s">
        <v>2173</v>
      </c>
      <c r="N321" t="s">
        <v>2173</v>
      </c>
      <c r="O321" t="s">
        <v>2175</v>
      </c>
      <c r="P321" t="s">
        <v>2478</v>
      </c>
      <c r="Q321">
        <v>4</v>
      </c>
      <c r="R321" t="s">
        <v>2843</v>
      </c>
      <c r="S321" t="s">
        <v>2857</v>
      </c>
      <c r="U321" t="s">
        <v>2869</v>
      </c>
      <c r="V321" t="s">
        <v>2174</v>
      </c>
      <c r="W321" t="s">
        <v>2174</v>
      </c>
      <c r="Y321" t="s">
        <v>2876</v>
      </c>
      <c r="AA321" t="s">
        <v>144</v>
      </c>
      <c r="AB321">
        <v>0</v>
      </c>
      <c r="AC321">
        <v>520</v>
      </c>
      <c r="AD321">
        <v>5.5</v>
      </c>
      <c r="AE321" t="s">
        <v>2894</v>
      </c>
      <c r="AG321" t="s">
        <v>3211</v>
      </c>
      <c r="AI321" t="s">
        <v>4076</v>
      </c>
      <c r="AJ321">
        <v>0</v>
      </c>
      <c r="AK321" t="s">
        <v>4458</v>
      </c>
      <c r="AL321">
        <v>1</v>
      </c>
      <c r="AM321">
        <v>0</v>
      </c>
      <c r="AN321">
        <v>5.76</v>
      </c>
      <c r="AR321" t="s">
        <v>2176</v>
      </c>
      <c r="AS321" t="s">
        <v>4486</v>
      </c>
      <c r="AT321">
        <v>720</v>
      </c>
      <c r="AX321" t="s">
        <v>4501</v>
      </c>
      <c r="BA321" t="s">
        <v>4546</v>
      </c>
      <c r="BD321" t="s">
        <v>222</v>
      </c>
      <c r="BE321" t="s">
        <v>4703</v>
      </c>
    </row>
    <row r="322" spans="1:57">
      <c r="A322" s="1">
        <f>HYPERLINK("https://lsnyc.legalserver.org/matter/dynamic-profile/view/1900484","19-1900484")</f>
        <v>0</v>
      </c>
      <c r="B322" t="s">
        <v>58</v>
      </c>
      <c r="C322" t="s">
        <v>93</v>
      </c>
      <c r="D322" t="s">
        <v>135</v>
      </c>
      <c r="F322" t="s">
        <v>513</v>
      </c>
      <c r="G322" t="s">
        <v>274</v>
      </c>
      <c r="H322" t="s">
        <v>1589</v>
      </c>
      <c r="I322" t="s">
        <v>1924</v>
      </c>
      <c r="J322" t="s">
        <v>2169</v>
      </c>
      <c r="K322" t="s">
        <v>2171</v>
      </c>
      <c r="L322">
        <v>10027</v>
      </c>
      <c r="M322" t="s">
        <v>2173</v>
      </c>
      <c r="N322" t="s">
        <v>2172</v>
      </c>
      <c r="O322" t="s">
        <v>2179</v>
      </c>
      <c r="P322" t="s">
        <v>2479</v>
      </c>
      <c r="Q322">
        <v>27</v>
      </c>
      <c r="R322" t="s">
        <v>2843</v>
      </c>
      <c r="S322" t="s">
        <v>2857</v>
      </c>
      <c r="U322" t="s">
        <v>2869</v>
      </c>
      <c r="V322" t="s">
        <v>2174</v>
      </c>
      <c r="W322" t="s">
        <v>2174</v>
      </c>
      <c r="Y322" t="s">
        <v>2876</v>
      </c>
      <c r="AA322" t="s">
        <v>135</v>
      </c>
      <c r="AB322">
        <v>0</v>
      </c>
      <c r="AC322">
        <v>587.46</v>
      </c>
      <c r="AD322">
        <v>33.65</v>
      </c>
      <c r="AE322" t="s">
        <v>2894</v>
      </c>
      <c r="AG322" t="s">
        <v>3212</v>
      </c>
      <c r="AH322" t="s">
        <v>3665</v>
      </c>
      <c r="AI322" t="s">
        <v>4077</v>
      </c>
      <c r="AJ322">
        <v>0</v>
      </c>
      <c r="AK322" t="s">
        <v>4456</v>
      </c>
      <c r="AL322">
        <v>1</v>
      </c>
      <c r="AM322">
        <v>0</v>
      </c>
      <c r="AN322">
        <v>0</v>
      </c>
      <c r="AR322" t="s">
        <v>4476</v>
      </c>
      <c r="AS322" t="s">
        <v>4486</v>
      </c>
      <c r="AT322">
        <v>0</v>
      </c>
      <c r="AX322" t="s">
        <v>4501</v>
      </c>
      <c r="BA322" t="s">
        <v>4539</v>
      </c>
      <c r="BD322" t="s">
        <v>154</v>
      </c>
      <c r="BE322" t="s">
        <v>4704</v>
      </c>
    </row>
    <row r="323" spans="1:57">
      <c r="A323" s="1">
        <f>HYPERLINK("https://lsnyc.legalserver.org/matter/dynamic-profile/view/1900949","19-1900949")</f>
        <v>0</v>
      </c>
      <c r="B323" t="s">
        <v>67</v>
      </c>
      <c r="C323" t="s">
        <v>93</v>
      </c>
      <c r="D323" t="s">
        <v>146</v>
      </c>
      <c r="F323" t="s">
        <v>514</v>
      </c>
      <c r="G323" t="s">
        <v>584</v>
      </c>
      <c r="H323" t="s">
        <v>1590</v>
      </c>
      <c r="I323" t="s">
        <v>1927</v>
      </c>
      <c r="J323" t="s">
        <v>2169</v>
      </c>
      <c r="K323" t="s">
        <v>2171</v>
      </c>
      <c r="L323">
        <v>10027</v>
      </c>
      <c r="M323" t="s">
        <v>2173</v>
      </c>
      <c r="N323" t="s">
        <v>2172</v>
      </c>
      <c r="O323" t="s">
        <v>2179</v>
      </c>
      <c r="P323" t="s">
        <v>2480</v>
      </c>
      <c r="Q323">
        <v>1</v>
      </c>
      <c r="R323" t="s">
        <v>2843</v>
      </c>
      <c r="S323" t="s">
        <v>2857</v>
      </c>
      <c r="U323" t="s">
        <v>2869</v>
      </c>
      <c r="V323" t="s">
        <v>2174</v>
      </c>
      <c r="W323" t="s">
        <v>2174</v>
      </c>
      <c r="Y323" t="s">
        <v>2876</v>
      </c>
      <c r="Z323" t="s">
        <v>2879</v>
      </c>
      <c r="AA323" t="s">
        <v>146</v>
      </c>
      <c r="AB323">
        <v>0</v>
      </c>
      <c r="AC323">
        <v>798.42</v>
      </c>
      <c r="AD323">
        <v>12.6</v>
      </c>
      <c r="AE323" t="s">
        <v>2894</v>
      </c>
      <c r="AG323" t="s">
        <v>3213</v>
      </c>
      <c r="AI323" t="s">
        <v>4078</v>
      </c>
      <c r="AJ323">
        <v>0</v>
      </c>
      <c r="AK323" t="s">
        <v>4456</v>
      </c>
      <c r="AL323">
        <v>1</v>
      </c>
      <c r="AM323">
        <v>0</v>
      </c>
      <c r="AN323">
        <v>0</v>
      </c>
      <c r="AR323" t="s">
        <v>2176</v>
      </c>
      <c r="AS323" t="s">
        <v>4486</v>
      </c>
      <c r="AT323">
        <v>0</v>
      </c>
      <c r="AX323" t="s">
        <v>4501</v>
      </c>
      <c r="BA323" t="s">
        <v>4539</v>
      </c>
      <c r="BD323" t="s">
        <v>222</v>
      </c>
      <c r="BE323" t="s">
        <v>4703</v>
      </c>
    </row>
    <row r="324" spans="1:57">
      <c r="A324" s="1">
        <f>HYPERLINK("https://lsnyc.legalserver.org/matter/dynamic-profile/view/1900992","19-1900992")</f>
        <v>0</v>
      </c>
      <c r="B324" t="s">
        <v>67</v>
      </c>
      <c r="C324" t="s">
        <v>92</v>
      </c>
      <c r="D324" t="s">
        <v>146</v>
      </c>
      <c r="E324" t="s">
        <v>231</v>
      </c>
      <c r="F324" t="s">
        <v>515</v>
      </c>
      <c r="G324" t="s">
        <v>987</v>
      </c>
      <c r="H324" t="s">
        <v>1591</v>
      </c>
      <c r="I324" t="s">
        <v>1994</v>
      </c>
      <c r="J324" t="s">
        <v>2169</v>
      </c>
      <c r="K324" t="s">
        <v>2171</v>
      </c>
      <c r="L324">
        <v>10027</v>
      </c>
      <c r="M324" t="s">
        <v>2173</v>
      </c>
      <c r="N324" t="s">
        <v>2172</v>
      </c>
      <c r="O324" t="s">
        <v>2175</v>
      </c>
      <c r="P324" t="s">
        <v>2481</v>
      </c>
      <c r="Q324">
        <v>4</v>
      </c>
      <c r="R324" t="s">
        <v>2843</v>
      </c>
      <c r="S324" t="s">
        <v>2856</v>
      </c>
      <c r="T324" t="s">
        <v>2863</v>
      </c>
      <c r="U324" t="s">
        <v>2869</v>
      </c>
      <c r="V324" t="s">
        <v>2174</v>
      </c>
      <c r="W324" t="s">
        <v>2174</v>
      </c>
      <c r="Y324" t="s">
        <v>2876</v>
      </c>
      <c r="Z324" t="s">
        <v>2879</v>
      </c>
      <c r="AA324" t="s">
        <v>230</v>
      </c>
      <c r="AB324">
        <v>0</v>
      </c>
      <c r="AC324">
        <v>1037</v>
      </c>
      <c r="AD324">
        <v>1</v>
      </c>
      <c r="AE324" t="s">
        <v>2894</v>
      </c>
      <c r="AF324" t="s">
        <v>2896</v>
      </c>
      <c r="AG324" t="s">
        <v>3214</v>
      </c>
      <c r="AH324" t="s">
        <v>3666</v>
      </c>
      <c r="AI324" t="s">
        <v>4079</v>
      </c>
      <c r="AJ324">
        <v>11</v>
      </c>
      <c r="AK324" t="s">
        <v>4456</v>
      </c>
      <c r="AL324">
        <v>2</v>
      </c>
      <c r="AM324">
        <v>1</v>
      </c>
      <c r="AN324">
        <v>0</v>
      </c>
      <c r="AR324" t="s">
        <v>4476</v>
      </c>
      <c r="AS324" t="s">
        <v>4486</v>
      </c>
      <c r="AT324">
        <v>0</v>
      </c>
      <c r="AX324" t="s">
        <v>4504</v>
      </c>
      <c r="BA324" t="s">
        <v>4547</v>
      </c>
      <c r="BD324" t="s">
        <v>146</v>
      </c>
      <c r="BE324" t="s">
        <v>4704</v>
      </c>
    </row>
    <row r="325" spans="1:57">
      <c r="A325" s="1">
        <f>HYPERLINK("https://lsnyc.legalserver.org/matter/dynamic-profile/view/1901612","19-1901612")</f>
        <v>0</v>
      </c>
      <c r="B325" t="s">
        <v>73</v>
      </c>
      <c r="C325" t="s">
        <v>92</v>
      </c>
      <c r="D325" t="s">
        <v>147</v>
      </c>
      <c r="E325" t="s">
        <v>232</v>
      </c>
      <c r="F325" t="s">
        <v>516</v>
      </c>
      <c r="G325" t="s">
        <v>1040</v>
      </c>
      <c r="H325" t="s">
        <v>1592</v>
      </c>
      <c r="I325" t="s">
        <v>2004</v>
      </c>
      <c r="J325" t="s">
        <v>2169</v>
      </c>
      <c r="K325" t="s">
        <v>2171</v>
      </c>
      <c r="L325">
        <v>10027</v>
      </c>
      <c r="M325" t="s">
        <v>2173</v>
      </c>
      <c r="N325" t="s">
        <v>2172</v>
      </c>
      <c r="O325" t="s">
        <v>2175</v>
      </c>
      <c r="P325" t="s">
        <v>2482</v>
      </c>
      <c r="Q325">
        <v>20</v>
      </c>
      <c r="R325" t="s">
        <v>2843</v>
      </c>
      <c r="S325" t="s">
        <v>2856</v>
      </c>
      <c r="T325" t="s">
        <v>2863</v>
      </c>
      <c r="U325" t="s">
        <v>2869</v>
      </c>
      <c r="V325" t="s">
        <v>2174</v>
      </c>
      <c r="W325" t="s">
        <v>2174</v>
      </c>
      <c r="Y325" t="s">
        <v>2876</v>
      </c>
      <c r="AA325" t="s">
        <v>147</v>
      </c>
      <c r="AB325">
        <v>0</v>
      </c>
      <c r="AC325">
        <v>889</v>
      </c>
      <c r="AD325">
        <v>1</v>
      </c>
      <c r="AE325" t="s">
        <v>2894</v>
      </c>
      <c r="AF325" t="s">
        <v>2896</v>
      </c>
      <c r="AG325" t="s">
        <v>3215</v>
      </c>
      <c r="AH325" t="s">
        <v>3667</v>
      </c>
      <c r="AI325" t="s">
        <v>4080</v>
      </c>
      <c r="AJ325">
        <v>0</v>
      </c>
      <c r="AK325" t="s">
        <v>4456</v>
      </c>
      <c r="AL325">
        <v>2</v>
      </c>
      <c r="AM325">
        <v>0</v>
      </c>
      <c r="AN325">
        <v>0</v>
      </c>
      <c r="AR325" t="s">
        <v>4478</v>
      </c>
      <c r="AS325" t="s">
        <v>4486</v>
      </c>
      <c r="AT325">
        <v>0</v>
      </c>
      <c r="AX325" t="s">
        <v>4501</v>
      </c>
      <c r="BA325" t="s">
        <v>4547</v>
      </c>
      <c r="BD325" t="s">
        <v>147</v>
      </c>
      <c r="BE325" t="s">
        <v>4704</v>
      </c>
    </row>
    <row r="326" spans="1:57">
      <c r="A326" s="1">
        <f>HYPERLINK("https://lsnyc.legalserver.org/matter/dynamic-profile/view/1902182","19-1902182")</f>
        <v>0</v>
      </c>
      <c r="B326" t="s">
        <v>68</v>
      </c>
      <c r="C326" t="s">
        <v>93</v>
      </c>
      <c r="D326" t="s">
        <v>136</v>
      </c>
      <c r="F326" t="s">
        <v>517</v>
      </c>
      <c r="G326" t="s">
        <v>833</v>
      </c>
      <c r="H326" t="s">
        <v>1593</v>
      </c>
      <c r="I326">
        <v>409</v>
      </c>
      <c r="J326" t="s">
        <v>2169</v>
      </c>
      <c r="K326" t="s">
        <v>2171</v>
      </c>
      <c r="L326">
        <v>10027</v>
      </c>
      <c r="M326" t="s">
        <v>2173</v>
      </c>
      <c r="N326" t="s">
        <v>2172</v>
      </c>
      <c r="O326" t="s">
        <v>2175</v>
      </c>
      <c r="P326" t="s">
        <v>2483</v>
      </c>
      <c r="Q326">
        <v>2</v>
      </c>
      <c r="R326" t="s">
        <v>2843</v>
      </c>
      <c r="S326" t="s">
        <v>2857</v>
      </c>
      <c r="U326" t="s">
        <v>2869</v>
      </c>
      <c r="V326" t="s">
        <v>2174</v>
      </c>
      <c r="W326" t="s">
        <v>2174</v>
      </c>
      <c r="Y326" t="s">
        <v>2876</v>
      </c>
      <c r="Z326" t="s">
        <v>2879</v>
      </c>
      <c r="AA326" t="s">
        <v>136</v>
      </c>
      <c r="AB326">
        <v>0</v>
      </c>
      <c r="AC326">
        <v>2700</v>
      </c>
      <c r="AD326">
        <v>28.4</v>
      </c>
      <c r="AE326" t="s">
        <v>2894</v>
      </c>
      <c r="AG326" t="s">
        <v>3216</v>
      </c>
      <c r="AI326" t="s">
        <v>4081</v>
      </c>
      <c r="AJ326">
        <v>0</v>
      </c>
      <c r="AK326" t="s">
        <v>4456</v>
      </c>
      <c r="AL326">
        <v>2</v>
      </c>
      <c r="AM326">
        <v>1</v>
      </c>
      <c r="AN326">
        <v>98.45</v>
      </c>
      <c r="AR326" t="s">
        <v>4476</v>
      </c>
      <c r="AS326" t="s">
        <v>4486</v>
      </c>
      <c r="AT326">
        <v>21000</v>
      </c>
      <c r="AX326" t="s">
        <v>4501</v>
      </c>
      <c r="BA326" t="s">
        <v>4546</v>
      </c>
      <c r="BD326" t="s">
        <v>167</v>
      </c>
      <c r="BE326" t="s">
        <v>4703</v>
      </c>
    </row>
    <row r="327" spans="1:57">
      <c r="A327" s="1">
        <f>HYPERLINK("https://lsnyc.legalserver.org/matter/dynamic-profile/view/1903371","19-1903371")</f>
        <v>0</v>
      </c>
      <c r="B327" t="s">
        <v>58</v>
      </c>
      <c r="C327" t="s">
        <v>93</v>
      </c>
      <c r="D327" t="s">
        <v>148</v>
      </c>
      <c r="F327" t="s">
        <v>518</v>
      </c>
      <c r="G327" t="s">
        <v>1041</v>
      </c>
      <c r="H327" t="s">
        <v>1594</v>
      </c>
      <c r="I327" t="s">
        <v>2035</v>
      </c>
      <c r="J327" t="s">
        <v>2169</v>
      </c>
      <c r="K327" t="s">
        <v>2171</v>
      </c>
      <c r="L327">
        <v>10027</v>
      </c>
      <c r="M327" t="s">
        <v>2173</v>
      </c>
      <c r="N327" t="s">
        <v>2172</v>
      </c>
      <c r="O327" t="s">
        <v>2179</v>
      </c>
      <c r="P327" t="s">
        <v>2484</v>
      </c>
      <c r="Q327">
        <v>2</v>
      </c>
      <c r="R327" t="s">
        <v>2843</v>
      </c>
      <c r="S327" t="s">
        <v>2856</v>
      </c>
      <c r="U327" t="s">
        <v>2869</v>
      </c>
      <c r="V327" t="s">
        <v>2174</v>
      </c>
      <c r="W327" t="s">
        <v>2174</v>
      </c>
      <c r="Y327" t="s">
        <v>2876</v>
      </c>
      <c r="AA327" t="s">
        <v>148</v>
      </c>
      <c r="AB327">
        <v>0</v>
      </c>
      <c r="AC327">
        <v>900</v>
      </c>
      <c r="AD327">
        <v>1</v>
      </c>
      <c r="AE327" t="s">
        <v>2894</v>
      </c>
      <c r="AG327" t="s">
        <v>3217</v>
      </c>
      <c r="AI327" t="s">
        <v>4082</v>
      </c>
      <c r="AJ327">
        <v>7</v>
      </c>
      <c r="AK327" t="s">
        <v>4460</v>
      </c>
      <c r="AL327">
        <v>1</v>
      </c>
      <c r="AM327">
        <v>0</v>
      </c>
      <c r="AN327">
        <v>384.31</v>
      </c>
      <c r="AR327" t="s">
        <v>4476</v>
      </c>
      <c r="AS327" t="s">
        <v>4486</v>
      </c>
      <c r="AT327">
        <v>48000</v>
      </c>
      <c r="AX327" t="s">
        <v>4501</v>
      </c>
      <c r="BA327" t="s">
        <v>4546</v>
      </c>
      <c r="BD327" t="s">
        <v>148</v>
      </c>
      <c r="BE327" t="s">
        <v>4703</v>
      </c>
    </row>
    <row r="328" spans="1:57">
      <c r="A328" s="1">
        <f>HYPERLINK("https://lsnyc.legalserver.org/matter/dynamic-profile/view/1903455","19-1903455")</f>
        <v>0</v>
      </c>
      <c r="B328" t="s">
        <v>58</v>
      </c>
      <c r="C328" t="s">
        <v>93</v>
      </c>
      <c r="D328" t="s">
        <v>148</v>
      </c>
      <c r="F328" t="s">
        <v>519</v>
      </c>
      <c r="G328" t="s">
        <v>1042</v>
      </c>
      <c r="H328" t="s">
        <v>1595</v>
      </c>
      <c r="I328" t="s">
        <v>1986</v>
      </c>
      <c r="J328" t="s">
        <v>2169</v>
      </c>
      <c r="K328" t="s">
        <v>2171</v>
      </c>
      <c r="L328">
        <v>10027</v>
      </c>
      <c r="M328" t="s">
        <v>2173</v>
      </c>
      <c r="N328" t="s">
        <v>2172</v>
      </c>
      <c r="O328" t="s">
        <v>2175</v>
      </c>
      <c r="P328" t="s">
        <v>2485</v>
      </c>
      <c r="Q328">
        <v>2</v>
      </c>
      <c r="R328" t="s">
        <v>2843</v>
      </c>
      <c r="S328" t="s">
        <v>2857</v>
      </c>
      <c r="U328" t="s">
        <v>2869</v>
      </c>
      <c r="V328" t="s">
        <v>2174</v>
      </c>
      <c r="W328" t="s">
        <v>2174</v>
      </c>
      <c r="Y328" t="s">
        <v>2876</v>
      </c>
      <c r="AA328" t="s">
        <v>148</v>
      </c>
      <c r="AB328">
        <v>0</v>
      </c>
      <c r="AC328">
        <v>1183</v>
      </c>
      <c r="AD328">
        <v>10.25</v>
      </c>
      <c r="AE328" t="s">
        <v>2894</v>
      </c>
      <c r="AG328" t="s">
        <v>3218</v>
      </c>
      <c r="AH328" t="s">
        <v>3668</v>
      </c>
      <c r="AI328" t="s">
        <v>4083</v>
      </c>
      <c r="AJ328">
        <v>0</v>
      </c>
      <c r="AK328" t="s">
        <v>4456</v>
      </c>
      <c r="AL328">
        <v>1</v>
      </c>
      <c r="AM328">
        <v>1</v>
      </c>
      <c r="AN328">
        <v>20.08</v>
      </c>
      <c r="AR328" t="s">
        <v>4480</v>
      </c>
      <c r="AS328" t="s">
        <v>4486</v>
      </c>
      <c r="AT328">
        <v>3396</v>
      </c>
      <c r="AX328" t="s">
        <v>4501</v>
      </c>
      <c r="BA328" t="s">
        <v>4610</v>
      </c>
      <c r="BD328" t="s">
        <v>199</v>
      </c>
      <c r="BE328" t="s">
        <v>4704</v>
      </c>
    </row>
    <row r="329" spans="1:57">
      <c r="A329" s="1">
        <f>HYPERLINK("https://lsnyc.legalserver.org/matter/dynamic-profile/view/1907342","19-1907342")</f>
        <v>0</v>
      </c>
      <c r="B329" t="s">
        <v>61</v>
      </c>
      <c r="C329" t="s">
        <v>92</v>
      </c>
      <c r="D329" t="s">
        <v>178</v>
      </c>
      <c r="E329" t="s">
        <v>116</v>
      </c>
      <c r="F329" t="s">
        <v>520</v>
      </c>
      <c r="G329" t="s">
        <v>1043</v>
      </c>
      <c r="H329" t="s">
        <v>1596</v>
      </c>
      <c r="I329">
        <v>69</v>
      </c>
      <c r="J329" t="s">
        <v>2169</v>
      </c>
      <c r="K329" t="s">
        <v>2171</v>
      </c>
      <c r="L329">
        <v>10027</v>
      </c>
      <c r="M329" t="s">
        <v>2173</v>
      </c>
      <c r="N329" t="s">
        <v>2172</v>
      </c>
      <c r="O329" t="s">
        <v>2179</v>
      </c>
      <c r="P329" t="s">
        <v>2486</v>
      </c>
      <c r="Q329">
        <v>5</v>
      </c>
      <c r="R329" t="s">
        <v>2843</v>
      </c>
      <c r="S329" t="s">
        <v>2855</v>
      </c>
      <c r="T329" t="s">
        <v>2862</v>
      </c>
      <c r="U329" t="s">
        <v>2869</v>
      </c>
      <c r="V329" t="s">
        <v>2174</v>
      </c>
      <c r="W329" t="s">
        <v>2174</v>
      </c>
      <c r="Y329" t="s">
        <v>2876</v>
      </c>
      <c r="AA329" t="s">
        <v>2886</v>
      </c>
      <c r="AB329">
        <v>0</v>
      </c>
      <c r="AC329">
        <v>864.74</v>
      </c>
      <c r="AD329">
        <v>2.9</v>
      </c>
      <c r="AE329" t="s">
        <v>2894</v>
      </c>
      <c r="AF329" t="s">
        <v>2896</v>
      </c>
      <c r="AG329" t="s">
        <v>3219</v>
      </c>
      <c r="AI329" t="s">
        <v>4084</v>
      </c>
      <c r="AJ329">
        <v>0</v>
      </c>
      <c r="AK329" t="s">
        <v>4456</v>
      </c>
      <c r="AL329">
        <v>1</v>
      </c>
      <c r="AM329">
        <v>0</v>
      </c>
      <c r="AN329">
        <v>0</v>
      </c>
      <c r="AR329" t="s">
        <v>4476</v>
      </c>
      <c r="AT329">
        <v>0</v>
      </c>
      <c r="AX329" t="s">
        <v>4504</v>
      </c>
      <c r="BA329" t="s">
        <v>4539</v>
      </c>
      <c r="BD329" t="s">
        <v>174</v>
      </c>
      <c r="BE329" t="s">
        <v>4703</v>
      </c>
    </row>
    <row r="330" spans="1:57">
      <c r="A330" s="1">
        <f>HYPERLINK("https://lsnyc.legalserver.org/matter/dynamic-profile/view/1907363","19-1907363")</f>
        <v>0</v>
      </c>
      <c r="B330" t="s">
        <v>62</v>
      </c>
      <c r="C330" t="s">
        <v>92</v>
      </c>
      <c r="D330" t="s">
        <v>178</v>
      </c>
      <c r="E330" t="s">
        <v>225</v>
      </c>
      <c r="F330" t="s">
        <v>521</v>
      </c>
      <c r="G330" t="s">
        <v>964</v>
      </c>
      <c r="H330" t="s">
        <v>1597</v>
      </c>
      <c r="I330" t="s">
        <v>2036</v>
      </c>
      <c r="J330" t="s">
        <v>2169</v>
      </c>
      <c r="K330" t="s">
        <v>2171</v>
      </c>
      <c r="L330">
        <v>10027</v>
      </c>
      <c r="M330" t="s">
        <v>2173</v>
      </c>
      <c r="N330" t="s">
        <v>2172</v>
      </c>
      <c r="O330" t="s">
        <v>2175</v>
      </c>
      <c r="P330" t="s">
        <v>2487</v>
      </c>
      <c r="Q330">
        <v>1</v>
      </c>
      <c r="R330" t="s">
        <v>2843</v>
      </c>
      <c r="S330" t="s">
        <v>2856</v>
      </c>
      <c r="T330" t="s">
        <v>2863</v>
      </c>
      <c r="U330" t="s">
        <v>2869</v>
      </c>
      <c r="V330" t="s">
        <v>2174</v>
      </c>
      <c r="W330" t="s">
        <v>2174</v>
      </c>
      <c r="Y330" t="s">
        <v>2876</v>
      </c>
      <c r="Z330" t="s">
        <v>2879</v>
      </c>
      <c r="AA330" t="s">
        <v>178</v>
      </c>
      <c r="AB330">
        <v>0</v>
      </c>
      <c r="AC330">
        <v>2450</v>
      </c>
      <c r="AD330">
        <v>5.8</v>
      </c>
      <c r="AE330" t="s">
        <v>2894</v>
      </c>
      <c r="AF330" t="s">
        <v>2896</v>
      </c>
      <c r="AG330" t="s">
        <v>3220</v>
      </c>
      <c r="AI330" t="s">
        <v>4085</v>
      </c>
      <c r="AJ330">
        <v>0</v>
      </c>
      <c r="AK330" t="s">
        <v>4456</v>
      </c>
      <c r="AL330">
        <v>1</v>
      </c>
      <c r="AM330">
        <v>0</v>
      </c>
      <c r="AN330">
        <v>160.13</v>
      </c>
      <c r="AR330" t="s">
        <v>4476</v>
      </c>
      <c r="AS330" t="s">
        <v>4486</v>
      </c>
      <c r="AT330">
        <v>20000</v>
      </c>
      <c r="AX330" t="s">
        <v>4504</v>
      </c>
      <c r="BA330" t="s">
        <v>4546</v>
      </c>
      <c r="BD330" t="s">
        <v>4677</v>
      </c>
      <c r="BE330" t="s">
        <v>4703</v>
      </c>
    </row>
    <row r="331" spans="1:57">
      <c r="A331" s="1">
        <f>HYPERLINK("https://lsnyc.legalserver.org/matter/dynamic-profile/view/1907814","19-1907814")</f>
        <v>0</v>
      </c>
      <c r="B331" t="s">
        <v>57</v>
      </c>
      <c r="C331" t="s">
        <v>93</v>
      </c>
      <c r="D331" t="s">
        <v>105</v>
      </c>
      <c r="F331" t="s">
        <v>522</v>
      </c>
      <c r="G331" t="s">
        <v>1044</v>
      </c>
      <c r="H331" t="s">
        <v>1598</v>
      </c>
      <c r="I331" t="s">
        <v>2037</v>
      </c>
      <c r="J331" t="s">
        <v>2169</v>
      </c>
      <c r="K331" t="s">
        <v>2171</v>
      </c>
      <c r="L331">
        <v>10027</v>
      </c>
      <c r="M331" t="s">
        <v>2173</v>
      </c>
      <c r="N331" t="s">
        <v>2172</v>
      </c>
      <c r="O331" t="s">
        <v>2179</v>
      </c>
      <c r="P331" t="s">
        <v>2488</v>
      </c>
      <c r="Q331">
        <v>2</v>
      </c>
      <c r="R331" t="s">
        <v>2843</v>
      </c>
      <c r="S331" t="s">
        <v>2857</v>
      </c>
      <c r="U331" t="s">
        <v>2869</v>
      </c>
      <c r="V331" t="s">
        <v>2174</v>
      </c>
      <c r="W331" t="s">
        <v>2174</v>
      </c>
      <c r="Y331" t="s">
        <v>2876</v>
      </c>
      <c r="Z331" t="s">
        <v>2879</v>
      </c>
      <c r="AA331" t="s">
        <v>105</v>
      </c>
      <c r="AB331">
        <v>0</v>
      </c>
      <c r="AC331">
        <v>400</v>
      </c>
      <c r="AD331">
        <v>2.5</v>
      </c>
      <c r="AE331" t="s">
        <v>2894</v>
      </c>
      <c r="AG331" t="s">
        <v>3221</v>
      </c>
      <c r="AI331" t="s">
        <v>4086</v>
      </c>
      <c r="AJ331">
        <v>4</v>
      </c>
      <c r="AK331" t="s">
        <v>4456</v>
      </c>
      <c r="AL331">
        <v>1</v>
      </c>
      <c r="AM331">
        <v>0</v>
      </c>
      <c r="AN331">
        <v>74.56</v>
      </c>
      <c r="AR331" t="s">
        <v>4476</v>
      </c>
      <c r="AS331" t="s">
        <v>4486</v>
      </c>
      <c r="AT331">
        <v>9312</v>
      </c>
      <c r="AX331" t="s">
        <v>4504</v>
      </c>
      <c r="BA331" t="s">
        <v>4571</v>
      </c>
      <c r="BD331" t="s">
        <v>154</v>
      </c>
      <c r="BE331" t="s">
        <v>4703</v>
      </c>
    </row>
    <row r="332" spans="1:57">
      <c r="A332" s="1">
        <f>HYPERLINK("https://lsnyc.legalserver.org/matter/dynamic-profile/view/1886778","19-1886778")</f>
        <v>0</v>
      </c>
      <c r="B332" t="s">
        <v>73</v>
      </c>
      <c r="C332" t="s">
        <v>92</v>
      </c>
      <c r="D332" t="s">
        <v>157</v>
      </c>
      <c r="E332" t="s">
        <v>188</v>
      </c>
      <c r="F332" t="s">
        <v>523</v>
      </c>
      <c r="G332" t="s">
        <v>1045</v>
      </c>
      <c r="H332" t="s">
        <v>1599</v>
      </c>
      <c r="I332" t="s">
        <v>2038</v>
      </c>
      <c r="J332" t="s">
        <v>2169</v>
      </c>
      <c r="K332" t="s">
        <v>2171</v>
      </c>
      <c r="L332">
        <v>10027</v>
      </c>
      <c r="M332" t="s">
        <v>2173</v>
      </c>
      <c r="N332" t="s">
        <v>2173</v>
      </c>
      <c r="O332" t="s">
        <v>2175</v>
      </c>
      <c r="P332" t="s">
        <v>2489</v>
      </c>
      <c r="Q332">
        <v>32</v>
      </c>
      <c r="R332" t="s">
        <v>2844</v>
      </c>
      <c r="S332" t="s">
        <v>2857</v>
      </c>
      <c r="T332" t="s">
        <v>2864</v>
      </c>
      <c r="U332" t="s">
        <v>2869</v>
      </c>
      <c r="V332" t="s">
        <v>2174</v>
      </c>
      <c r="W332" t="s">
        <v>2174</v>
      </c>
      <c r="Y332" t="s">
        <v>2876</v>
      </c>
      <c r="Z332" t="s">
        <v>2879</v>
      </c>
      <c r="AA332" t="s">
        <v>157</v>
      </c>
      <c r="AB332">
        <v>0</v>
      </c>
      <c r="AC332">
        <v>235</v>
      </c>
      <c r="AD332">
        <v>11.1</v>
      </c>
      <c r="AE332" t="s">
        <v>2894</v>
      </c>
      <c r="AF332" t="s">
        <v>2898</v>
      </c>
      <c r="AG332" t="s">
        <v>3222</v>
      </c>
      <c r="AI332" t="s">
        <v>4087</v>
      </c>
      <c r="AJ332">
        <v>0</v>
      </c>
      <c r="AL332">
        <v>1</v>
      </c>
      <c r="AM332">
        <v>0</v>
      </c>
      <c r="AN332">
        <v>94.3</v>
      </c>
      <c r="AQ332" t="s">
        <v>4473</v>
      </c>
      <c r="AR332" t="s">
        <v>4478</v>
      </c>
      <c r="AS332" t="s">
        <v>4486</v>
      </c>
      <c r="AT332">
        <v>11448</v>
      </c>
      <c r="AX332" t="s">
        <v>4501</v>
      </c>
      <c r="AZ332" t="s">
        <v>4519</v>
      </c>
      <c r="BA332" t="s">
        <v>4585</v>
      </c>
      <c r="BB332" t="s">
        <v>4632</v>
      </c>
      <c r="BC332" t="s">
        <v>4647</v>
      </c>
      <c r="BD332" t="s">
        <v>224</v>
      </c>
      <c r="BE332" t="s">
        <v>4703</v>
      </c>
    </row>
    <row r="333" spans="1:57">
      <c r="A333" s="1">
        <f>HYPERLINK("https://lsnyc.legalserver.org/matter/dynamic-profile/view/1886779","19-1886779")</f>
        <v>0</v>
      </c>
      <c r="B333" t="s">
        <v>72</v>
      </c>
      <c r="C333" t="s">
        <v>92</v>
      </c>
      <c r="D333" t="s">
        <v>157</v>
      </c>
      <c r="E333" t="s">
        <v>199</v>
      </c>
      <c r="F333" t="s">
        <v>524</v>
      </c>
      <c r="G333" t="s">
        <v>1046</v>
      </c>
      <c r="H333" t="s">
        <v>1600</v>
      </c>
      <c r="I333" t="s">
        <v>1960</v>
      </c>
      <c r="J333" t="s">
        <v>2169</v>
      </c>
      <c r="K333" t="s">
        <v>2171</v>
      </c>
      <c r="L333">
        <v>10027</v>
      </c>
      <c r="M333" t="s">
        <v>2173</v>
      </c>
      <c r="N333" t="s">
        <v>2173</v>
      </c>
      <c r="O333" t="s">
        <v>2179</v>
      </c>
      <c r="P333" t="s">
        <v>2490</v>
      </c>
      <c r="Q333">
        <v>12</v>
      </c>
      <c r="R333" t="s">
        <v>2844</v>
      </c>
      <c r="S333" t="s">
        <v>2857</v>
      </c>
      <c r="T333" t="s">
        <v>2864</v>
      </c>
      <c r="U333" t="s">
        <v>2869</v>
      </c>
      <c r="V333" t="s">
        <v>2174</v>
      </c>
      <c r="W333" t="s">
        <v>2174</v>
      </c>
      <c r="Y333" t="s">
        <v>2876</v>
      </c>
      <c r="Z333" t="s">
        <v>2879</v>
      </c>
      <c r="AA333" t="s">
        <v>157</v>
      </c>
      <c r="AB333">
        <v>0</v>
      </c>
      <c r="AC333">
        <v>590.27</v>
      </c>
      <c r="AD333">
        <v>7.75</v>
      </c>
      <c r="AE333" t="s">
        <v>2894</v>
      </c>
      <c r="AF333" t="s">
        <v>2898</v>
      </c>
      <c r="AG333" t="s">
        <v>3223</v>
      </c>
      <c r="AI333" t="s">
        <v>4088</v>
      </c>
      <c r="AJ333">
        <v>0</v>
      </c>
      <c r="AK333" t="s">
        <v>4464</v>
      </c>
      <c r="AL333">
        <v>1</v>
      </c>
      <c r="AM333">
        <v>0</v>
      </c>
      <c r="AN333">
        <v>111.37</v>
      </c>
      <c r="AQ333" t="s">
        <v>4473</v>
      </c>
      <c r="AR333" t="s">
        <v>4476</v>
      </c>
      <c r="AS333" t="s">
        <v>4486</v>
      </c>
      <c r="AT333">
        <v>13520.04</v>
      </c>
      <c r="AX333" t="s">
        <v>4504</v>
      </c>
      <c r="AZ333" t="s">
        <v>4521</v>
      </c>
      <c r="BA333" t="s">
        <v>4546</v>
      </c>
      <c r="BD333" t="s">
        <v>186</v>
      </c>
      <c r="BE333" t="s">
        <v>4703</v>
      </c>
    </row>
    <row r="334" spans="1:57">
      <c r="A334" s="1">
        <f>HYPERLINK("https://lsnyc.legalserver.org/matter/dynamic-profile/view/1886789","19-1886789")</f>
        <v>0</v>
      </c>
      <c r="B334" t="s">
        <v>67</v>
      </c>
      <c r="C334" t="s">
        <v>92</v>
      </c>
      <c r="D334" t="s">
        <v>157</v>
      </c>
      <c r="E334" t="s">
        <v>217</v>
      </c>
      <c r="F334" t="s">
        <v>525</v>
      </c>
      <c r="G334" t="s">
        <v>1047</v>
      </c>
      <c r="H334" t="s">
        <v>1601</v>
      </c>
      <c r="I334" t="s">
        <v>1994</v>
      </c>
      <c r="J334" t="s">
        <v>2169</v>
      </c>
      <c r="K334" t="s">
        <v>2171</v>
      </c>
      <c r="L334">
        <v>10027</v>
      </c>
      <c r="M334" t="s">
        <v>2173</v>
      </c>
      <c r="N334" t="s">
        <v>2173</v>
      </c>
      <c r="O334" t="s">
        <v>2179</v>
      </c>
      <c r="P334" t="s">
        <v>2491</v>
      </c>
      <c r="Q334">
        <v>15</v>
      </c>
      <c r="R334" t="s">
        <v>2844</v>
      </c>
      <c r="S334" t="s">
        <v>2856</v>
      </c>
      <c r="T334" t="s">
        <v>2863</v>
      </c>
      <c r="U334" t="s">
        <v>2869</v>
      </c>
      <c r="V334" t="s">
        <v>2174</v>
      </c>
      <c r="W334" t="s">
        <v>2174</v>
      </c>
      <c r="Y334" t="s">
        <v>2876</v>
      </c>
      <c r="Z334" t="s">
        <v>2879</v>
      </c>
      <c r="AA334" t="s">
        <v>157</v>
      </c>
      <c r="AB334">
        <v>0</v>
      </c>
      <c r="AC334">
        <v>1205.64</v>
      </c>
      <c r="AD334">
        <v>0.3</v>
      </c>
      <c r="AE334" t="s">
        <v>2894</v>
      </c>
      <c r="AF334" t="s">
        <v>2896</v>
      </c>
      <c r="AG334" t="s">
        <v>3224</v>
      </c>
      <c r="AI334" t="s">
        <v>4089</v>
      </c>
      <c r="AJ334">
        <v>11</v>
      </c>
      <c r="AK334" t="s">
        <v>4464</v>
      </c>
      <c r="AL334">
        <v>1</v>
      </c>
      <c r="AM334">
        <v>0</v>
      </c>
      <c r="AN334">
        <v>0</v>
      </c>
      <c r="AQ334" t="s">
        <v>4473</v>
      </c>
      <c r="AR334" t="s">
        <v>4478</v>
      </c>
      <c r="AS334" t="s">
        <v>4486</v>
      </c>
      <c r="AT334">
        <v>0</v>
      </c>
      <c r="AX334" t="s">
        <v>4504</v>
      </c>
      <c r="BA334" t="s">
        <v>4547</v>
      </c>
      <c r="BD334" t="s">
        <v>4693</v>
      </c>
      <c r="BE334" t="s">
        <v>4703</v>
      </c>
    </row>
    <row r="335" spans="1:57">
      <c r="A335" s="1">
        <f>HYPERLINK("https://lsnyc.legalserver.org/matter/dynamic-profile/view/1886797","19-1886797")</f>
        <v>0</v>
      </c>
      <c r="B335" t="s">
        <v>64</v>
      </c>
      <c r="C335" t="s">
        <v>93</v>
      </c>
      <c r="D335" t="s">
        <v>157</v>
      </c>
      <c r="F335" t="s">
        <v>526</v>
      </c>
      <c r="G335" t="s">
        <v>1048</v>
      </c>
      <c r="H335" t="s">
        <v>1602</v>
      </c>
      <c r="I335" t="s">
        <v>1952</v>
      </c>
      <c r="J335" t="s">
        <v>2169</v>
      </c>
      <c r="K335" t="s">
        <v>2171</v>
      </c>
      <c r="L335">
        <v>10027</v>
      </c>
      <c r="M335" t="s">
        <v>2172</v>
      </c>
      <c r="N335" t="s">
        <v>2173</v>
      </c>
      <c r="O335" t="s">
        <v>2175</v>
      </c>
      <c r="P335" t="s">
        <v>2492</v>
      </c>
      <c r="Q335">
        <v>23</v>
      </c>
      <c r="R335" t="s">
        <v>2844</v>
      </c>
      <c r="S335" t="s">
        <v>2857</v>
      </c>
      <c r="U335" t="s">
        <v>2869</v>
      </c>
      <c r="V335" t="s">
        <v>2174</v>
      </c>
      <c r="W335" t="s">
        <v>2174</v>
      </c>
      <c r="Y335" t="s">
        <v>2876</v>
      </c>
      <c r="AB335">
        <v>0</v>
      </c>
      <c r="AC335">
        <v>1588</v>
      </c>
      <c r="AD335">
        <v>30.3</v>
      </c>
      <c r="AE335" t="s">
        <v>2894</v>
      </c>
      <c r="AG335" t="s">
        <v>3225</v>
      </c>
      <c r="AI335" t="s">
        <v>4090</v>
      </c>
      <c r="AJ335">
        <v>0</v>
      </c>
      <c r="AK335" t="s">
        <v>4458</v>
      </c>
      <c r="AL335">
        <v>3</v>
      </c>
      <c r="AM335">
        <v>1</v>
      </c>
      <c r="AN335">
        <v>192.47</v>
      </c>
      <c r="AQ335" t="s">
        <v>4475</v>
      </c>
      <c r="AR335" t="s">
        <v>4478</v>
      </c>
      <c r="AS335" t="s">
        <v>4487</v>
      </c>
      <c r="AT335">
        <v>48309.74</v>
      </c>
      <c r="AX335" t="s">
        <v>4501</v>
      </c>
      <c r="BA335" t="s">
        <v>4581</v>
      </c>
      <c r="BD335" t="s">
        <v>201</v>
      </c>
    </row>
    <row r="336" spans="1:57">
      <c r="A336" s="1">
        <f>HYPERLINK("https://lsnyc.legalserver.org/matter/dynamic-profile/view/1886858","19-1886858")</f>
        <v>0</v>
      </c>
      <c r="B336" t="s">
        <v>77</v>
      </c>
      <c r="C336" t="s">
        <v>92</v>
      </c>
      <c r="D336" t="s">
        <v>157</v>
      </c>
      <c r="E336" t="s">
        <v>220</v>
      </c>
      <c r="F336" t="s">
        <v>527</v>
      </c>
      <c r="G336" t="s">
        <v>1049</v>
      </c>
      <c r="H336" t="s">
        <v>1603</v>
      </c>
      <c r="I336" t="s">
        <v>1922</v>
      </c>
      <c r="J336" t="s">
        <v>2169</v>
      </c>
      <c r="K336" t="s">
        <v>2171</v>
      </c>
      <c r="L336">
        <v>10027</v>
      </c>
      <c r="M336" t="s">
        <v>2173</v>
      </c>
      <c r="N336" t="s">
        <v>2173</v>
      </c>
      <c r="O336" t="s">
        <v>2175</v>
      </c>
      <c r="P336" t="s">
        <v>2493</v>
      </c>
      <c r="Q336">
        <v>51</v>
      </c>
      <c r="R336" t="s">
        <v>2844</v>
      </c>
      <c r="S336" t="s">
        <v>2856</v>
      </c>
      <c r="T336" t="s">
        <v>2863</v>
      </c>
      <c r="U336" t="s">
        <v>2869</v>
      </c>
      <c r="V336" t="s">
        <v>2174</v>
      </c>
      <c r="W336" t="s">
        <v>2174</v>
      </c>
      <c r="Y336" t="s">
        <v>2875</v>
      </c>
      <c r="AA336" t="s">
        <v>220</v>
      </c>
      <c r="AB336">
        <v>0</v>
      </c>
      <c r="AC336">
        <v>700</v>
      </c>
      <c r="AD336">
        <v>0.3</v>
      </c>
      <c r="AE336" t="s">
        <v>2894</v>
      </c>
      <c r="AF336" t="s">
        <v>2896</v>
      </c>
      <c r="AG336" t="s">
        <v>3226</v>
      </c>
      <c r="AH336" t="s">
        <v>3669</v>
      </c>
      <c r="AI336" t="s">
        <v>4091</v>
      </c>
      <c r="AJ336">
        <v>650</v>
      </c>
      <c r="AK336" t="s">
        <v>4459</v>
      </c>
      <c r="AL336">
        <v>1</v>
      </c>
      <c r="AM336">
        <v>0</v>
      </c>
      <c r="AN336">
        <v>48.14</v>
      </c>
      <c r="AQ336" t="s">
        <v>4473</v>
      </c>
      <c r="AR336" t="s">
        <v>4476</v>
      </c>
      <c r="AS336" t="s">
        <v>4486</v>
      </c>
      <c r="AT336">
        <v>5844</v>
      </c>
      <c r="AX336" t="s">
        <v>4504</v>
      </c>
      <c r="BA336" t="s">
        <v>4560</v>
      </c>
      <c r="BD336" t="s">
        <v>4694</v>
      </c>
      <c r="BE336" t="s">
        <v>4704</v>
      </c>
    </row>
    <row r="337" spans="1:57">
      <c r="A337" s="1">
        <f>HYPERLINK("https://lsnyc.legalserver.org/matter/dynamic-profile/view/1886859","19-1886859")</f>
        <v>0</v>
      </c>
      <c r="B337" t="s">
        <v>62</v>
      </c>
      <c r="C337" t="s">
        <v>93</v>
      </c>
      <c r="D337" t="s">
        <v>157</v>
      </c>
      <c r="F337" t="s">
        <v>527</v>
      </c>
      <c r="G337" t="s">
        <v>1050</v>
      </c>
      <c r="H337" t="s">
        <v>1604</v>
      </c>
      <c r="I337" t="s">
        <v>2039</v>
      </c>
      <c r="J337" t="s">
        <v>2169</v>
      </c>
      <c r="K337" t="s">
        <v>2171</v>
      </c>
      <c r="L337">
        <v>10027</v>
      </c>
      <c r="M337" t="s">
        <v>2173</v>
      </c>
      <c r="N337" t="s">
        <v>2173</v>
      </c>
      <c r="O337" t="s">
        <v>2179</v>
      </c>
      <c r="P337" t="s">
        <v>2494</v>
      </c>
      <c r="Q337">
        <v>7</v>
      </c>
      <c r="R337" t="s">
        <v>2844</v>
      </c>
      <c r="S337" t="s">
        <v>2857</v>
      </c>
      <c r="U337" t="s">
        <v>2869</v>
      </c>
      <c r="V337" t="s">
        <v>2174</v>
      </c>
      <c r="W337" t="s">
        <v>2174</v>
      </c>
      <c r="Y337" t="s">
        <v>2876</v>
      </c>
      <c r="Z337" t="s">
        <v>2880</v>
      </c>
      <c r="AA337" t="s">
        <v>157</v>
      </c>
      <c r="AB337">
        <v>0</v>
      </c>
      <c r="AC337">
        <v>1500</v>
      </c>
      <c r="AD337">
        <v>76.65000000000001</v>
      </c>
      <c r="AE337" t="s">
        <v>2894</v>
      </c>
      <c r="AG337" t="s">
        <v>3227</v>
      </c>
      <c r="AH337" t="s">
        <v>3670</v>
      </c>
      <c r="AI337" t="s">
        <v>4092</v>
      </c>
      <c r="AJ337">
        <v>0</v>
      </c>
      <c r="AK337" t="s">
        <v>4456</v>
      </c>
      <c r="AL337">
        <v>1</v>
      </c>
      <c r="AM337">
        <v>0</v>
      </c>
      <c r="AN337">
        <v>0</v>
      </c>
      <c r="AQ337" t="s">
        <v>4473</v>
      </c>
      <c r="AR337" t="s">
        <v>4476</v>
      </c>
      <c r="AS337" t="s">
        <v>4486</v>
      </c>
      <c r="AT337">
        <v>0</v>
      </c>
      <c r="AX337" t="s">
        <v>4501</v>
      </c>
      <c r="BA337" t="s">
        <v>4547</v>
      </c>
      <c r="BD337" t="s">
        <v>210</v>
      </c>
      <c r="BE337" t="s">
        <v>4704</v>
      </c>
    </row>
    <row r="338" spans="1:57">
      <c r="A338" s="1">
        <f>HYPERLINK("https://lsnyc.legalserver.org/matter/dynamic-profile/view/1886870","19-1886870")</f>
        <v>0</v>
      </c>
      <c r="B338" t="s">
        <v>72</v>
      </c>
      <c r="C338" t="s">
        <v>92</v>
      </c>
      <c r="D338" t="s">
        <v>157</v>
      </c>
      <c r="E338" t="s">
        <v>232</v>
      </c>
      <c r="F338" t="s">
        <v>528</v>
      </c>
      <c r="G338" t="s">
        <v>1051</v>
      </c>
      <c r="H338" t="s">
        <v>1603</v>
      </c>
      <c r="I338" t="s">
        <v>2040</v>
      </c>
      <c r="J338" t="s">
        <v>2169</v>
      </c>
      <c r="K338" t="s">
        <v>2171</v>
      </c>
      <c r="L338">
        <v>10027</v>
      </c>
      <c r="M338" t="s">
        <v>2173</v>
      </c>
      <c r="N338" t="s">
        <v>2173</v>
      </c>
      <c r="O338" t="s">
        <v>2175</v>
      </c>
      <c r="P338" t="s">
        <v>2495</v>
      </c>
      <c r="Q338">
        <v>30</v>
      </c>
      <c r="R338" t="s">
        <v>2844</v>
      </c>
      <c r="S338" t="s">
        <v>2857</v>
      </c>
      <c r="T338" t="s">
        <v>2864</v>
      </c>
      <c r="U338" t="s">
        <v>2869</v>
      </c>
      <c r="V338" t="s">
        <v>2174</v>
      </c>
      <c r="W338" t="s">
        <v>2174</v>
      </c>
      <c r="Y338" t="s">
        <v>2875</v>
      </c>
      <c r="Z338" t="s">
        <v>2880</v>
      </c>
      <c r="AA338" t="s">
        <v>157</v>
      </c>
      <c r="AB338">
        <v>0</v>
      </c>
      <c r="AC338">
        <v>256</v>
      </c>
      <c r="AD338">
        <v>9</v>
      </c>
      <c r="AE338" t="s">
        <v>2894</v>
      </c>
      <c r="AF338" t="s">
        <v>2903</v>
      </c>
      <c r="AG338" t="s">
        <v>3228</v>
      </c>
      <c r="AI338" t="s">
        <v>4093</v>
      </c>
      <c r="AJ338">
        <v>0</v>
      </c>
      <c r="AK338" t="s">
        <v>4459</v>
      </c>
      <c r="AL338">
        <v>1</v>
      </c>
      <c r="AM338">
        <v>1</v>
      </c>
      <c r="AN338">
        <v>121.51</v>
      </c>
      <c r="AQ338" t="s">
        <v>4475</v>
      </c>
      <c r="AR338" t="s">
        <v>4476</v>
      </c>
      <c r="AS338" t="s">
        <v>4486</v>
      </c>
      <c r="AT338">
        <v>20000</v>
      </c>
      <c r="AX338" t="s">
        <v>4501</v>
      </c>
      <c r="AY338" t="s">
        <v>4515</v>
      </c>
      <c r="AZ338" t="s">
        <v>4524</v>
      </c>
      <c r="BA338" t="s">
        <v>4546</v>
      </c>
      <c r="BB338" t="s">
        <v>4632</v>
      </c>
      <c r="BC338" t="s">
        <v>4648</v>
      </c>
      <c r="BD338" t="s">
        <v>221</v>
      </c>
    </row>
    <row r="339" spans="1:57">
      <c r="A339" s="1">
        <f>HYPERLINK("https://lsnyc.legalserver.org/matter/dynamic-profile/view/1887459","19-1887459")</f>
        <v>0</v>
      </c>
      <c r="B339" t="s">
        <v>69</v>
      </c>
      <c r="C339" t="s">
        <v>93</v>
      </c>
      <c r="D339" t="s">
        <v>134</v>
      </c>
      <c r="F339" t="s">
        <v>529</v>
      </c>
      <c r="G339" t="s">
        <v>1052</v>
      </c>
      <c r="H339" t="s">
        <v>1605</v>
      </c>
      <c r="I339" t="s">
        <v>2014</v>
      </c>
      <c r="J339" t="s">
        <v>2169</v>
      </c>
      <c r="K339" t="s">
        <v>2171</v>
      </c>
      <c r="L339">
        <v>10027</v>
      </c>
      <c r="M339" t="s">
        <v>2173</v>
      </c>
      <c r="N339" t="s">
        <v>2173</v>
      </c>
      <c r="P339" t="s">
        <v>2496</v>
      </c>
      <c r="Q339">
        <v>3</v>
      </c>
      <c r="R339" t="s">
        <v>2844</v>
      </c>
      <c r="S339" t="s">
        <v>2857</v>
      </c>
      <c r="U339" t="s">
        <v>2869</v>
      </c>
      <c r="V339" t="s">
        <v>2174</v>
      </c>
      <c r="W339" t="s">
        <v>2174</v>
      </c>
      <c r="Y339" t="s">
        <v>2876</v>
      </c>
      <c r="Z339" t="s">
        <v>2879</v>
      </c>
      <c r="AA339" t="s">
        <v>134</v>
      </c>
      <c r="AB339">
        <v>0</v>
      </c>
      <c r="AC339">
        <v>180</v>
      </c>
      <c r="AD339">
        <v>4.5</v>
      </c>
      <c r="AE339" t="s">
        <v>2894</v>
      </c>
      <c r="AG339" t="s">
        <v>3229</v>
      </c>
      <c r="AI339" t="s">
        <v>4094</v>
      </c>
      <c r="AJ339">
        <v>0</v>
      </c>
      <c r="AK339" t="s">
        <v>4464</v>
      </c>
      <c r="AL339">
        <v>1</v>
      </c>
      <c r="AM339">
        <v>0</v>
      </c>
      <c r="AN339">
        <v>74.14</v>
      </c>
      <c r="AQ339" t="s">
        <v>4473</v>
      </c>
      <c r="AR339" t="s">
        <v>4478</v>
      </c>
      <c r="AS339" t="s">
        <v>4486</v>
      </c>
      <c r="AT339">
        <v>9000</v>
      </c>
      <c r="AX339" t="s">
        <v>4504</v>
      </c>
      <c r="BA339" t="s">
        <v>4548</v>
      </c>
      <c r="BD339" t="s">
        <v>127</v>
      </c>
    </row>
    <row r="340" spans="1:57">
      <c r="A340" s="1">
        <f>HYPERLINK("https://lsnyc.legalserver.org/matter/dynamic-profile/view/1887463","19-1887463")</f>
        <v>0</v>
      </c>
      <c r="B340" t="s">
        <v>63</v>
      </c>
      <c r="C340" t="s">
        <v>93</v>
      </c>
      <c r="D340" t="s">
        <v>134</v>
      </c>
      <c r="F340" t="s">
        <v>530</v>
      </c>
      <c r="G340" t="s">
        <v>1053</v>
      </c>
      <c r="H340" t="s">
        <v>1606</v>
      </c>
      <c r="I340" t="s">
        <v>2041</v>
      </c>
      <c r="J340" t="s">
        <v>2169</v>
      </c>
      <c r="K340" t="s">
        <v>2171</v>
      </c>
      <c r="L340">
        <v>10027</v>
      </c>
      <c r="M340" t="s">
        <v>2173</v>
      </c>
      <c r="N340" t="s">
        <v>2173</v>
      </c>
      <c r="O340" t="s">
        <v>2175</v>
      </c>
      <c r="P340" t="s">
        <v>2497</v>
      </c>
      <c r="Q340">
        <v>22</v>
      </c>
      <c r="R340" t="s">
        <v>2844</v>
      </c>
      <c r="S340" t="s">
        <v>2857</v>
      </c>
      <c r="U340" t="s">
        <v>2869</v>
      </c>
      <c r="V340" t="s">
        <v>2174</v>
      </c>
      <c r="W340" t="s">
        <v>2174</v>
      </c>
      <c r="Y340" t="s">
        <v>2875</v>
      </c>
      <c r="Z340" t="s">
        <v>2879</v>
      </c>
      <c r="AA340" t="s">
        <v>134</v>
      </c>
      <c r="AB340">
        <v>0</v>
      </c>
      <c r="AC340">
        <v>1248</v>
      </c>
      <c r="AD340">
        <v>4.9</v>
      </c>
      <c r="AE340" t="s">
        <v>2894</v>
      </c>
      <c r="AG340" t="s">
        <v>3230</v>
      </c>
      <c r="AH340" t="s">
        <v>3671</v>
      </c>
      <c r="AI340" t="s">
        <v>4095</v>
      </c>
      <c r="AJ340">
        <v>0</v>
      </c>
      <c r="AK340" t="s">
        <v>4459</v>
      </c>
      <c r="AL340">
        <v>2</v>
      </c>
      <c r="AM340">
        <v>0</v>
      </c>
      <c r="AN340">
        <v>108.38</v>
      </c>
      <c r="AQ340" t="s">
        <v>4473</v>
      </c>
      <c r="AR340" t="s">
        <v>4476</v>
      </c>
      <c r="AS340" t="s">
        <v>4486</v>
      </c>
      <c r="AT340">
        <v>17840</v>
      </c>
      <c r="AX340" t="s">
        <v>4501</v>
      </c>
      <c r="BA340" t="s">
        <v>4611</v>
      </c>
      <c r="BD340" t="s">
        <v>101</v>
      </c>
    </row>
    <row r="341" spans="1:57">
      <c r="A341" s="1">
        <f>HYPERLINK("https://lsnyc.legalserver.org/matter/dynamic-profile/view/1887627","19-1887627")</f>
        <v>0</v>
      </c>
      <c r="B341" t="s">
        <v>75</v>
      </c>
      <c r="C341" t="s">
        <v>93</v>
      </c>
      <c r="D341" t="s">
        <v>134</v>
      </c>
      <c r="F341" t="s">
        <v>531</v>
      </c>
      <c r="G341" t="s">
        <v>1054</v>
      </c>
      <c r="H341" t="s">
        <v>1607</v>
      </c>
      <c r="I341" t="s">
        <v>2042</v>
      </c>
      <c r="J341" t="s">
        <v>2169</v>
      </c>
      <c r="K341" t="s">
        <v>2171</v>
      </c>
      <c r="L341">
        <v>10027</v>
      </c>
      <c r="M341" t="s">
        <v>2173</v>
      </c>
      <c r="N341" t="s">
        <v>2173</v>
      </c>
      <c r="O341" t="s">
        <v>2184</v>
      </c>
      <c r="P341" t="s">
        <v>2498</v>
      </c>
      <c r="Q341">
        <v>16</v>
      </c>
      <c r="R341" t="s">
        <v>2844</v>
      </c>
      <c r="S341" t="s">
        <v>2857</v>
      </c>
      <c r="U341" t="s">
        <v>2870</v>
      </c>
      <c r="V341" t="s">
        <v>2174</v>
      </c>
      <c r="W341" t="s">
        <v>2174</v>
      </c>
      <c r="X341" t="s">
        <v>2868</v>
      </c>
      <c r="Y341" t="s">
        <v>2876</v>
      </c>
      <c r="AB341">
        <v>0</v>
      </c>
      <c r="AC341">
        <v>1350</v>
      </c>
      <c r="AD341">
        <v>13.6</v>
      </c>
      <c r="AE341" t="s">
        <v>2894</v>
      </c>
      <c r="AG341" t="s">
        <v>3231</v>
      </c>
      <c r="AI341" t="s">
        <v>4096</v>
      </c>
      <c r="AJ341">
        <v>0</v>
      </c>
      <c r="AK341" t="s">
        <v>4464</v>
      </c>
      <c r="AL341">
        <v>1</v>
      </c>
      <c r="AM341">
        <v>0</v>
      </c>
      <c r="AN341">
        <v>187.81</v>
      </c>
      <c r="AP341" t="s">
        <v>4472</v>
      </c>
      <c r="AQ341" t="s">
        <v>4473</v>
      </c>
      <c r="AR341" t="s">
        <v>4476</v>
      </c>
      <c r="AS341" t="s">
        <v>4486</v>
      </c>
      <c r="AT341">
        <v>22800</v>
      </c>
      <c r="AX341" t="s">
        <v>4506</v>
      </c>
      <c r="BA341" t="s">
        <v>4559</v>
      </c>
      <c r="BD341" t="s">
        <v>174</v>
      </c>
    </row>
    <row r="342" spans="1:57">
      <c r="A342" s="1">
        <f>HYPERLINK("https://lsnyc.legalserver.org/matter/dynamic-profile/view/1888735","19-1888735")</f>
        <v>0</v>
      </c>
      <c r="B342" t="s">
        <v>75</v>
      </c>
      <c r="C342" t="s">
        <v>93</v>
      </c>
      <c r="D342" t="s">
        <v>179</v>
      </c>
      <c r="F342" t="s">
        <v>532</v>
      </c>
      <c r="G342" t="s">
        <v>1005</v>
      </c>
      <c r="H342" t="s">
        <v>1608</v>
      </c>
      <c r="I342" t="s">
        <v>1924</v>
      </c>
      <c r="J342" t="s">
        <v>2169</v>
      </c>
      <c r="K342" t="s">
        <v>2171</v>
      </c>
      <c r="L342">
        <v>10027</v>
      </c>
      <c r="M342" t="s">
        <v>2173</v>
      </c>
      <c r="N342" t="s">
        <v>2173</v>
      </c>
      <c r="O342" t="s">
        <v>2179</v>
      </c>
      <c r="P342" t="s">
        <v>2499</v>
      </c>
      <c r="Q342">
        <v>17</v>
      </c>
      <c r="R342" t="s">
        <v>2844</v>
      </c>
      <c r="S342" t="s">
        <v>2857</v>
      </c>
      <c r="U342" t="s">
        <v>2869</v>
      </c>
      <c r="V342" t="s">
        <v>2174</v>
      </c>
      <c r="W342" t="s">
        <v>2174</v>
      </c>
      <c r="Y342" t="s">
        <v>2876</v>
      </c>
      <c r="Z342" t="s">
        <v>2879</v>
      </c>
      <c r="AA342" t="s">
        <v>179</v>
      </c>
      <c r="AB342">
        <v>0</v>
      </c>
      <c r="AC342">
        <v>1225</v>
      </c>
      <c r="AD342">
        <v>6.5</v>
      </c>
      <c r="AE342" t="s">
        <v>2894</v>
      </c>
      <c r="AG342" t="s">
        <v>3232</v>
      </c>
      <c r="AI342" t="s">
        <v>4097</v>
      </c>
      <c r="AJ342">
        <v>0</v>
      </c>
      <c r="AK342" t="s">
        <v>4456</v>
      </c>
      <c r="AL342">
        <v>1</v>
      </c>
      <c r="AM342">
        <v>0</v>
      </c>
      <c r="AN342">
        <v>191.72</v>
      </c>
      <c r="AQ342" t="s">
        <v>4473</v>
      </c>
      <c r="AR342" t="s">
        <v>2176</v>
      </c>
      <c r="AS342" t="s">
        <v>4486</v>
      </c>
      <c r="AT342">
        <v>23946</v>
      </c>
      <c r="AX342" t="s">
        <v>4504</v>
      </c>
      <c r="BA342" t="s">
        <v>4584</v>
      </c>
      <c r="BD342" t="s">
        <v>226</v>
      </c>
    </row>
    <row r="343" spans="1:57">
      <c r="A343" s="1">
        <f>HYPERLINK("https://lsnyc.legalserver.org/matter/dynamic-profile/view/1889130","19-1889130")</f>
        <v>0</v>
      </c>
      <c r="B343" t="s">
        <v>63</v>
      </c>
      <c r="C343" t="s">
        <v>93</v>
      </c>
      <c r="D343" t="s">
        <v>132</v>
      </c>
      <c r="F343" t="s">
        <v>533</v>
      </c>
      <c r="G343" t="s">
        <v>1055</v>
      </c>
      <c r="H343" t="s">
        <v>1609</v>
      </c>
      <c r="I343">
        <v>21</v>
      </c>
      <c r="J343" t="s">
        <v>2169</v>
      </c>
      <c r="K343" t="s">
        <v>2171</v>
      </c>
      <c r="L343">
        <v>10027</v>
      </c>
      <c r="M343" t="s">
        <v>2173</v>
      </c>
      <c r="N343" t="s">
        <v>2173</v>
      </c>
      <c r="P343" t="s">
        <v>2500</v>
      </c>
      <c r="Q343">
        <v>22</v>
      </c>
      <c r="R343" t="s">
        <v>2844</v>
      </c>
      <c r="S343" t="s">
        <v>2857</v>
      </c>
      <c r="U343" t="s">
        <v>2869</v>
      </c>
      <c r="V343" t="s">
        <v>2174</v>
      </c>
      <c r="W343" t="s">
        <v>2174</v>
      </c>
      <c r="Y343" t="s">
        <v>2876</v>
      </c>
      <c r="Z343" t="s">
        <v>2879</v>
      </c>
      <c r="AA343" t="s">
        <v>132</v>
      </c>
      <c r="AB343">
        <v>0</v>
      </c>
      <c r="AC343">
        <v>960</v>
      </c>
      <c r="AD343">
        <v>30</v>
      </c>
      <c r="AE343" t="s">
        <v>2894</v>
      </c>
      <c r="AG343" t="s">
        <v>3233</v>
      </c>
      <c r="AI343" t="s">
        <v>4098</v>
      </c>
      <c r="AJ343">
        <v>0</v>
      </c>
      <c r="AK343" t="s">
        <v>4456</v>
      </c>
      <c r="AL343">
        <v>1</v>
      </c>
      <c r="AM343">
        <v>0</v>
      </c>
      <c r="AN343">
        <v>144.12</v>
      </c>
      <c r="AQ343" t="s">
        <v>4473</v>
      </c>
      <c r="AR343" t="s">
        <v>4476</v>
      </c>
      <c r="AS343" t="s">
        <v>4490</v>
      </c>
      <c r="AT343">
        <v>18000</v>
      </c>
      <c r="AX343" t="s">
        <v>4501</v>
      </c>
      <c r="BA343" t="s">
        <v>4545</v>
      </c>
      <c r="BD343" t="s">
        <v>151</v>
      </c>
      <c r="BE343" t="s">
        <v>4703</v>
      </c>
    </row>
    <row r="344" spans="1:57">
      <c r="A344" s="1">
        <f>HYPERLINK("https://lsnyc.legalserver.org/matter/dynamic-profile/view/1889137","19-1889137")</f>
        <v>0</v>
      </c>
      <c r="B344" t="s">
        <v>71</v>
      </c>
      <c r="C344" t="s">
        <v>93</v>
      </c>
      <c r="D344" t="s">
        <v>132</v>
      </c>
      <c r="F344" t="s">
        <v>534</v>
      </c>
      <c r="G344" t="s">
        <v>1056</v>
      </c>
      <c r="H344" t="s">
        <v>1610</v>
      </c>
      <c r="I344" t="s">
        <v>1920</v>
      </c>
      <c r="J344" t="s">
        <v>2169</v>
      </c>
      <c r="K344" t="s">
        <v>2171</v>
      </c>
      <c r="L344">
        <v>10027</v>
      </c>
      <c r="M344" t="s">
        <v>2173</v>
      </c>
      <c r="N344" t="s">
        <v>2173</v>
      </c>
      <c r="O344" t="s">
        <v>2175</v>
      </c>
      <c r="P344" t="s">
        <v>2501</v>
      </c>
      <c r="Q344">
        <v>2</v>
      </c>
      <c r="R344" t="s">
        <v>2844</v>
      </c>
      <c r="S344" t="s">
        <v>2857</v>
      </c>
      <c r="U344" t="s">
        <v>2869</v>
      </c>
      <c r="V344" t="s">
        <v>2174</v>
      </c>
      <c r="W344" t="s">
        <v>2174</v>
      </c>
      <c r="Y344" t="s">
        <v>2876</v>
      </c>
      <c r="Z344" t="s">
        <v>2879</v>
      </c>
      <c r="AA344" t="s">
        <v>132</v>
      </c>
      <c r="AB344">
        <v>0</v>
      </c>
      <c r="AC344">
        <v>946</v>
      </c>
      <c r="AD344">
        <v>15.3</v>
      </c>
      <c r="AE344" t="s">
        <v>2894</v>
      </c>
      <c r="AG344" t="s">
        <v>3234</v>
      </c>
      <c r="AI344" t="s">
        <v>4099</v>
      </c>
      <c r="AJ344">
        <v>1</v>
      </c>
      <c r="AK344" t="s">
        <v>4458</v>
      </c>
      <c r="AL344">
        <v>1</v>
      </c>
      <c r="AM344">
        <v>0</v>
      </c>
      <c r="AN344">
        <v>70.78</v>
      </c>
      <c r="AQ344" t="s">
        <v>4473</v>
      </c>
      <c r="AR344" t="s">
        <v>4478</v>
      </c>
      <c r="AS344" t="s">
        <v>4486</v>
      </c>
      <c r="AT344">
        <v>8840</v>
      </c>
      <c r="AX344" t="s">
        <v>4501</v>
      </c>
      <c r="BA344" t="s">
        <v>4546</v>
      </c>
      <c r="BD344" t="s">
        <v>185</v>
      </c>
    </row>
    <row r="345" spans="1:57">
      <c r="A345" s="1">
        <f>HYPERLINK("https://lsnyc.legalserver.org/matter/dynamic-profile/view/1889217","19-1889217")</f>
        <v>0</v>
      </c>
      <c r="B345" t="s">
        <v>75</v>
      </c>
      <c r="C345" t="s">
        <v>93</v>
      </c>
      <c r="D345" t="s">
        <v>132</v>
      </c>
      <c r="F345" t="s">
        <v>535</v>
      </c>
      <c r="G345" t="s">
        <v>1057</v>
      </c>
      <c r="H345" t="s">
        <v>1611</v>
      </c>
      <c r="I345" t="s">
        <v>1978</v>
      </c>
      <c r="J345" t="s">
        <v>2169</v>
      </c>
      <c r="K345" t="s">
        <v>2171</v>
      </c>
      <c r="L345">
        <v>10027</v>
      </c>
      <c r="M345" t="s">
        <v>2173</v>
      </c>
      <c r="N345" t="s">
        <v>2173</v>
      </c>
      <c r="O345" t="s">
        <v>2183</v>
      </c>
      <c r="P345" t="s">
        <v>2502</v>
      </c>
      <c r="Q345">
        <v>25</v>
      </c>
      <c r="R345" t="s">
        <v>2844</v>
      </c>
      <c r="S345" t="s">
        <v>2857</v>
      </c>
      <c r="U345" t="s">
        <v>2869</v>
      </c>
      <c r="V345" t="s">
        <v>2174</v>
      </c>
      <c r="W345" t="s">
        <v>2174</v>
      </c>
      <c r="Y345" t="s">
        <v>2876</v>
      </c>
      <c r="Z345" t="s">
        <v>2879</v>
      </c>
      <c r="AA345" t="s">
        <v>132</v>
      </c>
      <c r="AB345">
        <v>0</v>
      </c>
      <c r="AC345">
        <v>997.71</v>
      </c>
      <c r="AD345">
        <v>1.25</v>
      </c>
      <c r="AE345" t="s">
        <v>2894</v>
      </c>
      <c r="AG345" t="s">
        <v>3017</v>
      </c>
      <c r="AI345" t="s">
        <v>4100</v>
      </c>
      <c r="AJ345">
        <v>27</v>
      </c>
      <c r="AK345" t="s">
        <v>4456</v>
      </c>
      <c r="AL345">
        <v>2</v>
      </c>
      <c r="AM345">
        <v>0</v>
      </c>
      <c r="AN345">
        <v>58.26</v>
      </c>
      <c r="AQ345" t="s">
        <v>4473</v>
      </c>
      <c r="AR345" t="s">
        <v>4478</v>
      </c>
      <c r="AS345" t="s">
        <v>4486</v>
      </c>
      <c r="AT345">
        <v>9852</v>
      </c>
      <c r="AX345" t="s">
        <v>4505</v>
      </c>
      <c r="BA345" t="s">
        <v>4548</v>
      </c>
      <c r="BD345" t="s">
        <v>4687</v>
      </c>
    </row>
    <row r="346" spans="1:57">
      <c r="A346" s="1">
        <f>HYPERLINK("https://lsnyc.legalserver.org/matter/dynamic-profile/view/1889225","19-1889225")</f>
        <v>0</v>
      </c>
      <c r="B346" t="s">
        <v>71</v>
      </c>
      <c r="C346" t="s">
        <v>93</v>
      </c>
      <c r="D346" t="s">
        <v>132</v>
      </c>
      <c r="F346" t="s">
        <v>536</v>
      </c>
      <c r="G346" t="s">
        <v>1058</v>
      </c>
      <c r="H346" t="s">
        <v>1612</v>
      </c>
      <c r="I346" t="s">
        <v>1910</v>
      </c>
      <c r="J346" t="s">
        <v>2169</v>
      </c>
      <c r="K346" t="s">
        <v>2171</v>
      </c>
      <c r="L346">
        <v>10027</v>
      </c>
      <c r="M346" t="s">
        <v>2173</v>
      </c>
      <c r="N346" t="s">
        <v>2173</v>
      </c>
      <c r="O346" t="s">
        <v>2183</v>
      </c>
      <c r="P346" t="s">
        <v>2503</v>
      </c>
      <c r="Q346">
        <v>10</v>
      </c>
      <c r="R346" t="s">
        <v>2844</v>
      </c>
      <c r="S346" t="s">
        <v>2856</v>
      </c>
      <c r="U346" t="s">
        <v>2869</v>
      </c>
      <c r="V346" t="s">
        <v>2174</v>
      </c>
      <c r="W346" t="s">
        <v>2174</v>
      </c>
      <c r="Y346" t="s">
        <v>2876</v>
      </c>
      <c r="Z346" t="s">
        <v>2882</v>
      </c>
      <c r="AA346" t="s">
        <v>132</v>
      </c>
      <c r="AB346">
        <v>0</v>
      </c>
      <c r="AC346">
        <v>224</v>
      </c>
      <c r="AD346">
        <v>0.5</v>
      </c>
      <c r="AE346" t="s">
        <v>2894</v>
      </c>
      <c r="AG346" t="s">
        <v>3235</v>
      </c>
      <c r="AI346" t="s">
        <v>4101</v>
      </c>
      <c r="AJ346">
        <v>0</v>
      </c>
      <c r="AK346" t="s">
        <v>4456</v>
      </c>
      <c r="AL346">
        <v>1</v>
      </c>
      <c r="AM346">
        <v>1</v>
      </c>
      <c r="AN346">
        <v>54.71</v>
      </c>
      <c r="AQ346" t="s">
        <v>4474</v>
      </c>
      <c r="AR346" t="s">
        <v>4476</v>
      </c>
      <c r="AS346" t="s">
        <v>4486</v>
      </c>
      <c r="AT346">
        <v>9252</v>
      </c>
      <c r="AX346" t="s">
        <v>4505</v>
      </c>
      <c r="BA346" t="s">
        <v>4538</v>
      </c>
      <c r="BD346" t="s">
        <v>4695</v>
      </c>
    </row>
    <row r="347" spans="1:57">
      <c r="A347" s="1">
        <f>HYPERLINK("https://lsnyc.legalserver.org/matter/dynamic-profile/view/1889244","19-1889244")</f>
        <v>0</v>
      </c>
      <c r="B347" t="s">
        <v>69</v>
      </c>
      <c r="C347" t="s">
        <v>93</v>
      </c>
      <c r="D347" t="s">
        <v>132</v>
      </c>
      <c r="F347" t="s">
        <v>537</v>
      </c>
      <c r="G347" t="s">
        <v>933</v>
      </c>
      <c r="H347" t="s">
        <v>1613</v>
      </c>
      <c r="I347" t="s">
        <v>1970</v>
      </c>
      <c r="J347" t="s">
        <v>2169</v>
      </c>
      <c r="K347" t="s">
        <v>2171</v>
      </c>
      <c r="L347">
        <v>10027</v>
      </c>
      <c r="M347" t="s">
        <v>2173</v>
      </c>
      <c r="N347" t="s">
        <v>2173</v>
      </c>
      <c r="O347" t="s">
        <v>2179</v>
      </c>
      <c r="P347" t="s">
        <v>2504</v>
      </c>
      <c r="Q347">
        <v>4</v>
      </c>
      <c r="R347" t="s">
        <v>2844</v>
      </c>
      <c r="S347" t="s">
        <v>2857</v>
      </c>
      <c r="U347" t="s">
        <v>2869</v>
      </c>
      <c r="V347" t="s">
        <v>2174</v>
      </c>
      <c r="W347" t="s">
        <v>2174</v>
      </c>
      <c r="Y347" t="s">
        <v>2876</v>
      </c>
      <c r="Z347" t="s">
        <v>2879</v>
      </c>
      <c r="AA347" t="s">
        <v>132</v>
      </c>
      <c r="AB347">
        <v>0</v>
      </c>
      <c r="AC347">
        <v>1339</v>
      </c>
      <c r="AD347">
        <v>11.1</v>
      </c>
      <c r="AE347" t="s">
        <v>2894</v>
      </c>
      <c r="AG347" t="s">
        <v>3236</v>
      </c>
      <c r="AH347" t="s">
        <v>3672</v>
      </c>
      <c r="AI347" t="s">
        <v>4102</v>
      </c>
      <c r="AJ347">
        <v>0</v>
      </c>
      <c r="AK347" t="s">
        <v>4466</v>
      </c>
      <c r="AL347">
        <v>1</v>
      </c>
      <c r="AM347">
        <v>0</v>
      </c>
      <c r="AN347">
        <v>12.7</v>
      </c>
      <c r="AQ347" t="s">
        <v>4473</v>
      </c>
      <c r="AR347" t="s">
        <v>4478</v>
      </c>
      <c r="AS347" t="s">
        <v>4486</v>
      </c>
      <c r="AT347">
        <v>1586</v>
      </c>
      <c r="AX347" t="s">
        <v>4501</v>
      </c>
      <c r="BA347" t="s">
        <v>4564</v>
      </c>
      <c r="BD347" t="s">
        <v>164</v>
      </c>
    </row>
    <row r="348" spans="1:57">
      <c r="A348" s="1">
        <f>HYPERLINK("https://lsnyc.legalserver.org/matter/dynamic-profile/view/1889250","19-1889250")</f>
        <v>0</v>
      </c>
      <c r="B348" t="s">
        <v>58</v>
      </c>
      <c r="C348" t="s">
        <v>93</v>
      </c>
      <c r="D348" t="s">
        <v>132</v>
      </c>
      <c r="F348" t="s">
        <v>538</v>
      </c>
      <c r="G348" t="s">
        <v>1059</v>
      </c>
      <c r="H348" t="s">
        <v>1614</v>
      </c>
      <c r="I348" t="s">
        <v>1944</v>
      </c>
      <c r="J348" t="s">
        <v>2169</v>
      </c>
      <c r="K348" t="s">
        <v>2171</v>
      </c>
      <c r="L348">
        <v>10027</v>
      </c>
      <c r="M348" t="s">
        <v>2173</v>
      </c>
      <c r="N348" t="s">
        <v>2173</v>
      </c>
      <c r="O348" t="s">
        <v>2183</v>
      </c>
      <c r="P348" t="s">
        <v>2505</v>
      </c>
      <c r="Q348">
        <v>32</v>
      </c>
      <c r="R348" t="s">
        <v>2844</v>
      </c>
      <c r="S348" t="s">
        <v>2857</v>
      </c>
      <c r="U348" t="s">
        <v>2869</v>
      </c>
      <c r="V348" t="s">
        <v>2174</v>
      </c>
      <c r="W348" t="s">
        <v>2174</v>
      </c>
      <c r="Y348" t="s">
        <v>2876</v>
      </c>
      <c r="Z348" t="s">
        <v>2879</v>
      </c>
      <c r="AA348" t="s">
        <v>200</v>
      </c>
      <c r="AB348">
        <v>0</v>
      </c>
      <c r="AC348">
        <v>1066</v>
      </c>
      <c r="AD348">
        <v>34.55</v>
      </c>
      <c r="AE348" t="s">
        <v>2894</v>
      </c>
      <c r="AG348" t="s">
        <v>3237</v>
      </c>
      <c r="AJ348">
        <v>0</v>
      </c>
      <c r="AK348" t="s">
        <v>4456</v>
      </c>
      <c r="AL348">
        <v>5</v>
      </c>
      <c r="AM348">
        <v>0</v>
      </c>
      <c r="AN348">
        <v>192.68</v>
      </c>
      <c r="AQ348" t="s">
        <v>4473</v>
      </c>
      <c r="AR348" t="s">
        <v>4478</v>
      </c>
      <c r="AS348" t="s">
        <v>4486</v>
      </c>
      <c r="AT348">
        <v>58132</v>
      </c>
      <c r="AX348" t="s">
        <v>4505</v>
      </c>
      <c r="BA348" t="s">
        <v>4581</v>
      </c>
      <c r="BD348" t="s">
        <v>118</v>
      </c>
      <c r="BE348" t="s">
        <v>4703</v>
      </c>
    </row>
    <row r="349" spans="1:57">
      <c r="A349" s="1">
        <f>HYPERLINK("https://lsnyc.legalserver.org/matter/dynamic-profile/view/1889414","19-1889414")</f>
        <v>0</v>
      </c>
      <c r="B349" t="s">
        <v>61</v>
      </c>
      <c r="C349" t="s">
        <v>92</v>
      </c>
      <c r="D349" t="s">
        <v>129</v>
      </c>
      <c r="E349" t="s">
        <v>97</v>
      </c>
      <c r="F349" t="s">
        <v>539</v>
      </c>
      <c r="G349" t="s">
        <v>1060</v>
      </c>
      <c r="H349" t="s">
        <v>1615</v>
      </c>
      <c r="I349" t="s">
        <v>1950</v>
      </c>
      <c r="J349" t="s">
        <v>2169</v>
      </c>
      <c r="K349" t="s">
        <v>2171</v>
      </c>
      <c r="L349">
        <v>10027</v>
      </c>
      <c r="M349" t="s">
        <v>2173</v>
      </c>
      <c r="N349" t="s">
        <v>2173</v>
      </c>
      <c r="O349" t="s">
        <v>2179</v>
      </c>
      <c r="P349" t="s">
        <v>2506</v>
      </c>
      <c r="Q349">
        <v>2</v>
      </c>
      <c r="R349" t="s">
        <v>2844</v>
      </c>
      <c r="S349" t="s">
        <v>2857</v>
      </c>
      <c r="T349" t="s">
        <v>2864</v>
      </c>
      <c r="U349" t="s">
        <v>2869</v>
      </c>
      <c r="V349" t="s">
        <v>2174</v>
      </c>
      <c r="W349" t="s">
        <v>2174</v>
      </c>
      <c r="Y349" t="s">
        <v>2876</v>
      </c>
      <c r="Z349" t="s">
        <v>2881</v>
      </c>
      <c r="AA349" t="s">
        <v>129</v>
      </c>
      <c r="AB349">
        <v>0</v>
      </c>
      <c r="AC349">
        <v>1250</v>
      </c>
      <c r="AD349">
        <v>9.6</v>
      </c>
      <c r="AE349" t="s">
        <v>2894</v>
      </c>
      <c r="AF349" t="s">
        <v>2901</v>
      </c>
      <c r="AG349" t="s">
        <v>3238</v>
      </c>
      <c r="AI349" t="s">
        <v>4103</v>
      </c>
      <c r="AJ349">
        <v>0</v>
      </c>
      <c r="AK349" t="s">
        <v>4456</v>
      </c>
      <c r="AL349">
        <v>2</v>
      </c>
      <c r="AM349">
        <v>0</v>
      </c>
      <c r="AN349">
        <v>130.1</v>
      </c>
      <c r="AQ349" t="s">
        <v>4473</v>
      </c>
      <c r="AR349" t="s">
        <v>4476</v>
      </c>
      <c r="AS349" t="s">
        <v>4493</v>
      </c>
      <c r="AT349">
        <v>22000</v>
      </c>
      <c r="AX349" t="s">
        <v>4501</v>
      </c>
      <c r="AY349" t="s">
        <v>4516</v>
      </c>
      <c r="AZ349" t="s">
        <v>2176</v>
      </c>
      <c r="BA349" t="s">
        <v>4546</v>
      </c>
      <c r="BD349" t="s">
        <v>115</v>
      </c>
      <c r="BE349" t="s">
        <v>4703</v>
      </c>
    </row>
    <row r="350" spans="1:57">
      <c r="A350" s="1">
        <f>HYPERLINK("https://lsnyc.legalserver.org/matter/dynamic-profile/view/1889447","19-1889447")</f>
        <v>0</v>
      </c>
      <c r="B350" t="s">
        <v>69</v>
      </c>
      <c r="C350" t="s">
        <v>93</v>
      </c>
      <c r="D350" t="s">
        <v>129</v>
      </c>
      <c r="F350" t="s">
        <v>540</v>
      </c>
      <c r="G350" t="s">
        <v>765</v>
      </c>
      <c r="H350" t="s">
        <v>1616</v>
      </c>
      <c r="I350">
        <v>24</v>
      </c>
      <c r="J350" t="s">
        <v>2169</v>
      </c>
      <c r="K350" t="s">
        <v>2171</v>
      </c>
      <c r="L350">
        <v>10027</v>
      </c>
      <c r="M350" t="s">
        <v>2173</v>
      </c>
      <c r="N350" t="s">
        <v>2173</v>
      </c>
      <c r="O350" t="s">
        <v>2179</v>
      </c>
      <c r="P350" t="s">
        <v>2507</v>
      </c>
      <c r="Q350">
        <v>40</v>
      </c>
      <c r="R350" t="s">
        <v>2844</v>
      </c>
      <c r="S350" t="s">
        <v>2857</v>
      </c>
      <c r="U350" t="s">
        <v>2869</v>
      </c>
      <c r="V350" t="s">
        <v>2174</v>
      </c>
      <c r="W350" t="s">
        <v>2174</v>
      </c>
      <c r="Y350" t="s">
        <v>2876</v>
      </c>
      <c r="Z350" t="s">
        <v>2879</v>
      </c>
      <c r="AA350" t="s">
        <v>129</v>
      </c>
      <c r="AB350">
        <v>0</v>
      </c>
      <c r="AC350">
        <v>815.01</v>
      </c>
      <c r="AD350">
        <v>29.7</v>
      </c>
      <c r="AE350" t="s">
        <v>2894</v>
      </c>
      <c r="AG350" t="s">
        <v>3239</v>
      </c>
      <c r="AI350" t="s">
        <v>4104</v>
      </c>
      <c r="AJ350">
        <v>0</v>
      </c>
      <c r="AK350" t="s">
        <v>4456</v>
      </c>
      <c r="AL350">
        <v>2</v>
      </c>
      <c r="AM350">
        <v>2</v>
      </c>
      <c r="AN350">
        <v>30.48</v>
      </c>
      <c r="AQ350" t="s">
        <v>4474</v>
      </c>
      <c r="AR350" t="s">
        <v>4476</v>
      </c>
      <c r="AS350" t="s">
        <v>4486</v>
      </c>
      <c r="AT350">
        <v>7848</v>
      </c>
      <c r="AX350" t="s">
        <v>4501</v>
      </c>
      <c r="BA350" t="s">
        <v>4548</v>
      </c>
      <c r="BD350" t="s">
        <v>218</v>
      </c>
    </row>
    <row r="351" spans="1:57">
      <c r="A351" s="1">
        <f>HYPERLINK("https://lsnyc.legalserver.org/matter/dynamic-profile/view/1889491","19-1889491")</f>
        <v>0</v>
      </c>
      <c r="B351" t="s">
        <v>61</v>
      </c>
      <c r="C351" t="s">
        <v>92</v>
      </c>
      <c r="D351" t="s">
        <v>129</v>
      </c>
      <c r="E351" t="s">
        <v>223</v>
      </c>
      <c r="F351" t="s">
        <v>541</v>
      </c>
      <c r="G351" t="s">
        <v>1061</v>
      </c>
      <c r="H351" t="s">
        <v>1617</v>
      </c>
      <c r="I351">
        <v>405</v>
      </c>
      <c r="J351" t="s">
        <v>2169</v>
      </c>
      <c r="K351" t="s">
        <v>2171</v>
      </c>
      <c r="L351">
        <v>10027</v>
      </c>
      <c r="M351" t="s">
        <v>2173</v>
      </c>
      <c r="N351" t="s">
        <v>2173</v>
      </c>
      <c r="O351" t="s">
        <v>2177</v>
      </c>
      <c r="P351" t="s">
        <v>2508</v>
      </c>
      <c r="Q351">
        <v>8</v>
      </c>
      <c r="R351" t="s">
        <v>2844</v>
      </c>
      <c r="S351" t="s">
        <v>2857</v>
      </c>
      <c r="T351" t="s">
        <v>2864</v>
      </c>
      <c r="U351" t="s">
        <v>2869</v>
      </c>
      <c r="V351" t="s">
        <v>2174</v>
      </c>
      <c r="W351" t="s">
        <v>2174</v>
      </c>
      <c r="Y351" t="s">
        <v>2876</v>
      </c>
      <c r="Z351" t="s">
        <v>2880</v>
      </c>
      <c r="AA351" t="s">
        <v>129</v>
      </c>
      <c r="AB351">
        <v>0</v>
      </c>
      <c r="AC351">
        <v>677</v>
      </c>
      <c r="AD351">
        <v>6.3</v>
      </c>
      <c r="AE351" t="s">
        <v>2894</v>
      </c>
      <c r="AF351" t="s">
        <v>2898</v>
      </c>
      <c r="AG351" t="s">
        <v>3240</v>
      </c>
      <c r="AI351" t="s">
        <v>4105</v>
      </c>
      <c r="AJ351">
        <v>72</v>
      </c>
      <c r="AK351" t="s">
        <v>4458</v>
      </c>
      <c r="AL351">
        <v>1</v>
      </c>
      <c r="AM351">
        <v>2</v>
      </c>
      <c r="AN351">
        <v>187.53</v>
      </c>
      <c r="AQ351" t="s">
        <v>4475</v>
      </c>
      <c r="AR351" t="s">
        <v>4476</v>
      </c>
      <c r="AS351" t="s">
        <v>4486</v>
      </c>
      <c r="AT351">
        <v>40000</v>
      </c>
      <c r="AX351" t="s">
        <v>4504</v>
      </c>
      <c r="AZ351" t="s">
        <v>4519</v>
      </c>
      <c r="BA351" t="s">
        <v>4546</v>
      </c>
      <c r="BB351" t="s">
        <v>4632</v>
      </c>
      <c r="BC351" t="s">
        <v>4649</v>
      </c>
      <c r="BD351" t="s">
        <v>156</v>
      </c>
    </row>
    <row r="352" spans="1:57">
      <c r="A352" s="1">
        <f>HYPERLINK("https://lsnyc.legalserver.org/matter/dynamic-profile/view/1890100","19-1890100")</f>
        <v>0</v>
      </c>
      <c r="B352" t="s">
        <v>75</v>
      </c>
      <c r="C352" t="s">
        <v>93</v>
      </c>
      <c r="D352" t="s">
        <v>137</v>
      </c>
      <c r="F352" t="s">
        <v>329</v>
      </c>
      <c r="G352" t="s">
        <v>1062</v>
      </c>
      <c r="H352" t="s">
        <v>1618</v>
      </c>
      <c r="I352" t="s">
        <v>1978</v>
      </c>
      <c r="J352" t="s">
        <v>2169</v>
      </c>
      <c r="K352" t="s">
        <v>2171</v>
      </c>
      <c r="L352">
        <v>10027</v>
      </c>
      <c r="M352" t="s">
        <v>2173</v>
      </c>
      <c r="N352" t="s">
        <v>2173</v>
      </c>
      <c r="O352" t="s">
        <v>2179</v>
      </c>
      <c r="P352" t="s">
        <v>2509</v>
      </c>
      <c r="Q352">
        <v>15</v>
      </c>
      <c r="R352" t="s">
        <v>2844</v>
      </c>
      <c r="S352" t="s">
        <v>2857</v>
      </c>
      <c r="U352" t="s">
        <v>2869</v>
      </c>
      <c r="V352" t="s">
        <v>2174</v>
      </c>
      <c r="W352" t="s">
        <v>2174</v>
      </c>
      <c r="Y352" t="s">
        <v>2876</v>
      </c>
      <c r="AA352" t="s">
        <v>137</v>
      </c>
      <c r="AB352">
        <v>0</v>
      </c>
      <c r="AC352">
        <v>1123</v>
      </c>
      <c r="AD352">
        <v>14.95</v>
      </c>
      <c r="AE352" t="s">
        <v>2894</v>
      </c>
      <c r="AG352" t="s">
        <v>3241</v>
      </c>
      <c r="AI352" t="s">
        <v>4106</v>
      </c>
      <c r="AJ352">
        <v>0</v>
      </c>
      <c r="AK352" t="s">
        <v>4458</v>
      </c>
      <c r="AL352">
        <v>2</v>
      </c>
      <c r="AM352">
        <v>0</v>
      </c>
      <c r="AN352">
        <v>161.44</v>
      </c>
      <c r="AQ352" t="s">
        <v>4473</v>
      </c>
      <c r="AR352" t="s">
        <v>4480</v>
      </c>
      <c r="AS352" t="s">
        <v>4487</v>
      </c>
      <c r="AT352">
        <v>27300</v>
      </c>
      <c r="AX352" t="s">
        <v>4504</v>
      </c>
      <c r="BA352" t="s">
        <v>4537</v>
      </c>
      <c r="BD352" t="s">
        <v>128</v>
      </c>
    </row>
    <row r="353" spans="1:57">
      <c r="A353" s="1">
        <f>HYPERLINK("https://lsnyc.legalserver.org/matter/dynamic-profile/view/1890106","19-1890106")</f>
        <v>0</v>
      </c>
      <c r="B353" t="s">
        <v>64</v>
      </c>
      <c r="C353" t="s">
        <v>93</v>
      </c>
      <c r="D353" t="s">
        <v>137</v>
      </c>
      <c r="F353" t="s">
        <v>542</v>
      </c>
      <c r="G353" t="s">
        <v>1062</v>
      </c>
      <c r="H353" t="s">
        <v>1618</v>
      </c>
      <c r="I353" t="s">
        <v>1997</v>
      </c>
      <c r="J353" t="s">
        <v>2169</v>
      </c>
      <c r="K353" t="s">
        <v>2171</v>
      </c>
      <c r="L353">
        <v>10027</v>
      </c>
      <c r="M353" t="s">
        <v>2173</v>
      </c>
      <c r="N353" t="s">
        <v>2173</v>
      </c>
      <c r="O353" t="s">
        <v>2179</v>
      </c>
      <c r="P353" t="s">
        <v>2510</v>
      </c>
      <c r="Q353">
        <v>14</v>
      </c>
      <c r="R353" t="s">
        <v>2844</v>
      </c>
      <c r="S353" t="s">
        <v>2857</v>
      </c>
      <c r="U353" t="s">
        <v>2869</v>
      </c>
      <c r="V353" t="s">
        <v>2174</v>
      </c>
      <c r="W353" t="s">
        <v>2174</v>
      </c>
      <c r="Y353" t="s">
        <v>2876</v>
      </c>
      <c r="Z353" t="s">
        <v>2879</v>
      </c>
      <c r="AA353" t="s">
        <v>137</v>
      </c>
      <c r="AB353">
        <v>0</v>
      </c>
      <c r="AC353">
        <v>1052</v>
      </c>
      <c r="AD353">
        <v>33.1</v>
      </c>
      <c r="AE353" t="s">
        <v>2894</v>
      </c>
      <c r="AG353" t="s">
        <v>3242</v>
      </c>
      <c r="AI353" t="s">
        <v>4107</v>
      </c>
      <c r="AJ353">
        <v>0</v>
      </c>
      <c r="AK353" t="s">
        <v>4456</v>
      </c>
      <c r="AL353">
        <v>2</v>
      </c>
      <c r="AM353">
        <v>0</v>
      </c>
      <c r="AN353">
        <v>113.54</v>
      </c>
      <c r="AQ353" t="s">
        <v>4473</v>
      </c>
      <c r="AR353" t="s">
        <v>4477</v>
      </c>
      <c r="AS353" t="s">
        <v>4487</v>
      </c>
      <c r="AT353">
        <v>19200</v>
      </c>
      <c r="AX353" t="s">
        <v>4504</v>
      </c>
      <c r="BA353" t="s">
        <v>4548</v>
      </c>
      <c r="BD353" t="s">
        <v>118</v>
      </c>
      <c r="BE353" t="s">
        <v>4703</v>
      </c>
    </row>
    <row r="354" spans="1:57">
      <c r="A354" s="1">
        <f>HYPERLINK("https://lsnyc.legalserver.org/matter/dynamic-profile/view/1890161","19-1890161")</f>
        <v>0</v>
      </c>
      <c r="B354" t="s">
        <v>75</v>
      </c>
      <c r="C354" t="s">
        <v>93</v>
      </c>
      <c r="D354" t="s">
        <v>137</v>
      </c>
      <c r="F354" t="s">
        <v>543</v>
      </c>
      <c r="G354" t="s">
        <v>1063</v>
      </c>
      <c r="H354" t="s">
        <v>1619</v>
      </c>
      <c r="I354" t="s">
        <v>1983</v>
      </c>
      <c r="J354" t="s">
        <v>2169</v>
      </c>
      <c r="K354" t="s">
        <v>2171</v>
      </c>
      <c r="L354">
        <v>10027</v>
      </c>
      <c r="M354" t="s">
        <v>2173</v>
      </c>
      <c r="N354" t="s">
        <v>2173</v>
      </c>
      <c r="O354" t="s">
        <v>2179</v>
      </c>
      <c r="P354" t="s">
        <v>2511</v>
      </c>
      <c r="Q354">
        <v>20</v>
      </c>
      <c r="R354" t="s">
        <v>2844</v>
      </c>
      <c r="S354" t="s">
        <v>2857</v>
      </c>
      <c r="U354" t="s">
        <v>2869</v>
      </c>
      <c r="V354" t="s">
        <v>2174</v>
      </c>
      <c r="W354" t="s">
        <v>2174</v>
      </c>
      <c r="Y354" t="s">
        <v>2876</v>
      </c>
      <c r="Z354" t="s">
        <v>2879</v>
      </c>
      <c r="AA354" t="s">
        <v>137</v>
      </c>
      <c r="AB354">
        <v>0</v>
      </c>
      <c r="AC354">
        <v>850</v>
      </c>
      <c r="AD354">
        <v>20.75</v>
      </c>
      <c r="AE354" t="s">
        <v>2894</v>
      </c>
      <c r="AG354" t="s">
        <v>3243</v>
      </c>
      <c r="AI354" t="s">
        <v>4108</v>
      </c>
      <c r="AJ354">
        <v>0</v>
      </c>
      <c r="AK354" t="s">
        <v>4456</v>
      </c>
      <c r="AL354">
        <v>3</v>
      </c>
      <c r="AM354">
        <v>2</v>
      </c>
      <c r="AN354">
        <v>165.73</v>
      </c>
      <c r="AQ354" t="s">
        <v>4475</v>
      </c>
      <c r="AR354" t="s">
        <v>4476</v>
      </c>
      <c r="AS354" t="s">
        <v>4486</v>
      </c>
      <c r="AT354">
        <v>50000</v>
      </c>
      <c r="AX354" t="s">
        <v>4501</v>
      </c>
      <c r="BA354" t="s">
        <v>4546</v>
      </c>
      <c r="BD354" t="s">
        <v>4696</v>
      </c>
    </row>
    <row r="355" spans="1:57">
      <c r="A355" s="1">
        <f>HYPERLINK("https://lsnyc.legalserver.org/matter/dynamic-profile/view/1890162","19-1890162")</f>
        <v>0</v>
      </c>
      <c r="B355" t="s">
        <v>64</v>
      </c>
      <c r="C355" t="s">
        <v>93</v>
      </c>
      <c r="D355" t="s">
        <v>137</v>
      </c>
      <c r="F355" t="s">
        <v>544</v>
      </c>
      <c r="G355" t="s">
        <v>1000</v>
      </c>
      <c r="H355" t="s">
        <v>1620</v>
      </c>
      <c r="I355" t="s">
        <v>2004</v>
      </c>
      <c r="J355" t="s">
        <v>2169</v>
      </c>
      <c r="K355" t="s">
        <v>2171</v>
      </c>
      <c r="L355">
        <v>10027</v>
      </c>
      <c r="M355" t="s">
        <v>2173</v>
      </c>
      <c r="N355" t="s">
        <v>2173</v>
      </c>
      <c r="O355" t="s">
        <v>2179</v>
      </c>
      <c r="P355" t="s">
        <v>2512</v>
      </c>
      <c r="Q355">
        <v>6</v>
      </c>
      <c r="R355" t="s">
        <v>2844</v>
      </c>
      <c r="S355" t="s">
        <v>2857</v>
      </c>
      <c r="U355" t="s">
        <v>2869</v>
      </c>
      <c r="V355" t="s">
        <v>2174</v>
      </c>
      <c r="W355" t="s">
        <v>2174</v>
      </c>
      <c r="Y355" t="s">
        <v>2876</v>
      </c>
      <c r="Z355" t="s">
        <v>2882</v>
      </c>
      <c r="AA355" t="s">
        <v>137</v>
      </c>
      <c r="AB355">
        <v>0</v>
      </c>
      <c r="AC355">
        <v>1085</v>
      </c>
      <c r="AD355">
        <v>45.85</v>
      </c>
      <c r="AE355" t="s">
        <v>2894</v>
      </c>
      <c r="AG355" t="s">
        <v>3244</v>
      </c>
      <c r="AH355" t="s">
        <v>3673</v>
      </c>
      <c r="AI355" t="s">
        <v>4109</v>
      </c>
      <c r="AJ355">
        <v>0</v>
      </c>
      <c r="AK355" t="s">
        <v>4464</v>
      </c>
      <c r="AL355">
        <v>1</v>
      </c>
      <c r="AM355">
        <v>1</v>
      </c>
      <c r="AN355">
        <v>6.15</v>
      </c>
      <c r="AQ355" t="s">
        <v>4474</v>
      </c>
      <c r="AR355" t="s">
        <v>4476</v>
      </c>
      <c r="AS355" t="s">
        <v>4486</v>
      </c>
      <c r="AT355">
        <v>1040</v>
      </c>
      <c r="AX355" t="s">
        <v>4504</v>
      </c>
      <c r="BA355" t="s">
        <v>4551</v>
      </c>
      <c r="BD355" t="s">
        <v>154</v>
      </c>
      <c r="BE355" t="s">
        <v>4704</v>
      </c>
    </row>
    <row r="356" spans="1:57">
      <c r="A356" s="1">
        <f>HYPERLINK("https://lsnyc.legalserver.org/matter/dynamic-profile/view/1890191","19-1890191")</f>
        <v>0</v>
      </c>
      <c r="B356" t="s">
        <v>66</v>
      </c>
      <c r="C356" t="s">
        <v>93</v>
      </c>
      <c r="D356" t="s">
        <v>137</v>
      </c>
      <c r="F356" t="s">
        <v>545</v>
      </c>
      <c r="G356" t="s">
        <v>1064</v>
      </c>
      <c r="H356" t="s">
        <v>1606</v>
      </c>
      <c r="I356" t="s">
        <v>2043</v>
      </c>
      <c r="J356" t="s">
        <v>2169</v>
      </c>
      <c r="K356" t="s">
        <v>2171</v>
      </c>
      <c r="L356">
        <v>10027</v>
      </c>
      <c r="M356" t="s">
        <v>2173</v>
      </c>
      <c r="N356" t="s">
        <v>2173</v>
      </c>
      <c r="O356" t="s">
        <v>2175</v>
      </c>
      <c r="P356" t="s">
        <v>2513</v>
      </c>
      <c r="Q356">
        <v>24</v>
      </c>
      <c r="R356" t="s">
        <v>2844</v>
      </c>
      <c r="S356" t="s">
        <v>2857</v>
      </c>
      <c r="U356" t="s">
        <v>2869</v>
      </c>
      <c r="V356" t="s">
        <v>2174</v>
      </c>
      <c r="W356" t="s">
        <v>2174</v>
      </c>
      <c r="Y356" t="s">
        <v>2875</v>
      </c>
      <c r="Z356" t="s">
        <v>2879</v>
      </c>
      <c r="AA356" t="s">
        <v>137</v>
      </c>
      <c r="AB356">
        <v>0</v>
      </c>
      <c r="AC356">
        <v>530</v>
      </c>
      <c r="AD356">
        <v>4</v>
      </c>
      <c r="AE356" t="s">
        <v>2894</v>
      </c>
      <c r="AG356" t="s">
        <v>3245</v>
      </c>
      <c r="AH356" t="s">
        <v>3674</v>
      </c>
      <c r="AI356" t="s">
        <v>4110</v>
      </c>
      <c r="AJ356">
        <v>0</v>
      </c>
      <c r="AK356" t="s">
        <v>4459</v>
      </c>
      <c r="AL356">
        <v>1</v>
      </c>
      <c r="AM356">
        <v>0</v>
      </c>
      <c r="AN356">
        <v>82.43000000000001</v>
      </c>
      <c r="AQ356" t="s">
        <v>4473</v>
      </c>
      <c r="AR356" t="s">
        <v>4476</v>
      </c>
      <c r="AS356" t="s">
        <v>4486</v>
      </c>
      <c r="AT356">
        <v>10296</v>
      </c>
      <c r="AX356" t="s">
        <v>4501</v>
      </c>
      <c r="BA356" t="s">
        <v>4572</v>
      </c>
      <c r="BD356" t="s">
        <v>2891</v>
      </c>
    </row>
    <row r="357" spans="1:57">
      <c r="A357" s="1">
        <f>HYPERLINK("https://lsnyc.legalserver.org/matter/dynamic-profile/view/1890688","19-1890688")</f>
        <v>0</v>
      </c>
      <c r="B357" t="s">
        <v>58</v>
      </c>
      <c r="C357" t="s">
        <v>93</v>
      </c>
      <c r="D357" t="s">
        <v>138</v>
      </c>
      <c r="F357" t="s">
        <v>313</v>
      </c>
      <c r="G357" t="s">
        <v>826</v>
      </c>
      <c r="H357" t="s">
        <v>1621</v>
      </c>
      <c r="I357" t="s">
        <v>2044</v>
      </c>
      <c r="J357" t="s">
        <v>2169</v>
      </c>
      <c r="K357" t="s">
        <v>2171</v>
      </c>
      <c r="L357">
        <v>10027</v>
      </c>
      <c r="M357" t="s">
        <v>2173</v>
      </c>
      <c r="N357" t="s">
        <v>2173</v>
      </c>
      <c r="O357" t="s">
        <v>2179</v>
      </c>
      <c r="P357" t="s">
        <v>2514</v>
      </c>
      <c r="Q357">
        <v>14</v>
      </c>
      <c r="R357" t="s">
        <v>2844</v>
      </c>
      <c r="S357" t="s">
        <v>2857</v>
      </c>
      <c r="U357" t="s">
        <v>2869</v>
      </c>
      <c r="V357" t="s">
        <v>2174</v>
      </c>
      <c r="W357" t="s">
        <v>2174</v>
      </c>
      <c r="Y357" t="s">
        <v>2876</v>
      </c>
      <c r="Z357" t="s">
        <v>2879</v>
      </c>
      <c r="AA357" t="s">
        <v>138</v>
      </c>
      <c r="AB357">
        <v>0</v>
      </c>
      <c r="AC357">
        <v>664</v>
      </c>
      <c r="AD357">
        <v>14</v>
      </c>
      <c r="AE357" t="s">
        <v>2894</v>
      </c>
      <c r="AG357" t="s">
        <v>3246</v>
      </c>
      <c r="AI357" t="s">
        <v>4111</v>
      </c>
      <c r="AJ357">
        <v>0</v>
      </c>
      <c r="AK357" t="s">
        <v>4458</v>
      </c>
      <c r="AL357">
        <v>2</v>
      </c>
      <c r="AM357">
        <v>0</v>
      </c>
      <c r="AN357">
        <v>116.59</v>
      </c>
      <c r="AQ357" t="s">
        <v>4473</v>
      </c>
      <c r="AR357" t="s">
        <v>2176</v>
      </c>
      <c r="AS357" t="s">
        <v>4487</v>
      </c>
      <c r="AT357">
        <v>19716</v>
      </c>
      <c r="AX357" t="s">
        <v>4501</v>
      </c>
      <c r="BA357" t="s">
        <v>4612</v>
      </c>
      <c r="BD357" t="s">
        <v>4692</v>
      </c>
      <c r="BE357" t="s">
        <v>4703</v>
      </c>
    </row>
    <row r="358" spans="1:57">
      <c r="A358" s="1">
        <f>HYPERLINK("https://lsnyc.legalserver.org/matter/dynamic-profile/view/1890785","19-1890785")</f>
        <v>0</v>
      </c>
      <c r="B358" t="s">
        <v>61</v>
      </c>
      <c r="C358" t="s">
        <v>92</v>
      </c>
      <c r="D358" t="s">
        <v>138</v>
      </c>
      <c r="E358" t="s">
        <v>97</v>
      </c>
      <c r="F358" t="s">
        <v>264</v>
      </c>
      <c r="G358" t="s">
        <v>1065</v>
      </c>
      <c r="H358" t="s">
        <v>1595</v>
      </c>
      <c r="I358" t="s">
        <v>2045</v>
      </c>
      <c r="J358" t="s">
        <v>2169</v>
      </c>
      <c r="K358" t="s">
        <v>2171</v>
      </c>
      <c r="L358">
        <v>10027</v>
      </c>
      <c r="M358" t="s">
        <v>2173</v>
      </c>
      <c r="N358" t="s">
        <v>2173</v>
      </c>
      <c r="O358" t="s">
        <v>2175</v>
      </c>
      <c r="P358" t="s">
        <v>2515</v>
      </c>
      <c r="Q358">
        <v>7</v>
      </c>
      <c r="R358" t="s">
        <v>2844</v>
      </c>
      <c r="S358" t="s">
        <v>2857</v>
      </c>
      <c r="T358" t="s">
        <v>2864</v>
      </c>
      <c r="U358" t="s">
        <v>2869</v>
      </c>
      <c r="V358" t="s">
        <v>2174</v>
      </c>
      <c r="W358" t="s">
        <v>2174</v>
      </c>
      <c r="Y358" t="s">
        <v>2876</v>
      </c>
      <c r="AA358" t="s">
        <v>138</v>
      </c>
      <c r="AB358">
        <v>0</v>
      </c>
      <c r="AC358">
        <v>1050</v>
      </c>
      <c r="AD358">
        <v>13.75</v>
      </c>
      <c r="AE358" t="s">
        <v>2894</v>
      </c>
      <c r="AF358" t="s">
        <v>2898</v>
      </c>
      <c r="AG358" t="s">
        <v>3247</v>
      </c>
      <c r="AI358" t="s">
        <v>4112</v>
      </c>
      <c r="AJ358">
        <v>0</v>
      </c>
      <c r="AK358" t="s">
        <v>4458</v>
      </c>
      <c r="AL358">
        <v>2</v>
      </c>
      <c r="AM358">
        <v>1</v>
      </c>
      <c r="AN358">
        <v>183.57</v>
      </c>
      <c r="AQ358" t="s">
        <v>4475</v>
      </c>
      <c r="AR358" t="s">
        <v>4477</v>
      </c>
      <c r="AS358" t="s">
        <v>4486</v>
      </c>
      <c r="AT358">
        <v>39156</v>
      </c>
      <c r="AX358" t="s">
        <v>4501</v>
      </c>
      <c r="AY358" t="s">
        <v>4517</v>
      </c>
      <c r="AZ358" t="s">
        <v>4525</v>
      </c>
      <c r="BA358" t="s">
        <v>4613</v>
      </c>
      <c r="BB358" t="s">
        <v>4632</v>
      </c>
      <c r="BC358" t="s">
        <v>4650</v>
      </c>
      <c r="BD358" t="s">
        <v>104</v>
      </c>
      <c r="BE358" t="s">
        <v>4703</v>
      </c>
    </row>
    <row r="359" spans="1:57">
      <c r="A359" s="1">
        <f>HYPERLINK("https://lsnyc.legalserver.org/matter/dynamic-profile/view/1890800","19-1890800")</f>
        <v>0</v>
      </c>
      <c r="B359" t="s">
        <v>69</v>
      </c>
      <c r="C359" t="s">
        <v>93</v>
      </c>
      <c r="D359" t="s">
        <v>138</v>
      </c>
      <c r="F359" t="s">
        <v>546</v>
      </c>
      <c r="G359" t="s">
        <v>1066</v>
      </c>
      <c r="H359" t="s">
        <v>1622</v>
      </c>
      <c r="I359">
        <v>34</v>
      </c>
      <c r="J359" t="s">
        <v>2169</v>
      </c>
      <c r="K359" t="s">
        <v>2171</v>
      </c>
      <c r="L359">
        <v>10027</v>
      </c>
      <c r="M359" t="s">
        <v>2173</v>
      </c>
      <c r="N359" t="s">
        <v>2173</v>
      </c>
      <c r="P359" t="s">
        <v>2516</v>
      </c>
      <c r="Q359">
        <v>30</v>
      </c>
      <c r="R359" t="s">
        <v>2844</v>
      </c>
      <c r="S359" t="s">
        <v>2857</v>
      </c>
      <c r="U359" t="s">
        <v>2869</v>
      </c>
      <c r="V359" t="s">
        <v>2174</v>
      </c>
      <c r="W359" t="s">
        <v>2174</v>
      </c>
      <c r="Y359" t="s">
        <v>2876</v>
      </c>
      <c r="Z359" t="s">
        <v>2879</v>
      </c>
      <c r="AB359">
        <v>0</v>
      </c>
      <c r="AC359">
        <v>434.37</v>
      </c>
      <c r="AD359">
        <v>7.4</v>
      </c>
      <c r="AE359" t="s">
        <v>2894</v>
      </c>
      <c r="AG359" t="s">
        <v>3248</v>
      </c>
      <c r="AH359" t="s">
        <v>3675</v>
      </c>
      <c r="AI359" t="s">
        <v>4113</v>
      </c>
      <c r="AJ359">
        <v>0</v>
      </c>
      <c r="AK359" t="s">
        <v>4458</v>
      </c>
      <c r="AL359">
        <v>1</v>
      </c>
      <c r="AM359">
        <v>0</v>
      </c>
      <c r="AN359">
        <v>69.18000000000001</v>
      </c>
      <c r="AQ359" t="s">
        <v>4473</v>
      </c>
      <c r="AR359" t="s">
        <v>4476</v>
      </c>
      <c r="AS359" t="s">
        <v>4486</v>
      </c>
      <c r="AT359">
        <v>8640</v>
      </c>
      <c r="AX359" t="s">
        <v>4504</v>
      </c>
      <c r="BA359" t="s">
        <v>4548</v>
      </c>
      <c r="BD359" t="s">
        <v>235</v>
      </c>
    </row>
    <row r="360" spans="1:57">
      <c r="A360" s="1">
        <f>HYPERLINK("https://lsnyc.legalserver.org/matter/dynamic-profile/view/1891365","19-1891365")</f>
        <v>0</v>
      </c>
      <c r="B360" t="s">
        <v>57</v>
      </c>
      <c r="C360" t="s">
        <v>92</v>
      </c>
      <c r="D360" t="s">
        <v>139</v>
      </c>
      <c r="E360" t="s">
        <v>216</v>
      </c>
      <c r="F360" t="s">
        <v>547</v>
      </c>
      <c r="G360" t="s">
        <v>1059</v>
      </c>
      <c r="H360" t="s">
        <v>1617</v>
      </c>
      <c r="I360">
        <v>510</v>
      </c>
      <c r="J360" t="s">
        <v>2169</v>
      </c>
      <c r="K360" t="s">
        <v>2171</v>
      </c>
      <c r="L360">
        <v>10027</v>
      </c>
      <c r="M360" t="s">
        <v>2173</v>
      </c>
      <c r="N360" t="s">
        <v>2173</v>
      </c>
      <c r="O360" t="s">
        <v>2179</v>
      </c>
      <c r="P360" t="s">
        <v>2517</v>
      </c>
      <c r="Q360">
        <v>10</v>
      </c>
      <c r="R360" t="s">
        <v>2844</v>
      </c>
      <c r="S360" t="s">
        <v>2857</v>
      </c>
      <c r="T360" t="s">
        <v>2866</v>
      </c>
      <c r="U360" t="s">
        <v>2869</v>
      </c>
      <c r="V360" t="s">
        <v>2174</v>
      </c>
      <c r="W360" t="s">
        <v>2174</v>
      </c>
      <c r="Y360" t="s">
        <v>2876</v>
      </c>
      <c r="Z360" t="s">
        <v>2879</v>
      </c>
      <c r="AA360" t="s">
        <v>139</v>
      </c>
      <c r="AB360">
        <v>0</v>
      </c>
      <c r="AC360">
        <v>870</v>
      </c>
      <c r="AD360">
        <v>2.9</v>
      </c>
      <c r="AE360" t="s">
        <v>2894</v>
      </c>
      <c r="AF360" t="s">
        <v>2898</v>
      </c>
      <c r="AG360" t="s">
        <v>3249</v>
      </c>
      <c r="AH360" t="s">
        <v>3676</v>
      </c>
      <c r="AI360" t="s">
        <v>4114</v>
      </c>
      <c r="AJ360">
        <v>72</v>
      </c>
      <c r="AK360" t="s">
        <v>4456</v>
      </c>
      <c r="AL360">
        <v>1</v>
      </c>
      <c r="AM360">
        <v>0</v>
      </c>
      <c r="AN360">
        <v>39.14</v>
      </c>
      <c r="AQ360" t="s">
        <v>4473</v>
      </c>
      <c r="AR360" t="s">
        <v>4479</v>
      </c>
      <c r="AS360" t="s">
        <v>4486</v>
      </c>
      <c r="AT360">
        <v>4888</v>
      </c>
      <c r="AX360" t="s">
        <v>4504</v>
      </c>
      <c r="BA360" t="s">
        <v>4551</v>
      </c>
      <c r="BB360" t="s">
        <v>4632</v>
      </c>
      <c r="BD360" t="s">
        <v>212</v>
      </c>
      <c r="BE360" t="s">
        <v>4703</v>
      </c>
    </row>
    <row r="361" spans="1:57">
      <c r="A361" s="1">
        <f>HYPERLINK("https://lsnyc.legalserver.org/matter/dynamic-profile/view/1891388","19-1891388")</f>
        <v>0</v>
      </c>
      <c r="B361" t="s">
        <v>69</v>
      </c>
      <c r="C361" t="s">
        <v>92</v>
      </c>
      <c r="D361" t="s">
        <v>139</v>
      </c>
      <c r="E361" t="s">
        <v>228</v>
      </c>
      <c r="F361" t="s">
        <v>548</v>
      </c>
      <c r="G361" t="s">
        <v>1067</v>
      </c>
      <c r="H361" t="s">
        <v>1620</v>
      </c>
      <c r="I361" t="s">
        <v>1930</v>
      </c>
      <c r="J361" t="s">
        <v>2169</v>
      </c>
      <c r="K361" t="s">
        <v>2171</v>
      </c>
      <c r="L361">
        <v>10027</v>
      </c>
      <c r="M361" t="s">
        <v>2173</v>
      </c>
      <c r="N361" t="s">
        <v>2173</v>
      </c>
      <c r="O361" t="s">
        <v>2175</v>
      </c>
      <c r="P361" t="s">
        <v>2518</v>
      </c>
      <c r="Q361">
        <v>7</v>
      </c>
      <c r="R361" t="s">
        <v>2844</v>
      </c>
      <c r="S361" t="s">
        <v>2857</v>
      </c>
      <c r="T361" t="s">
        <v>2867</v>
      </c>
      <c r="U361" t="s">
        <v>2869</v>
      </c>
      <c r="V361" t="s">
        <v>2174</v>
      </c>
      <c r="W361" t="s">
        <v>2174</v>
      </c>
      <c r="Y361" t="s">
        <v>2876</v>
      </c>
      <c r="Z361" t="s">
        <v>2885</v>
      </c>
      <c r="AA361" t="s">
        <v>139</v>
      </c>
      <c r="AB361">
        <v>0</v>
      </c>
      <c r="AC361">
        <v>900</v>
      </c>
      <c r="AD361">
        <v>3.7</v>
      </c>
      <c r="AE361" t="s">
        <v>2894</v>
      </c>
      <c r="AF361" t="s">
        <v>2898</v>
      </c>
      <c r="AG361" t="s">
        <v>3250</v>
      </c>
      <c r="AI361" t="s">
        <v>4115</v>
      </c>
      <c r="AJ361">
        <v>0</v>
      </c>
      <c r="AK361" t="s">
        <v>4464</v>
      </c>
      <c r="AL361">
        <v>1</v>
      </c>
      <c r="AM361">
        <v>0</v>
      </c>
      <c r="AN361">
        <v>192.15</v>
      </c>
      <c r="AQ361" t="s">
        <v>4473</v>
      </c>
      <c r="AR361" t="s">
        <v>4476</v>
      </c>
      <c r="AS361" t="s">
        <v>4486</v>
      </c>
      <c r="AT361">
        <v>24000</v>
      </c>
      <c r="AX361" t="s">
        <v>4501</v>
      </c>
      <c r="BA361" t="s">
        <v>4546</v>
      </c>
      <c r="BB361" t="s">
        <v>4632</v>
      </c>
      <c r="BC361" t="s">
        <v>4651</v>
      </c>
      <c r="BD361" t="s">
        <v>140</v>
      </c>
    </row>
    <row r="362" spans="1:57">
      <c r="A362" s="1">
        <f>HYPERLINK("https://lsnyc.legalserver.org/matter/dynamic-profile/view/1891815","19-1891815")</f>
        <v>0</v>
      </c>
      <c r="B362" t="s">
        <v>68</v>
      </c>
      <c r="C362" t="s">
        <v>93</v>
      </c>
      <c r="D362" t="s">
        <v>180</v>
      </c>
      <c r="F362" t="s">
        <v>549</v>
      </c>
      <c r="G362" t="s">
        <v>1068</v>
      </c>
      <c r="H362" t="s">
        <v>1623</v>
      </c>
      <c r="I362" t="s">
        <v>1927</v>
      </c>
      <c r="J362" t="s">
        <v>2169</v>
      </c>
      <c r="K362" t="s">
        <v>2171</v>
      </c>
      <c r="L362">
        <v>10027</v>
      </c>
      <c r="M362" t="s">
        <v>2173</v>
      </c>
      <c r="N362" t="s">
        <v>2173</v>
      </c>
      <c r="O362" t="s">
        <v>2179</v>
      </c>
      <c r="P362" t="s">
        <v>2519</v>
      </c>
      <c r="Q362">
        <v>4</v>
      </c>
      <c r="R362" t="s">
        <v>2844</v>
      </c>
      <c r="S362" t="s">
        <v>2857</v>
      </c>
      <c r="U362" t="s">
        <v>2869</v>
      </c>
      <c r="V362" t="s">
        <v>2174</v>
      </c>
      <c r="W362" t="s">
        <v>2174</v>
      </c>
      <c r="Y362" t="s">
        <v>2876</v>
      </c>
      <c r="AA362" t="s">
        <v>180</v>
      </c>
      <c r="AB362">
        <v>0</v>
      </c>
      <c r="AC362">
        <v>812.6900000000001</v>
      </c>
      <c r="AD362">
        <v>6.1</v>
      </c>
      <c r="AE362" t="s">
        <v>2894</v>
      </c>
      <c r="AG362" t="s">
        <v>3251</v>
      </c>
      <c r="AI362" t="s">
        <v>4116</v>
      </c>
      <c r="AJ362">
        <v>0</v>
      </c>
      <c r="AK362" t="s">
        <v>4456</v>
      </c>
      <c r="AL362">
        <v>1</v>
      </c>
      <c r="AM362">
        <v>1</v>
      </c>
      <c r="AN362">
        <v>137.75</v>
      </c>
      <c r="AQ362" t="s">
        <v>4475</v>
      </c>
      <c r="AR362" t="s">
        <v>4476</v>
      </c>
      <c r="AS362" t="s">
        <v>4486</v>
      </c>
      <c r="AT362">
        <v>23293.44</v>
      </c>
      <c r="AX362" t="s">
        <v>4501</v>
      </c>
      <c r="BA362" t="s">
        <v>4597</v>
      </c>
      <c r="BD362" t="s">
        <v>218</v>
      </c>
    </row>
    <row r="363" spans="1:57">
      <c r="A363" s="1">
        <f>HYPERLINK("https://lsnyc.legalserver.org/matter/dynamic-profile/view/1892065","19-1892065")</f>
        <v>0</v>
      </c>
      <c r="B363" t="s">
        <v>58</v>
      </c>
      <c r="C363" t="s">
        <v>93</v>
      </c>
      <c r="D363" t="s">
        <v>158</v>
      </c>
      <c r="F363" t="s">
        <v>403</v>
      </c>
      <c r="G363" t="s">
        <v>1005</v>
      </c>
      <c r="H363" t="s">
        <v>1624</v>
      </c>
      <c r="I363">
        <v>32</v>
      </c>
      <c r="J363" t="s">
        <v>2169</v>
      </c>
      <c r="K363" t="s">
        <v>2171</v>
      </c>
      <c r="L363">
        <v>10027</v>
      </c>
      <c r="M363" t="s">
        <v>2173</v>
      </c>
      <c r="N363" t="s">
        <v>2173</v>
      </c>
      <c r="O363" t="s">
        <v>2175</v>
      </c>
      <c r="P363" t="s">
        <v>2520</v>
      </c>
      <c r="Q363">
        <v>40</v>
      </c>
      <c r="R363" t="s">
        <v>2844</v>
      </c>
      <c r="S363" t="s">
        <v>2857</v>
      </c>
      <c r="U363" t="s">
        <v>2869</v>
      </c>
      <c r="V363" t="s">
        <v>2174</v>
      </c>
      <c r="W363" t="s">
        <v>2174</v>
      </c>
      <c r="Y363" t="s">
        <v>2876</v>
      </c>
      <c r="Z363" t="s">
        <v>2879</v>
      </c>
      <c r="AA363" t="s">
        <v>158</v>
      </c>
      <c r="AB363">
        <v>0</v>
      </c>
      <c r="AC363">
        <v>132</v>
      </c>
      <c r="AD363">
        <v>12.75</v>
      </c>
      <c r="AE363" t="s">
        <v>2894</v>
      </c>
      <c r="AG363" t="s">
        <v>3252</v>
      </c>
      <c r="AI363" t="s">
        <v>4117</v>
      </c>
      <c r="AJ363">
        <v>17</v>
      </c>
      <c r="AK363" t="s">
        <v>4461</v>
      </c>
      <c r="AL363">
        <v>2</v>
      </c>
      <c r="AM363">
        <v>2</v>
      </c>
      <c r="AN363">
        <v>100.97</v>
      </c>
      <c r="AQ363" t="s">
        <v>4475</v>
      </c>
      <c r="AR363" t="s">
        <v>4476</v>
      </c>
      <c r="AS363" t="s">
        <v>4486</v>
      </c>
      <c r="AT363">
        <v>26000</v>
      </c>
      <c r="AX363" t="s">
        <v>4502</v>
      </c>
      <c r="BA363" t="s">
        <v>4546</v>
      </c>
      <c r="BD363" t="s">
        <v>173</v>
      </c>
      <c r="BE363" t="s">
        <v>4703</v>
      </c>
    </row>
    <row r="364" spans="1:57">
      <c r="A364" s="1">
        <f>HYPERLINK("https://lsnyc.legalserver.org/matter/dynamic-profile/view/1892091","19-1892091")</f>
        <v>0</v>
      </c>
      <c r="B364" t="s">
        <v>64</v>
      </c>
      <c r="C364" t="s">
        <v>93</v>
      </c>
      <c r="D364" t="s">
        <v>158</v>
      </c>
      <c r="F364" t="s">
        <v>550</v>
      </c>
      <c r="G364" t="s">
        <v>1069</v>
      </c>
      <c r="H364" t="s">
        <v>1613</v>
      </c>
      <c r="I364" t="s">
        <v>1930</v>
      </c>
      <c r="J364" t="s">
        <v>2169</v>
      </c>
      <c r="K364" t="s">
        <v>2171</v>
      </c>
      <c r="L364">
        <v>10027</v>
      </c>
      <c r="M364" t="s">
        <v>2173</v>
      </c>
      <c r="N364" t="s">
        <v>2173</v>
      </c>
      <c r="O364" t="s">
        <v>2179</v>
      </c>
      <c r="P364" t="s">
        <v>2521</v>
      </c>
      <c r="Q364">
        <v>4</v>
      </c>
      <c r="R364" t="s">
        <v>2844</v>
      </c>
      <c r="S364" t="s">
        <v>2857</v>
      </c>
      <c r="U364" t="s">
        <v>2869</v>
      </c>
      <c r="V364" t="s">
        <v>2174</v>
      </c>
      <c r="W364" t="s">
        <v>2174</v>
      </c>
      <c r="Y364" t="s">
        <v>2876</v>
      </c>
      <c r="Z364" t="s">
        <v>2879</v>
      </c>
      <c r="AA364" t="s">
        <v>158</v>
      </c>
      <c r="AB364">
        <v>0</v>
      </c>
      <c r="AC364">
        <v>1292</v>
      </c>
      <c r="AD364">
        <v>33.25</v>
      </c>
      <c r="AE364" t="s">
        <v>2894</v>
      </c>
      <c r="AG364" t="s">
        <v>3253</v>
      </c>
      <c r="AI364" t="s">
        <v>4118</v>
      </c>
      <c r="AJ364">
        <v>0</v>
      </c>
      <c r="AK364" t="s">
        <v>4456</v>
      </c>
      <c r="AL364">
        <v>2</v>
      </c>
      <c r="AM364">
        <v>0</v>
      </c>
      <c r="AN364">
        <v>153.76</v>
      </c>
      <c r="AQ364" t="s">
        <v>4473</v>
      </c>
      <c r="AR364" t="s">
        <v>4476</v>
      </c>
      <c r="AS364" t="s">
        <v>4486</v>
      </c>
      <c r="AT364">
        <v>26000</v>
      </c>
      <c r="AX364" t="s">
        <v>4501</v>
      </c>
      <c r="BA364" t="s">
        <v>4546</v>
      </c>
      <c r="BD364" t="s">
        <v>171</v>
      </c>
      <c r="BE364" t="s">
        <v>4703</v>
      </c>
    </row>
    <row r="365" spans="1:57">
      <c r="A365" s="1">
        <f>HYPERLINK("https://lsnyc.legalserver.org/matter/dynamic-profile/view/1892849","19-1892849")</f>
        <v>0</v>
      </c>
      <c r="B365" t="s">
        <v>66</v>
      </c>
      <c r="C365" t="s">
        <v>93</v>
      </c>
      <c r="D365" t="s">
        <v>140</v>
      </c>
      <c r="F365" t="s">
        <v>422</v>
      </c>
      <c r="G365" t="s">
        <v>1070</v>
      </c>
      <c r="H365" t="s">
        <v>1625</v>
      </c>
      <c r="J365" t="s">
        <v>2169</v>
      </c>
      <c r="K365" t="s">
        <v>2171</v>
      </c>
      <c r="L365">
        <v>10027</v>
      </c>
      <c r="M365" t="s">
        <v>2172</v>
      </c>
      <c r="N365" t="s">
        <v>2172</v>
      </c>
      <c r="P365" t="s">
        <v>2522</v>
      </c>
      <c r="Q365">
        <v>0</v>
      </c>
      <c r="R365" t="s">
        <v>2844</v>
      </c>
      <c r="S365" t="s">
        <v>2857</v>
      </c>
      <c r="U365" t="s">
        <v>2869</v>
      </c>
      <c r="V365" t="s">
        <v>2174</v>
      </c>
      <c r="W365" t="s">
        <v>2174</v>
      </c>
      <c r="Y365" t="s">
        <v>2875</v>
      </c>
      <c r="Z365" t="s">
        <v>2879</v>
      </c>
      <c r="AB365">
        <v>0</v>
      </c>
      <c r="AC365">
        <v>252</v>
      </c>
      <c r="AD365">
        <v>17.4</v>
      </c>
      <c r="AE365" t="s">
        <v>2894</v>
      </c>
      <c r="AG365" t="s">
        <v>3254</v>
      </c>
      <c r="AI365" t="s">
        <v>4119</v>
      </c>
      <c r="AJ365">
        <v>0</v>
      </c>
      <c r="AK365" t="s">
        <v>4464</v>
      </c>
      <c r="AL365">
        <v>1</v>
      </c>
      <c r="AM365">
        <v>0</v>
      </c>
      <c r="AN365">
        <v>81.67</v>
      </c>
      <c r="AR365" t="s">
        <v>4478</v>
      </c>
      <c r="AT365">
        <v>10200</v>
      </c>
      <c r="AX365" t="s">
        <v>86</v>
      </c>
      <c r="BA365" t="s">
        <v>4538</v>
      </c>
      <c r="BD365" t="s">
        <v>215</v>
      </c>
    </row>
    <row r="366" spans="1:57">
      <c r="A366" s="1">
        <f>HYPERLINK("https://lsnyc.legalserver.org/matter/dynamic-profile/view/1892921","19-1892921")</f>
        <v>0</v>
      </c>
      <c r="B366" t="s">
        <v>57</v>
      </c>
      <c r="C366" t="s">
        <v>93</v>
      </c>
      <c r="D366" t="s">
        <v>140</v>
      </c>
      <c r="F366" t="s">
        <v>551</v>
      </c>
      <c r="G366" t="s">
        <v>1071</v>
      </c>
      <c r="H366" t="s">
        <v>1626</v>
      </c>
      <c r="I366" t="s">
        <v>2046</v>
      </c>
      <c r="J366" t="s">
        <v>2169</v>
      </c>
      <c r="K366" t="s">
        <v>2171</v>
      </c>
      <c r="L366">
        <v>10027</v>
      </c>
      <c r="M366" t="s">
        <v>2173</v>
      </c>
      <c r="N366" t="s">
        <v>2173</v>
      </c>
      <c r="O366" t="s">
        <v>2179</v>
      </c>
      <c r="P366" t="s">
        <v>2523</v>
      </c>
      <c r="Q366">
        <v>22</v>
      </c>
      <c r="R366" t="s">
        <v>2844</v>
      </c>
      <c r="S366" t="s">
        <v>2857</v>
      </c>
      <c r="U366" t="s">
        <v>2869</v>
      </c>
      <c r="V366" t="s">
        <v>2174</v>
      </c>
      <c r="W366" t="s">
        <v>2174</v>
      </c>
      <c r="Y366" t="s">
        <v>2876</v>
      </c>
      <c r="Z366" t="s">
        <v>2879</v>
      </c>
      <c r="AA366" t="s">
        <v>140</v>
      </c>
      <c r="AB366">
        <v>0</v>
      </c>
      <c r="AC366">
        <v>325</v>
      </c>
      <c r="AD366">
        <v>14.75</v>
      </c>
      <c r="AE366" t="s">
        <v>2894</v>
      </c>
      <c r="AG366" t="s">
        <v>3255</v>
      </c>
      <c r="AH366" t="s">
        <v>3677</v>
      </c>
      <c r="AI366" t="s">
        <v>4120</v>
      </c>
      <c r="AJ366">
        <v>41</v>
      </c>
      <c r="AK366" t="s">
        <v>4465</v>
      </c>
      <c r="AL366">
        <v>2</v>
      </c>
      <c r="AM366">
        <v>3</v>
      </c>
      <c r="AN366">
        <v>57.57</v>
      </c>
      <c r="AQ366" t="s">
        <v>4474</v>
      </c>
      <c r="AR366" t="s">
        <v>4476</v>
      </c>
      <c r="AT366">
        <v>17368</v>
      </c>
      <c r="AX366" t="s">
        <v>4504</v>
      </c>
      <c r="BA366" t="s">
        <v>4602</v>
      </c>
      <c r="BD366" t="s">
        <v>186</v>
      </c>
      <c r="BE366" t="s">
        <v>4704</v>
      </c>
    </row>
    <row r="367" spans="1:57">
      <c r="A367" s="1">
        <f>HYPERLINK("https://lsnyc.legalserver.org/matter/dynamic-profile/view/1893593","19-1893593")</f>
        <v>0</v>
      </c>
      <c r="B367" t="s">
        <v>66</v>
      </c>
      <c r="C367" t="s">
        <v>92</v>
      </c>
      <c r="D367" t="s">
        <v>159</v>
      </c>
      <c r="E367" t="s">
        <v>233</v>
      </c>
      <c r="F367" t="s">
        <v>552</v>
      </c>
      <c r="G367" t="s">
        <v>1072</v>
      </c>
      <c r="H367" t="s">
        <v>1627</v>
      </c>
      <c r="I367" t="s">
        <v>1927</v>
      </c>
      <c r="J367" t="s">
        <v>2169</v>
      </c>
      <c r="K367" t="s">
        <v>2171</v>
      </c>
      <c r="L367">
        <v>10027</v>
      </c>
      <c r="M367" t="s">
        <v>2173</v>
      </c>
      <c r="N367" t="s">
        <v>2172</v>
      </c>
      <c r="P367" t="s">
        <v>2524</v>
      </c>
      <c r="Q367">
        <v>17</v>
      </c>
      <c r="R367" t="s">
        <v>2844</v>
      </c>
      <c r="S367" t="s">
        <v>2857</v>
      </c>
      <c r="T367" t="s">
        <v>2866</v>
      </c>
      <c r="U367" t="s">
        <v>2868</v>
      </c>
      <c r="V367" t="s">
        <v>2174</v>
      </c>
      <c r="W367" t="s">
        <v>2174</v>
      </c>
      <c r="Y367" t="s">
        <v>2876</v>
      </c>
      <c r="Z367" t="s">
        <v>2879</v>
      </c>
      <c r="AA367" t="s">
        <v>159</v>
      </c>
      <c r="AB367">
        <v>0</v>
      </c>
      <c r="AC367">
        <v>610</v>
      </c>
      <c r="AD367">
        <v>10.9</v>
      </c>
      <c r="AE367" t="s">
        <v>2894</v>
      </c>
      <c r="AF367" t="s">
        <v>2898</v>
      </c>
      <c r="AG367" t="s">
        <v>3256</v>
      </c>
      <c r="AI367" t="s">
        <v>4121</v>
      </c>
      <c r="AJ367">
        <v>0</v>
      </c>
      <c r="AK367" t="s">
        <v>4456</v>
      </c>
      <c r="AL367">
        <v>2</v>
      </c>
      <c r="AM367">
        <v>2</v>
      </c>
      <c r="AN367">
        <v>190.29</v>
      </c>
      <c r="AR367" t="s">
        <v>4476</v>
      </c>
      <c r="AS367" t="s">
        <v>4486</v>
      </c>
      <c r="AT367">
        <v>49000</v>
      </c>
      <c r="AX367" t="s">
        <v>4499</v>
      </c>
      <c r="BA367" t="s">
        <v>4546</v>
      </c>
      <c r="BD367" t="s">
        <v>149</v>
      </c>
      <c r="BE367" t="s">
        <v>4703</v>
      </c>
    </row>
    <row r="368" spans="1:57">
      <c r="A368" s="1">
        <f>HYPERLINK("https://lsnyc.legalserver.org/matter/dynamic-profile/view/1893606","19-1893606")</f>
        <v>0</v>
      </c>
      <c r="B368" t="s">
        <v>69</v>
      </c>
      <c r="C368" t="s">
        <v>92</v>
      </c>
      <c r="D368" t="s">
        <v>159</v>
      </c>
      <c r="E368" t="s">
        <v>228</v>
      </c>
      <c r="F368" t="s">
        <v>553</v>
      </c>
      <c r="G368" t="s">
        <v>700</v>
      </c>
      <c r="H368" t="s">
        <v>1628</v>
      </c>
      <c r="I368">
        <v>27</v>
      </c>
      <c r="J368" t="s">
        <v>2169</v>
      </c>
      <c r="K368" t="s">
        <v>2171</v>
      </c>
      <c r="L368">
        <v>10027</v>
      </c>
      <c r="M368" t="s">
        <v>2173</v>
      </c>
      <c r="N368" t="s">
        <v>2172</v>
      </c>
      <c r="O368" t="s">
        <v>2175</v>
      </c>
      <c r="P368" t="s">
        <v>2525</v>
      </c>
      <c r="Q368">
        <v>22</v>
      </c>
      <c r="R368" t="s">
        <v>2844</v>
      </c>
      <c r="S368" t="s">
        <v>2857</v>
      </c>
      <c r="T368" t="s">
        <v>2864</v>
      </c>
      <c r="U368" t="s">
        <v>2869</v>
      </c>
      <c r="V368" t="s">
        <v>2174</v>
      </c>
      <c r="W368" t="s">
        <v>2174</v>
      </c>
      <c r="Y368" t="s">
        <v>2876</v>
      </c>
      <c r="Z368" t="s">
        <v>2880</v>
      </c>
      <c r="AA368" t="s">
        <v>159</v>
      </c>
      <c r="AB368">
        <v>0</v>
      </c>
      <c r="AC368">
        <v>756.98</v>
      </c>
      <c r="AD368">
        <v>3.1</v>
      </c>
      <c r="AE368" t="s">
        <v>2894</v>
      </c>
      <c r="AF368" t="s">
        <v>2898</v>
      </c>
      <c r="AG368" t="s">
        <v>3257</v>
      </c>
      <c r="AI368" t="s">
        <v>4122</v>
      </c>
      <c r="AJ368">
        <v>0</v>
      </c>
      <c r="AK368" t="s">
        <v>4456</v>
      </c>
      <c r="AL368">
        <v>1</v>
      </c>
      <c r="AM368">
        <v>0</v>
      </c>
      <c r="AN368">
        <v>139.06</v>
      </c>
      <c r="AR368" t="s">
        <v>4476</v>
      </c>
      <c r="AS368" t="s">
        <v>4486</v>
      </c>
      <c r="AT368">
        <v>17368</v>
      </c>
      <c r="AX368" t="s">
        <v>4499</v>
      </c>
      <c r="BA368" t="s">
        <v>4597</v>
      </c>
      <c r="BB368" t="s">
        <v>4632</v>
      </c>
      <c r="BC368" t="s">
        <v>4652</v>
      </c>
      <c r="BD368" t="s">
        <v>94</v>
      </c>
      <c r="BE368" t="s">
        <v>4703</v>
      </c>
    </row>
    <row r="369" spans="1:57">
      <c r="A369" s="1">
        <f>HYPERLINK("https://lsnyc.legalserver.org/matter/dynamic-profile/view/1893684","19-1893684")</f>
        <v>0</v>
      </c>
      <c r="B369" t="s">
        <v>63</v>
      </c>
      <c r="C369" t="s">
        <v>93</v>
      </c>
      <c r="D369" t="s">
        <v>159</v>
      </c>
      <c r="F369" t="s">
        <v>554</v>
      </c>
      <c r="G369" t="s">
        <v>981</v>
      </c>
      <c r="H369" t="s">
        <v>1595</v>
      </c>
      <c r="I369" t="s">
        <v>1970</v>
      </c>
      <c r="J369" t="s">
        <v>2169</v>
      </c>
      <c r="K369" t="s">
        <v>2171</v>
      </c>
      <c r="L369">
        <v>10027</v>
      </c>
      <c r="M369" t="s">
        <v>2173</v>
      </c>
      <c r="N369" t="s">
        <v>2173</v>
      </c>
      <c r="O369" t="s">
        <v>2179</v>
      </c>
      <c r="P369" t="s">
        <v>2526</v>
      </c>
      <c r="Q369">
        <v>7</v>
      </c>
      <c r="R369" t="s">
        <v>2844</v>
      </c>
      <c r="S369" t="s">
        <v>2857</v>
      </c>
      <c r="U369" t="s">
        <v>2869</v>
      </c>
      <c r="V369" t="s">
        <v>2174</v>
      </c>
      <c r="W369" t="s">
        <v>2174</v>
      </c>
      <c r="Y369" t="s">
        <v>2876</v>
      </c>
      <c r="Z369" t="s">
        <v>2880</v>
      </c>
      <c r="AA369" t="s">
        <v>159</v>
      </c>
      <c r="AB369">
        <v>0</v>
      </c>
      <c r="AC369">
        <v>1064</v>
      </c>
      <c r="AD369">
        <v>19.65</v>
      </c>
      <c r="AE369" t="s">
        <v>2894</v>
      </c>
      <c r="AG369" t="s">
        <v>3258</v>
      </c>
      <c r="AH369" t="s">
        <v>3678</v>
      </c>
      <c r="AI369" t="s">
        <v>4123</v>
      </c>
      <c r="AJ369">
        <v>0</v>
      </c>
      <c r="AK369" t="s">
        <v>4456</v>
      </c>
      <c r="AL369">
        <v>1</v>
      </c>
      <c r="AM369">
        <v>3</v>
      </c>
      <c r="AN369">
        <v>163.11</v>
      </c>
      <c r="AQ369" t="s">
        <v>4475</v>
      </c>
      <c r="AR369" t="s">
        <v>4476</v>
      </c>
      <c r="AS369" t="s">
        <v>4486</v>
      </c>
      <c r="AT369">
        <v>42000</v>
      </c>
      <c r="AX369" t="s">
        <v>4501</v>
      </c>
      <c r="BA369" t="s">
        <v>4546</v>
      </c>
      <c r="BD369" t="s">
        <v>207</v>
      </c>
      <c r="BE369" t="s">
        <v>4704</v>
      </c>
    </row>
    <row r="370" spans="1:57">
      <c r="A370" s="1">
        <f>HYPERLINK("https://lsnyc.legalserver.org/matter/dynamic-profile/view/1894204","19-1894204")</f>
        <v>0</v>
      </c>
      <c r="B370" t="s">
        <v>68</v>
      </c>
      <c r="C370" t="s">
        <v>93</v>
      </c>
      <c r="D370" t="s">
        <v>177</v>
      </c>
      <c r="F370" t="s">
        <v>377</v>
      </c>
      <c r="G370" t="s">
        <v>1073</v>
      </c>
      <c r="H370" t="s">
        <v>1629</v>
      </c>
      <c r="I370" t="s">
        <v>2047</v>
      </c>
      <c r="J370" t="s">
        <v>2169</v>
      </c>
      <c r="K370" t="s">
        <v>2171</v>
      </c>
      <c r="L370">
        <v>10027</v>
      </c>
      <c r="M370" t="s">
        <v>2173</v>
      </c>
      <c r="N370" t="s">
        <v>2172</v>
      </c>
      <c r="P370" t="s">
        <v>2527</v>
      </c>
      <c r="Q370">
        <v>16</v>
      </c>
      <c r="R370" t="s">
        <v>2844</v>
      </c>
      <c r="S370" t="s">
        <v>2857</v>
      </c>
      <c r="U370" t="s">
        <v>2869</v>
      </c>
      <c r="V370" t="s">
        <v>2174</v>
      </c>
      <c r="W370" t="s">
        <v>2174</v>
      </c>
      <c r="Y370" t="s">
        <v>2875</v>
      </c>
      <c r="AA370" t="s">
        <v>177</v>
      </c>
      <c r="AB370">
        <v>0</v>
      </c>
      <c r="AC370">
        <v>453</v>
      </c>
      <c r="AD370">
        <v>13.5</v>
      </c>
      <c r="AE370" t="s">
        <v>2894</v>
      </c>
      <c r="AG370" t="s">
        <v>3259</v>
      </c>
      <c r="AI370" t="s">
        <v>4124</v>
      </c>
      <c r="AJ370">
        <v>0</v>
      </c>
      <c r="AK370" t="s">
        <v>4457</v>
      </c>
      <c r="AL370">
        <v>6</v>
      </c>
      <c r="AM370">
        <v>0</v>
      </c>
      <c r="AN370">
        <v>26.02</v>
      </c>
      <c r="AS370" t="s">
        <v>4486</v>
      </c>
      <c r="AT370">
        <v>9000</v>
      </c>
      <c r="AX370" t="s">
        <v>4499</v>
      </c>
      <c r="BA370" t="s">
        <v>4548</v>
      </c>
      <c r="BD370" t="s">
        <v>97</v>
      </c>
      <c r="BE370" t="s">
        <v>4703</v>
      </c>
    </row>
    <row r="371" spans="1:57">
      <c r="A371" s="1">
        <f>HYPERLINK("https://lsnyc.legalserver.org/matter/dynamic-profile/view/1894345","19-1894345")</f>
        <v>0</v>
      </c>
      <c r="B371" t="s">
        <v>73</v>
      </c>
      <c r="C371" t="s">
        <v>92</v>
      </c>
      <c r="D371" t="s">
        <v>94</v>
      </c>
      <c r="E371" t="s">
        <v>232</v>
      </c>
      <c r="F371" t="s">
        <v>555</v>
      </c>
      <c r="G371" t="s">
        <v>1074</v>
      </c>
      <c r="H371" t="s">
        <v>1602</v>
      </c>
      <c r="I371" t="s">
        <v>2048</v>
      </c>
      <c r="J371" t="s">
        <v>2169</v>
      </c>
      <c r="K371" t="s">
        <v>2171</v>
      </c>
      <c r="L371">
        <v>10027</v>
      </c>
      <c r="M371" t="s">
        <v>2173</v>
      </c>
      <c r="N371" t="s">
        <v>2173</v>
      </c>
      <c r="O371" t="s">
        <v>2179</v>
      </c>
      <c r="P371" t="s">
        <v>2528</v>
      </c>
      <c r="Q371">
        <v>7</v>
      </c>
      <c r="R371" t="s">
        <v>2844</v>
      </c>
      <c r="S371" t="s">
        <v>2857</v>
      </c>
      <c r="T371" t="s">
        <v>2864</v>
      </c>
      <c r="U371" t="s">
        <v>2869</v>
      </c>
      <c r="V371" t="s">
        <v>2174</v>
      </c>
      <c r="W371" t="s">
        <v>2174</v>
      </c>
      <c r="Y371" t="s">
        <v>2876</v>
      </c>
      <c r="Z371" t="s">
        <v>2879</v>
      </c>
      <c r="AA371" t="s">
        <v>94</v>
      </c>
      <c r="AB371">
        <v>0</v>
      </c>
      <c r="AC371">
        <v>1588</v>
      </c>
      <c r="AD371">
        <v>14.7</v>
      </c>
      <c r="AE371" t="s">
        <v>2894</v>
      </c>
      <c r="AF371" t="s">
        <v>2898</v>
      </c>
      <c r="AG371" t="s">
        <v>3260</v>
      </c>
      <c r="AI371" t="s">
        <v>4125</v>
      </c>
      <c r="AJ371">
        <v>0</v>
      </c>
      <c r="AK371" t="s">
        <v>4456</v>
      </c>
      <c r="AL371">
        <v>1</v>
      </c>
      <c r="AM371">
        <v>2</v>
      </c>
      <c r="AN371">
        <v>199.59</v>
      </c>
      <c r="AQ371" t="s">
        <v>4475</v>
      </c>
      <c r="AR371" t="s">
        <v>4478</v>
      </c>
      <c r="AS371" t="s">
        <v>4486</v>
      </c>
      <c r="AT371">
        <v>42573</v>
      </c>
      <c r="AX371" t="s">
        <v>4501</v>
      </c>
      <c r="AY371" t="s">
        <v>4514</v>
      </c>
      <c r="AZ371" t="s">
        <v>4519</v>
      </c>
      <c r="BA371" t="s">
        <v>4546</v>
      </c>
      <c r="BB371" t="s">
        <v>4632</v>
      </c>
      <c r="BC371" t="s">
        <v>4649</v>
      </c>
      <c r="BD371" t="s">
        <v>124</v>
      </c>
      <c r="BE371" t="s">
        <v>4703</v>
      </c>
    </row>
    <row r="372" spans="1:57">
      <c r="A372" s="1">
        <f>HYPERLINK("https://lsnyc.legalserver.org/matter/dynamic-profile/view/1894359","19-1894359")</f>
        <v>0</v>
      </c>
      <c r="B372" t="s">
        <v>62</v>
      </c>
      <c r="C372" t="s">
        <v>93</v>
      </c>
      <c r="D372" t="s">
        <v>94</v>
      </c>
      <c r="F372" t="s">
        <v>556</v>
      </c>
      <c r="G372" t="s">
        <v>874</v>
      </c>
      <c r="H372" t="s">
        <v>1630</v>
      </c>
      <c r="I372" t="s">
        <v>2049</v>
      </c>
      <c r="J372" t="s">
        <v>2169</v>
      </c>
      <c r="K372" t="s">
        <v>2171</v>
      </c>
      <c r="L372">
        <v>10027</v>
      </c>
      <c r="M372" t="s">
        <v>2173</v>
      </c>
      <c r="N372" t="s">
        <v>2173</v>
      </c>
      <c r="O372" t="s">
        <v>2175</v>
      </c>
      <c r="P372" t="s">
        <v>2529</v>
      </c>
      <c r="Q372">
        <v>23</v>
      </c>
      <c r="R372" t="s">
        <v>2844</v>
      </c>
      <c r="S372" t="s">
        <v>2857</v>
      </c>
      <c r="U372" t="s">
        <v>2869</v>
      </c>
      <c r="V372" t="s">
        <v>2174</v>
      </c>
      <c r="W372" t="s">
        <v>2173</v>
      </c>
      <c r="Y372" t="s">
        <v>2875</v>
      </c>
      <c r="AB372">
        <v>0</v>
      </c>
      <c r="AC372">
        <v>475</v>
      </c>
      <c r="AD372">
        <v>3.3</v>
      </c>
      <c r="AE372" t="s">
        <v>2894</v>
      </c>
      <c r="AG372" t="s">
        <v>3261</v>
      </c>
      <c r="AH372" t="s">
        <v>3679</v>
      </c>
      <c r="AI372" t="s">
        <v>4126</v>
      </c>
      <c r="AJ372">
        <v>0</v>
      </c>
      <c r="AK372" t="s">
        <v>4466</v>
      </c>
      <c r="AL372">
        <v>2</v>
      </c>
      <c r="AM372">
        <v>0</v>
      </c>
      <c r="AN372">
        <v>54.71</v>
      </c>
      <c r="AQ372" t="s">
        <v>4473</v>
      </c>
      <c r="AR372" t="s">
        <v>4476</v>
      </c>
      <c r="AS372" t="s">
        <v>4487</v>
      </c>
      <c r="AT372">
        <v>9252</v>
      </c>
      <c r="AX372" t="s">
        <v>4504</v>
      </c>
      <c r="BA372" t="s">
        <v>4548</v>
      </c>
      <c r="BD372" t="s">
        <v>228</v>
      </c>
    </row>
    <row r="373" spans="1:57">
      <c r="A373" s="1">
        <f>HYPERLINK("https://lsnyc.legalserver.org/matter/dynamic-profile/view/1894386","19-1894386")</f>
        <v>0</v>
      </c>
      <c r="B373" t="s">
        <v>63</v>
      </c>
      <c r="C373" t="s">
        <v>93</v>
      </c>
      <c r="D373" t="s">
        <v>94</v>
      </c>
      <c r="F373" t="s">
        <v>557</v>
      </c>
      <c r="G373" t="s">
        <v>1075</v>
      </c>
      <c r="H373" t="s">
        <v>1631</v>
      </c>
      <c r="I373" t="s">
        <v>1989</v>
      </c>
      <c r="J373" t="s">
        <v>2169</v>
      </c>
      <c r="K373" t="s">
        <v>2171</v>
      </c>
      <c r="L373">
        <v>10027</v>
      </c>
      <c r="M373" t="s">
        <v>2173</v>
      </c>
      <c r="N373" t="s">
        <v>2173</v>
      </c>
      <c r="O373" t="s">
        <v>2175</v>
      </c>
      <c r="P373" t="s">
        <v>2530</v>
      </c>
      <c r="Q373">
        <v>13</v>
      </c>
      <c r="R373" t="s">
        <v>2844</v>
      </c>
      <c r="S373" t="s">
        <v>2857</v>
      </c>
      <c r="U373" t="s">
        <v>2869</v>
      </c>
      <c r="V373" t="s">
        <v>2174</v>
      </c>
      <c r="W373" t="s">
        <v>2174</v>
      </c>
      <c r="Y373" t="s">
        <v>2876</v>
      </c>
      <c r="AA373" t="s">
        <v>94</v>
      </c>
      <c r="AB373">
        <v>0</v>
      </c>
      <c r="AC373">
        <v>1132</v>
      </c>
      <c r="AD373">
        <v>3.3</v>
      </c>
      <c r="AE373" t="s">
        <v>2894</v>
      </c>
      <c r="AG373" t="s">
        <v>3262</v>
      </c>
      <c r="AI373" t="s">
        <v>4127</v>
      </c>
      <c r="AJ373">
        <v>0</v>
      </c>
      <c r="AK373" t="s">
        <v>4456</v>
      </c>
      <c r="AL373">
        <v>1</v>
      </c>
      <c r="AM373">
        <v>0</v>
      </c>
      <c r="AN373">
        <v>141.79</v>
      </c>
      <c r="AQ373" t="s">
        <v>4473</v>
      </c>
      <c r="AR373" t="s">
        <v>4478</v>
      </c>
      <c r="AS373" t="s">
        <v>4486</v>
      </c>
      <c r="AT373">
        <v>17709</v>
      </c>
      <c r="AX373" t="s">
        <v>4501</v>
      </c>
      <c r="BA373" t="s">
        <v>4546</v>
      </c>
      <c r="BD373" t="s">
        <v>4686</v>
      </c>
      <c r="BE373" t="s">
        <v>4703</v>
      </c>
    </row>
    <row r="374" spans="1:57">
      <c r="A374" s="1">
        <f>HYPERLINK("https://lsnyc.legalserver.org/matter/dynamic-profile/view/1894417","19-1894417")</f>
        <v>0</v>
      </c>
      <c r="B374" t="s">
        <v>68</v>
      </c>
      <c r="C374" t="s">
        <v>93</v>
      </c>
      <c r="D374" t="s">
        <v>94</v>
      </c>
      <c r="F374" t="s">
        <v>558</v>
      </c>
      <c r="G374" t="s">
        <v>906</v>
      </c>
      <c r="H374" t="s">
        <v>1632</v>
      </c>
      <c r="I374" t="s">
        <v>2050</v>
      </c>
      <c r="J374" t="s">
        <v>2169</v>
      </c>
      <c r="K374" t="s">
        <v>2171</v>
      </c>
      <c r="L374">
        <v>10027</v>
      </c>
      <c r="M374" t="s">
        <v>2173</v>
      </c>
      <c r="N374" t="s">
        <v>2173</v>
      </c>
      <c r="O374" t="s">
        <v>2175</v>
      </c>
      <c r="P374" t="s">
        <v>2531</v>
      </c>
      <c r="Q374">
        <v>10</v>
      </c>
      <c r="R374" t="s">
        <v>2844</v>
      </c>
      <c r="S374" t="s">
        <v>2857</v>
      </c>
      <c r="U374" t="s">
        <v>2869</v>
      </c>
      <c r="V374" t="s">
        <v>2174</v>
      </c>
      <c r="W374" t="s">
        <v>2174</v>
      </c>
      <c r="Y374" t="s">
        <v>2876</v>
      </c>
      <c r="Z374" t="s">
        <v>2879</v>
      </c>
      <c r="AA374" t="s">
        <v>94</v>
      </c>
      <c r="AB374">
        <v>0</v>
      </c>
      <c r="AC374">
        <v>329</v>
      </c>
      <c r="AD374">
        <v>11.9</v>
      </c>
      <c r="AE374" t="s">
        <v>2894</v>
      </c>
      <c r="AG374" t="s">
        <v>3263</v>
      </c>
      <c r="AH374" t="s">
        <v>3680</v>
      </c>
      <c r="AI374" t="s">
        <v>4128</v>
      </c>
      <c r="AJ374">
        <v>0</v>
      </c>
      <c r="AK374" t="s">
        <v>4465</v>
      </c>
      <c r="AL374">
        <v>1</v>
      </c>
      <c r="AM374">
        <v>0</v>
      </c>
      <c r="AN374">
        <v>108.09</v>
      </c>
      <c r="AQ374" t="s">
        <v>4473</v>
      </c>
      <c r="AR374" t="s">
        <v>4478</v>
      </c>
      <c r="AS374" t="s">
        <v>4486</v>
      </c>
      <c r="AT374">
        <v>13500</v>
      </c>
      <c r="AX374" t="s">
        <v>4504</v>
      </c>
      <c r="BA374" t="s">
        <v>4537</v>
      </c>
      <c r="BD374" t="s">
        <v>4676</v>
      </c>
    </row>
    <row r="375" spans="1:57">
      <c r="A375" s="1">
        <f>HYPERLINK("https://lsnyc.legalserver.org/matter/dynamic-profile/view/1894424","19-1894424")</f>
        <v>0</v>
      </c>
      <c r="B375" t="s">
        <v>64</v>
      </c>
      <c r="C375" t="s">
        <v>93</v>
      </c>
      <c r="D375" t="s">
        <v>94</v>
      </c>
      <c r="F375" t="s">
        <v>559</v>
      </c>
      <c r="G375" t="s">
        <v>1076</v>
      </c>
      <c r="H375" t="s">
        <v>1628</v>
      </c>
      <c r="I375" t="s">
        <v>2051</v>
      </c>
      <c r="J375" t="s">
        <v>2169</v>
      </c>
      <c r="K375" t="s">
        <v>2171</v>
      </c>
      <c r="L375">
        <v>10027</v>
      </c>
      <c r="M375" t="s">
        <v>2173</v>
      </c>
      <c r="N375" t="s">
        <v>2173</v>
      </c>
      <c r="O375" t="s">
        <v>2175</v>
      </c>
      <c r="P375" t="s">
        <v>2532</v>
      </c>
      <c r="Q375">
        <v>6</v>
      </c>
      <c r="R375" t="s">
        <v>2844</v>
      </c>
      <c r="S375" t="s">
        <v>2857</v>
      </c>
      <c r="U375" t="s">
        <v>2869</v>
      </c>
      <c r="V375" t="s">
        <v>2174</v>
      </c>
      <c r="W375" t="s">
        <v>2174</v>
      </c>
      <c r="Y375" t="s">
        <v>2876</v>
      </c>
      <c r="Z375" t="s">
        <v>2879</v>
      </c>
      <c r="AA375" t="s">
        <v>94</v>
      </c>
      <c r="AB375">
        <v>0</v>
      </c>
      <c r="AC375">
        <v>512</v>
      </c>
      <c r="AD375">
        <v>15.3</v>
      </c>
      <c r="AE375" t="s">
        <v>2894</v>
      </c>
      <c r="AG375" t="s">
        <v>3264</v>
      </c>
      <c r="AH375" t="s">
        <v>3681</v>
      </c>
      <c r="AI375" t="s">
        <v>4129</v>
      </c>
      <c r="AJ375">
        <v>0</v>
      </c>
      <c r="AK375" t="s">
        <v>4456</v>
      </c>
      <c r="AL375">
        <v>1</v>
      </c>
      <c r="AM375">
        <v>0</v>
      </c>
      <c r="AN375">
        <v>172.94</v>
      </c>
      <c r="AQ375" t="s">
        <v>4473</v>
      </c>
      <c r="AR375" t="s">
        <v>4476</v>
      </c>
      <c r="AS375" t="s">
        <v>4486</v>
      </c>
      <c r="AT375">
        <v>21600</v>
      </c>
      <c r="AX375" t="s">
        <v>4504</v>
      </c>
      <c r="BA375" t="s">
        <v>4560</v>
      </c>
      <c r="BD375" t="s">
        <v>197</v>
      </c>
      <c r="BE375" t="s">
        <v>4704</v>
      </c>
    </row>
    <row r="376" spans="1:57">
      <c r="A376" s="1">
        <f>HYPERLINK("https://lsnyc.legalserver.org/matter/dynamic-profile/view/1894436","19-1894436")</f>
        <v>0</v>
      </c>
      <c r="B376" t="s">
        <v>61</v>
      </c>
      <c r="C376" t="s">
        <v>92</v>
      </c>
      <c r="D376" t="s">
        <v>94</v>
      </c>
      <c r="E376" t="s">
        <v>121</v>
      </c>
      <c r="F376" t="s">
        <v>560</v>
      </c>
      <c r="G376" t="s">
        <v>1077</v>
      </c>
      <c r="H376" t="s">
        <v>1633</v>
      </c>
      <c r="I376" t="s">
        <v>2052</v>
      </c>
      <c r="J376" t="s">
        <v>2169</v>
      </c>
      <c r="K376" t="s">
        <v>2171</v>
      </c>
      <c r="L376">
        <v>10027</v>
      </c>
      <c r="M376" t="s">
        <v>2173</v>
      </c>
      <c r="N376" t="s">
        <v>2173</v>
      </c>
      <c r="O376" t="s">
        <v>2175</v>
      </c>
      <c r="P376" t="s">
        <v>2533</v>
      </c>
      <c r="Q376">
        <v>50</v>
      </c>
      <c r="R376" t="s">
        <v>2844</v>
      </c>
      <c r="S376" t="s">
        <v>2856</v>
      </c>
      <c r="T376" t="s">
        <v>2863</v>
      </c>
      <c r="U376" t="s">
        <v>2869</v>
      </c>
      <c r="V376" t="s">
        <v>2174</v>
      </c>
      <c r="W376" t="s">
        <v>2174</v>
      </c>
      <c r="Y376" t="s">
        <v>2876</v>
      </c>
      <c r="AA376" t="s">
        <v>94</v>
      </c>
      <c r="AB376">
        <v>0</v>
      </c>
      <c r="AC376">
        <v>1374.88</v>
      </c>
      <c r="AD376">
        <v>0.8</v>
      </c>
      <c r="AE376" t="s">
        <v>2894</v>
      </c>
      <c r="AF376" t="s">
        <v>2896</v>
      </c>
      <c r="AG376" t="s">
        <v>3265</v>
      </c>
      <c r="AI376" t="s">
        <v>4130</v>
      </c>
      <c r="AJ376">
        <v>0</v>
      </c>
      <c r="AK376" t="s">
        <v>4461</v>
      </c>
      <c r="AL376">
        <v>1</v>
      </c>
      <c r="AM376">
        <v>0</v>
      </c>
      <c r="AN376">
        <v>209.19</v>
      </c>
      <c r="AQ376" t="s">
        <v>4473</v>
      </c>
      <c r="AR376" t="s">
        <v>4476</v>
      </c>
      <c r="AS376" t="s">
        <v>4486</v>
      </c>
      <c r="AT376">
        <v>26128</v>
      </c>
      <c r="AX376" t="s">
        <v>4504</v>
      </c>
      <c r="BA376" t="s">
        <v>4543</v>
      </c>
      <c r="BD376" t="s">
        <v>94</v>
      </c>
    </row>
    <row r="377" spans="1:57">
      <c r="A377" s="1">
        <f>HYPERLINK("https://lsnyc.legalserver.org/matter/dynamic-profile/view/1895045","19-1895045")</f>
        <v>0</v>
      </c>
      <c r="B377" t="s">
        <v>68</v>
      </c>
      <c r="C377" t="s">
        <v>92</v>
      </c>
      <c r="D377" t="s">
        <v>160</v>
      </c>
      <c r="E377" t="s">
        <v>217</v>
      </c>
      <c r="F377" t="s">
        <v>561</v>
      </c>
      <c r="G377" t="s">
        <v>1078</v>
      </c>
      <c r="H377" t="s">
        <v>1630</v>
      </c>
      <c r="I377" t="s">
        <v>1917</v>
      </c>
      <c r="J377" t="s">
        <v>2169</v>
      </c>
      <c r="K377" t="s">
        <v>2171</v>
      </c>
      <c r="L377">
        <v>10027</v>
      </c>
      <c r="M377" t="s">
        <v>2173</v>
      </c>
      <c r="N377" t="s">
        <v>2173</v>
      </c>
      <c r="O377" t="s">
        <v>2175</v>
      </c>
      <c r="P377" t="s">
        <v>2534</v>
      </c>
      <c r="Q377">
        <v>31</v>
      </c>
      <c r="R377" t="s">
        <v>2844</v>
      </c>
      <c r="S377" t="s">
        <v>2856</v>
      </c>
      <c r="T377" t="s">
        <v>2863</v>
      </c>
      <c r="U377" t="s">
        <v>2869</v>
      </c>
      <c r="V377" t="s">
        <v>2174</v>
      </c>
      <c r="W377" t="s">
        <v>2174</v>
      </c>
      <c r="Y377" t="s">
        <v>2875</v>
      </c>
      <c r="AA377" t="s">
        <v>160</v>
      </c>
      <c r="AB377">
        <v>0</v>
      </c>
      <c r="AC377">
        <v>855.6</v>
      </c>
      <c r="AD377">
        <v>0.1</v>
      </c>
      <c r="AE377" t="s">
        <v>2894</v>
      </c>
      <c r="AF377" t="s">
        <v>2896</v>
      </c>
      <c r="AG377" t="s">
        <v>3266</v>
      </c>
      <c r="AI377" t="s">
        <v>4131</v>
      </c>
      <c r="AJ377">
        <v>0</v>
      </c>
      <c r="AK377" t="s">
        <v>4459</v>
      </c>
      <c r="AL377">
        <v>1</v>
      </c>
      <c r="AM377">
        <v>1</v>
      </c>
      <c r="AN377">
        <v>221.93</v>
      </c>
      <c r="AQ377" t="s">
        <v>4475</v>
      </c>
      <c r="AR377" t="s">
        <v>4476</v>
      </c>
      <c r="AS377" t="s">
        <v>4486</v>
      </c>
      <c r="AT377">
        <v>37528</v>
      </c>
      <c r="AX377" t="s">
        <v>4504</v>
      </c>
      <c r="BA377" t="s">
        <v>4607</v>
      </c>
      <c r="BD377" t="s">
        <v>217</v>
      </c>
      <c r="BE377" t="s">
        <v>4703</v>
      </c>
    </row>
    <row r="378" spans="1:57">
      <c r="A378" s="1">
        <f>HYPERLINK("https://lsnyc.legalserver.org/matter/dynamic-profile/view/1895058","19-1895058")</f>
        <v>0</v>
      </c>
      <c r="B378" t="s">
        <v>66</v>
      </c>
      <c r="C378" t="s">
        <v>93</v>
      </c>
      <c r="D378" t="s">
        <v>160</v>
      </c>
      <c r="F378" t="s">
        <v>562</v>
      </c>
      <c r="G378" t="s">
        <v>1079</v>
      </c>
      <c r="H378" t="s">
        <v>1611</v>
      </c>
      <c r="I378" t="s">
        <v>1922</v>
      </c>
      <c r="J378" t="s">
        <v>2169</v>
      </c>
      <c r="K378" t="s">
        <v>2171</v>
      </c>
      <c r="L378">
        <v>10027</v>
      </c>
      <c r="M378" t="s">
        <v>2173</v>
      </c>
      <c r="N378" t="s">
        <v>2173</v>
      </c>
      <c r="O378" t="s">
        <v>2179</v>
      </c>
      <c r="P378" t="s">
        <v>2535</v>
      </c>
      <c r="Q378">
        <v>21</v>
      </c>
      <c r="R378" t="s">
        <v>2844</v>
      </c>
      <c r="S378" t="s">
        <v>2857</v>
      </c>
      <c r="U378" t="s">
        <v>2869</v>
      </c>
      <c r="V378" t="s">
        <v>2174</v>
      </c>
      <c r="W378" t="s">
        <v>2174</v>
      </c>
      <c r="Y378" t="s">
        <v>2877</v>
      </c>
      <c r="AA378" t="s">
        <v>160</v>
      </c>
      <c r="AB378">
        <v>0</v>
      </c>
      <c r="AC378">
        <v>1150</v>
      </c>
      <c r="AD378">
        <v>38.45</v>
      </c>
      <c r="AE378" t="s">
        <v>2894</v>
      </c>
      <c r="AG378" t="s">
        <v>3267</v>
      </c>
      <c r="AI378" t="s">
        <v>4132</v>
      </c>
      <c r="AJ378">
        <v>0</v>
      </c>
      <c r="AK378" t="s">
        <v>4464</v>
      </c>
      <c r="AL378">
        <v>2</v>
      </c>
      <c r="AM378">
        <v>0</v>
      </c>
      <c r="AN378">
        <v>168.14</v>
      </c>
      <c r="AQ378" t="s">
        <v>4473</v>
      </c>
      <c r="AR378" t="s">
        <v>4478</v>
      </c>
      <c r="AS378" t="s">
        <v>4486</v>
      </c>
      <c r="AT378">
        <v>28432</v>
      </c>
      <c r="AX378" t="s">
        <v>4501</v>
      </c>
      <c r="BA378" t="s">
        <v>4554</v>
      </c>
      <c r="BD378" t="s">
        <v>4684</v>
      </c>
      <c r="BE378" t="s">
        <v>4703</v>
      </c>
    </row>
    <row r="379" spans="1:57">
      <c r="A379" s="1">
        <f>HYPERLINK("https://lsnyc.legalserver.org/matter/dynamic-profile/view/1895061","19-1895061")</f>
        <v>0</v>
      </c>
      <c r="B379" t="s">
        <v>67</v>
      </c>
      <c r="C379" t="s">
        <v>93</v>
      </c>
      <c r="D379" t="s">
        <v>160</v>
      </c>
      <c r="F379" t="s">
        <v>563</v>
      </c>
      <c r="G379" t="s">
        <v>1080</v>
      </c>
      <c r="H379" t="s">
        <v>1634</v>
      </c>
      <c r="I379">
        <v>11</v>
      </c>
      <c r="J379" t="s">
        <v>2169</v>
      </c>
      <c r="K379" t="s">
        <v>2171</v>
      </c>
      <c r="L379">
        <v>10027</v>
      </c>
      <c r="M379" t="s">
        <v>2173</v>
      </c>
      <c r="N379" t="s">
        <v>2173</v>
      </c>
      <c r="O379" t="s">
        <v>2175</v>
      </c>
      <c r="P379" t="s">
        <v>2536</v>
      </c>
      <c r="Q379">
        <v>30</v>
      </c>
      <c r="R379" t="s">
        <v>2844</v>
      </c>
      <c r="S379" t="s">
        <v>2857</v>
      </c>
      <c r="U379" t="s">
        <v>2869</v>
      </c>
      <c r="V379" t="s">
        <v>2174</v>
      </c>
      <c r="W379" t="s">
        <v>2174</v>
      </c>
      <c r="Y379" t="s">
        <v>2876</v>
      </c>
      <c r="Z379" t="s">
        <v>2879</v>
      </c>
      <c r="AA379" t="s">
        <v>160</v>
      </c>
      <c r="AB379">
        <v>0</v>
      </c>
      <c r="AC379">
        <v>655.17</v>
      </c>
      <c r="AD379">
        <v>20.4</v>
      </c>
      <c r="AE379" t="s">
        <v>2894</v>
      </c>
      <c r="AG379" t="s">
        <v>3268</v>
      </c>
      <c r="AI379" t="s">
        <v>4133</v>
      </c>
      <c r="AJ379">
        <v>0</v>
      </c>
      <c r="AK379" t="s">
        <v>4458</v>
      </c>
      <c r="AL379">
        <v>1</v>
      </c>
      <c r="AM379">
        <v>0</v>
      </c>
      <c r="AN379">
        <v>175.66</v>
      </c>
      <c r="AQ379" t="s">
        <v>4473</v>
      </c>
      <c r="AR379" t="s">
        <v>4476</v>
      </c>
      <c r="AS379" t="s">
        <v>4486</v>
      </c>
      <c r="AT379">
        <v>21939.42</v>
      </c>
      <c r="AX379" t="s">
        <v>4504</v>
      </c>
      <c r="BA379" t="s">
        <v>4614</v>
      </c>
      <c r="BD379" t="s">
        <v>2890</v>
      </c>
    </row>
    <row r="380" spans="1:57">
      <c r="A380" s="1">
        <f>HYPERLINK("https://lsnyc.legalserver.org/matter/dynamic-profile/view/1895097","19-1895097")</f>
        <v>0</v>
      </c>
      <c r="B380" t="s">
        <v>68</v>
      </c>
      <c r="C380" t="s">
        <v>93</v>
      </c>
      <c r="D380" t="s">
        <v>160</v>
      </c>
      <c r="F380" t="s">
        <v>564</v>
      </c>
      <c r="G380" t="s">
        <v>1081</v>
      </c>
      <c r="H380" t="s">
        <v>1635</v>
      </c>
      <c r="I380">
        <v>1004</v>
      </c>
      <c r="J380" t="s">
        <v>2169</v>
      </c>
      <c r="K380" t="s">
        <v>2171</v>
      </c>
      <c r="L380">
        <v>10027</v>
      </c>
      <c r="M380" t="s">
        <v>2173</v>
      </c>
      <c r="N380" t="s">
        <v>2173</v>
      </c>
      <c r="O380" t="s">
        <v>2175</v>
      </c>
      <c r="P380" t="s">
        <v>2537</v>
      </c>
      <c r="Q380">
        <v>2</v>
      </c>
      <c r="R380" t="s">
        <v>2844</v>
      </c>
      <c r="S380" t="s">
        <v>2857</v>
      </c>
      <c r="U380" t="s">
        <v>2869</v>
      </c>
      <c r="V380" t="s">
        <v>2174</v>
      </c>
      <c r="W380" t="s">
        <v>2174</v>
      </c>
      <c r="Y380" t="s">
        <v>2876</v>
      </c>
      <c r="Z380" t="s">
        <v>2880</v>
      </c>
      <c r="AA380" t="s">
        <v>160</v>
      </c>
      <c r="AB380">
        <v>0</v>
      </c>
      <c r="AC380">
        <v>400</v>
      </c>
      <c r="AD380">
        <v>4.6</v>
      </c>
      <c r="AE380" t="s">
        <v>2894</v>
      </c>
      <c r="AG380" t="s">
        <v>3269</v>
      </c>
      <c r="AI380" t="s">
        <v>4134</v>
      </c>
      <c r="AJ380">
        <v>0</v>
      </c>
      <c r="AK380" t="s">
        <v>4456</v>
      </c>
      <c r="AL380">
        <v>1</v>
      </c>
      <c r="AM380">
        <v>0</v>
      </c>
      <c r="AN380">
        <v>185.62</v>
      </c>
      <c r="AQ380" t="s">
        <v>4473</v>
      </c>
      <c r="AR380" t="s">
        <v>2176</v>
      </c>
      <c r="AS380" t="s">
        <v>4486</v>
      </c>
      <c r="AT380">
        <v>23184</v>
      </c>
      <c r="AX380" t="s">
        <v>4501</v>
      </c>
      <c r="BA380" t="s">
        <v>4546</v>
      </c>
      <c r="BD380" t="s">
        <v>171</v>
      </c>
    </row>
    <row r="381" spans="1:57">
      <c r="A381" s="1">
        <f>HYPERLINK("https://lsnyc.legalserver.org/matter/dynamic-profile/view/1895369","19-1895369")</f>
        <v>0</v>
      </c>
      <c r="B381" t="s">
        <v>71</v>
      </c>
      <c r="C381" t="s">
        <v>93</v>
      </c>
      <c r="D381" t="s">
        <v>181</v>
      </c>
      <c r="F381" t="s">
        <v>565</v>
      </c>
      <c r="G381" t="s">
        <v>1082</v>
      </c>
      <c r="H381" t="s">
        <v>1609</v>
      </c>
      <c r="I381">
        <v>20</v>
      </c>
      <c r="J381" t="s">
        <v>2169</v>
      </c>
      <c r="K381" t="s">
        <v>2171</v>
      </c>
      <c r="L381">
        <v>10027</v>
      </c>
      <c r="M381" t="s">
        <v>2173</v>
      </c>
      <c r="N381" t="s">
        <v>2173</v>
      </c>
      <c r="O381" t="s">
        <v>2177</v>
      </c>
      <c r="P381" t="s">
        <v>2538</v>
      </c>
      <c r="Q381">
        <v>25</v>
      </c>
      <c r="R381" t="s">
        <v>2844</v>
      </c>
      <c r="S381" t="s">
        <v>2857</v>
      </c>
      <c r="U381" t="s">
        <v>2869</v>
      </c>
      <c r="V381" t="s">
        <v>2174</v>
      </c>
      <c r="W381" t="s">
        <v>2174</v>
      </c>
      <c r="Y381" t="s">
        <v>2876</v>
      </c>
      <c r="AA381" t="s">
        <v>181</v>
      </c>
      <c r="AB381">
        <v>0</v>
      </c>
      <c r="AC381">
        <v>1246</v>
      </c>
      <c r="AD381">
        <v>1.5</v>
      </c>
      <c r="AE381" t="s">
        <v>2894</v>
      </c>
      <c r="AG381" t="s">
        <v>3270</v>
      </c>
      <c r="AI381" t="s">
        <v>4135</v>
      </c>
      <c r="AJ381">
        <v>24</v>
      </c>
      <c r="AL381">
        <v>3</v>
      </c>
      <c r="AM381">
        <v>3</v>
      </c>
      <c r="AN381">
        <v>112.75</v>
      </c>
      <c r="AQ381" t="s">
        <v>4475</v>
      </c>
      <c r="AR381" t="s">
        <v>4476</v>
      </c>
      <c r="AS381" t="s">
        <v>4486</v>
      </c>
      <c r="AT381">
        <v>39000</v>
      </c>
      <c r="AX381" t="s">
        <v>4501</v>
      </c>
      <c r="BA381" t="s">
        <v>4541</v>
      </c>
      <c r="BD381" t="s">
        <v>141</v>
      </c>
    </row>
    <row r="382" spans="1:57">
      <c r="A382" s="1">
        <f>HYPERLINK("https://lsnyc.legalserver.org/matter/dynamic-profile/view/1896171","19-1896171")</f>
        <v>0</v>
      </c>
      <c r="B382" t="s">
        <v>71</v>
      </c>
      <c r="C382" t="s">
        <v>93</v>
      </c>
      <c r="D382" t="s">
        <v>142</v>
      </c>
      <c r="F382" t="s">
        <v>339</v>
      </c>
      <c r="G382" t="s">
        <v>703</v>
      </c>
      <c r="H382" t="s">
        <v>1636</v>
      </c>
      <c r="J382" t="s">
        <v>2169</v>
      </c>
      <c r="K382" t="s">
        <v>2171</v>
      </c>
      <c r="L382">
        <v>10027</v>
      </c>
      <c r="M382" t="s">
        <v>2173</v>
      </c>
      <c r="N382" t="s">
        <v>2172</v>
      </c>
      <c r="P382" t="s">
        <v>2539</v>
      </c>
      <c r="Q382">
        <v>21</v>
      </c>
      <c r="R382" t="s">
        <v>2844</v>
      </c>
      <c r="S382" t="s">
        <v>2857</v>
      </c>
      <c r="U382" t="s">
        <v>2869</v>
      </c>
      <c r="V382" t="s">
        <v>2174</v>
      </c>
      <c r="W382" t="s">
        <v>2174</v>
      </c>
      <c r="Y382" t="s">
        <v>2876</v>
      </c>
      <c r="AA382" t="s">
        <v>142</v>
      </c>
      <c r="AB382">
        <v>0</v>
      </c>
      <c r="AC382">
        <v>719.14</v>
      </c>
      <c r="AD382">
        <v>6.85</v>
      </c>
      <c r="AE382" t="s">
        <v>2894</v>
      </c>
      <c r="AG382" t="s">
        <v>3271</v>
      </c>
      <c r="AI382" t="s">
        <v>4136</v>
      </c>
      <c r="AJ382">
        <v>0</v>
      </c>
      <c r="AK382" t="s">
        <v>4456</v>
      </c>
      <c r="AL382">
        <v>3</v>
      </c>
      <c r="AM382">
        <v>1</v>
      </c>
      <c r="AN382">
        <v>108.74</v>
      </c>
      <c r="AS382" t="s">
        <v>4487</v>
      </c>
      <c r="AT382">
        <v>28000</v>
      </c>
      <c r="AX382" t="s">
        <v>86</v>
      </c>
      <c r="BA382" t="s">
        <v>4541</v>
      </c>
      <c r="BD382" t="s">
        <v>121</v>
      </c>
      <c r="BE382" t="s">
        <v>4703</v>
      </c>
    </row>
    <row r="383" spans="1:57">
      <c r="A383" s="1">
        <f>HYPERLINK("https://lsnyc.legalserver.org/matter/dynamic-profile/view/1896179","19-1896179")</f>
        <v>0</v>
      </c>
      <c r="B383" t="s">
        <v>67</v>
      </c>
      <c r="C383" t="s">
        <v>92</v>
      </c>
      <c r="D383" t="s">
        <v>142</v>
      </c>
      <c r="E383" t="s">
        <v>162</v>
      </c>
      <c r="F383" t="s">
        <v>566</v>
      </c>
      <c r="G383" t="s">
        <v>1083</v>
      </c>
      <c r="H383" t="s">
        <v>1637</v>
      </c>
      <c r="I383" t="s">
        <v>2004</v>
      </c>
      <c r="J383" t="s">
        <v>2169</v>
      </c>
      <c r="K383" t="s">
        <v>2171</v>
      </c>
      <c r="L383">
        <v>10027</v>
      </c>
      <c r="M383" t="s">
        <v>2173</v>
      </c>
      <c r="N383" t="s">
        <v>2173</v>
      </c>
      <c r="O383" t="s">
        <v>2176</v>
      </c>
      <c r="P383" t="s">
        <v>2540</v>
      </c>
      <c r="Q383">
        <v>20</v>
      </c>
      <c r="R383" t="s">
        <v>2844</v>
      </c>
      <c r="S383" t="s">
        <v>2857</v>
      </c>
      <c r="T383" t="s">
        <v>2864</v>
      </c>
      <c r="U383" t="s">
        <v>2869</v>
      </c>
      <c r="V383" t="s">
        <v>2174</v>
      </c>
      <c r="W383" t="s">
        <v>2174</v>
      </c>
      <c r="Y383" t="s">
        <v>2876</v>
      </c>
      <c r="Z383" t="s">
        <v>2884</v>
      </c>
      <c r="AA383" t="s">
        <v>142</v>
      </c>
      <c r="AB383">
        <v>0</v>
      </c>
      <c r="AC383">
        <v>849</v>
      </c>
      <c r="AD383">
        <v>0.5</v>
      </c>
      <c r="AE383" t="s">
        <v>2894</v>
      </c>
      <c r="AF383" t="s">
        <v>2898</v>
      </c>
      <c r="AG383" t="s">
        <v>3272</v>
      </c>
      <c r="AI383" t="s">
        <v>4137</v>
      </c>
      <c r="AJ383">
        <v>0</v>
      </c>
      <c r="AL383">
        <v>4</v>
      </c>
      <c r="AM383">
        <v>1</v>
      </c>
      <c r="AN383">
        <v>69.61</v>
      </c>
      <c r="AQ383" t="s">
        <v>4474</v>
      </c>
      <c r="AT383">
        <v>21000</v>
      </c>
      <c r="AX383" t="s">
        <v>4506</v>
      </c>
      <c r="BA383" t="s">
        <v>4546</v>
      </c>
      <c r="BB383" t="s">
        <v>4632</v>
      </c>
      <c r="BC383" t="s">
        <v>4636</v>
      </c>
      <c r="BD383" t="s">
        <v>162</v>
      </c>
    </row>
    <row r="384" spans="1:57">
      <c r="A384" s="1">
        <f>HYPERLINK("https://lsnyc.legalserver.org/matter/dynamic-profile/view/1896506","19-1896506")</f>
        <v>0</v>
      </c>
      <c r="B384" t="s">
        <v>72</v>
      </c>
      <c r="C384" t="s">
        <v>92</v>
      </c>
      <c r="D384" t="s">
        <v>143</v>
      </c>
      <c r="E384" t="s">
        <v>199</v>
      </c>
      <c r="F384" t="s">
        <v>567</v>
      </c>
      <c r="G384" t="s">
        <v>1084</v>
      </c>
      <c r="H384" t="s">
        <v>1608</v>
      </c>
      <c r="I384" t="s">
        <v>2053</v>
      </c>
      <c r="J384" t="s">
        <v>2169</v>
      </c>
      <c r="K384" t="s">
        <v>2171</v>
      </c>
      <c r="L384">
        <v>10027</v>
      </c>
      <c r="M384" t="s">
        <v>2173</v>
      </c>
      <c r="N384" t="s">
        <v>2173</v>
      </c>
      <c r="O384" t="s">
        <v>2175</v>
      </c>
      <c r="P384" t="s">
        <v>2541</v>
      </c>
      <c r="Q384">
        <v>10</v>
      </c>
      <c r="R384" t="s">
        <v>2844</v>
      </c>
      <c r="S384" t="s">
        <v>2857</v>
      </c>
      <c r="T384" t="s">
        <v>2864</v>
      </c>
      <c r="U384" t="s">
        <v>2869</v>
      </c>
      <c r="V384" t="s">
        <v>2174</v>
      </c>
      <c r="W384" t="s">
        <v>2174</v>
      </c>
      <c r="Y384" t="s">
        <v>2876</v>
      </c>
      <c r="Z384" t="s">
        <v>2879</v>
      </c>
      <c r="AA384" t="s">
        <v>143</v>
      </c>
      <c r="AB384">
        <v>0</v>
      </c>
      <c r="AC384">
        <v>1298</v>
      </c>
      <c r="AD384">
        <v>7</v>
      </c>
      <c r="AE384" t="s">
        <v>2894</v>
      </c>
      <c r="AF384" t="s">
        <v>2898</v>
      </c>
      <c r="AG384" t="s">
        <v>3273</v>
      </c>
      <c r="AH384" t="s">
        <v>3682</v>
      </c>
      <c r="AI384" t="s">
        <v>4138</v>
      </c>
      <c r="AJ384">
        <v>0</v>
      </c>
      <c r="AK384" t="s">
        <v>4456</v>
      </c>
      <c r="AL384">
        <v>2</v>
      </c>
      <c r="AM384">
        <v>4</v>
      </c>
      <c r="AN384">
        <v>69.90000000000001</v>
      </c>
      <c r="AR384" t="s">
        <v>4476</v>
      </c>
      <c r="AS384" t="s">
        <v>4486</v>
      </c>
      <c r="AT384">
        <v>24180</v>
      </c>
      <c r="AX384" t="s">
        <v>4504</v>
      </c>
      <c r="AZ384" t="s">
        <v>4521</v>
      </c>
      <c r="BA384" t="s">
        <v>4584</v>
      </c>
      <c r="BB384" t="s">
        <v>4632</v>
      </c>
      <c r="BD384" t="s">
        <v>186</v>
      </c>
      <c r="BE384" t="s">
        <v>4704</v>
      </c>
    </row>
    <row r="385" spans="1:57">
      <c r="A385" s="1">
        <f>HYPERLINK("https://lsnyc.legalserver.org/matter/dynamic-profile/view/1896525","19-1896525")</f>
        <v>0</v>
      </c>
      <c r="B385" t="s">
        <v>63</v>
      </c>
      <c r="C385" t="s">
        <v>93</v>
      </c>
      <c r="D385" t="s">
        <v>143</v>
      </c>
      <c r="F385" t="s">
        <v>324</v>
      </c>
      <c r="G385" t="s">
        <v>1085</v>
      </c>
      <c r="H385" t="s">
        <v>1638</v>
      </c>
      <c r="I385" t="s">
        <v>1917</v>
      </c>
      <c r="J385" t="s">
        <v>2169</v>
      </c>
      <c r="K385" t="s">
        <v>2171</v>
      </c>
      <c r="L385">
        <v>10027</v>
      </c>
      <c r="M385" t="s">
        <v>2173</v>
      </c>
      <c r="N385" t="s">
        <v>2173</v>
      </c>
      <c r="O385" t="s">
        <v>2175</v>
      </c>
      <c r="P385" t="s">
        <v>2542</v>
      </c>
      <c r="Q385">
        <v>3</v>
      </c>
      <c r="R385" t="s">
        <v>2844</v>
      </c>
      <c r="S385" t="s">
        <v>2857</v>
      </c>
      <c r="U385" t="s">
        <v>2869</v>
      </c>
      <c r="V385" t="s">
        <v>2174</v>
      </c>
      <c r="W385" t="s">
        <v>2174</v>
      </c>
      <c r="Y385" t="s">
        <v>2876</v>
      </c>
      <c r="AA385" t="s">
        <v>143</v>
      </c>
      <c r="AB385">
        <v>0</v>
      </c>
      <c r="AC385">
        <v>929.22</v>
      </c>
      <c r="AD385">
        <v>17.9</v>
      </c>
      <c r="AE385" t="s">
        <v>2894</v>
      </c>
      <c r="AG385" t="s">
        <v>3274</v>
      </c>
      <c r="AI385" t="s">
        <v>4139</v>
      </c>
      <c r="AJ385">
        <v>0</v>
      </c>
      <c r="AK385" t="s">
        <v>4461</v>
      </c>
      <c r="AL385">
        <v>1</v>
      </c>
      <c r="AM385">
        <v>0</v>
      </c>
      <c r="AN385">
        <v>0</v>
      </c>
      <c r="AR385" t="s">
        <v>4476</v>
      </c>
      <c r="AS385" t="s">
        <v>4486</v>
      </c>
      <c r="AT385">
        <v>0</v>
      </c>
      <c r="AX385" t="s">
        <v>4501</v>
      </c>
      <c r="BA385" t="s">
        <v>4539</v>
      </c>
      <c r="BD385" t="s">
        <v>117</v>
      </c>
      <c r="BE385" t="s">
        <v>4703</v>
      </c>
    </row>
    <row r="386" spans="1:57">
      <c r="A386" s="1">
        <f>HYPERLINK("https://lsnyc.legalserver.org/matter/dynamic-profile/view/1896531","19-1896531")</f>
        <v>0</v>
      </c>
      <c r="B386" t="s">
        <v>64</v>
      </c>
      <c r="C386" t="s">
        <v>93</v>
      </c>
      <c r="D386" t="s">
        <v>143</v>
      </c>
      <c r="F386" t="s">
        <v>568</v>
      </c>
      <c r="G386" t="s">
        <v>940</v>
      </c>
      <c r="H386" t="s">
        <v>1639</v>
      </c>
      <c r="I386">
        <v>4</v>
      </c>
      <c r="J386" t="s">
        <v>2169</v>
      </c>
      <c r="K386" t="s">
        <v>2171</v>
      </c>
      <c r="L386">
        <v>10027</v>
      </c>
      <c r="M386" t="s">
        <v>2173</v>
      </c>
      <c r="N386" t="s">
        <v>2173</v>
      </c>
      <c r="O386" t="s">
        <v>2175</v>
      </c>
      <c r="P386" t="s">
        <v>2543</v>
      </c>
      <c r="Q386">
        <v>9</v>
      </c>
      <c r="R386" t="s">
        <v>2844</v>
      </c>
      <c r="S386" t="s">
        <v>2857</v>
      </c>
      <c r="U386" t="s">
        <v>2869</v>
      </c>
      <c r="V386" t="s">
        <v>2174</v>
      </c>
      <c r="W386" t="s">
        <v>2174</v>
      </c>
      <c r="Y386" t="s">
        <v>2876</v>
      </c>
      <c r="AA386" t="s">
        <v>143</v>
      </c>
      <c r="AB386">
        <v>0</v>
      </c>
      <c r="AC386">
        <v>0</v>
      </c>
      <c r="AD386">
        <v>40.2</v>
      </c>
      <c r="AE386" t="s">
        <v>2894</v>
      </c>
      <c r="AG386" t="s">
        <v>3275</v>
      </c>
      <c r="AI386" t="s">
        <v>4140</v>
      </c>
      <c r="AJ386">
        <v>0</v>
      </c>
      <c r="AK386" t="s">
        <v>4456</v>
      </c>
      <c r="AL386">
        <v>2</v>
      </c>
      <c r="AM386">
        <v>0</v>
      </c>
      <c r="AN386">
        <v>156.12</v>
      </c>
      <c r="AR386" t="s">
        <v>4476</v>
      </c>
      <c r="AS386" t="s">
        <v>4486</v>
      </c>
      <c r="AT386">
        <v>26400</v>
      </c>
      <c r="AX386" t="s">
        <v>4504</v>
      </c>
      <c r="BA386" t="s">
        <v>4605</v>
      </c>
      <c r="BD386" t="s">
        <v>4670</v>
      </c>
      <c r="BE386" t="s">
        <v>4703</v>
      </c>
    </row>
    <row r="387" spans="1:57">
      <c r="A387" s="1">
        <f>HYPERLINK("https://lsnyc.legalserver.org/matter/dynamic-profile/view/1896580","19-1896580")</f>
        <v>0</v>
      </c>
      <c r="B387" t="s">
        <v>73</v>
      </c>
      <c r="C387" t="s">
        <v>92</v>
      </c>
      <c r="D387" t="s">
        <v>143</v>
      </c>
      <c r="E387" t="s">
        <v>225</v>
      </c>
      <c r="F387" t="s">
        <v>275</v>
      </c>
      <c r="G387" t="s">
        <v>1086</v>
      </c>
      <c r="H387" t="s">
        <v>1640</v>
      </c>
      <c r="I387" t="s">
        <v>2054</v>
      </c>
      <c r="J387" t="s">
        <v>2169</v>
      </c>
      <c r="K387" t="s">
        <v>2171</v>
      </c>
      <c r="L387">
        <v>10027</v>
      </c>
      <c r="M387" t="s">
        <v>2173</v>
      </c>
      <c r="N387" t="s">
        <v>2172</v>
      </c>
      <c r="O387" t="s">
        <v>2175</v>
      </c>
      <c r="P387" t="s">
        <v>2544</v>
      </c>
      <c r="Q387">
        <v>31</v>
      </c>
      <c r="R387" t="s">
        <v>2844</v>
      </c>
      <c r="S387" t="s">
        <v>2857</v>
      </c>
      <c r="T387" t="s">
        <v>2864</v>
      </c>
      <c r="U387" t="s">
        <v>2869</v>
      </c>
      <c r="V387" t="s">
        <v>2174</v>
      </c>
      <c r="W387" t="s">
        <v>2174</v>
      </c>
      <c r="Y387" t="s">
        <v>2876</v>
      </c>
      <c r="Z387" t="s">
        <v>2879</v>
      </c>
      <c r="AA387" t="s">
        <v>143</v>
      </c>
      <c r="AB387">
        <v>0</v>
      </c>
      <c r="AC387">
        <v>2337</v>
      </c>
      <c r="AD387">
        <v>24.62</v>
      </c>
      <c r="AE387" t="s">
        <v>2894</v>
      </c>
      <c r="AF387" t="s">
        <v>2898</v>
      </c>
      <c r="AG387" t="s">
        <v>3276</v>
      </c>
      <c r="AH387" t="s">
        <v>3683</v>
      </c>
      <c r="AI387" t="s">
        <v>4141</v>
      </c>
      <c r="AJ387">
        <v>0</v>
      </c>
      <c r="AK387" t="s">
        <v>4465</v>
      </c>
      <c r="AL387">
        <v>2</v>
      </c>
      <c r="AM387">
        <v>1</v>
      </c>
      <c r="AN387">
        <v>50.63</v>
      </c>
      <c r="AR387" t="s">
        <v>4478</v>
      </c>
      <c r="AS387" t="s">
        <v>4486</v>
      </c>
      <c r="AT387">
        <v>10800</v>
      </c>
      <c r="AX387" t="s">
        <v>4501</v>
      </c>
      <c r="AZ387" t="s">
        <v>4519</v>
      </c>
      <c r="BA387" t="s">
        <v>4548</v>
      </c>
      <c r="BB387" t="s">
        <v>4632</v>
      </c>
      <c r="BC387" t="s">
        <v>4653</v>
      </c>
      <c r="BD387" t="s">
        <v>4689</v>
      </c>
    </row>
    <row r="388" spans="1:57">
      <c r="A388" s="1">
        <f>HYPERLINK("https://lsnyc.legalserver.org/matter/dynamic-profile/view/1896596","19-1896596")</f>
        <v>0</v>
      </c>
      <c r="B388" t="s">
        <v>68</v>
      </c>
      <c r="C388" t="s">
        <v>93</v>
      </c>
      <c r="D388" t="s">
        <v>143</v>
      </c>
      <c r="F388" t="s">
        <v>510</v>
      </c>
      <c r="G388" t="s">
        <v>1010</v>
      </c>
      <c r="H388" t="s">
        <v>1641</v>
      </c>
      <c r="I388" t="s">
        <v>2055</v>
      </c>
      <c r="J388" t="s">
        <v>2169</v>
      </c>
      <c r="K388" t="s">
        <v>2171</v>
      </c>
      <c r="L388">
        <v>10027</v>
      </c>
      <c r="M388" t="s">
        <v>2173</v>
      </c>
      <c r="N388" t="s">
        <v>2173</v>
      </c>
      <c r="O388" t="s">
        <v>2175</v>
      </c>
      <c r="P388" t="s">
        <v>2545</v>
      </c>
      <c r="Q388">
        <v>10</v>
      </c>
      <c r="R388" t="s">
        <v>2844</v>
      </c>
      <c r="S388" t="s">
        <v>2857</v>
      </c>
      <c r="U388" t="s">
        <v>2869</v>
      </c>
      <c r="V388" t="s">
        <v>2174</v>
      </c>
      <c r="W388" t="s">
        <v>2174</v>
      </c>
      <c r="Y388" t="s">
        <v>2875</v>
      </c>
      <c r="AA388" t="s">
        <v>143</v>
      </c>
      <c r="AB388">
        <v>0</v>
      </c>
      <c r="AC388">
        <v>470</v>
      </c>
      <c r="AD388">
        <v>12.05</v>
      </c>
      <c r="AE388" t="s">
        <v>2894</v>
      </c>
      <c r="AG388" t="s">
        <v>3277</v>
      </c>
      <c r="AI388" t="s">
        <v>4142</v>
      </c>
      <c r="AJ388">
        <v>0</v>
      </c>
      <c r="AK388" t="s">
        <v>4466</v>
      </c>
      <c r="AL388">
        <v>2</v>
      </c>
      <c r="AM388">
        <v>0</v>
      </c>
      <c r="AN388">
        <v>114.05</v>
      </c>
      <c r="AR388" t="s">
        <v>4478</v>
      </c>
      <c r="AS388" t="s">
        <v>4487</v>
      </c>
      <c r="AT388">
        <v>19286</v>
      </c>
      <c r="AX388" t="s">
        <v>4501</v>
      </c>
      <c r="BA388" t="s">
        <v>4546</v>
      </c>
      <c r="BD388" t="s">
        <v>217</v>
      </c>
    </row>
    <row r="389" spans="1:57">
      <c r="A389" s="1">
        <f>HYPERLINK("https://lsnyc.legalserver.org/matter/dynamic-profile/view/1897000","19-1897000")</f>
        <v>0</v>
      </c>
      <c r="B389" t="s">
        <v>72</v>
      </c>
      <c r="C389" t="s">
        <v>92</v>
      </c>
      <c r="D389" t="s">
        <v>182</v>
      </c>
      <c r="E389" t="s">
        <v>218</v>
      </c>
      <c r="F389" t="s">
        <v>569</v>
      </c>
      <c r="G389" t="s">
        <v>1087</v>
      </c>
      <c r="H389" t="s">
        <v>1642</v>
      </c>
      <c r="I389" t="s">
        <v>1983</v>
      </c>
      <c r="J389" t="s">
        <v>2169</v>
      </c>
      <c r="K389" t="s">
        <v>2171</v>
      </c>
      <c r="L389">
        <v>10027</v>
      </c>
      <c r="M389" t="s">
        <v>2173</v>
      </c>
      <c r="N389" t="s">
        <v>2173</v>
      </c>
      <c r="O389" t="s">
        <v>2175</v>
      </c>
      <c r="P389" t="s">
        <v>2546</v>
      </c>
      <c r="Q389">
        <v>37</v>
      </c>
      <c r="R389" t="s">
        <v>2844</v>
      </c>
      <c r="S389" t="s">
        <v>2857</v>
      </c>
      <c r="T389" t="s">
        <v>2864</v>
      </c>
      <c r="U389" t="s">
        <v>2869</v>
      </c>
      <c r="V389" t="s">
        <v>2174</v>
      </c>
      <c r="W389" t="s">
        <v>2174</v>
      </c>
      <c r="Y389" t="s">
        <v>2875</v>
      </c>
      <c r="AA389" t="s">
        <v>182</v>
      </c>
      <c r="AB389">
        <v>0</v>
      </c>
      <c r="AC389">
        <v>1074</v>
      </c>
      <c r="AD389">
        <v>6.5</v>
      </c>
      <c r="AE389" t="s">
        <v>2894</v>
      </c>
      <c r="AF389" t="s">
        <v>2903</v>
      </c>
      <c r="AG389" t="s">
        <v>3278</v>
      </c>
      <c r="AI389" t="s">
        <v>4143</v>
      </c>
      <c r="AJ389">
        <v>0</v>
      </c>
      <c r="AK389" t="s">
        <v>4459</v>
      </c>
      <c r="AL389">
        <v>2</v>
      </c>
      <c r="AM389">
        <v>0</v>
      </c>
      <c r="AN389">
        <v>53.65</v>
      </c>
      <c r="AR389" t="s">
        <v>4476</v>
      </c>
      <c r="AS389" t="s">
        <v>4486</v>
      </c>
      <c r="AT389">
        <v>9072</v>
      </c>
      <c r="AX389" t="s">
        <v>4506</v>
      </c>
      <c r="BA389" t="s">
        <v>4538</v>
      </c>
      <c r="BD389" t="s">
        <v>4680</v>
      </c>
      <c r="BE389" t="s">
        <v>4703</v>
      </c>
    </row>
    <row r="390" spans="1:57">
      <c r="A390" s="1">
        <f>HYPERLINK("https://lsnyc.legalserver.org/matter/dynamic-profile/view/1897075","19-1897075")</f>
        <v>0</v>
      </c>
      <c r="B390" t="s">
        <v>72</v>
      </c>
      <c r="C390" t="s">
        <v>92</v>
      </c>
      <c r="D390" t="s">
        <v>102</v>
      </c>
      <c r="E390" t="s">
        <v>216</v>
      </c>
      <c r="F390" t="s">
        <v>570</v>
      </c>
      <c r="G390" t="s">
        <v>1088</v>
      </c>
      <c r="H390" t="s">
        <v>1643</v>
      </c>
      <c r="I390" t="s">
        <v>2056</v>
      </c>
      <c r="J390" t="s">
        <v>2169</v>
      </c>
      <c r="K390" t="s">
        <v>2171</v>
      </c>
      <c r="L390">
        <v>10027</v>
      </c>
      <c r="M390" t="s">
        <v>2173</v>
      </c>
      <c r="N390" t="s">
        <v>2173</v>
      </c>
      <c r="O390" t="s">
        <v>2175</v>
      </c>
      <c r="P390" t="s">
        <v>2547</v>
      </c>
      <c r="Q390">
        <v>32</v>
      </c>
      <c r="R390" t="s">
        <v>2844</v>
      </c>
      <c r="S390" t="s">
        <v>2857</v>
      </c>
      <c r="T390" t="s">
        <v>2864</v>
      </c>
      <c r="U390" t="s">
        <v>2869</v>
      </c>
      <c r="V390" t="s">
        <v>2174</v>
      </c>
      <c r="W390" t="s">
        <v>2174</v>
      </c>
      <c r="Y390" t="s">
        <v>2875</v>
      </c>
      <c r="Z390" t="s">
        <v>2880</v>
      </c>
      <c r="AA390" t="s">
        <v>102</v>
      </c>
      <c r="AB390">
        <v>0</v>
      </c>
      <c r="AC390">
        <v>222</v>
      </c>
      <c r="AD390">
        <v>4.5</v>
      </c>
      <c r="AE390" t="s">
        <v>2894</v>
      </c>
      <c r="AF390" t="s">
        <v>2903</v>
      </c>
      <c r="AG390" t="s">
        <v>3279</v>
      </c>
      <c r="AH390" t="s">
        <v>3684</v>
      </c>
      <c r="AI390" t="s">
        <v>4144</v>
      </c>
      <c r="AJ390">
        <v>0</v>
      </c>
      <c r="AK390" t="s">
        <v>4459</v>
      </c>
      <c r="AL390">
        <v>2</v>
      </c>
      <c r="AM390">
        <v>1</v>
      </c>
      <c r="AN390">
        <v>8.73</v>
      </c>
      <c r="AT390">
        <v>1861.6</v>
      </c>
      <c r="AX390" t="s">
        <v>4506</v>
      </c>
      <c r="AY390" t="s">
        <v>4516</v>
      </c>
      <c r="AZ390" t="s">
        <v>4524</v>
      </c>
      <c r="BA390" t="s">
        <v>4551</v>
      </c>
      <c r="BB390" t="s">
        <v>4632</v>
      </c>
      <c r="BC390" t="s">
        <v>4654</v>
      </c>
      <c r="BD390" t="s">
        <v>231</v>
      </c>
      <c r="BE390" t="s">
        <v>4704</v>
      </c>
    </row>
    <row r="391" spans="1:57">
      <c r="A391" s="1">
        <f>HYPERLINK("https://lsnyc.legalserver.org/matter/dynamic-profile/view/1897082","19-1897082")</f>
        <v>0</v>
      </c>
      <c r="B391" t="s">
        <v>57</v>
      </c>
      <c r="C391" t="s">
        <v>92</v>
      </c>
      <c r="D391" t="s">
        <v>102</v>
      </c>
      <c r="E391" t="s">
        <v>216</v>
      </c>
      <c r="F391" t="s">
        <v>571</v>
      </c>
      <c r="G391" t="s">
        <v>1089</v>
      </c>
      <c r="H391" t="s">
        <v>1643</v>
      </c>
      <c r="I391" t="s">
        <v>1913</v>
      </c>
      <c r="J391" t="s">
        <v>2169</v>
      </c>
      <c r="K391" t="s">
        <v>2171</v>
      </c>
      <c r="L391">
        <v>10027</v>
      </c>
      <c r="M391" t="s">
        <v>2173</v>
      </c>
      <c r="N391" t="s">
        <v>2173</v>
      </c>
      <c r="P391" t="s">
        <v>2548</v>
      </c>
      <c r="Q391">
        <v>1</v>
      </c>
      <c r="R391" t="s">
        <v>2844</v>
      </c>
      <c r="S391" t="s">
        <v>2856</v>
      </c>
      <c r="T391" t="s">
        <v>2863</v>
      </c>
      <c r="U391" t="s">
        <v>2869</v>
      </c>
      <c r="V391" t="s">
        <v>2174</v>
      </c>
      <c r="W391" t="s">
        <v>2174</v>
      </c>
      <c r="Y391" t="s">
        <v>2875</v>
      </c>
      <c r="AB391">
        <v>0</v>
      </c>
      <c r="AC391">
        <v>214</v>
      </c>
      <c r="AD391">
        <v>1.1</v>
      </c>
      <c r="AE391" t="s">
        <v>2894</v>
      </c>
      <c r="AF391" t="s">
        <v>2896</v>
      </c>
      <c r="AG391" t="s">
        <v>3280</v>
      </c>
      <c r="AI391" t="s">
        <v>4145</v>
      </c>
      <c r="AJ391">
        <v>0</v>
      </c>
      <c r="AL391">
        <v>2</v>
      </c>
      <c r="AM391">
        <v>0</v>
      </c>
      <c r="AN391">
        <v>76.88</v>
      </c>
      <c r="AS391" t="s">
        <v>4486</v>
      </c>
      <c r="AT391">
        <v>13000</v>
      </c>
      <c r="AX391" t="s">
        <v>4508</v>
      </c>
      <c r="BA391" t="s">
        <v>4546</v>
      </c>
      <c r="BD391" t="s">
        <v>212</v>
      </c>
    </row>
    <row r="392" spans="1:57">
      <c r="A392" s="1">
        <f>HYPERLINK("https://lsnyc.legalserver.org/matter/dynamic-profile/view/1897122","19-1897122")</f>
        <v>0</v>
      </c>
      <c r="B392" t="s">
        <v>67</v>
      </c>
      <c r="C392" t="s">
        <v>92</v>
      </c>
      <c r="D392" t="s">
        <v>161</v>
      </c>
      <c r="E392" t="s">
        <v>162</v>
      </c>
      <c r="F392" t="s">
        <v>572</v>
      </c>
      <c r="G392" t="s">
        <v>1090</v>
      </c>
      <c r="H392" t="s">
        <v>1644</v>
      </c>
      <c r="I392">
        <v>15</v>
      </c>
      <c r="J392" t="s">
        <v>2169</v>
      </c>
      <c r="K392" t="s">
        <v>2171</v>
      </c>
      <c r="L392">
        <v>10027</v>
      </c>
      <c r="M392" t="s">
        <v>2173</v>
      </c>
      <c r="N392" t="s">
        <v>2173</v>
      </c>
      <c r="O392" t="s">
        <v>2175</v>
      </c>
      <c r="P392" t="s">
        <v>2549</v>
      </c>
      <c r="Q392">
        <v>21</v>
      </c>
      <c r="R392" t="s">
        <v>2844</v>
      </c>
      <c r="S392" t="s">
        <v>2856</v>
      </c>
      <c r="T392" t="s">
        <v>2863</v>
      </c>
      <c r="U392" t="s">
        <v>2869</v>
      </c>
      <c r="V392" t="s">
        <v>2174</v>
      </c>
      <c r="W392" t="s">
        <v>2174</v>
      </c>
      <c r="Y392" t="s">
        <v>2876</v>
      </c>
      <c r="Z392" t="s">
        <v>2879</v>
      </c>
      <c r="AA392" t="s">
        <v>161</v>
      </c>
      <c r="AB392">
        <v>0</v>
      </c>
      <c r="AC392">
        <v>1290.93</v>
      </c>
      <c r="AD392">
        <v>0.3</v>
      </c>
      <c r="AE392" t="s">
        <v>2894</v>
      </c>
      <c r="AF392" t="s">
        <v>2896</v>
      </c>
      <c r="AG392" t="s">
        <v>3281</v>
      </c>
      <c r="AI392" t="s">
        <v>4146</v>
      </c>
      <c r="AJ392">
        <v>0</v>
      </c>
      <c r="AK392" t="s">
        <v>4458</v>
      </c>
      <c r="AL392">
        <v>1</v>
      </c>
      <c r="AM392">
        <v>0</v>
      </c>
      <c r="AN392">
        <v>88.06999999999999</v>
      </c>
      <c r="AR392" t="s">
        <v>4476</v>
      </c>
      <c r="AS392" t="s">
        <v>4486</v>
      </c>
      <c r="AT392">
        <v>11000</v>
      </c>
      <c r="AX392" t="s">
        <v>4501</v>
      </c>
      <c r="BA392" t="s">
        <v>4545</v>
      </c>
      <c r="BD392" t="s">
        <v>162</v>
      </c>
    </row>
    <row r="393" spans="1:57">
      <c r="A393" s="1">
        <f>HYPERLINK("https://lsnyc.legalserver.org/matter/dynamic-profile/view/1897135","19-1897135")</f>
        <v>0</v>
      </c>
      <c r="B393" t="s">
        <v>76</v>
      </c>
      <c r="C393" t="s">
        <v>93</v>
      </c>
      <c r="D393" t="s">
        <v>161</v>
      </c>
      <c r="F393" t="s">
        <v>410</v>
      </c>
      <c r="G393" t="s">
        <v>809</v>
      </c>
      <c r="H393" t="s">
        <v>1645</v>
      </c>
      <c r="I393" t="s">
        <v>1931</v>
      </c>
      <c r="J393" t="s">
        <v>2169</v>
      </c>
      <c r="K393" t="s">
        <v>2171</v>
      </c>
      <c r="L393">
        <v>10027</v>
      </c>
      <c r="M393" t="s">
        <v>2173</v>
      </c>
      <c r="N393" t="s">
        <v>2173</v>
      </c>
      <c r="O393" t="s">
        <v>2179</v>
      </c>
      <c r="P393" t="s">
        <v>2550</v>
      </c>
      <c r="Q393">
        <v>26</v>
      </c>
      <c r="R393" t="s">
        <v>2844</v>
      </c>
      <c r="S393" t="s">
        <v>2857</v>
      </c>
      <c r="U393" t="s">
        <v>2869</v>
      </c>
      <c r="V393" t="s">
        <v>2174</v>
      </c>
      <c r="W393" t="s">
        <v>2174</v>
      </c>
      <c r="Y393" t="s">
        <v>2876</v>
      </c>
      <c r="AA393" t="s">
        <v>161</v>
      </c>
      <c r="AB393">
        <v>0</v>
      </c>
      <c r="AC393">
        <v>774.86</v>
      </c>
      <c r="AD393">
        <v>11.3</v>
      </c>
      <c r="AE393" t="s">
        <v>2894</v>
      </c>
      <c r="AG393" t="s">
        <v>3282</v>
      </c>
      <c r="AI393" t="s">
        <v>4147</v>
      </c>
      <c r="AJ393">
        <v>0</v>
      </c>
      <c r="AK393" t="s">
        <v>4461</v>
      </c>
      <c r="AL393">
        <v>1</v>
      </c>
      <c r="AM393">
        <v>0</v>
      </c>
      <c r="AN393">
        <v>83.68000000000001</v>
      </c>
      <c r="AR393" t="s">
        <v>4476</v>
      </c>
      <c r="AS393" t="s">
        <v>4487</v>
      </c>
      <c r="AT393">
        <v>10452</v>
      </c>
      <c r="AX393" t="s">
        <v>4501</v>
      </c>
      <c r="BA393" t="s">
        <v>4534</v>
      </c>
      <c r="BD393" t="s">
        <v>213</v>
      </c>
      <c r="BE393" t="s">
        <v>4703</v>
      </c>
    </row>
    <row r="394" spans="1:57">
      <c r="A394" s="1">
        <f>HYPERLINK("https://lsnyc.legalserver.org/matter/dynamic-profile/view/1897140","19-1897140")</f>
        <v>0</v>
      </c>
      <c r="B394" t="s">
        <v>69</v>
      </c>
      <c r="C394" t="s">
        <v>93</v>
      </c>
      <c r="D394" t="s">
        <v>161</v>
      </c>
      <c r="F394" t="s">
        <v>573</v>
      </c>
      <c r="G394" t="s">
        <v>894</v>
      </c>
      <c r="H394" t="s">
        <v>1646</v>
      </c>
      <c r="I394" t="s">
        <v>1983</v>
      </c>
      <c r="J394" t="s">
        <v>2169</v>
      </c>
      <c r="K394" t="s">
        <v>2171</v>
      </c>
      <c r="L394">
        <v>10027</v>
      </c>
      <c r="M394" t="s">
        <v>2173</v>
      </c>
      <c r="N394" t="s">
        <v>2173</v>
      </c>
      <c r="O394" t="s">
        <v>2179</v>
      </c>
      <c r="P394" t="s">
        <v>2551</v>
      </c>
      <c r="Q394">
        <v>19</v>
      </c>
      <c r="R394" t="s">
        <v>2844</v>
      </c>
      <c r="S394" t="s">
        <v>2857</v>
      </c>
      <c r="U394" t="s">
        <v>2869</v>
      </c>
      <c r="V394" t="s">
        <v>2174</v>
      </c>
      <c r="W394" t="s">
        <v>2174</v>
      </c>
      <c r="Y394" t="s">
        <v>2876</v>
      </c>
      <c r="Z394" t="s">
        <v>2879</v>
      </c>
      <c r="AA394" t="s">
        <v>230</v>
      </c>
      <c r="AB394">
        <v>0</v>
      </c>
      <c r="AC394">
        <v>720</v>
      </c>
      <c r="AD394">
        <v>13.8</v>
      </c>
      <c r="AE394" t="s">
        <v>2894</v>
      </c>
      <c r="AG394" t="s">
        <v>3283</v>
      </c>
      <c r="AI394" t="s">
        <v>4148</v>
      </c>
      <c r="AJ394">
        <v>16</v>
      </c>
      <c r="AK394" t="s">
        <v>4458</v>
      </c>
      <c r="AL394">
        <v>1</v>
      </c>
      <c r="AM394">
        <v>0</v>
      </c>
      <c r="AN394">
        <v>100.59</v>
      </c>
      <c r="AR394" t="s">
        <v>4477</v>
      </c>
      <c r="AS394" t="s">
        <v>4486</v>
      </c>
      <c r="AT394">
        <v>12564</v>
      </c>
      <c r="AX394" t="s">
        <v>4504</v>
      </c>
      <c r="BA394" t="s">
        <v>4534</v>
      </c>
      <c r="BD394" t="s">
        <v>215</v>
      </c>
      <c r="BE394" t="s">
        <v>4703</v>
      </c>
    </row>
    <row r="395" spans="1:57">
      <c r="A395" s="1">
        <f>HYPERLINK("https://lsnyc.legalserver.org/matter/dynamic-profile/view/1897150","19-1897150")</f>
        <v>0</v>
      </c>
      <c r="B395" t="s">
        <v>63</v>
      </c>
      <c r="C395" t="s">
        <v>93</v>
      </c>
      <c r="D395" t="s">
        <v>161</v>
      </c>
      <c r="F395" t="s">
        <v>574</v>
      </c>
      <c r="G395" t="s">
        <v>1091</v>
      </c>
      <c r="H395" t="s">
        <v>1647</v>
      </c>
      <c r="I395" t="s">
        <v>2057</v>
      </c>
      <c r="J395" t="s">
        <v>2169</v>
      </c>
      <c r="K395" t="s">
        <v>2171</v>
      </c>
      <c r="L395">
        <v>10027</v>
      </c>
      <c r="M395" t="s">
        <v>2173</v>
      </c>
      <c r="N395" t="s">
        <v>2173</v>
      </c>
      <c r="O395" t="s">
        <v>2175</v>
      </c>
      <c r="P395" t="s">
        <v>2552</v>
      </c>
      <c r="Q395">
        <v>4</v>
      </c>
      <c r="R395" t="s">
        <v>2844</v>
      </c>
      <c r="S395" t="s">
        <v>2857</v>
      </c>
      <c r="U395" t="s">
        <v>2869</v>
      </c>
      <c r="V395" t="s">
        <v>2174</v>
      </c>
      <c r="W395" t="s">
        <v>2174</v>
      </c>
      <c r="Y395" t="s">
        <v>2875</v>
      </c>
      <c r="AA395" t="s">
        <v>161</v>
      </c>
      <c r="AB395">
        <v>0</v>
      </c>
      <c r="AC395">
        <v>586</v>
      </c>
      <c r="AD395">
        <v>12.45</v>
      </c>
      <c r="AE395" t="s">
        <v>2894</v>
      </c>
      <c r="AG395" t="s">
        <v>3284</v>
      </c>
      <c r="AI395" t="s">
        <v>4149</v>
      </c>
      <c r="AJ395">
        <v>0</v>
      </c>
      <c r="AK395" t="s">
        <v>4459</v>
      </c>
      <c r="AL395">
        <v>2</v>
      </c>
      <c r="AM395">
        <v>1</v>
      </c>
      <c r="AN395">
        <v>42.19</v>
      </c>
      <c r="AR395" t="s">
        <v>4476</v>
      </c>
      <c r="AS395" t="s">
        <v>4486</v>
      </c>
      <c r="AT395">
        <v>9000</v>
      </c>
      <c r="AX395" t="s">
        <v>4501</v>
      </c>
      <c r="BA395" t="s">
        <v>4546</v>
      </c>
      <c r="BD395" t="s">
        <v>4676</v>
      </c>
      <c r="BE395" t="s">
        <v>4703</v>
      </c>
    </row>
    <row r="396" spans="1:57">
      <c r="A396" s="1">
        <f>HYPERLINK("https://lsnyc.legalserver.org/matter/dynamic-profile/view/1897838","19-1897838")</f>
        <v>0</v>
      </c>
      <c r="B396" t="s">
        <v>62</v>
      </c>
      <c r="C396" t="s">
        <v>93</v>
      </c>
      <c r="D396" t="s">
        <v>144</v>
      </c>
      <c r="F396" t="s">
        <v>575</v>
      </c>
      <c r="G396" t="s">
        <v>322</v>
      </c>
      <c r="H396" t="s">
        <v>1648</v>
      </c>
      <c r="I396" t="s">
        <v>1917</v>
      </c>
      <c r="J396" t="s">
        <v>2169</v>
      </c>
      <c r="K396" t="s">
        <v>2171</v>
      </c>
      <c r="L396">
        <v>10027</v>
      </c>
      <c r="M396" t="s">
        <v>2173</v>
      </c>
      <c r="N396" t="s">
        <v>2173</v>
      </c>
      <c r="O396" t="s">
        <v>2179</v>
      </c>
      <c r="P396" t="s">
        <v>2553</v>
      </c>
      <c r="Q396">
        <v>25</v>
      </c>
      <c r="R396" t="s">
        <v>2844</v>
      </c>
      <c r="S396" t="s">
        <v>2857</v>
      </c>
      <c r="U396" t="s">
        <v>2869</v>
      </c>
      <c r="V396" t="s">
        <v>2174</v>
      </c>
      <c r="W396" t="s">
        <v>2174</v>
      </c>
      <c r="Y396" t="s">
        <v>2876</v>
      </c>
      <c r="Z396" t="s">
        <v>2879</v>
      </c>
      <c r="AA396" t="s">
        <v>144</v>
      </c>
      <c r="AB396">
        <v>0</v>
      </c>
      <c r="AC396">
        <v>453.75</v>
      </c>
      <c r="AD396">
        <v>3.6</v>
      </c>
      <c r="AE396" t="s">
        <v>2894</v>
      </c>
      <c r="AG396" t="s">
        <v>3285</v>
      </c>
      <c r="AI396" t="s">
        <v>4150</v>
      </c>
      <c r="AJ396">
        <v>0</v>
      </c>
      <c r="AK396" t="s">
        <v>4456</v>
      </c>
      <c r="AL396">
        <v>1</v>
      </c>
      <c r="AM396">
        <v>0</v>
      </c>
      <c r="AN396">
        <v>100.98</v>
      </c>
      <c r="AR396" t="s">
        <v>4477</v>
      </c>
      <c r="AS396" t="s">
        <v>4486</v>
      </c>
      <c r="AT396">
        <v>12612</v>
      </c>
      <c r="AX396" t="s">
        <v>4504</v>
      </c>
      <c r="BA396" t="s">
        <v>4560</v>
      </c>
      <c r="BD396" t="s">
        <v>4692</v>
      </c>
      <c r="BE396" t="s">
        <v>4703</v>
      </c>
    </row>
    <row r="397" spans="1:57">
      <c r="A397" s="1">
        <f>HYPERLINK("https://lsnyc.legalserver.org/matter/dynamic-profile/view/1898223","19-1898223")</f>
        <v>0</v>
      </c>
      <c r="B397" t="s">
        <v>67</v>
      </c>
      <c r="C397" t="s">
        <v>93</v>
      </c>
      <c r="D397" t="s">
        <v>145</v>
      </c>
      <c r="F397" t="s">
        <v>576</v>
      </c>
      <c r="G397" t="s">
        <v>1092</v>
      </c>
      <c r="H397" t="s">
        <v>1641</v>
      </c>
      <c r="I397" t="s">
        <v>2058</v>
      </c>
      <c r="J397" t="s">
        <v>2169</v>
      </c>
      <c r="K397" t="s">
        <v>2171</v>
      </c>
      <c r="L397">
        <v>10027</v>
      </c>
      <c r="M397" t="s">
        <v>2173</v>
      </c>
      <c r="N397" t="s">
        <v>2172</v>
      </c>
      <c r="P397" t="s">
        <v>2554</v>
      </c>
      <c r="Q397">
        <v>7</v>
      </c>
      <c r="R397" t="s">
        <v>2844</v>
      </c>
      <c r="S397" t="s">
        <v>2857</v>
      </c>
      <c r="U397" t="s">
        <v>2869</v>
      </c>
      <c r="V397" t="s">
        <v>2174</v>
      </c>
      <c r="W397" t="s">
        <v>2174</v>
      </c>
      <c r="Y397" t="s">
        <v>2876</v>
      </c>
      <c r="AA397" t="s">
        <v>145</v>
      </c>
      <c r="AB397">
        <v>0</v>
      </c>
      <c r="AC397">
        <v>466</v>
      </c>
      <c r="AD397">
        <v>4.1</v>
      </c>
      <c r="AE397" t="s">
        <v>2894</v>
      </c>
      <c r="AG397" t="s">
        <v>3286</v>
      </c>
      <c r="AH397" t="s">
        <v>3685</v>
      </c>
      <c r="AI397" t="s">
        <v>4151</v>
      </c>
      <c r="AJ397">
        <v>0</v>
      </c>
      <c r="AK397" t="s">
        <v>4459</v>
      </c>
      <c r="AL397">
        <v>2</v>
      </c>
      <c r="AM397">
        <v>0</v>
      </c>
      <c r="AN397">
        <v>72.95</v>
      </c>
      <c r="AS397" t="s">
        <v>4486</v>
      </c>
      <c r="AT397">
        <v>12336</v>
      </c>
      <c r="AX397" t="s">
        <v>4499</v>
      </c>
      <c r="BA397" t="s">
        <v>4592</v>
      </c>
      <c r="BD397" t="s">
        <v>214</v>
      </c>
      <c r="BE397" t="s">
        <v>4704</v>
      </c>
    </row>
    <row r="398" spans="1:57">
      <c r="A398" s="1">
        <f>HYPERLINK("https://lsnyc.legalserver.org/matter/dynamic-profile/view/1898507","19-1898507")</f>
        <v>0</v>
      </c>
      <c r="B398" t="s">
        <v>66</v>
      </c>
      <c r="C398" t="s">
        <v>93</v>
      </c>
      <c r="D398" t="s">
        <v>162</v>
      </c>
      <c r="F398" t="s">
        <v>577</v>
      </c>
      <c r="G398" t="s">
        <v>879</v>
      </c>
      <c r="H398" t="s">
        <v>1632</v>
      </c>
      <c r="I398" t="s">
        <v>1939</v>
      </c>
      <c r="J398" t="s">
        <v>2169</v>
      </c>
      <c r="K398" t="s">
        <v>2171</v>
      </c>
      <c r="L398">
        <v>10027</v>
      </c>
      <c r="M398" t="s">
        <v>2173</v>
      </c>
      <c r="N398" t="s">
        <v>2173</v>
      </c>
      <c r="O398" t="s">
        <v>2179</v>
      </c>
      <c r="P398" t="s">
        <v>2555</v>
      </c>
      <c r="Q398">
        <v>27</v>
      </c>
      <c r="R398" t="s">
        <v>2844</v>
      </c>
      <c r="S398" t="s">
        <v>2857</v>
      </c>
      <c r="U398" t="s">
        <v>2869</v>
      </c>
      <c r="V398" t="s">
        <v>2174</v>
      </c>
      <c r="W398" t="s">
        <v>2174</v>
      </c>
      <c r="Y398" t="s">
        <v>2876</v>
      </c>
      <c r="Z398" t="s">
        <v>2879</v>
      </c>
      <c r="AA398" t="s">
        <v>230</v>
      </c>
      <c r="AB398">
        <v>0</v>
      </c>
      <c r="AC398">
        <v>886</v>
      </c>
      <c r="AD398">
        <v>10.2</v>
      </c>
      <c r="AE398" t="s">
        <v>2894</v>
      </c>
      <c r="AG398" t="s">
        <v>3287</v>
      </c>
      <c r="AI398" t="s">
        <v>4152</v>
      </c>
      <c r="AJ398">
        <v>190</v>
      </c>
      <c r="AK398" t="s">
        <v>4458</v>
      </c>
      <c r="AL398">
        <v>1</v>
      </c>
      <c r="AM398">
        <v>3</v>
      </c>
      <c r="AN398">
        <v>204.27</v>
      </c>
      <c r="AR398" t="s">
        <v>4478</v>
      </c>
      <c r="AS398" t="s">
        <v>4487</v>
      </c>
      <c r="AT398">
        <v>52600</v>
      </c>
      <c r="AX398" t="s">
        <v>4504</v>
      </c>
      <c r="BA398" t="s">
        <v>4543</v>
      </c>
      <c r="BD398" t="s">
        <v>213</v>
      </c>
      <c r="BE398" t="s">
        <v>4703</v>
      </c>
    </row>
    <row r="399" spans="1:57">
      <c r="A399" s="1">
        <f>HYPERLINK("https://lsnyc.legalserver.org/matter/dynamic-profile/view/1898522","19-1898522")</f>
        <v>0</v>
      </c>
      <c r="B399" t="s">
        <v>63</v>
      </c>
      <c r="C399" t="s">
        <v>93</v>
      </c>
      <c r="D399" t="s">
        <v>162</v>
      </c>
      <c r="F399" t="s">
        <v>578</v>
      </c>
      <c r="G399" t="s">
        <v>977</v>
      </c>
      <c r="H399" t="s">
        <v>1649</v>
      </c>
      <c r="I399">
        <v>43</v>
      </c>
      <c r="J399" t="s">
        <v>2169</v>
      </c>
      <c r="K399" t="s">
        <v>2171</v>
      </c>
      <c r="L399">
        <v>10027</v>
      </c>
      <c r="M399" t="s">
        <v>2173</v>
      </c>
      <c r="N399" t="s">
        <v>2173</v>
      </c>
      <c r="O399" t="s">
        <v>2179</v>
      </c>
      <c r="P399" t="s">
        <v>2556</v>
      </c>
      <c r="Q399">
        <v>38</v>
      </c>
      <c r="R399" t="s">
        <v>2844</v>
      </c>
      <c r="S399" t="s">
        <v>2857</v>
      </c>
      <c r="U399" t="s">
        <v>2869</v>
      </c>
      <c r="V399" t="s">
        <v>2174</v>
      </c>
      <c r="W399" t="s">
        <v>2174</v>
      </c>
      <c r="Y399" t="s">
        <v>2876</v>
      </c>
      <c r="AA399" t="s">
        <v>162</v>
      </c>
      <c r="AB399">
        <v>0</v>
      </c>
      <c r="AC399">
        <v>657</v>
      </c>
      <c r="AD399">
        <v>7.3</v>
      </c>
      <c r="AE399" t="s">
        <v>2894</v>
      </c>
      <c r="AG399" t="s">
        <v>3288</v>
      </c>
      <c r="AI399" t="s">
        <v>4153</v>
      </c>
      <c r="AJ399">
        <v>36</v>
      </c>
      <c r="AK399" t="s">
        <v>4456</v>
      </c>
      <c r="AL399">
        <v>1</v>
      </c>
      <c r="AM399">
        <v>0</v>
      </c>
      <c r="AN399">
        <v>0</v>
      </c>
      <c r="AR399" t="s">
        <v>4476</v>
      </c>
      <c r="AS399" t="s">
        <v>4486</v>
      </c>
      <c r="AT399">
        <v>0</v>
      </c>
      <c r="AX399" t="s">
        <v>4501</v>
      </c>
      <c r="BA399" t="s">
        <v>4547</v>
      </c>
      <c r="BD399" t="s">
        <v>230</v>
      </c>
      <c r="BE399" t="s">
        <v>4703</v>
      </c>
    </row>
    <row r="400" spans="1:57">
      <c r="A400" s="1">
        <f>HYPERLINK("https://lsnyc.legalserver.org/matter/dynamic-profile/view/1898534","19-1898534")</f>
        <v>0</v>
      </c>
      <c r="B400" t="s">
        <v>68</v>
      </c>
      <c r="C400" t="s">
        <v>93</v>
      </c>
      <c r="D400" t="s">
        <v>162</v>
      </c>
      <c r="F400" t="s">
        <v>579</v>
      </c>
      <c r="G400" t="s">
        <v>1093</v>
      </c>
      <c r="H400" t="s">
        <v>1632</v>
      </c>
      <c r="I400" t="s">
        <v>1986</v>
      </c>
      <c r="J400" t="s">
        <v>2169</v>
      </c>
      <c r="K400" t="s">
        <v>2171</v>
      </c>
      <c r="L400">
        <v>10027</v>
      </c>
      <c r="M400" t="s">
        <v>2173</v>
      </c>
      <c r="N400" t="s">
        <v>2173</v>
      </c>
      <c r="O400" t="s">
        <v>2179</v>
      </c>
      <c r="P400" t="s">
        <v>2557</v>
      </c>
      <c r="Q400">
        <v>20</v>
      </c>
      <c r="R400" t="s">
        <v>2844</v>
      </c>
      <c r="S400" t="s">
        <v>2857</v>
      </c>
      <c r="U400" t="s">
        <v>2869</v>
      </c>
      <c r="V400" t="s">
        <v>2174</v>
      </c>
      <c r="W400" t="s">
        <v>2174</v>
      </c>
      <c r="Y400" t="s">
        <v>2876</v>
      </c>
      <c r="AA400" t="s">
        <v>162</v>
      </c>
      <c r="AB400">
        <v>0</v>
      </c>
      <c r="AC400">
        <v>524.97</v>
      </c>
      <c r="AD400">
        <v>7.4</v>
      </c>
      <c r="AE400" t="s">
        <v>2894</v>
      </c>
      <c r="AG400" t="s">
        <v>3289</v>
      </c>
      <c r="AI400" t="s">
        <v>4154</v>
      </c>
      <c r="AJ400">
        <v>0</v>
      </c>
      <c r="AK400" t="s">
        <v>4458</v>
      </c>
      <c r="AL400">
        <v>2</v>
      </c>
      <c r="AM400">
        <v>0</v>
      </c>
      <c r="AN400">
        <v>0</v>
      </c>
      <c r="AR400" t="s">
        <v>4478</v>
      </c>
      <c r="AS400" t="s">
        <v>4486</v>
      </c>
      <c r="AT400">
        <v>0</v>
      </c>
      <c r="AX400" t="s">
        <v>4504</v>
      </c>
      <c r="BA400" t="s">
        <v>4539</v>
      </c>
      <c r="BD400" t="s">
        <v>127</v>
      </c>
      <c r="BE400" t="s">
        <v>4703</v>
      </c>
    </row>
    <row r="401" spans="1:57">
      <c r="A401" s="1">
        <f>HYPERLINK("https://lsnyc.legalserver.org/matter/dynamic-profile/view/1898549","19-1898549")</f>
        <v>0</v>
      </c>
      <c r="B401" t="s">
        <v>71</v>
      </c>
      <c r="C401" t="s">
        <v>93</v>
      </c>
      <c r="D401" t="s">
        <v>162</v>
      </c>
      <c r="F401" t="s">
        <v>580</v>
      </c>
      <c r="G401" t="s">
        <v>381</v>
      </c>
      <c r="H401" t="s">
        <v>1650</v>
      </c>
      <c r="I401" t="s">
        <v>1925</v>
      </c>
      <c r="J401" t="s">
        <v>2169</v>
      </c>
      <c r="K401" t="s">
        <v>2171</v>
      </c>
      <c r="L401">
        <v>10027</v>
      </c>
      <c r="M401" t="s">
        <v>2173</v>
      </c>
      <c r="N401" t="s">
        <v>2173</v>
      </c>
      <c r="O401" t="s">
        <v>2175</v>
      </c>
      <c r="P401" t="s">
        <v>2558</v>
      </c>
      <c r="Q401">
        <v>9</v>
      </c>
      <c r="R401" t="s">
        <v>2844</v>
      </c>
      <c r="S401" t="s">
        <v>2857</v>
      </c>
      <c r="U401" t="s">
        <v>2869</v>
      </c>
      <c r="V401" t="s">
        <v>2174</v>
      </c>
      <c r="W401" t="s">
        <v>2174</v>
      </c>
      <c r="Y401" t="s">
        <v>2876</v>
      </c>
      <c r="Z401" t="s">
        <v>2879</v>
      </c>
      <c r="AA401" t="s">
        <v>162</v>
      </c>
      <c r="AB401">
        <v>0</v>
      </c>
      <c r="AC401">
        <v>1238</v>
      </c>
      <c r="AD401">
        <v>8.85</v>
      </c>
      <c r="AE401" t="s">
        <v>2894</v>
      </c>
      <c r="AG401" t="s">
        <v>3290</v>
      </c>
      <c r="AH401" t="s">
        <v>3686</v>
      </c>
      <c r="AI401" t="s">
        <v>4155</v>
      </c>
      <c r="AJ401">
        <v>0</v>
      </c>
      <c r="AK401" t="s">
        <v>4456</v>
      </c>
      <c r="AL401">
        <v>1</v>
      </c>
      <c r="AM401">
        <v>0</v>
      </c>
      <c r="AN401">
        <v>98.38</v>
      </c>
      <c r="AR401" t="s">
        <v>4476</v>
      </c>
      <c r="AS401" t="s">
        <v>4486</v>
      </c>
      <c r="AT401">
        <v>12288</v>
      </c>
      <c r="AX401" t="s">
        <v>4504</v>
      </c>
      <c r="BA401" t="s">
        <v>4534</v>
      </c>
      <c r="BD401" t="s">
        <v>197</v>
      </c>
      <c r="BE401" t="s">
        <v>4704</v>
      </c>
    </row>
    <row r="402" spans="1:57">
      <c r="A402" s="1">
        <f>HYPERLINK("https://lsnyc.legalserver.org/matter/dynamic-profile/view/1898554","19-1898554")</f>
        <v>0</v>
      </c>
      <c r="B402" t="s">
        <v>71</v>
      </c>
      <c r="C402" t="s">
        <v>93</v>
      </c>
      <c r="D402" t="s">
        <v>162</v>
      </c>
      <c r="F402" t="s">
        <v>581</v>
      </c>
      <c r="G402" t="s">
        <v>1027</v>
      </c>
      <c r="H402" t="s">
        <v>1651</v>
      </c>
      <c r="I402" t="s">
        <v>2059</v>
      </c>
      <c r="J402" t="s">
        <v>2169</v>
      </c>
      <c r="K402" t="s">
        <v>2171</v>
      </c>
      <c r="L402">
        <v>10027</v>
      </c>
      <c r="M402" t="s">
        <v>2173</v>
      </c>
      <c r="N402" t="s">
        <v>2173</v>
      </c>
      <c r="O402" t="s">
        <v>2175</v>
      </c>
      <c r="P402" t="s">
        <v>2559</v>
      </c>
      <c r="Q402">
        <v>4</v>
      </c>
      <c r="R402" t="s">
        <v>2844</v>
      </c>
      <c r="S402" t="s">
        <v>2857</v>
      </c>
      <c r="U402" t="s">
        <v>2869</v>
      </c>
      <c r="V402" t="s">
        <v>2174</v>
      </c>
      <c r="W402" t="s">
        <v>2174</v>
      </c>
      <c r="Y402" t="s">
        <v>2875</v>
      </c>
      <c r="AA402" t="s">
        <v>162</v>
      </c>
      <c r="AB402">
        <v>0</v>
      </c>
      <c r="AC402">
        <v>339</v>
      </c>
      <c r="AD402">
        <v>0.3</v>
      </c>
      <c r="AE402" t="s">
        <v>2894</v>
      </c>
      <c r="AG402" t="s">
        <v>3291</v>
      </c>
      <c r="AH402" t="s">
        <v>3687</v>
      </c>
      <c r="AI402" t="s">
        <v>4156</v>
      </c>
      <c r="AJ402">
        <v>0</v>
      </c>
      <c r="AK402" t="s">
        <v>4459</v>
      </c>
      <c r="AL402">
        <v>1</v>
      </c>
      <c r="AM402">
        <v>1</v>
      </c>
      <c r="AN402">
        <v>63.67</v>
      </c>
      <c r="AR402" t="s">
        <v>4476</v>
      </c>
      <c r="AS402" t="s">
        <v>4486</v>
      </c>
      <c r="AT402">
        <v>10766</v>
      </c>
      <c r="AX402" t="s">
        <v>4501</v>
      </c>
      <c r="BA402" t="s">
        <v>4600</v>
      </c>
      <c r="BD402" t="s">
        <v>221</v>
      </c>
    </row>
    <row r="403" spans="1:57">
      <c r="A403" s="1">
        <f>HYPERLINK("https://lsnyc.legalserver.org/matter/dynamic-profile/view/1899194","19-1899194")</f>
        <v>0</v>
      </c>
      <c r="B403" t="s">
        <v>64</v>
      </c>
      <c r="C403" t="s">
        <v>92</v>
      </c>
      <c r="D403" t="s">
        <v>113</v>
      </c>
      <c r="E403" t="s">
        <v>174</v>
      </c>
      <c r="F403" t="s">
        <v>582</v>
      </c>
      <c r="G403" t="s">
        <v>1094</v>
      </c>
      <c r="H403" t="s">
        <v>1651</v>
      </c>
      <c r="I403" t="s">
        <v>2060</v>
      </c>
      <c r="J403" t="s">
        <v>2169</v>
      </c>
      <c r="K403" t="s">
        <v>2171</v>
      </c>
      <c r="L403">
        <v>10027</v>
      </c>
      <c r="M403" t="s">
        <v>2173</v>
      </c>
      <c r="N403" t="s">
        <v>2172</v>
      </c>
      <c r="O403" t="s">
        <v>2175</v>
      </c>
      <c r="P403" t="s">
        <v>2560</v>
      </c>
      <c r="Q403">
        <v>4</v>
      </c>
      <c r="R403" t="s">
        <v>2844</v>
      </c>
      <c r="S403" t="s">
        <v>2857</v>
      </c>
      <c r="T403" t="s">
        <v>2866</v>
      </c>
      <c r="U403" t="s">
        <v>2869</v>
      </c>
      <c r="V403" t="s">
        <v>2174</v>
      </c>
      <c r="W403" t="s">
        <v>2173</v>
      </c>
      <c r="Y403" t="s">
        <v>2875</v>
      </c>
      <c r="Z403" t="s">
        <v>2879</v>
      </c>
      <c r="AA403" t="s">
        <v>113</v>
      </c>
      <c r="AB403">
        <v>0</v>
      </c>
      <c r="AC403">
        <v>293</v>
      </c>
      <c r="AD403">
        <v>9.1</v>
      </c>
      <c r="AE403" t="s">
        <v>2894</v>
      </c>
      <c r="AF403" t="s">
        <v>2903</v>
      </c>
      <c r="AG403" t="s">
        <v>3292</v>
      </c>
      <c r="AH403" t="s">
        <v>3688</v>
      </c>
      <c r="AI403" t="s">
        <v>4157</v>
      </c>
      <c r="AJ403">
        <v>0</v>
      </c>
      <c r="AK403" t="s">
        <v>4457</v>
      </c>
      <c r="AL403">
        <v>1</v>
      </c>
      <c r="AM403">
        <v>1</v>
      </c>
      <c r="AN403">
        <v>44.99</v>
      </c>
      <c r="AS403" t="s">
        <v>4486</v>
      </c>
      <c r="AT403">
        <v>7608</v>
      </c>
      <c r="AX403" t="s">
        <v>4507</v>
      </c>
      <c r="AY403" t="s">
        <v>4514</v>
      </c>
      <c r="AZ403" t="s">
        <v>4526</v>
      </c>
      <c r="BA403" t="s">
        <v>4560</v>
      </c>
      <c r="BB403" t="s">
        <v>4632</v>
      </c>
      <c r="BC403" t="s">
        <v>4655</v>
      </c>
      <c r="BD403" t="s">
        <v>165</v>
      </c>
      <c r="BE403" t="s">
        <v>4704</v>
      </c>
    </row>
    <row r="404" spans="1:57">
      <c r="A404" s="1">
        <f>HYPERLINK("https://lsnyc.legalserver.org/matter/dynamic-profile/view/1899227","19-1899227")</f>
        <v>0</v>
      </c>
      <c r="B404" t="s">
        <v>68</v>
      </c>
      <c r="C404" t="s">
        <v>93</v>
      </c>
      <c r="D404" t="s">
        <v>113</v>
      </c>
      <c r="F404" t="s">
        <v>583</v>
      </c>
      <c r="G404" t="s">
        <v>1095</v>
      </c>
      <c r="H404" t="s">
        <v>1652</v>
      </c>
      <c r="I404" t="s">
        <v>2061</v>
      </c>
      <c r="J404" t="s">
        <v>2169</v>
      </c>
      <c r="K404" t="s">
        <v>2171</v>
      </c>
      <c r="L404">
        <v>10027</v>
      </c>
      <c r="M404" t="s">
        <v>2173</v>
      </c>
      <c r="N404" t="s">
        <v>2172</v>
      </c>
      <c r="O404" t="s">
        <v>2175</v>
      </c>
      <c r="P404" t="s">
        <v>2561</v>
      </c>
      <c r="Q404">
        <v>3</v>
      </c>
      <c r="R404" t="s">
        <v>2844</v>
      </c>
      <c r="S404" t="s">
        <v>2857</v>
      </c>
      <c r="U404" t="s">
        <v>2869</v>
      </c>
      <c r="V404" t="s">
        <v>2174</v>
      </c>
      <c r="W404" t="s">
        <v>2174</v>
      </c>
      <c r="Y404" t="s">
        <v>2876</v>
      </c>
      <c r="AA404" t="s">
        <v>113</v>
      </c>
      <c r="AB404">
        <v>0</v>
      </c>
      <c r="AC404">
        <v>712.1799999999999</v>
      </c>
      <c r="AD404">
        <v>5.35</v>
      </c>
      <c r="AE404" t="s">
        <v>2894</v>
      </c>
      <c r="AG404" t="s">
        <v>3293</v>
      </c>
      <c r="AI404" t="s">
        <v>4158</v>
      </c>
      <c r="AJ404">
        <v>0</v>
      </c>
      <c r="AK404" t="s">
        <v>4458</v>
      </c>
      <c r="AL404">
        <v>1</v>
      </c>
      <c r="AM404">
        <v>0</v>
      </c>
      <c r="AN404">
        <v>141.04</v>
      </c>
      <c r="AS404" t="s">
        <v>4486</v>
      </c>
      <c r="AT404">
        <v>17616</v>
      </c>
      <c r="AX404" t="s">
        <v>4507</v>
      </c>
      <c r="BA404" t="s">
        <v>4582</v>
      </c>
      <c r="BD404" t="s">
        <v>4697</v>
      </c>
      <c r="BE404" t="s">
        <v>4703</v>
      </c>
    </row>
    <row r="405" spans="1:57">
      <c r="A405" s="1">
        <f>HYPERLINK("https://lsnyc.legalserver.org/matter/dynamic-profile/view/1899239","19-1899239")</f>
        <v>0</v>
      </c>
      <c r="B405" t="s">
        <v>64</v>
      </c>
      <c r="C405" t="s">
        <v>93</v>
      </c>
      <c r="D405" t="s">
        <v>113</v>
      </c>
      <c r="F405" t="s">
        <v>584</v>
      </c>
      <c r="G405" t="s">
        <v>1096</v>
      </c>
      <c r="H405" t="s">
        <v>1579</v>
      </c>
      <c r="I405" t="s">
        <v>2062</v>
      </c>
      <c r="J405" t="s">
        <v>2169</v>
      </c>
      <c r="K405" t="s">
        <v>2171</v>
      </c>
      <c r="L405">
        <v>10027</v>
      </c>
      <c r="M405" t="s">
        <v>2173</v>
      </c>
      <c r="N405" t="s">
        <v>2172</v>
      </c>
      <c r="O405" t="s">
        <v>2175</v>
      </c>
      <c r="P405" t="s">
        <v>2562</v>
      </c>
      <c r="Q405">
        <v>17</v>
      </c>
      <c r="R405" t="s">
        <v>2844</v>
      </c>
      <c r="S405" t="s">
        <v>2857</v>
      </c>
      <c r="U405" t="s">
        <v>2869</v>
      </c>
      <c r="V405" t="s">
        <v>2174</v>
      </c>
      <c r="W405" t="s">
        <v>2173</v>
      </c>
      <c r="Y405" t="s">
        <v>2876</v>
      </c>
      <c r="AA405" t="s">
        <v>113</v>
      </c>
      <c r="AB405">
        <v>0</v>
      </c>
      <c r="AC405">
        <v>1451.86</v>
      </c>
      <c r="AD405">
        <v>15.8</v>
      </c>
      <c r="AE405" t="s">
        <v>2894</v>
      </c>
      <c r="AG405" t="s">
        <v>3294</v>
      </c>
      <c r="AI405" t="s">
        <v>4159</v>
      </c>
      <c r="AJ405">
        <v>16</v>
      </c>
      <c r="AK405" t="s">
        <v>4456</v>
      </c>
      <c r="AL405">
        <v>1</v>
      </c>
      <c r="AM405">
        <v>0</v>
      </c>
      <c r="AN405">
        <v>211.37</v>
      </c>
      <c r="AO405" t="s">
        <v>124</v>
      </c>
      <c r="AP405" t="s">
        <v>4472</v>
      </c>
      <c r="AR405" t="s">
        <v>4476</v>
      </c>
      <c r="AS405" t="s">
        <v>4486</v>
      </c>
      <c r="AT405">
        <v>26400</v>
      </c>
      <c r="AX405" t="s">
        <v>4507</v>
      </c>
      <c r="BA405" t="s">
        <v>4592</v>
      </c>
      <c r="BD405" t="s">
        <v>154</v>
      </c>
      <c r="BE405" t="s">
        <v>4703</v>
      </c>
    </row>
    <row r="406" spans="1:57">
      <c r="A406" s="1">
        <f>HYPERLINK("https://lsnyc.legalserver.org/matter/dynamic-profile/view/1899273","19-1899273")</f>
        <v>0</v>
      </c>
      <c r="B406" t="s">
        <v>66</v>
      </c>
      <c r="C406" t="s">
        <v>93</v>
      </c>
      <c r="D406" t="s">
        <v>113</v>
      </c>
      <c r="F406" t="s">
        <v>255</v>
      </c>
      <c r="G406" t="s">
        <v>972</v>
      </c>
      <c r="H406" t="s">
        <v>1653</v>
      </c>
      <c r="I406">
        <v>20</v>
      </c>
      <c r="J406" t="s">
        <v>2169</v>
      </c>
      <c r="K406" t="s">
        <v>2171</v>
      </c>
      <c r="L406">
        <v>10027</v>
      </c>
      <c r="M406" t="s">
        <v>2172</v>
      </c>
      <c r="N406" t="s">
        <v>2172</v>
      </c>
      <c r="O406" t="s">
        <v>2175</v>
      </c>
      <c r="P406" t="s">
        <v>2563</v>
      </c>
      <c r="Q406">
        <v>15</v>
      </c>
      <c r="R406" t="s">
        <v>2844</v>
      </c>
      <c r="S406" t="s">
        <v>2857</v>
      </c>
      <c r="U406" t="s">
        <v>2869</v>
      </c>
      <c r="V406" t="s">
        <v>2174</v>
      </c>
      <c r="W406" t="s">
        <v>2174</v>
      </c>
      <c r="Y406" t="s">
        <v>2876</v>
      </c>
      <c r="AA406" t="s">
        <v>113</v>
      </c>
      <c r="AB406">
        <v>0</v>
      </c>
      <c r="AC406">
        <v>1020</v>
      </c>
      <c r="AD406">
        <v>21.7</v>
      </c>
      <c r="AE406" t="s">
        <v>2894</v>
      </c>
      <c r="AG406" t="s">
        <v>3295</v>
      </c>
      <c r="AI406" t="s">
        <v>4160</v>
      </c>
      <c r="AJ406">
        <v>22</v>
      </c>
      <c r="AK406" t="s">
        <v>4458</v>
      </c>
      <c r="AL406">
        <v>3</v>
      </c>
      <c r="AM406">
        <v>0</v>
      </c>
      <c r="AN406">
        <v>292.55</v>
      </c>
      <c r="AS406" t="s">
        <v>4487</v>
      </c>
      <c r="AT406">
        <v>62400</v>
      </c>
      <c r="AX406" t="s">
        <v>4507</v>
      </c>
      <c r="BA406" t="s">
        <v>4592</v>
      </c>
      <c r="BD406" t="s">
        <v>4684</v>
      </c>
      <c r="BE406" t="s">
        <v>4703</v>
      </c>
    </row>
    <row r="407" spans="1:57">
      <c r="A407" s="1">
        <f>HYPERLINK("https://lsnyc.legalserver.org/matter/dynamic-profile/view/1899292","19-1899292")</f>
        <v>0</v>
      </c>
      <c r="B407" t="s">
        <v>68</v>
      </c>
      <c r="C407" t="s">
        <v>93</v>
      </c>
      <c r="D407" t="s">
        <v>113</v>
      </c>
      <c r="F407" t="s">
        <v>320</v>
      </c>
      <c r="G407" t="s">
        <v>1054</v>
      </c>
      <c r="H407" t="s">
        <v>1587</v>
      </c>
      <c r="I407" t="s">
        <v>2063</v>
      </c>
      <c r="J407" t="s">
        <v>2169</v>
      </c>
      <c r="K407" t="s">
        <v>2171</v>
      </c>
      <c r="L407">
        <v>10027</v>
      </c>
      <c r="M407" t="s">
        <v>2173</v>
      </c>
      <c r="N407" t="s">
        <v>2172</v>
      </c>
      <c r="O407" t="s">
        <v>2175</v>
      </c>
      <c r="P407" t="s">
        <v>2564</v>
      </c>
      <c r="Q407">
        <v>22</v>
      </c>
      <c r="R407" t="s">
        <v>2844</v>
      </c>
      <c r="S407" t="s">
        <v>2857</v>
      </c>
      <c r="U407" t="s">
        <v>2869</v>
      </c>
      <c r="V407" t="s">
        <v>2174</v>
      </c>
      <c r="W407" t="s">
        <v>2174</v>
      </c>
      <c r="Y407" t="s">
        <v>2875</v>
      </c>
      <c r="AA407" t="s">
        <v>113</v>
      </c>
      <c r="AB407">
        <v>0</v>
      </c>
      <c r="AC407">
        <v>246</v>
      </c>
      <c r="AD407">
        <v>14.8</v>
      </c>
      <c r="AE407" t="s">
        <v>2894</v>
      </c>
      <c r="AG407" t="s">
        <v>3296</v>
      </c>
      <c r="AH407" t="s">
        <v>3689</v>
      </c>
      <c r="AI407" t="s">
        <v>4161</v>
      </c>
      <c r="AJ407">
        <v>132</v>
      </c>
      <c r="AK407" t="s">
        <v>4459</v>
      </c>
      <c r="AL407">
        <v>1</v>
      </c>
      <c r="AM407">
        <v>0</v>
      </c>
      <c r="AN407">
        <v>81.86</v>
      </c>
      <c r="AS407" t="s">
        <v>4486</v>
      </c>
      <c r="AT407">
        <v>10224</v>
      </c>
      <c r="AX407" t="s">
        <v>4507</v>
      </c>
      <c r="BA407" t="s">
        <v>4590</v>
      </c>
      <c r="BD407" t="s">
        <v>197</v>
      </c>
      <c r="BE407" t="s">
        <v>4703</v>
      </c>
    </row>
    <row r="408" spans="1:57">
      <c r="A408" s="1">
        <f>HYPERLINK("https://lsnyc.legalserver.org/matter/dynamic-profile/view/1899652","19-1899652")</f>
        <v>0</v>
      </c>
      <c r="B408" t="s">
        <v>62</v>
      </c>
      <c r="C408" t="s">
        <v>93</v>
      </c>
      <c r="D408" t="s">
        <v>170</v>
      </c>
      <c r="F408" t="s">
        <v>585</v>
      </c>
      <c r="G408" t="s">
        <v>1097</v>
      </c>
      <c r="H408" t="s">
        <v>1593</v>
      </c>
      <c r="I408">
        <v>512</v>
      </c>
      <c r="J408" t="s">
        <v>2169</v>
      </c>
      <c r="K408" t="s">
        <v>2171</v>
      </c>
      <c r="L408">
        <v>10027</v>
      </c>
      <c r="M408" t="s">
        <v>2173</v>
      </c>
      <c r="N408" t="s">
        <v>2172</v>
      </c>
      <c r="O408" t="s">
        <v>2177</v>
      </c>
      <c r="P408" t="s">
        <v>2565</v>
      </c>
      <c r="Q408">
        <v>7</v>
      </c>
      <c r="R408" t="s">
        <v>2844</v>
      </c>
      <c r="S408" t="s">
        <v>2857</v>
      </c>
      <c r="U408" t="s">
        <v>2869</v>
      </c>
      <c r="V408" t="s">
        <v>2174</v>
      </c>
      <c r="W408" t="s">
        <v>2174</v>
      </c>
      <c r="Y408" t="s">
        <v>2876</v>
      </c>
      <c r="Z408" t="s">
        <v>2879</v>
      </c>
      <c r="AA408" t="s">
        <v>170</v>
      </c>
      <c r="AB408">
        <v>0</v>
      </c>
      <c r="AC408">
        <v>887.4</v>
      </c>
      <c r="AD408">
        <v>3.1</v>
      </c>
      <c r="AE408" t="s">
        <v>2894</v>
      </c>
      <c r="AG408" t="s">
        <v>3297</v>
      </c>
      <c r="AI408" t="s">
        <v>4162</v>
      </c>
      <c r="AJ408">
        <v>0</v>
      </c>
      <c r="AK408" t="s">
        <v>4456</v>
      </c>
      <c r="AL408">
        <v>1</v>
      </c>
      <c r="AM408">
        <v>1</v>
      </c>
      <c r="AN408">
        <v>79.65000000000001</v>
      </c>
      <c r="AR408" t="s">
        <v>4476</v>
      </c>
      <c r="AS408" t="s">
        <v>4486</v>
      </c>
      <c r="AT408">
        <v>13468</v>
      </c>
      <c r="AX408" t="s">
        <v>4504</v>
      </c>
      <c r="BA408" t="s">
        <v>4607</v>
      </c>
      <c r="BD408" t="s">
        <v>124</v>
      </c>
      <c r="BE408" t="s">
        <v>4703</v>
      </c>
    </row>
    <row r="409" spans="1:57">
      <c r="A409" s="1">
        <f>HYPERLINK("https://lsnyc.legalserver.org/matter/dynamic-profile/view/1899832","19-1899832")</f>
        <v>0</v>
      </c>
      <c r="B409" t="s">
        <v>69</v>
      </c>
      <c r="C409" t="s">
        <v>93</v>
      </c>
      <c r="D409" t="s">
        <v>95</v>
      </c>
      <c r="F409" t="s">
        <v>586</v>
      </c>
      <c r="G409" t="s">
        <v>889</v>
      </c>
      <c r="H409" t="s">
        <v>1654</v>
      </c>
      <c r="I409" t="s">
        <v>1957</v>
      </c>
      <c r="J409" t="s">
        <v>2169</v>
      </c>
      <c r="K409" t="s">
        <v>2171</v>
      </c>
      <c r="L409">
        <v>10027</v>
      </c>
      <c r="M409" t="s">
        <v>2173</v>
      </c>
      <c r="N409" t="s">
        <v>2172</v>
      </c>
      <c r="O409" t="s">
        <v>2175</v>
      </c>
      <c r="P409" t="s">
        <v>2566</v>
      </c>
      <c r="Q409">
        <v>1</v>
      </c>
      <c r="R409" t="s">
        <v>2844</v>
      </c>
      <c r="S409" t="s">
        <v>2857</v>
      </c>
      <c r="U409" t="s">
        <v>2869</v>
      </c>
      <c r="V409" t="s">
        <v>2174</v>
      </c>
      <c r="W409" t="s">
        <v>2174</v>
      </c>
      <c r="Y409" t="s">
        <v>2875</v>
      </c>
      <c r="AB409">
        <v>0</v>
      </c>
      <c r="AC409">
        <v>441</v>
      </c>
      <c r="AD409">
        <v>3</v>
      </c>
      <c r="AE409" t="s">
        <v>2894</v>
      </c>
      <c r="AG409" t="s">
        <v>3298</v>
      </c>
      <c r="AI409" t="s">
        <v>4163</v>
      </c>
      <c r="AJ409">
        <v>0</v>
      </c>
      <c r="AK409" t="s">
        <v>4459</v>
      </c>
      <c r="AL409">
        <v>1</v>
      </c>
      <c r="AM409">
        <v>2</v>
      </c>
      <c r="AN409">
        <v>60.44</v>
      </c>
      <c r="AT409">
        <v>12892</v>
      </c>
      <c r="AX409" t="s">
        <v>4506</v>
      </c>
      <c r="BA409" t="s">
        <v>4600</v>
      </c>
      <c r="BD409" t="s">
        <v>203</v>
      </c>
      <c r="BE409" t="s">
        <v>4703</v>
      </c>
    </row>
    <row r="410" spans="1:57">
      <c r="A410" s="1">
        <f>HYPERLINK("https://lsnyc.legalserver.org/matter/dynamic-profile/view/1899840","19-1899840")</f>
        <v>0</v>
      </c>
      <c r="B410" t="s">
        <v>73</v>
      </c>
      <c r="C410" t="s">
        <v>92</v>
      </c>
      <c r="D410" t="s">
        <v>95</v>
      </c>
      <c r="E410" t="s">
        <v>125</v>
      </c>
      <c r="F410" t="s">
        <v>587</v>
      </c>
      <c r="G410" t="s">
        <v>1098</v>
      </c>
      <c r="H410" t="s">
        <v>1655</v>
      </c>
      <c r="I410" t="s">
        <v>1924</v>
      </c>
      <c r="J410" t="s">
        <v>2169</v>
      </c>
      <c r="K410" t="s">
        <v>2171</v>
      </c>
      <c r="L410">
        <v>10027</v>
      </c>
      <c r="M410" t="s">
        <v>2173</v>
      </c>
      <c r="N410" t="s">
        <v>2172</v>
      </c>
      <c r="P410" t="s">
        <v>2567</v>
      </c>
      <c r="Q410">
        <v>40</v>
      </c>
      <c r="R410" t="s">
        <v>2844</v>
      </c>
      <c r="S410" t="s">
        <v>2857</v>
      </c>
      <c r="T410" t="s">
        <v>2864</v>
      </c>
      <c r="U410" t="s">
        <v>2869</v>
      </c>
      <c r="V410" t="s">
        <v>2174</v>
      </c>
      <c r="W410" t="s">
        <v>2174</v>
      </c>
      <c r="Y410" t="s">
        <v>2876</v>
      </c>
      <c r="Z410" t="s">
        <v>2882</v>
      </c>
      <c r="AA410" t="s">
        <v>230</v>
      </c>
      <c r="AB410">
        <v>0</v>
      </c>
      <c r="AC410">
        <v>1016.25</v>
      </c>
      <c r="AD410">
        <v>10.45</v>
      </c>
      <c r="AE410" t="s">
        <v>2894</v>
      </c>
      <c r="AF410" t="s">
        <v>2898</v>
      </c>
      <c r="AG410" t="s">
        <v>3299</v>
      </c>
      <c r="AI410" t="s">
        <v>4164</v>
      </c>
      <c r="AJ410">
        <v>0</v>
      </c>
      <c r="AK410" t="s">
        <v>4458</v>
      </c>
      <c r="AL410">
        <v>1</v>
      </c>
      <c r="AM410">
        <v>0</v>
      </c>
      <c r="AN410">
        <v>317.05</v>
      </c>
      <c r="AO410" t="s">
        <v>2887</v>
      </c>
      <c r="AP410" t="s">
        <v>4472</v>
      </c>
      <c r="AR410" t="s">
        <v>4476</v>
      </c>
      <c r="AS410" t="s">
        <v>4494</v>
      </c>
      <c r="AT410">
        <v>39600</v>
      </c>
      <c r="AX410" t="s">
        <v>4499</v>
      </c>
      <c r="AZ410" t="s">
        <v>4527</v>
      </c>
      <c r="BA410" t="s">
        <v>4615</v>
      </c>
      <c r="BB410" t="s">
        <v>4632</v>
      </c>
      <c r="BC410" t="s">
        <v>4656</v>
      </c>
      <c r="BD410" t="s">
        <v>171</v>
      </c>
      <c r="BE410" t="s">
        <v>4703</v>
      </c>
    </row>
    <row r="411" spans="1:57">
      <c r="A411" s="1">
        <f>HYPERLINK("https://lsnyc.legalserver.org/matter/dynamic-profile/view/1899864","19-1899864")</f>
        <v>0</v>
      </c>
      <c r="B411" t="s">
        <v>57</v>
      </c>
      <c r="C411" t="s">
        <v>93</v>
      </c>
      <c r="D411" t="s">
        <v>95</v>
      </c>
      <c r="F411" t="s">
        <v>588</v>
      </c>
      <c r="G411" t="s">
        <v>889</v>
      </c>
      <c r="H411" t="s">
        <v>1656</v>
      </c>
      <c r="I411" t="s">
        <v>2064</v>
      </c>
      <c r="J411" t="s">
        <v>2169</v>
      </c>
      <c r="K411" t="s">
        <v>2171</v>
      </c>
      <c r="L411">
        <v>10027</v>
      </c>
      <c r="M411" t="s">
        <v>2173</v>
      </c>
      <c r="N411" t="s">
        <v>2172</v>
      </c>
      <c r="O411" t="s">
        <v>2175</v>
      </c>
      <c r="P411" t="s">
        <v>2568</v>
      </c>
      <c r="Q411">
        <v>13</v>
      </c>
      <c r="R411" t="s">
        <v>2844</v>
      </c>
      <c r="S411" t="s">
        <v>2857</v>
      </c>
      <c r="U411" t="s">
        <v>2869</v>
      </c>
      <c r="V411" t="s">
        <v>2174</v>
      </c>
      <c r="W411" t="s">
        <v>2174</v>
      </c>
      <c r="Y411" t="s">
        <v>2876</v>
      </c>
      <c r="AA411" t="s">
        <v>95</v>
      </c>
      <c r="AB411">
        <v>0</v>
      </c>
      <c r="AC411">
        <v>1291</v>
      </c>
      <c r="AD411">
        <v>4</v>
      </c>
      <c r="AE411" t="s">
        <v>2894</v>
      </c>
      <c r="AG411" t="s">
        <v>3300</v>
      </c>
      <c r="AH411" t="s">
        <v>3690</v>
      </c>
      <c r="AI411" t="s">
        <v>4165</v>
      </c>
      <c r="AJ411">
        <v>0</v>
      </c>
      <c r="AL411">
        <v>1</v>
      </c>
      <c r="AM411">
        <v>0</v>
      </c>
      <c r="AN411">
        <v>72.15000000000001</v>
      </c>
      <c r="AR411" t="s">
        <v>4478</v>
      </c>
      <c r="AS411" t="s">
        <v>4486</v>
      </c>
      <c r="AT411">
        <v>9012</v>
      </c>
      <c r="AX411" t="s">
        <v>4506</v>
      </c>
      <c r="BA411" t="s">
        <v>4548</v>
      </c>
      <c r="BD411" t="s">
        <v>226</v>
      </c>
      <c r="BE411" t="s">
        <v>4704</v>
      </c>
    </row>
    <row r="412" spans="1:57">
      <c r="A412" s="1">
        <f>HYPERLINK("https://lsnyc.legalserver.org/matter/dynamic-profile/view/1899900","19-1899900")</f>
        <v>0</v>
      </c>
      <c r="B412" t="s">
        <v>68</v>
      </c>
      <c r="C412" t="s">
        <v>93</v>
      </c>
      <c r="D412" t="s">
        <v>95</v>
      </c>
      <c r="F412" t="s">
        <v>490</v>
      </c>
      <c r="G412" t="s">
        <v>1099</v>
      </c>
      <c r="H412" t="s">
        <v>1657</v>
      </c>
      <c r="I412">
        <v>25</v>
      </c>
      <c r="J412" t="s">
        <v>2169</v>
      </c>
      <c r="K412" t="s">
        <v>2171</v>
      </c>
      <c r="L412">
        <v>10027</v>
      </c>
      <c r="M412" t="s">
        <v>2173</v>
      </c>
      <c r="N412" t="s">
        <v>2172</v>
      </c>
      <c r="O412" t="s">
        <v>2175</v>
      </c>
      <c r="P412" t="s">
        <v>2569</v>
      </c>
      <c r="Q412">
        <v>12</v>
      </c>
      <c r="R412" t="s">
        <v>2844</v>
      </c>
      <c r="S412" t="s">
        <v>2857</v>
      </c>
      <c r="U412" t="s">
        <v>2869</v>
      </c>
      <c r="V412" t="s">
        <v>2174</v>
      </c>
      <c r="W412" t="s">
        <v>2174</v>
      </c>
      <c r="Y412" t="s">
        <v>2876</v>
      </c>
      <c r="Z412" t="s">
        <v>2879</v>
      </c>
      <c r="AA412" t="s">
        <v>95</v>
      </c>
      <c r="AB412">
        <v>0</v>
      </c>
      <c r="AC412">
        <v>1927</v>
      </c>
      <c r="AD412">
        <v>9.5</v>
      </c>
      <c r="AE412" t="s">
        <v>2894</v>
      </c>
      <c r="AG412" t="s">
        <v>3301</v>
      </c>
      <c r="AI412" t="s">
        <v>4166</v>
      </c>
      <c r="AJ412">
        <v>0</v>
      </c>
      <c r="AK412" t="s">
        <v>4456</v>
      </c>
      <c r="AL412">
        <v>2</v>
      </c>
      <c r="AM412">
        <v>4</v>
      </c>
      <c r="AN412">
        <v>186.14</v>
      </c>
      <c r="AR412" t="s">
        <v>4476</v>
      </c>
      <c r="AS412" t="s">
        <v>4486</v>
      </c>
      <c r="AT412">
        <v>64385</v>
      </c>
      <c r="AX412" t="s">
        <v>4504</v>
      </c>
      <c r="BA412" t="s">
        <v>4537</v>
      </c>
      <c r="BD412" t="s">
        <v>217</v>
      </c>
      <c r="BE412" t="s">
        <v>4703</v>
      </c>
    </row>
    <row r="413" spans="1:57">
      <c r="A413" s="1">
        <f>HYPERLINK("https://lsnyc.legalserver.org/matter/dynamic-profile/view/1900362","19-1900362")</f>
        <v>0</v>
      </c>
      <c r="B413" t="s">
        <v>73</v>
      </c>
      <c r="C413" t="s">
        <v>93</v>
      </c>
      <c r="D413" t="s">
        <v>183</v>
      </c>
      <c r="F413" t="s">
        <v>325</v>
      </c>
      <c r="G413" t="s">
        <v>1100</v>
      </c>
      <c r="H413" t="s">
        <v>1654</v>
      </c>
      <c r="I413" t="s">
        <v>1937</v>
      </c>
      <c r="J413" t="s">
        <v>2169</v>
      </c>
      <c r="K413" t="s">
        <v>2171</v>
      </c>
      <c r="L413">
        <v>10027</v>
      </c>
      <c r="M413" t="s">
        <v>2173</v>
      </c>
      <c r="N413" t="s">
        <v>2172</v>
      </c>
      <c r="O413" t="s">
        <v>2179</v>
      </c>
      <c r="P413" t="s">
        <v>2570</v>
      </c>
      <c r="Q413">
        <v>18</v>
      </c>
      <c r="R413" t="s">
        <v>2844</v>
      </c>
      <c r="S413" t="s">
        <v>2857</v>
      </c>
      <c r="U413" t="s">
        <v>2869</v>
      </c>
      <c r="V413" t="s">
        <v>2174</v>
      </c>
      <c r="W413" t="s">
        <v>2174</v>
      </c>
      <c r="Y413" t="s">
        <v>2875</v>
      </c>
      <c r="Z413" t="s">
        <v>2880</v>
      </c>
      <c r="AA413" t="s">
        <v>183</v>
      </c>
      <c r="AB413">
        <v>0</v>
      </c>
      <c r="AC413">
        <v>1382</v>
      </c>
      <c r="AD413">
        <v>7.7</v>
      </c>
      <c r="AE413" t="s">
        <v>2894</v>
      </c>
      <c r="AG413" t="s">
        <v>3302</v>
      </c>
      <c r="AI413" t="s">
        <v>4167</v>
      </c>
      <c r="AJ413">
        <v>213</v>
      </c>
      <c r="AK413" t="s">
        <v>4459</v>
      </c>
      <c r="AL413">
        <v>2</v>
      </c>
      <c r="AM413">
        <v>0</v>
      </c>
      <c r="AN413">
        <v>120.7</v>
      </c>
      <c r="AR413" t="s">
        <v>4476</v>
      </c>
      <c r="AS413" t="s">
        <v>4486</v>
      </c>
      <c r="AT413">
        <v>20410</v>
      </c>
      <c r="AX413" t="s">
        <v>4501</v>
      </c>
      <c r="AY413" t="s">
        <v>4514</v>
      </c>
      <c r="AZ413" t="s">
        <v>4527</v>
      </c>
      <c r="BA413" t="s">
        <v>4546</v>
      </c>
      <c r="BB413" t="s">
        <v>4632</v>
      </c>
      <c r="BC413" t="s">
        <v>4657</v>
      </c>
      <c r="BD413" t="s">
        <v>194</v>
      </c>
      <c r="BE413" t="s">
        <v>4703</v>
      </c>
    </row>
    <row r="414" spans="1:57">
      <c r="A414" s="1">
        <f>HYPERLINK("https://lsnyc.legalserver.org/matter/dynamic-profile/view/1901680","19-1901680")</f>
        <v>0</v>
      </c>
      <c r="B414" t="s">
        <v>73</v>
      </c>
      <c r="C414" t="s">
        <v>93</v>
      </c>
      <c r="D414" t="s">
        <v>147</v>
      </c>
      <c r="F414" t="s">
        <v>338</v>
      </c>
      <c r="G414" t="s">
        <v>1086</v>
      </c>
      <c r="H414" t="s">
        <v>1586</v>
      </c>
      <c r="I414" t="s">
        <v>1939</v>
      </c>
      <c r="J414" t="s">
        <v>2169</v>
      </c>
      <c r="K414" t="s">
        <v>2171</v>
      </c>
      <c r="L414">
        <v>10027</v>
      </c>
      <c r="M414" t="s">
        <v>2173</v>
      </c>
      <c r="N414" t="s">
        <v>2172</v>
      </c>
      <c r="O414" t="s">
        <v>2175</v>
      </c>
      <c r="P414" t="s">
        <v>2571</v>
      </c>
      <c r="Q414">
        <v>12</v>
      </c>
      <c r="R414" t="s">
        <v>2844</v>
      </c>
      <c r="S414" t="s">
        <v>2857</v>
      </c>
      <c r="U414" t="s">
        <v>2869</v>
      </c>
      <c r="V414" t="s">
        <v>2174</v>
      </c>
      <c r="W414" t="s">
        <v>2174</v>
      </c>
      <c r="Y414" t="s">
        <v>2875</v>
      </c>
      <c r="Z414" t="s">
        <v>2879</v>
      </c>
      <c r="AA414" t="s">
        <v>147</v>
      </c>
      <c r="AB414">
        <v>0</v>
      </c>
      <c r="AC414">
        <v>256</v>
      </c>
      <c r="AD414">
        <v>6.85</v>
      </c>
      <c r="AE414" t="s">
        <v>2894</v>
      </c>
      <c r="AG414" t="s">
        <v>3303</v>
      </c>
      <c r="AH414" t="s">
        <v>3691</v>
      </c>
      <c r="AI414" t="s">
        <v>4168</v>
      </c>
      <c r="AJ414">
        <v>211</v>
      </c>
      <c r="AK414" t="s">
        <v>4459</v>
      </c>
      <c r="AL414">
        <v>2</v>
      </c>
      <c r="AM414">
        <v>0</v>
      </c>
      <c r="AN414">
        <v>57.13</v>
      </c>
      <c r="AR414" t="s">
        <v>4476</v>
      </c>
      <c r="AS414" t="s">
        <v>4486</v>
      </c>
      <c r="AT414">
        <v>9660</v>
      </c>
      <c r="AX414" t="s">
        <v>4501</v>
      </c>
      <c r="BA414" t="s">
        <v>4548</v>
      </c>
      <c r="BD414" t="s">
        <v>96</v>
      </c>
      <c r="BE414" t="s">
        <v>4704</v>
      </c>
    </row>
    <row r="415" spans="1:57">
      <c r="A415" s="1">
        <f>HYPERLINK("https://lsnyc.legalserver.org/matter/dynamic-profile/view/1902507","19-1902507")</f>
        <v>0</v>
      </c>
      <c r="B415" t="s">
        <v>66</v>
      </c>
      <c r="C415" t="s">
        <v>93</v>
      </c>
      <c r="D415" t="s">
        <v>173</v>
      </c>
      <c r="F415" t="s">
        <v>268</v>
      </c>
      <c r="G415" t="s">
        <v>1101</v>
      </c>
      <c r="H415" t="s">
        <v>1658</v>
      </c>
      <c r="J415" t="s">
        <v>2169</v>
      </c>
      <c r="K415" t="s">
        <v>2171</v>
      </c>
      <c r="L415">
        <v>10027</v>
      </c>
      <c r="M415" t="s">
        <v>2173</v>
      </c>
      <c r="N415" t="s">
        <v>2172</v>
      </c>
      <c r="O415" t="s">
        <v>2179</v>
      </c>
      <c r="P415" t="s">
        <v>2572</v>
      </c>
      <c r="Q415">
        <v>15</v>
      </c>
      <c r="R415" t="s">
        <v>2844</v>
      </c>
      <c r="S415" t="s">
        <v>2857</v>
      </c>
      <c r="U415" t="s">
        <v>2869</v>
      </c>
      <c r="V415" t="s">
        <v>2174</v>
      </c>
      <c r="W415" t="s">
        <v>2174</v>
      </c>
      <c r="Y415" t="s">
        <v>2876</v>
      </c>
      <c r="AA415" t="s">
        <v>173</v>
      </c>
      <c r="AB415">
        <v>0</v>
      </c>
      <c r="AC415">
        <v>790</v>
      </c>
      <c r="AD415">
        <v>6.7</v>
      </c>
      <c r="AE415" t="s">
        <v>2894</v>
      </c>
      <c r="AG415" t="s">
        <v>3304</v>
      </c>
      <c r="AH415" t="s">
        <v>3692</v>
      </c>
      <c r="AI415" t="s">
        <v>4169</v>
      </c>
      <c r="AJ415">
        <v>90</v>
      </c>
      <c r="AK415" t="s">
        <v>4464</v>
      </c>
      <c r="AL415">
        <v>1</v>
      </c>
      <c r="AM415">
        <v>0</v>
      </c>
      <c r="AN415">
        <v>82.43000000000001</v>
      </c>
      <c r="AR415" t="s">
        <v>4478</v>
      </c>
      <c r="AS415" t="s">
        <v>4486</v>
      </c>
      <c r="AT415">
        <v>10296</v>
      </c>
      <c r="AX415" t="s">
        <v>4501</v>
      </c>
      <c r="BA415" t="s">
        <v>4538</v>
      </c>
      <c r="BD415" t="s">
        <v>151</v>
      </c>
      <c r="BE415" t="s">
        <v>4704</v>
      </c>
    </row>
    <row r="416" spans="1:57">
      <c r="A416" s="1">
        <f>HYPERLINK("https://lsnyc.legalserver.org/matter/dynamic-profile/view/1902734","19-1902734")</f>
        <v>0</v>
      </c>
      <c r="B416" t="s">
        <v>75</v>
      </c>
      <c r="C416" t="s">
        <v>93</v>
      </c>
      <c r="D416" t="s">
        <v>175</v>
      </c>
      <c r="F416" t="s">
        <v>589</v>
      </c>
      <c r="G416" t="s">
        <v>934</v>
      </c>
      <c r="H416" t="s">
        <v>1659</v>
      </c>
      <c r="I416" t="s">
        <v>1988</v>
      </c>
      <c r="J416" t="s">
        <v>2169</v>
      </c>
      <c r="K416" t="s">
        <v>2171</v>
      </c>
      <c r="L416">
        <v>10027</v>
      </c>
      <c r="M416" t="s">
        <v>2173</v>
      </c>
      <c r="N416" t="s">
        <v>2172</v>
      </c>
      <c r="O416" t="s">
        <v>2179</v>
      </c>
      <c r="P416" t="s">
        <v>2573</v>
      </c>
      <c r="Q416">
        <v>1</v>
      </c>
      <c r="R416" t="s">
        <v>2844</v>
      </c>
      <c r="S416" t="s">
        <v>2857</v>
      </c>
      <c r="U416" t="s">
        <v>2869</v>
      </c>
      <c r="V416" t="s">
        <v>2174</v>
      </c>
      <c r="W416" t="s">
        <v>2174</v>
      </c>
      <c r="Y416" t="s">
        <v>2876</v>
      </c>
      <c r="AA416" t="s">
        <v>175</v>
      </c>
      <c r="AB416">
        <v>0</v>
      </c>
      <c r="AC416">
        <v>398</v>
      </c>
      <c r="AD416">
        <v>3</v>
      </c>
      <c r="AE416" t="s">
        <v>2894</v>
      </c>
      <c r="AG416" t="s">
        <v>3305</v>
      </c>
      <c r="AI416" t="s">
        <v>4170</v>
      </c>
      <c r="AJ416">
        <v>0</v>
      </c>
      <c r="AK416" t="s">
        <v>4456</v>
      </c>
      <c r="AL416">
        <v>1</v>
      </c>
      <c r="AM416">
        <v>0</v>
      </c>
      <c r="AN416">
        <v>151.13</v>
      </c>
      <c r="AR416" t="s">
        <v>4478</v>
      </c>
      <c r="AS416" t="s">
        <v>4486</v>
      </c>
      <c r="AT416">
        <v>18876</v>
      </c>
      <c r="AX416" t="s">
        <v>4501</v>
      </c>
      <c r="BA416" t="s">
        <v>4536</v>
      </c>
      <c r="BD416" t="s">
        <v>4697</v>
      </c>
      <c r="BE416" t="s">
        <v>4703</v>
      </c>
    </row>
    <row r="417" spans="1:57">
      <c r="A417" s="1">
        <f>HYPERLINK("https://lsnyc.legalserver.org/matter/dynamic-profile/view/1902802","19-1902802")</f>
        <v>0</v>
      </c>
      <c r="B417" t="s">
        <v>75</v>
      </c>
      <c r="C417" t="s">
        <v>93</v>
      </c>
      <c r="D417" t="s">
        <v>175</v>
      </c>
      <c r="F417" t="s">
        <v>403</v>
      </c>
      <c r="G417" t="s">
        <v>1102</v>
      </c>
      <c r="H417" t="s">
        <v>1648</v>
      </c>
      <c r="I417" t="s">
        <v>2065</v>
      </c>
      <c r="J417" t="s">
        <v>2169</v>
      </c>
      <c r="K417" t="s">
        <v>2171</v>
      </c>
      <c r="L417">
        <v>10027</v>
      </c>
      <c r="M417" t="s">
        <v>2173</v>
      </c>
      <c r="N417" t="s">
        <v>2172</v>
      </c>
      <c r="O417" t="s">
        <v>2179</v>
      </c>
      <c r="P417" t="s">
        <v>2574</v>
      </c>
      <c r="Q417">
        <v>19</v>
      </c>
      <c r="R417" t="s">
        <v>2844</v>
      </c>
      <c r="S417" t="s">
        <v>2857</v>
      </c>
      <c r="U417" t="s">
        <v>2869</v>
      </c>
      <c r="V417" t="s">
        <v>2174</v>
      </c>
      <c r="W417" t="s">
        <v>2174</v>
      </c>
      <c r="Y417" t="s">
        <v>2876</v>
      </c>
      <c r="AA417" t="s">
        <v>175</v>
      </c>
      <c r="AB417">
        <v>0</v>
      </c>
      <c r="AC417">
        <v>848</v>
      </c>
      <c r="AD417">
        <v>3</v>
      </c>
      <c r="AE417" t="s">
        <v>2894</v>
      </c>
      <c r="AG417" t="s">
        <v>3306</v>
      </c>
      <c r="AI417" t="s">
        <v>4171</v>
      </c>
      <c r="AJ417">
        <v>0</v>
      </c>
      <c r="AK417" t="s">
        <v>4456</v>
      </c>
      <c r="AL417">
        <v>1</v>
      </c>
      <c r="AM417">
        <v>0</v>
      </c>
      <c r="AN417">
        <v>80.06</v>
      </c>
      <c r="AR417" t="s">
        <v>4476</v>
      </c>
      <c r="AS417" t="s">
        <v>4486</v>
      </c>
      <c r="AT417">
        <v>10000</v>
      </c>
      <c r="AX417" t="s">
        <v>4501</v>
      </c>
      <c r="BA417" t="s">
        <v>4546</v>
      </c>
      <c r="BD417" t="s">
        <v>152</v>
      </c>
      <c r="BE417" t="s">
        <v>4703</v>
      </c>
    </row>
    <row r="418" spans="1:57">
      <c r="A418" s="1">
        <f>HYPERLINK("https://lsnyc.legalserver.org/matter/dynamic-profile/view/1903104","19-1903104")</f>
        <v>0</v>
      </c>
      <c r="B418" t="s">
        <v>67</v>
      </c>
      <c r="C418" t="s">
        <v>92</v>
      </c>
      <c r="D418" t="s">
        <v>163</v>
      </c>
      <c r="E418" t="s">
        <v>96</v>
      </c>
      <c r="F418" t="s">
        <v>590</v>
      </c>
      <c r="G418" t="s">
        <v>1103</v>
      </c>
      <c r="H418" t="s">
        <v>1659</v>
      </c>
      <c r="I418" t="s">
        <v>2066</v>
      </c>
      <c r="J418" t="s">
        <v>2169</v>
      </c>
      <c r="K418" t="s">
        <v>2171</v>
      </c>
      <c r="L418">
        <v>10027</v>
      </c>
      <c r="M418" t="s">
        <v>2173</v>
      </c>
      <c r="N418" t="s">
        <v>2172</v>
      </c>
      <c r="O418" t="s">
        <v>2179</v>
      </c>
      <c r="P418" t="s">
        <v>2575</v>
      </c>
      <c r="Q418">
        <v>9</v>
      </c>
      <c r="R418" t="s">
        <v>2844</v>
      </c>
      <c r="S418" t="s">
        <v>2857</v>
      </c>
      <c r="T418" t="s">
        <v>2864</v>
      </c>
      <c r="U418" t="s">
        <v>2869</v>
      </c>
      <c r="V418" t="s">
        <v>2174</v>
      </c>
      <c r="W418" t="s">
        <v>2174</v>
      </c>
      <c r="Y418" t="s">
        <v>2876</v>
      </c>
      <c r="Z418" t="s">
        <v>2879</v>
      </c>
      <c r="AA418" t="s">
        <v>184</v>
      </c>
      <c r="AB418">
        <v>0</v>
      </c>
      <c r="AC418">
        <v>158</v>
      </c>
      <c r="AD418">
        <v>5.25</v>
      </c>
      <c r="AE418" t="s">
        <v>2894</v>
      </c>
      <c r="AF418" t="s">
        <v>2898</v>
      </c>
      <c r="AG418" t="s">
        <v>3307</v>
      </c>
      <c r="AJ418">
        <v>102</v>
      </c>
      <c r="AK418" t="s">
        <v>4458</v>
      </c>
      <c r="AL418">
        <v>1</v>
      </c>
      <c r="AM418">
        <v>0</v>
      </c>
      <c r="AN418">
        <v>72.06</v>
      </c>
      <c r="AR418" t="s">
        <v>4478</v>
      </c>
      <c r="AS418" t="s">
        <v>4487</v>
      </c>
      <c r="AT418">
        <v>9000</v>
      </c>
      <c r="AX418" t="s">
        <v>4508</v>
      </c>
      <c r="BA418" t="s">
        <v>4548</v>
      </c>
      <c r="BB418" t="s">
        <v>4632</v>
      </c>
      <c r="BC418" t="s">
        <v>4658</v>
      </c>
      <c r="BD418" t="s">
        <v>96</v>
      </c>
      <c r="BE418" t="s">
        <v>4703</v>
      </c>
    </row>
    <row r="419" spans="1:57">
      <c r="A419" s="1">
        <f>HYPERLINK("https://lsnyc.legalserver.org/matter/dynamic-profile/view/1903240","19-1903240")</f>
        <v>0</v>
      </c>
      <c r="B419" t="s">
        <v>66</v>
      </c>
      <c r="C419" t="s">
        <v>93</v>
      </c>
      <c r="D419" t="s">
        <v>184</v>
      </c>
      <c r="F419" t="s">
        <v>591</v>
      </c>
      <c r="G419" t="s">
        <v>403</v>
      </c>
      <c r="H419" t="s">
        <v>1647</v>
      </c>
      <c r="I419" t="s">
        <v>2067</v>
      </c>
      <c r="J419" t="s">
        <v>2169</v>
      </c>
      <c r="K419" t="s">
        <v>2171</v>
      </c>
      <c r="L419">
        <v>10027</v>
      </c>
      <c r="M419" t="s">
        <v>2173</v>
      </c>
      <c r="N419" t="s">
        <v>2172</v>
      </c>
      <c r="O419" t="s">
        <v>2179</v>
      </c>
      <c r="P419" t="s">
        <v>2576</v>
      </c>
      <c r="Q419">
        <v>28</v>
      </c>
      <c r="R419" t="s">
        <v>2844</v>
      </c>
      <c r="S419" t="s">
        <v>2857</v>
      </c>
      <c r="U419" t="s">
        <v>2869</v>
      </c>
      <c r="V419" t="s">
        <v>2174</v>
      </c>
      <c r="W419" t="s">
        <v>2174</v>
      </c>
      <c r="Y419" t="s">
        <v>2875</v>
      </c>
      <c r="AA419" t="s">
        <v>184</v>
      </c>
      <c r="AB419">
        <v>0</v>
      </c>
      <c r="AC419">
        <v>445</v>
      </c>
      <c r="AD419">
        <v>0</v>
      </c>
      <c r="AE419" t="s">
        <v>2894</v>
      </c>
      <c r="AG419" t="s">
        <v>3308</v>
      </c>
      <c r="AI419" t="s">
        <v>4172</v>
      </c>
      <c r="AJ419">
        <v>21</v>
      </c>
      <c r="AK419" t="s">
        <v>4457</v>
      </c>
      <c r="AL419">
        <v>2</v>
      </c>
      <c r="AM419">
        <v>0</v>
      </c>
      <c r="AN419">
        <v>141.93</v>
      </c>
      <c r="AS419" t="s">
        <v>4486</v>
      </c>
      <c r="AT419">
        <v>24000</v>
      </c>
      <c r="AX419" t="s">
        <v>4507</v>
      </c>
      <c r="BA419" t="s">
        <v>4546</v>
      </c>
      <c r="BE419" t="s">
        <v>4703</v>
      </c>
    </row>
    <row r="420" spans="1:57">
      <c r="A420" s="1">
        <f>HYPERLINK("https://lsnyc.legalserver.org/matter/dynamic-profile/view/1903251","19-1903251")</f>
        <v>0</v>
      </c>
      <c r="B420" t="s">
        <v>66</v>
      </c>
      <c r="C420" t="s">
        <v>93</v>
      </c>
      <c r="D420" t="s">
        <v>184</v>
      </c>
      <c r="F420" t="s">
        <v>592</v>
      </c>
      <c r="G420" t="s">
        <v>806</v>
      </c>
      <c r="H420" t="s">
        <v>1642</v>
      </c>
      <c r="I420" t="s">
        <v>2068</v>
      </c>
      <c r="J420" t="s">
        <v>2169</v>
      </c>
      <c r="K420" t="s">
        <v>2171</v>
      </c>
      <c r="L420">
        <v>10027</v>
      </c>
      <c r="M420" t="s">
        <v>2173</v>
      </c>
      <c r="N420" t="s">
        <v>2172</v>
      </c>
      <c r="O420" t="s">
        <v>2179</v>
      </c>
      <c r="P420" t="s">
        <v>2577</v>
      </c>
      <c r="Q420">
        <v>6</v>
      </c>
      <c r="R420" t="s">
        <v>2844</v>
      </c>
      <c r="S420" t="s">
        <v>2857</v>
      </c>
      <c r="U420" t="s">
        <v>2869</v>
      </c>
      <c r="V420" t="s">
        <v>2174</v>
      </c>
      <c r="W420" t="s">
        <v>2173</v>
      </c>
      <c r="Y420" t="s">
        <v>2875</v>
      </c>
      <c r="AA420" t="s">
        <v>184</v>
      </c>
      <c r="AB420">
        <v>0</v>
      </c>
      <c r="AC420">
        <v>767</v>
      </c>
      <c r="AD420">
        <v>3.8</v>
      </c>
      <c r="AE420" t="s">
        <v>2894</v>
      </c>
      <c r="AG420" t="s">
        <v>3309</v>
      </c>
      <c r="AI420" t="s">
        <v>4173</v>
      </c>
      <c r="AJ420">
        <v>226</v>
      </c>
      <c r="AK420" t="s">
        <v>4459</v>
      </c>
      <c r="AL420">
        <v>1</v>
      </c>
      <c r="AM420">
        <v>2</v>
      </c>
      <c r="AN420">
        <v>99.95</v>
      </c>
      <c r="AS420" t="s">
        <v>4486</v>
      </c>
      <c r="AT420">
        <v>21320</v>
      </c>
      <c r="AX420" t="s">
        <v>4507</v>
      </c>
      <c r="BA420" t="s">
        <v>4546</v>
      </c>
      <c r="BD420" t="s">
        <v>4696</v>
      </c>
      <c r="BE420" t="s">
        <v>4703</v>
      </c>
    </row>
    <row r="421" spans="1:57">
      <c r="A421" s="1">
        <f>HYPERLINK("https://lsnyc.legalserver.org/matter/dynamic-profile/view/1903409","19-1903409")</f>
        <v>0</v>
      </c>
      <c r="B421" t="s">
        <v>62</v>
      </c>
      <c r="C421" t="s">
        <v>93</v>
      </c>
      <c r="D421" t="s">
        <v>148</v>
      </c>
      <c r="F421" t="s">
        <v>593</v>
      </c>
      <c r="G421" t="s">
        <v>1005</v>
      </c>
      <c r="H421" t="s">
        <v>1660</v>
      </c>
      <c r="I421" t="s">
        <v>2069</v>
      </c>
      <c r="J421" t="s">
        <v>2169</v>
      </c>
      <c r="K421" t="s">
        <v>2171</v>
      </c>
      <c r="L421">
        <v>10027</v>
      </c>
      <c r="M421" t="s">
        <v>2173</v>
      </c>
      <c r="N421" t="s">
        <v>2172</v>
      </c>
      <c r="O421" t="s">
        <v>2175</v>
      </c>
      <c r="P421" t="s">
        <v>2578</v>
      </c>
      <c r="Q421">
        <v>15</v>
      </c>
      <c r="R421" t="s">
        <v>2844</v>
      </c>
      <c r="S421" t="s">
        <v>2857</v>
      </c>
      <c r="U421" t="s">
        <v>2869</v>
      </c>
      <c r="V421" t="s">
        <v>2174</v>
      </c>
      <c r="W421" t="s">
        <v>2174</v>
      </c>
      <c r="Y421" t="s">
        <v>2875</v>
      </c>
      <c r="AA421" t="s">
        <v>148</v>
      </c>
      <c r="AB421">
        <v>0</v>
      </c>
      <c r="AC421">
        <v>408</v>
      </c>
      <c r="AD421">
        <v>11.5</v>
      </c>
      <c r="AE421" t="s">
        <v>2894</v>
      </c>
      <c r="AG421" t="s">
        <v>3310</v>
      </c>
      <c r="AH421" t="s">
        <v>3693</v>
      </c>
      <c r="AI421" t="s">
        <v>4174</v>
      </c>
      <c r="AJ421">
        <v>0</v>
      </c>
      <c r="AK421" t="s">
        <v>4459</v>
      </c>
      <c r="AL421">
        <v>1</v>
      </c>
      <c r="AM421">
        <v>3</v>
      </c>
      <c r="AN421">
        <v>0</v>
      </c>
      <c r="AR421" t="s">
        <v>4476</v>
      </c>
      <c r="AS421" t="s">
        <v>4486</v>
      </c>
      <c r="AT421">
        <v>0</v>
      </c>
      <c r="AX421" t="s">
        <v>4501</v>
      </c>
      <c r="BA421" t="s">
        <v>4547</v>
      </c>
      <c r="BD421" t="s">
        <v>215</v>
      </c>
      <c r="BE421" t="s">
        <v>4704</v>
      </c>
    </row>
    <row r="422" spans="1:57">
      <c r="A422" s="1">
        <f>HYPERLINK("https://lsnyc.legalserver.org/matter/dynamic-profile/view/1903419","19-1903419")</f>
        <v>0</v>
      </c>
      <c r="B422" t="s">
        <v>72</v>
      </c>
      <c r="C422" t="s">
        <v>93</v>
      </c>
      <c r="D422" t="s">
        <v>148</v>
      </c>
      <c r="F422" t="s">
        <v>594</v>
      </c>
      <c r="G422" t="s">
        <v>1104</v>
      </c>
      <c r="H422" t="s">
        <v>1661</v>
      </c>
      <c r="I422" t="s">
        <v>1983</v>
      </c>
      <c r="J422" t="s">
        <v>2169</v>
      </c>
      <c r="K422" t="s">
        <v>2171</v>
      </c>
      <c r="L422">
        <v>10027</v>
      </c>
      <c r="M422" t="s">
        <v>2173</v>
      </c>
      <c r="N422" t="s">
        <v>2172</v>
      </c>
      <c r="O422" t="s">
        <v>2175</v>
      </c>
      <c r="P422" t="s">
        <v>2579</v>
      </c>
      <c r="Q422">
        <v>21</v>
      </c>
      <c r="R422" t="s">
        <v>2844</v>
      </c>
      <c r="S422" t="s">
        <v>2857</v>
      </c>
      <c r="U422" t="s">
        <v>2869</v>
      </c>
      <c r="V422" t="s">
        <v>2174</v>
      </c>
      <c r="W422" t="s">
        <v>2174</v>
      </c>
      <c r="Y422" t="s">
        <v>2876</v>
      </c>
      <c r="Z422" t="s">
        <v>2879</v>
      </c>
      <c r="AA422" t="s">
        <v>148</v>
      </c>
      <c r="AB422">
        <v>0</v>
      </c>
      <c r="AC422">
        <v>780</v>
      </c>
      <c r="AD422">
        <v>16.5</v>
      </c>
      <c r="AE422" t="s">
        <v>2894</v>
      </c>
      <c r="AG422" t="s">
        <v>3311</v>
      </c>
      <c r="AI422" t="s">
        <v>4175</v>
      </c>
      <c r="AJ422">
        <v>0</v>
      </c>
      <c r="AK422" t="s">
        <v>4456</v>
      </c>
      <c r="AL422">
        <v>1</v>
      </c>
      <c r="AM422">
        <v>0</v>
      </c>
      <c r="AN422">
        <v>89.51000000000001</v>
      </c>
      <c r="AR422" t="s">
        <v>4476</v>
      </c>
      <c r="AS422" t="s">
        <v>4486</v>
      </c>
      <c r="AT422">
        <v>11180</v>
      </c>
      <c r="AX422" t="s">
        <v>4504</v>
      </c>
      <c r="BA422" t="s">
        <v>4597</v>
      </c>
      <c r="BD422" t="s">
        <v>210</v>
      </c>
      <c r="BE422" t="s">
        <v>4703</v>
      </c>
    </row>
    <row r="423" spans="1:57">
      <c r="A423" s="1">
        <f>HYPERLINK("https://lsnyc.legalserver.org/matter/dynamic-profile/view/1903460","19-1903460")</f>
        <v>0</v>
      </c>
      <c r="B423" t="s">
        <v>64</v>
      </c>
      <c r="C423" t="s">
        <v>93</v>
      </c>
      <c r="D423" t="s">
        <v>148</v>
      </c>
      <c r="F423" t="s">
        <v>595</v>
      </c>
      <c r="G423" t="s">
        <v>1105</v>
      </c>
      <c r="H423" t="s">
        <v>1621</v>
      </c>
      <c r="I423" t="s">
        <v>1940</v>
      </c>
      <c r="J423" t="s">
        <v>2169</v>
      </c>
      <c r="K423" t="s">
        <v>2171</v>
      </c>
      <c r="L423">
        <v>10027</v>
      </c>
      <c r="M423" t="s">
        <v>2173</v>
      </c>
      <c r="N423" t="s">
        <v>2172</v>
      </c>
      <c r="O423" t="s">
        <v>2175</v>
      </c>
      <c r="P423" t="s">
        <v>2580</v>
      </c>
      <c r="Q423">
        <v>15</v>
      </c>
      <c r="R423" t="s">
        <v>2844</v>
      </c>
      <c r="S423" t="s">
        <v>2857</v>
      </c>
      <c r="U423" t="s">
        <v>2869</v>
      </c>
      <c r="V423" t="s">
        <v>2174</v>
      </c>
      <c r="W423" t="s">
        <v>2174</v>
      </c>
      <c r="Y423" t="s">
        <v>2876</v>
      </c>
      <c r="Z423" t="s">
        <v>2879</v>
      </c>
      <c r="AA423" t="s">
        <v>148</v>
      </c>
      <c r="AB423">
        <v>0</v>
      </c>
      <c r="AC423">
        <v>0</v>
      </c>
      <c r="AD423">
        <v>13.95</v>
      </c>
      <c r="AE423" t="s">
        <v>2894</v>
      </c>
      <c r="AG423" t="s">
        <v>3312</v>
      </c>
      <c r="AI423" t="s">
        <v>4176</v>
      </c>
      <c r="AJ423">
        <v>21</v>
      </c>
      <c r="AK423" t="s">
        <v>4458</v>
      </c>
      <c r="AL423">
        <v>1</v>
      </c>
      <c r="AM423">
        <v>0</v>
      </c>
      <c r="AN423">
        <v>192.15</v>
      </c>
      <c r="AR423" t="s">
        <v>4478</v>
      </c>
      <c r="AS423" t="s">
        <v>4486</v>
      </c>
      <c r="AT423">
        <v>24000</v>
      </c>
      <c r="AX423" t="s">
        <v>4504</v>
      </c>
      <c r="BA423" t="s">
        <v>4531</v>
      </c>
      <c r="BD423" t="s">
        <v>217</v>
      </c>
      <c r="BE423" t="s">
        <v>4703</v>
      </c>
    </row>
    <row r="424" spans="1:57">
      <c r="A424" s="1">
        <f>HYPERLINK("https://lsnyc.legalserver.org/matter/dynamic-profile/view/1903980","19-1903980")</f>
        <v>0</v>
      </c>
      <c r="B424" t="s">
        <v>68</v>
      </c>
      <c r="C424" t="s">
        <v>93</v>
      </c>
      <c r="D424" t="s">
        <v>164</v>
      </c>
      <c r="F424" t="s">
        <v>596</v>
      </c>
      <c r="G424" t="s">
        <v>1106</v>
      </c>
      <c r="H424" t="s">
        <v>1662</v>
      </c>
      <c r="I424" t="s">
        <v>2070</v>
      </c>
      <c r="J424" t="s">
        <v>2169</v>
      </c>
      <c r="K424" t="s">
        <v>2171</v>
      </c>
      <c r="L424">
        <v>10027</v>
      </c>
      <c r="M424" t="s">
        <v>2173</v>
      </c>
      <c r="N424" t="s">
        <v>2172</v>
      </c>
      <c r="P424" t="s">
        <v>2581</v>
      </c>
      <c r="Q424">
        <v>10</v>
      </c>
      <c r="R424" t="s">
        <v>2844</v>
      </c>
      <c r="S424" t="s">
        <v>2857</v>
      </c>
      <c r="U424" t="s">
        <v>2869</v>
      </c>
      <c r="V424" t="s">
        <v>2174</v>
      </c>
      <c r="W424" t="s">
        <v>2174</v>
      </c>
      <c r="Y424" t="s">
        <v>2876</v>
      </c>
      <c r="AA424" t="s">
        <v>230</v>
      </c>
      <c r="AB424">
        <v>0</v>
      </c>
      <c r="AC424">
        <v>742</v>
      </c>
      <c r="AD424">
        <v>14.2</v>
      </c>
      <c r="AE424" t="s">
        <v>2894</v>
      </c>
      <c r="AG424" t="s">
        <v>3313</v>
      </c>
      <c r="AH424" t="s">
        <v>3694</v>
      </c>
      <c r="AI424" t="s">
        <v>4177</v>
      </c>
      <c r="AJ424">
        <v>0</v>
      </c>
      <c r="AL424">
        <v>1</v>
      </c>
      <c r="AM424">
        <v>1</v>
      </c>
      <c r="AN424">
        <v>154.99</v>
      </c>
      <c r="AS424" t="s">
        <v>4486</v>
      </c>
      <c r="AT424">
        <v>26208</v>
      </c>
      <c r="AX424" t="s">
        <v>4499</v>
      </c>
      <c r="BA424" t="s">
        <v>4616</v>
      </c>
      <c r="BD424" t="s">
        <v>117</v>
      </c>
      <c r="BE424" t="s">
        <v>4703</v>
      </c>
    </row>
    <row r="425" spans="1:57">
      <c r="A425" s="1">
        <f>HYPERLINK("https://lsnyc.legalserver.org/matter/dynamic-profile/view/1903981","19-1903981")</f>
        <v>0</v>
      </c>
      <c r="B425" t="s">
        <v>62</v>
      </c>
      <c r="C425" t="s">
        <v>93</v>
      </c>
      <c r="D425" t="s">
        <v>164</v>
      </c>
      <c r="F425" t="s">
        <v>597</v>
      </c>
      <c r="G425" t="s">
        <v>1107</v>
      </c>
      <c r="H425" t="s">
        <v>1593</v>
      </c>
      <c r="I425">
        <v>302</v>
      </c>
      <c r="J425" t="s">
        <v>2169</v>
      </c>
      <c r="K425" t="s">
        <v>2171</v>
      </c>
      <c r="L425">
        <v>10027</v>
      </c>
      <c r="M425" t="s">
        <v>2173</v>
      </c>
      <c r="N425" t="s">
        <v>2172</v>
      </c>
      <c r="O425" t="s">
        <v>2179</v>
      </c>
      <c r="P425" t="s">
        <v>2582</v>
      </c>
      <c r="Q425">
        <v>7</v>
      </c>
      <c r="R425" t="s">
        <v>2844</v>
      </c>
      <c r="S425" t="s">
        <v>2857</v>
      </c>
      <c r="U425" t="s">
        <v>2869</v>
      </c>
      <c r="V425" t="s">
        <v>2174</v>
      </c>
      <c r="W425" t="s">
        <v>2174</v>
      </c>
      <c r="Y425" t="s">
        <v>2877</v>
      </c>
      <c r="Z425" t="s">
        <v>2879</v>
      </c>
      <c r="AA425" t="s">
        <v>164</v>
      </c>
      <c r="AB425">
        <v>0</v>
      </c>
      <c r="AC425">
        <v>1100</v>
      </c>
      <c r="AD425">
        <v>2.3</v>
      </c>
      <c r="AE425" t="s">
        <v>2894</v>
      </c>
      <c r="AG425" t="s">
        <v>3314</v>
      </c>
      <c r="AI425" t="s">
        <v>4178</v>
      </c>
      <c r="AJ425">
        <v>0</v>
      </c>
      <c r="AK425" t="s">
        <v>4456</v>
      </c>
      <c r="AL425">
        <v>2</v>
      </c>
      <c r="AM425">
        <v>1</v>
      </c>
      <c r="AN425">
        <v>148.22</v>
      </c>
      <c r="AR425" t="s">
        <v>4476</v>
      </c>
      <c r="AS425" t="s">
        <v>4486</v>
      </c>
      <c r="AT425">
        <v>31616.04</v>
      </c>
      <c r="AX425" t="s">
        <v>4504</v>
      </c>
      <c r="BA425" t="s">
        <v>4546</v>
      </c>
      <c r="BD425" t="s">
        <v>105</v>
      </c>
      <c r="BE425" t="s">
        <v>4703</v>
      </c>
    </row>
    <row r="426" spans="1:57">
      <c r="A426" s="1">
        <f>HYPERLINK("https://lsnyc.legalserver.org/matter/dynamic-profile/view/1904154","19-1904154")</f>
        <v>0</v>
      </c>
      <c r="B426" t="s">
        <v>58</v>
      </c>
      <c r="C426" t="s">
        <v>93</v>
      </c>
      <c r="D426" t="s">
        <v>149</v>
      </c>
      <c r="F426" t="s">
        <v>598</v>
      </c>
      <c r="G426" t="s">
        <v>1092</v>
      </c>
      <c r="H426" t="s">
        <v>1663</v>
      </c>
      <c r="I426" t="s">
        <v>1955</v>
      </c>
      <c r="J426" t="s">
        <v>2169</v>
      </c>
      <c r="K426" t="s">
        <v>2171</v>
      </c>
      <c r="L426">
        <v>10027</v>
      </c>
      <c r="M426" t="s">
        <v>2173</v>
      </c>
      <c r="N426" t="s">
        <v>2172</v>
      </c>
      <c r="P426" t="s">
        <v>2583</v>
      </c>
      <c r="Q426">
        <v>23</v>
      </c>
      <c r="R426" t="s">
        <v>2844</v>
      </c>
      <c r="S426" t="s">
        <v>2857</v>
      </c>
      <c r="U426" t="s">
        <v>2869</v>
      </c>
      <c r="V426" t="s">
        <v>2174</v>
      </c>
      <c r="W426" t="s">
        <v>2174</v>
      </c>
      <c r="Y426" t="s">
        <v>2876</v>
      </c>
      <c r="AA426" t="s">
        <v>2890</v>
      </c>
      <c r="AB426">
        <v>0</v>
      </c>
      <c r="AC426">
        <v>869.02</v>
      </c>
      <c r="AD426">
        <v>12.23</v>
      </c>
      <c r="AE426" t="s">
        <v>2894</v>
      </c>
      <c r="AG426" t="s">
        <v>3302</v>
      </c>
      <c r="AI426" t="s">
        <v>4179</v>
      </c>
      <c r="AJ426">
        <v>18</v>
      </c>
      <c r="AK426" t="s">
        <v>4456</v>
      </c>
      <c r="AL426">
        <v>2</v>
      </c>
      <c r="AM426">
        <v>1</v>
      </c>
      <c r="AN426">
        <v>109.7</v>
      </c>
      <c r="AR426" t="s">
        <v>2176</v>
      </c>
      <c r="AS426" t="s">
        <v>4486</v>
      </c>
      <c r="AT426">
        <v>23400</v>
      </c>
      <c r="AX426" t="s">
        <v>4508</v>
      </c>
      <c r="BA426" t="s">
        <v>4597</v>
      </c>
      <c r="BD426" t="s">
        <v>213</v>
      </c>
      <c r="BE426" t="s">
        <v>4703</v>
      </c>
    </row>
    <row r="427" spans="1:57">
      <c r="A427" s="1">
        <f>HYPERLINK("https://lsnyc.legalserver.org/matter/dynamic-profile/view/1904908","19-1904908")</f>
        <v>0</v>
      </c>
      <c r="B427" t="s">
        <v>57</v>
      </c>
      <c r="C427" t="s">
        <v>93</v>
      </c>
      <c r="D427" t="s">
        <v>122</v>
      </c>
      <c r="F427" t="s">
        <v>599</v>
      </c>
      <c r="G427" t="s">
        <v>1108</v>
      </c>
      <c r="H427" t="s">
        <v>1651</v>
      </c>
      <c r="I427" t="s">
        <v>2071</v>
      </c>
      <c r="J427" t="s">
        <v>2169</v>
      </c>
      <c r="K427" t="s">
        <v>2171</v>
      </c>
      <c r="L427">
        <v>10027</v>
      </c>
      <c r="M427" t="s">
        <v>2173</v>
      </c>
      <c r="N427" t="s">
        <v>2172</v>
      </c>
      <c r="O427" t="s">
        <v>2179</v>
      </c>
      <c r="P427" t="s">
        <v>2584</v>
      </c>
      <c r="Q427">
        <v>11</v>
      </c>
      <c r="R427" t="s">
        <v>2844</v>
      </c>
      <c r="S427" t="s">
        <v>2858</v>
      </c>
      <c r="U427" t="s">
        <v>2869</v>
      </c>
      <c r="V427" t="s">
        <v>2174</v>
      </c>
      <c r="W427" t="s">
        <v>2174</v>
      </c>
      <c r="Y427" t="s">
        <v>2875</v>
      </c>
      <c r="AB427">
        <v>0</v>
      </c>
      <c r="AC427">
        <v>986</v>
      </c>
      <c r="AD427">
        <v>2.6</v>
      </c>
      <c r="AE427" t="s">
        <v>2894</v>
      </c>
      <c r="AG427" t="s">
        <v>3315</v>
      </c>
      <c r="AI427" t="s">
        <v>4180</v>
      </c>
      <c r="AJ427">
        <v>1128</v>
      </c>
      <c r="AK427" t="s">
        <v>4459</v>
      </c>
      <c r="AL427">
        <v>4</v>
      </c>
      <c r="AM427">
        <v>0</v>
      </c>
      <c r="AN427">
        <v>54.37</v>
      </c>
      <c r="AT427">
        <v>14000</v>
      </c>
      <c r="AX427" t="s">
        <v>4506</v>
      </c>
      <c r="BA427" t="s">
        <v>4569</v>
      </c>
      <c r="BD427" t="s">
        <v>4468</v>
      </c>
      <c r="BE427" t="s">
        <v>4703</v>
      </c>
    </row>
    <row r="428" spans="1:57">
      <c r="A428" s="1">
        <f>HYPERLINK("https://lsnyc.legalserver.org/matter/dynamic-profile/view/1904925","19-1904925")</f>
        <v>0</v>
      </c>
      <c r="B428" t="s">
        <v>67</v>
      </c>
      <c r="C428" t="s">
        <v>92</v>
      </c>
      <c r="D428" t="s">
        <v>122</v>
      </c>
      <c r="E428" t="s">
        <v>217</v>
      </c>
      <c r="F428" t="s">
        <v>600</v>
      </c>
      <c r="G428" t="s">
        <v>1109</v>
      </c>
      <c r="H428" t="s">
        <v>1664</v>
      </c>
      <c r="I428" t="s">
        <v>1987</v>
      </c>
      <c r="J428" t="s">
        <v>2169</v>
      </c>
      <c r="K428" t="s">
        <v>2171</v>
      </c>
      <c r="L428">
        <v>10027</v>
      </c>
      <c r="M428" t="s">
        <v>2173</v>
      </c>
      <c r="N428" t="s">
        <v>2172</v>
      </c>
      <c r="O428" t="s">
        <v>2179</v>
      </c>
      <c r="P428" t="s">
        <v>2585</v>
      </c>
      <c r="Q428">
        <v>30</v>
      </c>
      <c r="R428" t="s">
        <v>2844</v>
      </c>
      <c r="S428" t="s">
        <v>2857</v>
      </c>
      <c r="T428" t="s">
        <v>2863</v>
      </c>
      <c r="U428" t="s">
        <v>2869</v>
      </c>
      <c r="V428" t="s">
        <v>2174</v>
      </c>
      <c r="W428" t="s">
        <v>2174</v>
      </c>
      <c r="Y428" t="s">
        <v>2875</v>
      </c>
      <c r="AA428" t="s">
        <v>122</v>
      </c>
      <c r="AB428">
        <v>0</v>
      </c>
      <c r="AC428">
        <v>448</v>
      </c>
      <c r="AD428">
        <v>0.5</v>
      </c>
      <c r="AE428" t="s">
        <v>2894</v>
      </c>
      <c r="AF428" t="s">
        <v>2896</v>
      </c>
      <c r="AG428" t="s">
        <v>3316</v>
      </c>
      <c r="AI428" t="s">
        <v>4181</v>
      </c>
      <c r="AJ428">
        <v>1272</v>
      </c>
      <c r="AK428" t="s">
        <v>4459</v>
      </c>
      <c r="AL428">
        <v>1</v>
      </c>
      <c r="AM428">
        <v>0</v>
      </c>
      <c r="AN428">
        <v>187.35</v>
      </c>
      <c r="AT428">
        <v>23400</v>
      </c>
      <c r="AX428" t="s">
        <v>4506</v>
      </c>
      <c r="BA428" t="s">
        <v>4546</v>
      </c>
      <c r="BD428" t="s">
        <v>217</v>
      </c>
      <c r="BE428" t="s">
        <v>4703</v>
      </c>
    </row>
    <row r="429" spans="1:57">
      <c r="A429" s="1">
        <f>HYPERLINK("https://lsnyc.legalserver.org/matter/dynamic-profile/view/1905015","19-1905015")</f>
        <v>0</v>
      </c>
      <c r="B429" t="s">
        <v>57</v>
      </c>
      <c r="C429" t="s">
        <v>93</v>
      </c>
      <c r="D429" t="s">
        <v>122</v>
      </c>
      <c r="F429" t="s">
        <v>601</v>
      </c>
      <c r="G429" t="s">
        <v>1110</v>
      </c>
      <c r="H429" t="s">
        <v>1586</v>
      </c>
      <c r="I429" t="s">
        <v>2072</v>
      </c>
      <c r="J429" t="s">
        <v>2169</v>
      </c>
      <c r="K429" t="s">
        <v>2171</v>
      </c>
      <c r="L429">
        <v>10027</v>
      </c>
      <c r="M429" t="s">
        <v>2172</v>
      </c>
      <c r="N429" t="s">
        <v>2172</v>
      </c>
      <c r="P429" t="s">
        <v>2586</v>
      </c>
      <c r="Q429">
        <v>0</v>
      </c>
      <c r="R429" t="s">
        <v>2844</v>
      </c>
      <c r="S429" t="s">
        <v>2857</v>
      </c>
      <c r="U429" t="s">
        <v>2869</v>
      </c>
      <c r="V429" t="s">
        <v>2174</v>
      </c>
      <c r="W429" t="s">
        <v>2174</v>
      </c>
      <c r="Y429" t="s">
        <v>2875</v>
      </c>
      <c r="AB429">
        <v>0</v>
      </c>
      <c r="AC429">
        <v>0</v>
      </c>
      <c r="AD429">
        <v>2.9</v>
      </c>
      <c r="AE429" t="s">
        <v>2894</v>
      </c>
      <c r="AG429" t="s">
        <v>3317</v>
      </c>
      <c r="AI429" t="s">
        <v>4182</v>
      </c>
      <c r="AJ429">
        <v>0</v>
      </c>
      <c r="AL429">
        <v>1</v>
      </c>
      <c r="AM429">
        <v>0</v>
      </c>
      <c r="AN429">
        <v>0</v>
      </c>
      <c r="AS429" t="s">
        <v>4486</v>
      </c>
      <c r="AT429">
        <v>0</v>
      </c>
      <c r="AX429" t="s">
        <v>86</v>
      </c>
      <c r="BA429" t="s">
        <v>4539</v>
      </c>
      <c r="BD429" t="s">
        <v>105</v>
      </c>
    </row>
    <row r="430" spans="1:57">
      <c r="A430" s="1">
        <f>HYPERLINK("https://lsnyc.legalserver.org/matter/dynamic-profile/view/1905172","19-1905172")</f>
        <v>0</v>
      </c>
      <c r="B430" t="s">
        <v>71</v>
      </c>
      <c r="C430" t="s">
        <v>93</v>
      </c>
      <c r="D430" t="s">
        <v>185</v>
      </c>
      <c r="F430" t="s">
        <v>602</v>
      </c>
      <c r="G430" t="s">
        <v>1111</v>
      </c>
      <c r="H430" t="s">
        <v>1659</v>
      </c>
      <c r="I430" t="s">
        <v>2045</v>
      </c>
      <c r="J430" t="s">
        <v>2169</v>
      </c>
      <c r="K430" t="s">
        <v>2171</v>
      </c>
      <c r="L430">
        <v>10027</v>
      </c>
      <c r="M430" t="s">
        <v>2173</v>
      </c>
      <c r="N430" t="s">
        <v>2172</v>
      </c>
      <c r="O430" t="s">
        <v>2181</v>
      </c>
      <c r="P430" t="s">
        <v>2587</v>
      </c>
      <c r="Q430">
        <v>29</v>
      </c>
      <c r="R430" t="s">
        <v>2844</v>
      </c>
      <c r="S430" t="s">
        <v>2857</v>
      </c>
      <c r="U430" t="s">
        <v>2869</v>
      </c>
      <c r="V430" t="s">
        <v>2174</v>
      </c>
      <c r="W430" t="s">
        <v>2174</v>
      </c>
      <c r="Y430" t="s">
        <v>2876</v>
      </c>
      <c r="AA430" t="s">
        <v>185</v>
      </c>
      <c r="AB430">
        <v>0</v>
      </c>
      <c r="AC430">
        <v>189</v>
      </c>
      <c r="AD430">
        <v>6.75</v>
      </c>
      <c r="AE430" t="s">
        <v>2894</v>
      </c>
      <c r="AG430" t="s">
        <v>3318</v>
      </c>
      <c r="AI430" t="s">
        <v>4183</v>
      </c>
      <c r="AJ430">
        <v>102</v>
      </c>
      <c r="AK430" t="s">
        <v>4460</v>
      </c>
      <c r="AL430">
        <v>1</v>
      </c>
      <c r="AM430">
        <v>0</v>
      </c>
      <c r="AN430">
        <v>76.86</v>
      </c>
      <c r="AR430" t="s">
        <v>4478</v>
      </c>
      <c r="AS430" t="s">
        <v>4486</v>
      </c>
      <c r="AT430">
        <v>9600</v>
      </c>
      <c r="AX430" t="s">
        <v>4501</v>
      </c>
      <c r="BA430" t="s">
        <v>4531</v>
      </c>
      <c r="BD430" t="s">
        <v>168</v>
      </c>
      <c r="BE430" t="s">
        <v>4703</v>
      </c>
    </row>
    <row r="431" spans="1:57">
      <c r="A431" s="1">
        <f>HYPERLINK("https://lsnyc.legalserver.org/matter/dynamic-profile/view/1905688","19-1905688")</f>
        <v>0</v>
      </c>
      <c r="B431" t="s">
        <v>66</v>
      </c>
      <c r="C431" t="s">
        <v>93</v>
      </c>
      <c r="D431" t="s">
        <v>165</v>
      </c>
      <c r="F431" t="s">
        <v>603</v>
      </c>
      <c r="G431" t="s">
        <v>1000</v>
      </c>
      <c r="H431" t="s">
        <v>1593</v>
      </c>
      <c r="I431">
        <v>216</v>
      </c>
      <c r="J431" t="s">
        <v>2169</v>
      </c>
      <c r="K431" t="s">
        <v>2171</v>
      </c>
      <c r="L431">
        <v>10027</v>
      </c>
      <c r="M431" t="s">
        <v>2173</v>
      </c>
      <c r="N431" t="s">
        <v>2172</v>
      </c>
      <c r="O431" t="s">
        <v>2175</v>
      </c>
      <c r="P431" t="s">
        <v>2588</v>
      </c>
      <c r="Q431">
        <v>6</v>
      </c>
      <c r="R431" t="s">
        <v>2844</v>
      </c>
      <c r="S431" t="s">
        <v>2857</v>
      </c>
      <c r="U431" t="s">
        <v>2869</v>
      </c>
      <c r="V431" t="s">
        <v>2174</v>
      </c>
      <c r="W431" t="s">
        <v>2174</v>
      </c>
      <c r="Y431" t="s">
        <v>2876</v>
      </c>
      <c r="Z431" t="s">
        <v>2879</v>
      </c>
      <c r="AA431" t="s">
        <v>165</v>
      </c>
      <c r="AB431">
        <v>0</v>
      </c>
      <c r="AC431">
        <v>903.02</v>
      </c>
      <c r="AD431">
        <v>6</v>
      </c>
      <c r="AE431" t="s">
        <v>2894</v>
      </c>
      <c r="AG431" t="s">
        <v>3319</v>
      </c>
      <c r="AI431" t="s">
        <v>4184</v>
      </c>
      <c r="AJ431">
        <v>158</v>
      </c>
      <c r="AK431" t="s">
        <v>4456</v>
      </c>
      <c r="AL431">
        <v>1</v>
      </c>
      <c r="AM431">
        <v>0</v>
      </c>
      <c r="AN431">
        <v>136.11</v>
      </c>
      <c r="AR431" t="s">
        <v>4476</v>
      </c>
      <c r="AS431" t="s">
        <v>4486</v>
      </c>
      <c r="AT431">
        <v>17000</v>
      </c>
      <c r="AX431" t="s">
        <v>4504</v>
      </c>
      <c r="BA431" t="s">
        <v>4546</v>
      </c>
      <c r="BD431" t="s">
        <v>4674</v>
      </c>
      <c r="BE431" t="s">
        <v>4703</v>
      </c>
    </row>
    <row r="432" spans="1:57">
      <c r="A432" s="1">
        <f>HYPERLINK("https://lsnyc.legalserver.org/matter/dynamic-profile/view/1905775","19-1905775")</f>
        <v>0</v>
      </c>
      <c r="B432" t="s">
        <v>66</v>
      </c>
      <c r="C432" t="s">
        <v>93</v>
      </c>
      <c r="D432" t="s">
        <v>165</v>
      </c>
      <c r="F432" t="s">
        <v>604</v>
      </c>
      <c r="G432" t="s">
        <v>1112</v>
      </c>
      <c r="H432" t="s">
        <v>1647</v>
      </c>
      <c r="I432" t="s">
        <v>2073</v>
      </c>
      <c r="J432" t="s">
        <v>2169</v>
      </c>
      <c r="K432" t="s">
        <v>2171</v>
      </c>
      <c r="L432">
        <v>10027</v>
      </c>
      <c r="M432" t="s">
        <v>2173</v>
      </c>
      <c r="N432" t="s">
        <v>2172</v>
      </c>
      <c r="O432" t="s">
        <v>2175</v>
      </c>
      <c r="P432" t="s">
        <v>2589</v>
      </c>
      <c r="Q432">
        <v>-1</v>
      </c>
      <c r="R432" t="s">
        <v>2844</v>
      </c>
      <c r="S432" t="s">
        <v>2857</v>
      </c>
      <c r="U432" t="s">
        <v>2869</v>
      </c>
      <c r="V432" t="s">
        <v>2174</v>
      </c>
      <c r="W432" t="s">
        <v>2174</v>
      </c>
      <c r="Y432" t="s">
        <v>2875</v>
      </c>
      <c r="AA432" t="s">
        <v>165</v>
      </c>
      <c r="AB432">
        <v>0</v>
      </c>
      <c r="AC432">
        <v>903</v>
      </c>
      <c r="AD432">
        <v>2.5</v>
      </c>
      <c r="AE432" t="s">
        <v>2894</v>
      </c>
      <c r="AG432" t="s">
        <v>3320</v>
      </c>
      <c r="AH432" t="s">
        <v>3695</v>
      </c>
      <c r="AI432" t="s">
        <v>4185</v>
      </c>
      <c r="AJ432">
        <v>814</v>
      </c>
      <c r="AK432" t="s">
        <v>4459</v>
      </c>
      <c r="AL432">
        <v>1</v>
      </c>
      <c r="AM432">
        <v>1</v>
      </c>
      <c r="AN432">
        <v>56.35</v>
      </c>
      <c r="AR432" t="s">
        <v>4476</v>
      </c>
      <c r="AS432" t="s">
        <v>4486</v>
      </c>
      <c r="AT432">
        <v>9528</v>
      </c>
      <c r="AX432" t="s">
        <v>4501</v>
      </c>
      <c r="BA432" t="s">
        <v>4548</v>
      </c>
      <c r="BD432" t="s">
        <v>118</v>
      </c>
      <c r="BE432" t="s">
        <v>4704</v>
      </c>
    </row>
    <row r="433" spans="1:57">
      <c r="A433" s="1">
        <f>HYPERLINK("https://lsnyc.legalserver.org/matter/dynamic-profile/view/1906324","19-1906324")</f>
        <v>0</v>
      </c>
      <c r="B433" t="s">
        <v>72</v>
      </c>
      <c r="C433" t="s">
        <v>93</v>
      </c>
      <c r="D433" t="s">
        <v>151</v>
      </c>
      <c r="F433" t="s">
        <v>574</v>
      </c>
      <c r="G433" t="s">
        <v>1113</v>
      </c>
      <c r="H433" t="s">
        <v>1665</v>
      </c>
      <c r="I433" t="s">
        <v>1927</v>
      </c>
      <c r="J433" t="s">
        <v>2169</v>
      </c>
      <c r="K433" t="s">
        <v>2171</v>
      </c>
      <c r="L433">
        <v>10027</v>
      </c>
      <c r="M433" t="s">
        <v>2172</v>
      </c>
      <c r="N433" t="s">
        <v>2172</v>
      </c>
      <c r="O433" t="s">
        <v>2179</v>
      </c>
      <c r="P433" t="s">
        <v>2590</v>
      </c>
      <c r="Q433">
        <v>0</v>
      </c>
      <c r="R433" t="s">
        <v>2844</v>
      </c>
      <c r="S433" t="s">
        <v>2857</v>
      </c>
      <c r="U433" t="s">
        <v>2868</v>
      </c>
      <c r="V433" t="s">
        <v>2174</v>
      </c>
      <c r="W433" t="s">
        <v>2174</v>
      </c>
      <c r="Y433" t="s">
        <v>2875</v>
      </c>
      <c r="AB433">
        <v>0</v>
      </c>
      <c r="AC433">
        <v>728.4</v>
      </c>
      <c r="AD433">
        <v>9.25</v>
      </c>
      <c r="AE433" t="s">
        <v>2894</v>
      </c>
      <c r="AG433" t="s">
        <v>3321</v>
      </c>
      <c r="AI433" t="s">
        <v>4186</v>
      </c>
      <c r="AJ433">
        <v>0</v>
      </c>
      <c r="AL433">
        <v>1</v>
      </c>
      <c r="AM433">
        <v>2</v>
      </c>
      <c r="AN433">
        <v>84.39</v>
      </c>
      <c r="AS433" t="s">
        <v>4486</v>
      </c>
      <c r="AT433">
        <v>18000</v>
      </c>
      <c r="AX433" t="s">
        <v>4499</v>
      </c>
      <c r="BA433" t="s">
        <v>4538</v>
      </c>
      <c r="BD433" t="s">
        <v>117</v>
      </c>
    </row>
    <row r="434" spans="1:57">
      <c r="A434" s="1">
        <f>HYPERLINK("https://lsnyc.legalserver.org/matter/dynamic-profile/view/1906875","19-1906875")</f>
        <v>0</v>
      </c>
      <c r="B434" t="s">
        <v>57</v>
      </c>
      <c r="C434" t="s">
        <v>93</v>
      </c>
      <c r="D434" t="s">
        <v>152</v>
      </c>
      <c r="F434" t="s">
        <v>605</v>
      </c>
      <c r="G434" t="s">
        <v>1107</v>
      </c>
      <c r="H434" t="s">
        <v>1666</v>
      </c>
      <c r="I434" t="s">
        <v>1997</v>
      </c>
      <c r="J434" t="s">
        <v>2169</v>
      </c>
      <c r="K434" t="s">
        <v>2171</v>
      </c>
      <c r="L434">
        <v>10027</v>
      </c>
      <c r="M434" t="s">
        <v>2173</v>
      </c>
      <c r="N434" t="s">
        <v>2172</v>
      </c>
      <c r="O434" t="s">
        <v>2175</v>
      </c>
      <c r="P434" t="s">
        <v>2591</v>
      </c>
      <c r="Q434">
        <v>21</v>
      </c>
      <c r="R434" t="s">
        <v>2844</v>
      </c>
      <c r="S434" t="s">
        <v>2857</v>
      </c>
      <c r="U434" t="s">
        <v>2869</v>
      </c>
      <c r="V434" t="s">
        <v>2174</v>
      </c>
      <c r="W434" t="s">
        <v>2174</v>
      </c>
      <c r="Y434" t="s">
        <v>2876</v>
      </c>
      <c r="AA434" t="s">
        <v>152</v>
      </c>
      <c r="AB434">
        <v>0</v>
      </c>
      <c r="AC434">
        <v>0</v>
      </c>
      <c r="AD434">
        <v>5.35</v>
      </c>
      <c r="AE434" t="s">
        <v>2894</v>
      </c>
      <c r="AG434" t="s">
        <v>3322</v>
      </c>
      <c r="AH434" t="s">
        <v>3696</v>
      </c>
      <c r="AI434" t="s">
        <v>4187</v>
      </c>
      <c r="AJ434">
        <v>209</v>
      </c>
      <c r="AK434" t="s">
        <v>4466</v>
      </c>
      <c r="AL434">
        <v>1</v>
      </c>
      <c r="AM434">
        <v>0</v>
      </c>
      <c r="AN434">
        <v>19.22</v>
      </c>
      <c r="AS434" t="s">
        <v>4486</v>
      </c>
      <c r="AT434">
        <v>2400</v>
      </c>
      <c r="AX434" t="s">
        <v>4501</v>
      </c>
      <c r="BA434" t="s">
        <v>4562</v>
      </c>
      <c r="BD434" t="s">
        <v>116</v>
      </c>
      <c r="BE434" t="s">
        <v>4704</v>
      </c>
    </row>
    <row r="435" spans="1:57">
      <c r="A435" s="1">
        <f>HYPERLINK("https://lsnyc.legalserver.org/matter/dynamic-profile/view/1907237","19-1907237")</f>
        <v>0</v>
      </c>
      <c r="B435" t="s">
        <v>74</v>
      </c>
      <c r="C435" t="s">
        <v>93</v>
      </c>
      <c r="D435" t="s">
        <v>186</v>
      </c>
      <c r="F435" t="s">
        <v>606</v>
      </c>
      <c r="G435" t="s">
        <v>274</v>
      </c>
      <c r="H435" t="s">
        <v>1667</v>
      </c>
      <c r="I435" t="s">
        <v>2074</v>
      </c>
      <c r="J435" t="s">
        <v>2169</v>
      </c>
      <c r="K435" t="s">
        <v>2171</v>
      </c>
      <c r="L435">
        <v>10027</v>
      </c>
      <c r="M435" t="s">
        <v>2173</v>
      </c>
      <c r="N435" t="s">
        <v>2172</v>
      </c>
      <c r="O435" t="s">
        <v>2180</v>
      </c>
      <c r="P435" t="s">
        <v>2592</v>
      </c>
      <c r="Q435">
        <v>12</v>
      </c>
      <c r="R435" t="s">
        <v>2844</v>
      </c>
      <c r="S435" t="s">
        <v>2859</v>
      </c>
      <c r="U435" t="s">
        <v>2868</v>
      </c>
      <c r="V435" t="s">
        <v>2174</v>
      </c>
      <c r="W435" t="s">
        <v>2174</v>
      </c>
      <c r="Y435" t="s">
        <v>2875</v>
      </c>
      <c r="AB435">
        <v>0</v>
      </c>
      <c r="AC435">
        <v>1270</v>
      </c>
      <c r="AD435">
        <v>3.25</v>
      </c>
      <c r="AE435" t="s">
        <v>2894</v>
      </c>
      <c r="AG435" t="s">
        <v>3323</v>
      </c>
      <c r="AI435" t="s">
        <v>4188</v>
      </c>
      <c r="AJ435">
        <v>0</v>
      </c>
      <c r="AK435" t="s">
        <v>4459</v>
      </c>
      <c r="AL435">
        <v>1</v>
      </c>
      <c r="AM435">
        <v>1</v>
      </c>
      <c r="AN435">
        <v>289.77</v>
      </c>
      <c r="AR435" t="s">
        <v>4476</v>
      </c>
      <c r="AS435" t="s">
        <v>4486</v>
      </c>
      <c r="AT435">
        <v>49000</v>
      </c>
      <c r="AX435" t="s">
        <v>4501</v>
      </c>
      <c r="BA435" t="s">
        <v>4546</v>
      </c>
      <c r="BD435" t="s">
        <v>219</v>
      </c>
      <c r="BE435" t="s">
        <v>4703</v>
      </c>
    </row>
    <row r="436" spans="1:57">
      <c r="A436" s="1">
        <f>HYPERLINK("https://lsnyc.legalserver.org/matter/dynamic-profile/view/1907354","19-1907354")</f>
        <v>0</v>
      </c>
      <c r="B436" t="s">
        <v>67</v>
      </c>
      <c r="C436" t="s">
        <v>93</v>
      </c>
      <c r="D436" t="s">
        <v>178</v>
      </c>
      <c r="F436" t="s">
        <v>606</v>
      </c>
      <c r="G436" t="s">
        <v>1114</v>
      </c>
      <c r="H436" t="s">
        <v>1668</v>
      </c>
      <c r="I436" t="s">
        <v>1917</v>
      </c>
      <c r="J436" t="s">
        <v>2169</v>
      </c>
      <c r="K436" t="s">
        <v>2171</v>
      </c>
      <c r="L436">
        <v>10027</v>
      </c>
      <c r="M436" t="s">
        <v>2173</v>
      </c>
      <c r="N436" t="s">
        <v>2172</v>
      </c>
      <c r="O436" t="s">
        <v>2179</v>
      </c>
      <c r="P436" t="s">
        <v>2593</v>
      </c>
      <c r="Q436">
        <v>12</v>
      </c>
      <c r="R436" t="s">
        <v>2844</v>
      </c>
      <c r="S436" t="s">
        <v>2857</v>
      </c>
      <c r="U436" t="s">
        <v>2869</v>
      </c>
      <c r="V436" t="s">
        <v>2174</v>
      </c>
      <c r="W436" t="s">
        <v>2174</v>
      </c>
      <c r="Y436" t="s">
        <v>2876</v>
      </c>
      <c r="AA436" t="s">
        <v>178</v>
      </c>
      <c r="AB436">
        <v>0</v>
      </c>
      <c r="AC436">
        <v>667</v>
      </c>
      <c r="AD436">
        <v>4.75</v>
      </c>
      <c r="AE436" t="s">
        <v>2894</v>
      </c>
      <c r="AG436" t="s">
        <v>3324</v>
      </c>
      <c r="AI436" t="s">
        <v>4189</v>
      </c>
      <c r="AJ436">
        <v>11</v>
      </c>
      <c r="AK436" t="s">
        <v>4461</v>
      </c>
      <c r="AL436">
        <v>2</v>
      </c>
      <c r="AM436">
        <v>2</v>
      </c>
      <c r="AN436">
        <v>20.7</v>
      </c>
      <c r="AR436" t="s">
        <v>2176</v>
      </c>
      <c r="AS436" t="s">
        <v>4486</v>
      </c>
      <c r="AT436">
        <v>5330</v>
      </c>
      <c r="AX436" t="s">
        <v>4504</v>
      </c>
      <c r="BA436" t="s">
        <v>4551</v>
      </c>
      <c r="BD436" t="s">
        <v>169</v>
      </c>
      <c r="BE436" t="s">
        <v>4703</v>
      </c>
    </row>
    <row r="437" spans="1:57">
      <c r="A437" s="1">
        <f>HYPERLINK("https://lsnyc.legalserver.org/matter/dynamic-profile/view/1908214","19-1908214")</f>
        <v>0</v>
      </c>
      <c r="B437" t="s">
        <v>66</v>
      </c>
      <c r="C437" t="s">
        <v>93</v>
      </c>
      <c r="D437" t="s">
        <v>172</v>
      </c>
      <c r="F437" t="s">
        <v>607</v>
      </c>
      <c r="G437" t="s">
        <v>1115</v>
      </c>
      <c r="H437" t="s">
        <v>1669</v>
      </c>
      <c r="I437" t="s">
        <v>1960</v>
      </c>
      <c r="J437" t="s">
        <v>2169</v>
      </c>
      <c r="K437" t="s">
        <v>2171</v>
      </c>
      <c r="L437">
        <v>10027</v>
      </c>
      <c r="M437" t="s">
        <v>2172</v>
      </c>
      <c r="N437" t="s">
        <v>2172</v>
      </c>
      <c r="P437" t="s">
        <v>2594</v>
      </c>
      <c r="Q437">
        <v>9</v>
      </c>
      <c r="R437" t="s">
        <v>2844</v>
      </c>
      <c r="S437" t="s">
        <v>2857</v>
      </c>
      <c r="U437" t="s">
        <v>2868</v>
      </c>
      <c r="V437" t="s">
        <v>2174</v>
      </c>
      <c r="W437" t="s">
        <v>2174</v>
      </c>
      <c r="Y437" t="s">
        <v>2876</v>
      </c>
      <c r="AB437">
        <v>0</v>
      </c>
      <c r="AC437">
        <v>962</v>
      </c>
      <c r="AD437">
        <v>3.5</v>
      </c>
      <c r="AE437" t="s">
        <v>2894</v>
      </c>
      <c r="AG437" t="s">
        <v>3325</v>
      </c>
      <c r="AI437" t="s">
        <v>4190</v>
      </c>
      <c r="AJ437">
        <v>0</v>
      </c>
      <c r="AL437">
        <v>1</v>
      </c>
      <c r="AM437">
        <v>4</v>
      </c>
      <c r="AN437">
        <v>15.67</v>
      </c>
      <c r="AS437" t="s">
        <v>4486</v>
      </c>
      <c r="AT437">
        <v>4728</v>
      </c>
      <c r="AX437" t="s">
        <v>4499</v>
      </c>
      <c r="BA437" t="s">
        <v>4535</v>
      </c>
      <c r="BD437" t="s">
        <v>98</v>
      </c>
    </row>
    <row r="438" spans="1:57">
      <c r="A438" s="1">
        <f>HYPERLINK("https://lsnyc.legalserver.org/matter/dynamic-profile/view/1908868","19-1908868")</f>
        <v>0</v>
      </c>
      <c r="B438" t="s">
        <v>64</v>
      </c>
      <c r="C438" t="s">
        <v>93</v>
      </c>
      <c r="D438" t="s">
        <v>153</v>
      </c>
      <c r="F438" t="s">
        <v>608</v>
      </c>
      <c r="G438" t="s">
        <v>1116</v>
      </c>
      <c r="H438" t="s">
        <v>1670</v>
      </c>
      <c r="I438" t="s">
        <v>1982</v>
      </c>
      <c r="J438" t="s">
        <v>2169</v>
      </c>
      <c r="K438" t="s">
        <v>2171</v>
      </c>
      <c r="L438">
        <v>10027</v>
      </c>
      <c r="M438" t="s">
        <v>2173</v>
      </c>
      <c r="N438" t="s">
        <v>2172</v>
      </c>
      <c r="O438" t="s">
        <v>2175</v>
      </c>
      <c r="P438" t="s">
        <v>2595</v>
      </c>
      <c r="Q438">
        <v>5</v>
      </c>
      <c r="R438" t="s">
        <v>2844</v>
      </c>
      <c r="S438" t="s">
        <v>2856</v>
      </c>
      <c r="U438" t="s">
        <v>2869</v>
      </c>
      <c r="V438" t="s">
        <v>2174</v>
      </c>
      <c r="W438" t="s">
        <v>2174</v>
      </c>
      <c r="Y438" t="s">
        <v>2876</v>
      </c>
      <c r="AA438" t="s">
        <v>153</v>
      </c>
      <c r="AB438">
        <v>0</v>
      </c>
      <c r="AC438">
        <v>810.59</v>
      </c>
      <c r="AD438">
        <v>8.300000000000001</v>
      </c>
      <c r="AE438" t="s">
        <v>2894</v>
      </c>
      <c r="AG438" t="s">
        <v>3326</v>
      </c>
      <c r="AH438" t="s">
        <v>3697</v>
      </c>
      <c r="AI438" t="s">
        <v>4191</v>
      </c>
      <c r="AJ438">
        <v>17</v>
      </c>
      <c r="AK438" t="s">
        <v>4456</v>
      </c>
      <c r="AL438">
        <v>1</v>
      </c>
      <c r="AM438">
        <v>0</v>
      </c>
      <c r="AN438">
        <v>76.86</v>
      </c>
      <c r="AR438" t="s">
        <v>4476</v>
      </c>
      <c r="AS438" t="s">
        <v>4486</v>
      </c>
      <c r="AT438">
        <v>9600</v>
      </c>
      <c r="AX438" t="s">
        <v>4501</v>
      </c>
      <c r="BA438" t="s">
        <v>4617</v>
      </c>
      <c r="BD438" t="s">
        <v>117</v>
      </c>
      <c r="BE438" t="s">
        <v>4704</v>
      </c>
    </row>
    <row r="439" spans="1:57">
      <c r="A439" s="1">
        <f>HYPERLINK("https://lsnyc.legalserver.org/matter/dynamic-profile/view/1909368","19-1909368")</f>
        <v>0</v>
      </c>
      <c r="B439" t="s">
        <v>82</v>
      </c>
      <c r="C439" t="s">
        <v>93</v>
      </c>
      <c r="D439" t="s">
        <v>166</v>
      </c>
      <c r="F439" t="s">
        <v>609</v>
      </c>
      <c r="G439" t="s">
        <v>965</v>
      </c>
      <c r="H439" t="s">
        <v>1671</v>
      </c>
      <c r="I439" t="s">
        <v>1924</v>
      </c>
      <c r="J439" t="s">
        <v>2169</v>
      </c>
      <c r="K439" t="s">
        <v>2171</v>
      </c>
      <c r="L439">
        <v>10027</v>
      </c>
      <c r="M439" t="s">
        <v>2173</v>
      </c>
      <c r="N439" t="s">
        <v>2172</v>
      </c>
      <c r="O439" t="s">
        <v>2179</v>
      </c>
      <c r="P439" t="s">
        <v>2596</v>
      </c>
      <c r="Q439">
        <v>5</v>
      </c>
      <c r="R439" t="s">
        <v>2844</v>
      </c>
      <c r="S439" t="s">
        <v>2857</v>
      </c>
      <c r="U439" t="s">
        <v>2869</v>
      </c>
      <c r="V439" t="s">
        <v>2174</v>
      </c>
      <c r="W439" t="s">
        <v>2174</v>
      </c>
      <c r="Y439" t="s">
        <v>2876</v>
      </c>
      <c r="Z439" t="s">
        <v>2879</v>
      </c>
      <c r="AA439" t="s">
        <v>166</v>
      </c>
      <c r="AB439">
        <v>0</v>
      </c>
      <c r="AC439">
        <v>1448</v>
      </c>
      <c r="AD439">
        <v>8.5</v>
      </c>
      <c r="AE439" t="s">
        <v>2894</v>
      </c>
      <c r="AG439" t="s">
        <v>3327</v>
      </c>
      <c r="AI439" t="s">
        <v>4192</v>
      </c>
      <c r="AJ439">
        <v>22</v>
      </c>
      <c r="AK439" t="s">
        <v>4456</v>
      </c>
      <c r="AL439">
        <v>2</v>
      </c>
      <c r="AM439">
        <v>2</v>
      </c>
      <c r="AN439">
        <v>198.06</v>
      </c>
      <c r="AR439" t="s">
        <v>4476</v>
      </c>
      <c r="AS439" t="s">
        <v>4486</v>
      </c>
      <c r="AT439">
        <v>51000</v>
      </c>
      <c r="AX439" t="s">
        <v>4501</v>
      </c>
      <c r="BA439" t="s">
        <v>4546</v>
      </c>
      <c r="BD439" t="s">
        <v>169</v>
      </c>
      <c r="BE439" t="s">
        <v>4703</v>
      </c>
    </row>
    <row r="440" spans="1:57">
      <c r="A440" s="1">
        <f>HYPERLINK("https://lsnyc.legalserver.org/matter/dynamic-profile/view/1909386","19-1909386")</f>
        <v>0</v>
      </c>
      <c r="B440" t="s">
        <v>82</v>
      </c>
      <c r="C440" t="s">
        <v>93</v>
      </c>
      <c r="D440" t="s">
        <v>166</v>
      </c>
      <c r="F440" t="s">
        <v>610</v>
      </c>
      <c r="G440" t="s">
        <v>1117</v>
      </c>
      <c r="H440" t="s">
        <v>1672</v>
      </c>
      <c r="I440" t="s">
        <v>1924</v>
      </c>
      <c r="J440" t="s">
        <v>2169</v>
      </c>
      <c r="K440" t="s">
        <v>2171</v>
      </c>
      <c r="L440">
        <v>10027</v>
      </c>
      <c r="M440" t="s">
        <v>2173</v>
      </c>
      <c r="N440" t="s">
        <v>2172</v>
      </c>
      <c r="O440" t="s">
        <v>2179</v>
      </c>
      <c r="P440" t="s">
        <v>2597</v>
      </c>
      <c r="Q440">
        <v>7</v>
      </c>
      <c r="R440" t="s">
        <v>2844</v>
      </c>
      <c r="S440" t="s">
        <v>2857</v>
      </c>
      <c r="U440" t="s">
        <v>2869</v>
      </c>
      <c r="V440" t="s">
        <v>2174</v>
      </c>
      <c r="W440" t="s">
        <v>2174</v>
      </c>
      <c r="Y440" t="s">
        <v>2876</v>
      </c>
      <c r="Z440" t="s">
        <v>2879</v>
      </c>
      <c r="AA440" t="s">
        <v>166</v>
      </c>
      <c r="AB440">
        <v>0</v>
      </c>
      <c r="AC440">
        <v>465</v>
      </c>
      <c r="AD440">
        <v>7</v>
      </c>
      <c r="AE440" t="s">
        <v>2894</v>
      </c>
      <c r="AG440" t="s">
        <v>3328</v>
      </c>
      <c r="AI440" t="s">
        <v>4193</v>
      </c>
      <c r="AJ440">
        <v>90</v>
      </c>
      <c r="AK440" t="s">
        <v>4464</v>
      </c>
      <c r="AL440">
        <v>1</v>
      </c>
      <c r="AM440">
        <v>0</v>
      </c>
      <c r="AN440">
        <v>233.15</v>
      </c>
      <c r="AO440" t="s">
        <v>166</v>
      </c>
      <c r="AP440" t="s">
        <v>4472</v>
      </c>
      <c r="AR440" t="s">
        <v>4478</v>
      </c>
      <c r="AS440" t="s">
        <v>4486</v>
      </c>
      <c r="AT440">
        <v>29120</v>
      </c>
      <c r="AX440" t="s">
        <v>4501</v>
      </c>
      <c r="BA440" t="s">
        <v>4546</v>
      </c>
      <c r="BD440" t="s">
        <v>217</v>
      </c>
      <c r="BE440" t="s">
        <v>4703</v>
      </c>
    </row>
    <row r="441" spans="1:57">
      <c r="A441" s="1">
        <f>HYPERLINK("https://lsnyc.legalserver.org/matter/dynamic-profile/view/1909901","19-1909901")</f>
        <v>0</v>
      </c>
      <c r="B441" t="s">
        <v>82</v>
      </c>
      <c r="C441" t="s">
        <v>93</v>
      </c>
      <c r="D441" t="s">
        <v>167</v>
      </c>
      <c r="F441" t="s">
        <v>611</v>
      </c>
      <c r="G441" t="s">
        <v>1118</v>
      </c>
      <c r="H441" t="s">
        <v>1673</v>
      </c>
      <c r="J441" t="s">
        <v>2169</v>
      </c>
      <c r="K441" t="s">
        <v>2171</v>
      </c>
      <c r="L441">
        <v>10027</v>
      </c>
      <c r="M441" t="s">
        <v>2173</v>
      </c>
      <c r="N441" t="s">
        <v>2172</v>
      </c>
      <c r="O441" t="s">
        <v>2175</v>
      </c>
      <c r="P441" t="s">
        <v>2598</v>
      </c>
      <c r="Q441">
        <v>23</v>
      </c>
      <c r="R441" t="s">
        <v>2844</v>
      </c>
      <c r="S441" t="s">
        <v>2857</v>
      </c>
      <c r="U441" t="s">
        <v>2869</v>
      </c>
      <c r="V441" t="s">
        <v>2174</v>
      </c>
      <c r="W441" t="s">
        <v>2174</v>
      </c>
      <c r="Y441" t="s">
        <v>2876</v>
      </c>
      <c r="Z441" t="s">
        <v>2879</v>
      </c>
      <c r="AA441" t="s">
        <v>167</v>
      </c>
      <c r="AB441">
        <v>0</v>
      </c>
      <c r="AC441">
        <v>754</v>
      </c>
      <c r="AD441">
        <v>9.699999999999999</v>
      </c>
      <c r="AE441" t="s">
        <v>2894</v>
      </c>
      <c r="AG441" t="s">
        <v>3329</v>
      </c>
      <c r="AI441" t="s">
        <v>4194</v>
      </c>
      <c r="AJ441">
        <v>21</v>
      </c>
      <c r="AK441" t="s">
        <v>4456</v>
      </c>
      <c r="AL441">
        <v>1</v>
      </c>
      <c r="AM441">
        <v>0</v>
      </c>
      <c r="AN441">
        <v>0</v>
      </c>
      <c r="AR441" t="s">
        <v>4476</v>
      </c>
      <c r="AS441" t="s">
        <v>4486</v>
      </c>
      <c r="AT441">
        <v>0</v>
      </c>
      <c r="AX441" t="s">
        <v>4504</v>
      </c>
      <c r="BA441" t="s">
        <v>4539</v>
      </c>
      <c r="BD441" t="s">
        <v>169</v>
      </c>
      <c r="BE441" t="s">
        <v>4703</v>
      </c>
    </row>
    <row r="442" spans="1:57">
      <c r="A442" s="1">
        <f>HYPERLINK("https://lsnyc.legalserver.org/matter/dynamic-profile/view/1909910","19-1909910")</f>
        <v>0</v>
      </c>
      <c r="B442" t="s">
        <v>62</v>
      </c>
      <c r="C442" t="s">
        <v>93</v>
      </c>
      <c r="D442" t="s">
        <v>167</v>
      </c>
      <c r="F442" t="s">
        <v>470</v>
      </c>
      <c r="G442" t="s">
        <v>1119</v>
      </c>
      <c r="H442" t="s">
        <v>1674</v>
      </c>
      <c r="I442" t="s">
        <v>1924</v>
      </c>
      <c r="J442" t="s">
        <v>2169</v>
      </c>
      <c r="K442" t="s">
        <v>2171</v>
      </c>
      <c r="L442">
        <v>10027</v>
      </c>
      <c r="M442" t="s">
        <v>2173</v>
      </c>
      <c r="N442" t="s">
        <v>2172</v>
      </c>
      <c r="O442" t="s">
        <v>2179</v>
      </c>
      <c r="P442" t="s">
        <v>2599</v>
      </c>
      <c r="Q442">
        <v>12</v>
      </c>
      <c r="R442" t="s">
        <v>2844</v>
      </c>
      <c r="S442" t="s">
        <v>2857</v>
      </c>
      <c r="U442" t="s">
        <v>2869</v>
      </c>
      <c r="V442" t="s">
        <v>2174</v>
      </c>
      <c r="W442" t="s">
        <v>2174</v>
      </c>
      <c r="Y442" t="s">
        <v>2876</v>
      </c>
      <c r="AA442" t="s">
        <v>167</v>
      </c>
      <c r="AB442">
        <v>0</v>
      </c>
      <c r="AC442">
        <v>503.48</v>
      </c>
      <c r="AD442">
        <v>0</v>
      </c>
      <c r="AE442" t="s">
        <v>2894</v>
      </c>
      <c r="AG442" t="s">
        <v>3330</v>
      </c>
      <c r="AI442" t="s">
        <v>4195</v>
      </c>
      <c r="AJ442">
        <v>0</v>
      </c>
      <c r="AK442" t="s">
        <v>4458</v>
      </c>
      <c r="AL442">
        <v>2</v>
      </c>
      <c r="AM442">
        <v>0</v>
      </c>
      <c r="AN442">
        <v>0</v>
      </c>
      <c r="AR442" t="s">
        <v>4476</v>
      </c>
      <c r="AS442" t="s">
        <v>4486</v>
      </c>
      <c r="AT442">
        <v>0</v>
      </c>
      <c r="AX442" t="s">
        <v>4501</v>
      </c>
      <c r="BA442" t="s">
        <v>4539</v>
      </c>
      <c r="BE442" t="s">
        <v>4703</v>
      </c>
    </row>
    <row r="443" spans="1:57">
      <c r="A443" s="1">
        <f>HYPERLINK("https://lsnyc.legalserver.org/matter/dynamic-profile/view/1909937","19-1909937")</f>
        <v>0</v>
      </c>
      <c r="B443" t="s">
        <v>61</v>
      </c>
      <c r="C443" t="s">
        <v>93</v>
      </c>
      <c r="D443" t="s">
        <v>167</v>
      </c>
      <c r="F443" t="s">
        <v>275</v>
      </c>
      <c r="G443" t="s">
        <v>889</v>
      </c>
      <c r="H443" t="s">
        <v>1675</v>
      </c>
      <c r="I443" t="s">
        <v>1983</v>
      </c>
      <c r="J443" t="s">
        <v>2169</v>
      </c>
      <c r="K443" t="s">
        <v>2171</v>
      </c>
      <c r="L443">
        <v>10027</v>
      </c>
      <c r="M443" t="s">
        <v>2173</v>
      </c>
      <c r="N443" t="s">
        <v>2172</v>
      </c>
      <c r="O443" t="s">
        <v>2179</v>
      </c>
      <c r="P443" t="s">
        <v>2600</v>
      </c>
      <c r="Q443">
        <v>19</v>
      </c>
      <c r="R443" t="s">
        <v>2844</v>
      </c>
      <c r="S443" t="s">
        <v>2857</v>
      </c>
      <c r="U443" t="s">
        <v>2869</v>
      </c>
      <c r="V443" t="s">
        <v>2174</v>
      </c>
      <c r="W443" t="s">
        <v>2174</v>
      </c>
      <c r="Y443" t="s">
        <v>2876</v>
      </c>
      <c r="AB443">
        <v>0</v>
      </c>
      <c r="AC443">
        <v>923.3</v>
      </c>
      <c r="AD443">
        <v>1</v>
      </c>
      <c r="AE443" t="s">
        <v>2894</v>
      </c>
      <c r="AG443" t="s">
        <v>3331</v>
      </c>
      <c r="AH443" t="s">
        <v>3698</v>
      </c>
      <c r="AI443" t="s">
        <v>4196</v>
      </c>
      <c r="AJ443">
        <v>0</v>
      </c>
      <c r="AK443" t="s">
        <v>4456</v>
      </c>
      <c r="AL443">
        <v>3</v>
      </c>
      <c r="AM443">
        <v>0</v>
      </c>
      <c r="AN443">
        <v>177.84</v>
      </c>
      <c r="AR443" t="s">
        <v>2176</v>
      </c>
      <c r="AS443" t="s">
        <v>4486</v>
      </c>
      <c r="AT443">
        <v>37934</v>
      </c>
      <c r="AX443" t="s">
        <v>4504</v>
      </c>
      <c r="BA443" t="s">
        <v>4584</v>
      </c>
      <c r="BD443" t="s">
        <v>167</v>
      </c>
      <c r="BE443" t="s">
        <v>4704</v>
      </c>
    </row>
    <row r="444" spans="1:57">
      <c r="A444" s="1">
        <f>HYPERLINK("https://lsnyc.legalserver.org/matter/dynamic-profile/view/1909940","19-1909940")</f>
        <v>0</v>
      </c>
      <c r="B444" t="s">
        <v>63</v>
      </c>
      <c r="C444" t="s">
        <v>93</v>
      </c>
      <c r="D444" t="s">
        <v>167</v>
      </c>
      <c r="F444" t="s">
        <v>612</v>
      </c>
      <c r="G444" t="s">
        <v>1120</v>
      </c>
      <c r="H444" t="s">
        <v>1676</v>
      </c>
      <c r="I444" t="s">
        <v>2075</v>
      </c>
      <c r="J444" t="s">
        <v>2169</v>
      </c>
      <c r="K444" t="s">
        <v>2171</v>
      </c>
      <c r="L444">
        <v>10027</v>
      </c>
      <c r="M444" t="s">
        <v>2173</v>
      </c>
      <c r="N444" t="s">
        <v>2172</v>
      </c>
      <c r="O444" t="s">
        <v>2175</v>
      </c>
      <c r="P444" t="s">
        <v>2601</v>
      </c>
      <c r="Q444">
        <v>38</v>
      </c>
      <c r="R444" t="s">
        <v>2844</v>
      </c>
      <c r="S444" t="s">
        <v>2857</v>
      </c>
      <c r="U444" t="s">
        <v>2869</v>
      </c>
      <c r="V444" t="s">
        <v>2174</v>
      </c>
      <c r="W444" t="s">
        <v>2174</v>
      </c>
      <c r="Y444" t="s">
        <v>2875</v>
      </c>
      <c r="AA444" t="s">
        <v>167</v>
      </c>
      <c r="AB444">
        <v>0</v>
      </c>
      <c r="AC444">
        <v>85</v>
      </c>
      <c r="AD444">
        <v>2.1</v>
      </c>
      <c r="AE444" t="s">
        <v>2894</v>
      </c>
      <c r="AG444" t="s">
        <v>3332</v>
      </c>
      <c r="AH444" t="s">
        <v>3699</v>
      </c>
      <c r="AI444" t="s">
        <v>4197</v>
      </c>
      <c r="AJ444">
        <v>814</v>
      </c>
      <c r="AK444" t="s">
        <v>4459</v>
      </c>
      <c r="AL444">
        <v>1</v>
      </c>
      <c r="AM444">
        <v>1</v>
      </c>
      <c r="AN444">
        <v>19.99</v>
      </c>
      <c r="AR444" t="s">
        <v>4476</v>
      </c>
      <c r="AS444" t="s">
        <v>4486</v>
      </c>
      <c r="AT444">
        <v>3380</v>
      </c>
      <c r="AX444" t="s">
        <v>4501</v>
      </c>
      <c r="BA444" t="s">
        <v>4562</v>
      </c>
      <c r="BD444" t="s">
        <v>213</v>
      </c>
      <c r="BE444" t="s">
        <v>4704</v>
      </c>
    </row>
    <row r="445" spans="1:57">
      <c r="A445" s="1">
        <f>HYPERLINK("https://lsnyc.legalserver.org/matter/dynamic-profile/view/1910527","19-1910527")</f>
        <v>0</v>
      </c>
      <c r="B445" t="s">
        <v>62</v>
      </c>
      <c r="C445" t="s">
        <v>93</v>
      </c>
      <c r="D445" t="s">
        <v>187</v>
      </c>
      <c r="F445" t="s">
        <v>532</v>
      </c>
      <c r="G445" t="s">
        <v>1121</v>
      </c>
      <c r="H445" t="s">
        <v>1647</v>
      </c>
      <c r="J445" t="s">
        <v>2169</v>
      </c>
      <c r="K445" t="s">
        <v>2171</v>
      </c>
      <c r="L445">
        <v>10027</v>
      </c>
      <c r="M445" t="s">
        <v>2173</v>
      </c>
      <c r="N445" t="s">
        <v>2172</v>
      </c>
      <c r="O445" t="s">
        <v>2175</v>
      </c>
      <c r="P445" t="s">
        <v>2602</v>
      </c>
      <c r="Q445">
        <v>12</v>
      </c>
      <c r="R445" t="s">
        <v>2844</v>
      </c>
      <c r="S445" t="s">
        <v>2857</v>
      </c>
      <c r="U445" t="s">
        <v>2869</v>
      </c>
      <c r="V445" t="s">
        <v>2174</v>
      </c>
      <c r="W445" t="s">
        <v>2174</v>
      </c>
      <c r="Y445" t="s">
        <v>2875</v>
      </c>
      <c r="Z445" t="s">
        <v>2879</v>
      </c>
      <c r="AA445" t="s">
        <v>187</v>
      </c>
      <c r="AB445">
        <v>0</v>
      </c>
      <c r="AC445">
        <v>241</v>
      </c>
      <c r="AD445">
        <v>1.4</v>
      </c>
      <c r="AE445" t="s">
        <v>2894</v>
      </c>
      <c r="AG445" t="s">
        <v>3333</v>
      </c>
      <c r="AH445" t="s">
        <v>3700</v>
      </c>
      <c r="AI445" t="s">
        <v>4198</v>
      </c>
      <c r="AJ445">
        <v>0</v>
      </c>
      <c r="AK445" t="s">
        <v>4459</v>
      </c>
      <c r="AL445">
        <v>1</v>
      </c>
      <c r="AM445">
        <v>0</v>
      </c>
      <c r="AN445">
        <v>81.95</v>
      </c>
      <c r="AR445" t="s">
        <v>4476</v>
      </c>
      <c r="AS445" t="s">
        <v>4486</v>
      </c>
      <c r="AT445">
        <v>10236</v>
      </c>
      <c r="AX445" t="s">
        <v>4504</v>
      </c>
      <c r="BA445" t="s">
        <v>4548</v>
      </c>
      <c r="BD445" t="s">
        <v>217</v>
      </c>
      <c r="BE445" t="s">
        <v>4704</v>
      </c>
    </row>
    <row r="446" spans="1:57">
      <c r="A446" s="1">
        <f>HYPERLINK("https://lsnyc.legalserver.org/matter/dynamic-profile/view/1910994","19-1910994")</f>
        <v>0</v>
      </c>
      <c r="B446" t="s">
        <v>57</v>
      </c>
      <c r="C446" t="s">
        <v>93</v>
      </c>
      <c r="D446" t="s">
        <v>168</v>
      </c>
      <c r="F446" t="s">
        <v>613</v>
      </c>
      <c r="G446" t="s">
        <v>871</v>
      </c>
      <c r="H446" t="s">
        <v>1677</v>
      </c>
      <c r="I446" t="s">
        <v>1917</v>
      </c>
      <c r="J446" t="s">
        <v>2169</v>
      </c>
      <c r="K446" t="s">
        <v>2171</v>
      </c>
      <c r="L446">
        <v>10027</v>
      </c>
      <c r="M446" t="s">
        <v>2173</v>
      </c>
      <c r="N446" t="s">
        <v>2172</v>
      </c>
      <c r="O446" t="s">
        <v>2179</v>
      </c>
      <c r="P446" t="s">
        <v>2603</v>
      </c>
      <c r="Q446">
        <v>16</v>
      </c>
      <c r="R446" t="s">
        <v>2844</v>
      </c>
      <c r="S446" t="s">
        <v>2858</v>
      </c>
      <c r="U446" t="s">
        <v>2869</v>
      </c>
      <c r="V446" t="s">
        <v>2174</v>
      </c>
      <c r="W446" t="s">
        <v>2174</v>
      </c>
      <c r="Y446" t="s">
        <v>2876</v>
      </c>
      <c r="Z446" t="s">
        <v>2879</v>
      </c>
      <c r="AB446">
        <v>0</v>
      </c>
      <c r="AC446">
        <v>890</v>
      </c>
      <c r="AD446">
        <v>0</v>
      </c>
      <c r="AE446" t="s">
        <v>2894</v>
      </c>
      <c r="AG446" t="s">
        <v>3334</v>
      </c>
      <c r="AI446" t="s">
        <v>4199</v>
      </c>
      <c r="AJ446">
        <v>0</v>
      </c>
      <c r="AK446" t="s">
        <v>4458</v>
      </c>
      <c r="AL446">
        <v>2</v>
      </c>
      <c r="AM446">
        <v>2</v>
      </c>
      <c r="AN446">
        <v>181.75</v>
      </c>
      <c r="AR446" t="s">
        <v>4476</v>
      </c>
      <c r="AS446" t="s">
        <v>4486</v>
      </c>
      <c r="AT446">
        <v>46800</v>
      </c>
      <c r="AX446" t="s">
        <v>4504</v>
      </c>
      <c r="BA446" t="s">
        <v>4546</v>
      </c>
      <c r="BE446" t="s">
        <v>4703</v>
      </c>
    </row>
    <row r="447" spans="1:57">
      <c r="A447" s="1">
        <f>HYPERLINK("https://lsnyc.legalserver.org/matter/dynamic-profile/view/1911017","19-1911017")</f>
        <v>0</v>
      </c>
      <c r="B447" t="s">
        <v>83</v>
      </c>
      <c r="C447" t="s">
        <v>93</v>
      </c>
      <c r="D447" t="s">
        <v>168</v>
      </c>
      <c r="F447" t="s">
        <v>614</v>
      </c>
      <c r="G447" t="s">
        <v>1122</v>
      </c>
      <c r="H447" t="s">
        <v>1678</v>
      </c>
      <c r="I447">
        <v>316</v>
      </c>
      <c r="J447" t="s">
        <v>2169</v>
      </c>
      <c r="K447" t="s">
        <v>2171</v>
      </c>
      <c r="L447">
        <v>10027</v>
      </c>
      <c r="M447" t="s">
        <v>2173</v>
      </c>
      <c r="N447" t="s">
        <v>2172</v>
      </c>
      <c r="O447" t="s">
        <v>2179</v>
      </c>
      <c r="P447" t="s">
        <v>2604</v>
      </c>
      <c r="Q447">
        <v>-1</v>
      </c>
      <c r="R447" t="s">
        <v>2844</v>
      </c>
      <c r="S447" t="s">
        <v>2858</v>
      </c>
      <c r="U447" t="s">
        <v>2869</v>
      </c>
      <c r="V447" t="s">
        <v>2174</v>
      </c>
      <c r="W447" t="s">
        <v>2174</v>
      </c>
      <c r="Y447" t="s">
        <v>2876</v>
      </c>
      <c r="Z447" t="s">
        <v>2879</v>
      </c>
      <c r="AB447">
        <v>0</v>
      </c>
      <c r="AC447">
        <v>1600</v>
      </c>
      <c r="AD447">
        <v>2</v>
      </c>
      <c r="AE447" t="s">
        <v>2894</v>
      </c>
      <c r="AG447" t="s">
        <v>3335</v>
      </c>
      <c r="AI447" t="s">
        <v>4200</v>
      </c>
      <c r="AJ447">
        <v>0</v>
      </c>
      <c r="AK447" t="s">
        <v>4458</v>
      </c>
      <c r="AL447">
        <v>1</v>
      </c>
      <c r="AM447">
        <v>0</v>
      </c>
      <c r="AN447">
        <v>440.35</v>
      </c>
      <c r="AR447" t="s">
        <v>4476</v>
      </c>
      <c r="AS447" t="s">
        <v>4486</v>
      </c>
      <c r="AT447">
        <v>55000</v>
      </c>
      <c r="AX447" t="s">
        <v>4504</v>
      </c>
      <c r="BA447" t="s">
        <v>4546</v>
      </c>
      <c r="BD447" t="s">
        <v>168</v>
      </c>
      <c r="BE447" t="s">
        <v>4703</v>
      </c>
    </row>
    <row r="448" spans="1:57">
      <c r="A448" s="1">
        <f>HYPERLINK("https://lsnyc.legalserver.org/matter/dynamic-profile/view/1912119","19-1912119")</f>
        <v>0</v>
      </c>
      <c r="B448" t="s">
        <v>68</v>
      </c>
      <c r="C448" t="s">
        <v>93</v>
      </c>
      <c r="D448" t="s">
        <v>154</v>
      </c>
      <c r="F448" t="s">
        <v>564</v>
      </c>
      <c r="G448" t="s">
        <v>934</v>
      </c>
      <c r="H448" t="s">
        <v>1679</v>
      </c>
      <c r="I448">
        <v>52</v>
      </c>
      <c r="J448" t="s">
        <v>2169</v>
      </c>
      <c r="K448" t="s">
        <v>2171</v>
      </c>
      <c r="L448">
        <v>10027</v>
      </c>
      <c r="M448" t="s">
        <v>2173</v>
      </c>
      <c r="N448" t="s">
        <v>2172</v>
      </c>
      <c r="O448" t="s">
        <v>2175</v>
      </c>
      <c r="P448" t="s">
        <v>2605</v>
      </c>
      <c r="Q448">
        <v>20</v>
      </c>
      <c r="R448" t="s">
        <v>2844</v>
      </c>
      <c r="S448" t="s">
        <v>2857</v>
      </c>
      <c r="U448" t="s">
        <v>2869</v>
      </c>
      <c r="V448" t="s">
        <v>2174</v>
      </c>
      <c r="W448" t="s">
        <v>2174</v>
      </c>
      <c r="Y448" t="s">
        <v>2876</v>
      </c>
      <c r="AA448" t="s">
        <v>154</v>
      </c>
      <c r="AB448">
        <v>0</v>
      </c>
      <c r="AC448">
        <v>298</v>
      </c>
      <c r="AD448">
        <v>0</v>
      </c>
      <c r="AE448" t="s">
        <v>2894</v>
      </c>
      <c r="AG448" t="s">
        <v>3336</v>
      </c>
      <c r="AH448" t="s">
        <v>3701</v>
      </c>
      <c r="AI448" t="s">
        <v>4201</v>
      </c>
      <c r="AJ448">
        <v>0</v>
      </c>
      <c r="AK448" t="s">
        <v>4465</v>
      </c>
      <c r="AL448">
        <v>1</v>
      </c>
      <c r="AM448">
        <v>0</v>
      </c>
      <c r="AN448">
        <v>66.2</v>
      </c>
      <c r="AR448" t="s">
        <v>4478</v>
      </c>
      <c r="AS448" t="s">
        <v>4486</v>
      </c>
      <c r="AT448">
        <v>8268</v>
      </c>
      <c r="AX448" t="s">
        <v>4501</v>
      </c>
      <c r="BA448" t="s">
        <v>4618</v>
      </c>
      <c r="BE448" t="s">
        <v>4704</v>
      </c>
    </row>
    <row r="449" spans="1:57">
      <c r="A449" s="1">
        <f>HYPERLINK("https://lsnyc.legalserver.org/matter/dynamic-profile/view/1911807","19-1911807")</f>
        <v>0</v>
      </c>
      <c r="B449" t="s">
        <v>64</v>
      </c>
      <c r="C449" t="s">
        <v>93</v>
      </c>
      <c r="D449" t="s">
        <v>117</v>
      </c>
      <c r="F449" t="s">
        <v>615</v>
      </c>
      <c r="G449" t="s">
        <v>889</v>
      </c>
      <c r="H449" t="s">
        <v>1606</v>
      </c>
      <c r="I449" t="s">
        <v>2074</v>
      </c>
      <c r="J449" t="s">
        <v>2169</v>
      </c>
      <c r="K449" t="s">
        <v>2171</v>
      </c>
      <c r="L449">
        <v>10027</v>
      </c>
      <c r="M449" t="s">
        <v>2173</v>
      </c>
      <c r="N449" t="s">
        <v>2172</v>
      </c>
      <c r="Q449">
        <v>0</v>
      </c>
      <c r="R449" t="s">
        <v>2847</v>
      </c>
      <c r="U449" t="s">
        <v>2869</v>
      </c>
      <c r="V449" t="s">
        <v>2174</v>
      </c>
      <c r="W449" t="s">
        <v>2174</v>
      </c>
      <c r="Y449" t="s">
        <v>2875</v>
      </c>
      <c r="AB449">
        <v>0</v>
      </c>
      <c r="AC449">
        <v>0</v>
      </c>
      <c r="AD449">
        <v>0</v>
      </c>
      <c r="AE449" t="s">
        <v>2894</v>
      </c>
      <c r="AG449" t="s">
        <v>3337</v>
      </c>
      <c r="AI449" t="s">
        <v>4202</v>
      </c>
      <c r="AJ449">
        <v>0</v>
      </c>
      <c r="AK449" t="s">
        <v>4459</v>
      </c>
      <c r="AL449">
        <v>1</v>
      </c>
      <c r="AM449">
        <v>0</v>
      </c>
      <c r="AN449">
        <v>74.08</v>
      </c>
      <c r="AS449" t="s">
        <v>4486</v>
      </c>
      <c r="AT449">
        <v>9252</v>
      </c>
      <c r="AX449" t="s">
        <v>4509</v>
      </c>
      <c r="BA449" t="s">
        <v>4538</v>
      </c>
      <c r="BE449" t="s">
        <v>4703</v>
      </c>
    </row>
    <row r="450" spans="1:57">
      <c r="A450" s="1">
        <f>HYPERLINK("https://lsnyc.legalserver.org/matter/dynamic-profile/view/1909050","19-1909050")</f>
        <v>0</v>
      </c>
      <c r="B450" t="s">
        <v>71</v>
      </c>
      <c r="C450" t="s">
        <v>93</v>
      </c>
      <c r="D450" t="s">
        <v>98</v>
      </c>
      <c r="F450" t="s">
        <v>616</v>
      </c>
      <c r="G450" t="s">
        <v>381</v>
      </c>
      <c r="H450" t="s">
        <v>1680</v>
      </c>
      <c r="I450" t="s">
        <v>2076</v>
      </c>
      <c r="J450" t="s">
        <v>2169</v>
      </c>
      <c r="K450" t="s">
        <v>2171</v>
      </c>
      <c r="L450">
        <v>10027</v>
      </c>
      <c r="M450" t="s">
        <v>2173</v>
      </c>
      <c r="N450" t="s">
        <v>2172</v>
      </c>
      <c r="O450" t="s">
        <v>2178</v>
      </c>
      <c r="P450" t="s">
        <v>2606</v>
      </c>
      <c r="Q450">
        <v>9</v>
      </c>
      <c r="R450" t="s">
        <v>2851</v>
      </c>
      <c r="S450" t="s">
        <v>2858</v>
      </c>
      <c r="U450" t="s">
        <v>2868</v>
      </c>
      <c r="V450" t="s">
        <v>2174</v>
      </c>
      <c r="W450" t="s">
        <v>2174</v>
      </c>
      <c r="Y450" t="s">
        <v>2877</v>
      </c>
      <c r="AA450" t="s">
        <v>98</v>
      </c>
      <c r="AB450">
        <v>0</v>
      </c>
      <c r="AC450">
        <v>537</v>
      </c>
      <c r="AD450">
        <v>0</v>
      </c>
      <c r="AE450" t="s">
        <v>2894</v>
      </c>
      <c r="AG450" t="s">
        <v>3338</v>
      </c>
      <c r="AI450" t="s">
        <v>4203</v>
      </c>
      <c r="AJ450">
        <v>0</v>
      </c>
      <c r="AK450" t="s">
        <v>4465</v>
      </c>
      <c r="AL450">
        <v>1</v>
      </c>
      <c r="AM450">
        <v>0</v>
      </c>
      <c r="AN450">
        <v>73.02</v>
      </c>
      <c r="AS450" t="s">
        <v>4486</v>
      </c>
      <c r="AT450">
        <v>9120</v>
      </c>
      <c r="AX450" t="s">
        <v>4501</v>
      </c>
      <c r="BA450" t="s">
        <v>4548</v>
      </c>
      <c r="BE450" t="s">
        <v>4703</v>
      </c>
    </row>
    <row r="451" spans="1:57">
      <c r="A451" s="1">
        <f>HYPERLINK("https://lsnyc.legalserver.org/matter/dynamic-profile/view/1892888","19-1892888")</f>
        <v>0</v>
      </c>
      <c r="B451" t="s">
        <v>86</v>
      </c>
      <c r="C451" t="s">
        <v>93</v>
      </c>
      <c r="D451" t="s">
        <v>140</v>
      </c>
      <c r="F451" t="s">
        <v>345</v>
      </c>
      <c r="G451" t="s">
        <v>1123</v>
      </c>
      <c r="H451" t="s">
        <v>1681</v>
      </c>
      <c r="J451" t="s">
        <v>2169</v>
      </c>
      <c r="K451" t="s">
        <v>2171</v>
      </c>
      <c r="L451">
        <v>10027</v>
      </c>
      <c r="M451" t="s">
        <v>2172</v>
      </c>
      <c r="N451" t="s">
        <v>2172</v>
      </c>
      <c r="Q451">
        <v>7</v>
      </c>
      <c r="U451" t="s">
        <v>2869</v>
      </c>
      <c r="V451" t="s">
        <v>2174</v>
      </c>
      <c r="Y451" t="s">
        <v>2876</v>
      </c>
      <c r="AB451">
        <v>0</v>
      </c>
      <c r="AC451">
        <v>900</v>
      </c>
      <c r="AD451">
        <v>0</v>
      </c>
      <c r="AE451" t="s">
        <v>2894</v>
      </c>
      <c r="AG451" t="s">
        <v>3339</v>
      </c>
      <c r="AI451" t="s">
        <v>4204</v>
      </c>
      <c r="AJ451">
        <v>0</v>
      </c>
      <c r="AL451">
        <v>2</v>
      </c>
      <c r="AM451">
        <v>0</v>
      </c>
      <c r="AN451">
        <v>134.83</v>
      </c>
      <c r="AS451" t="s">
        <v>4486</v>
      </c>
      <c r="AT451">
        <v>22800</v>
      </c>
      <c r="AX451" t="s">
        <v>86</v>
      </c>
      <c r="BA451" t="s">
        <v>4536</v>
      </c>
    </row>
    <row r="452" spans="1:57">
      <c r="A452" s="1">
        <f>HYPERLINK("https://lsnyc.legalserver.org/matter/dynamic-profile/view/1892874","19-1892874")</f>
        <v>0</v>
      </c>
      <c r="B452" t="s">
        <v>75</v>
      </c>
      <c r="C452" t="s">
        <v>93</v>
      </c>
      <c r="D452" t="s">
        <v>140</v>
      </c>
      <c r="F452" t="s">
        <v>617</v>
      </c>
      <c r="G452" t="s">
        <v>1124</v>
      </c>
      <c r="H452" t="s">
        <v>1682</v>
      </c>
      <c r="I452" t="s">
        <v>1980</v>
      </c>
      <c r="J452" t="s">
        <v>2169</v>
      </c>
      <c r="K452" t="s">
        <v>2171</v>
      </c>
      <c r="L452">
        <v>10026</v>
      </c>
      <c r="M452" t="s">
        <v>2173</v>
      </c>
      <c r="N452" t="s">
        <v>2173</v>
      </c>
      <c r="O452" t="s">
        <v>2179</v>
      </c>
      <c r="P452" t="s">
        <v>2607</v>
      </c>
      <c r="Q452">
        <v>2</v>
      </c>
      <c r="R452" t="s">
        <v>2843</v>
      </c>
      <c r="S452" t="s">
        <v>2857</v>
      </c>
      <c r="U452" t="s">
        <v>2869</v>
      </c>
      <c r="V452" t="s">
        <v>2174</v>
      </c>
      <c r="W452" t="s">
        <v>2174</v>
      </c>
      <c r="Y452" t="s">
        <v>2876</v>
      </c>
      <c r="Z452" t="s">
        <v>2879</v>
      </c>
      <c r="AA452" t="s">
        <v>140</v>
      </c>
      <c r="AB452">
        <v>0</v>
      </c>
      <c r="AC452">
        <v>676</v>
      </c>
      <c r="AD452">
        <v>14.1</v>
      </c>
      <c r="AE452" t="s">
        <v>2894</v>
      </c>
      <c r="AG452" t="s">
        <v>3340</v>
      </c>
      <c r="AJ452">
        <v>0</v>
      </c>
      <c r="AK452" t="s">
        <v>4458</v>
      </c>
      <c r="AL452">
        <v>1</v>
      </c>
      <c r="AM452">
        <v>0</v>
      </c>
      <c r="AN452">
        <v>0</v>
      </c>
      <c r="AQ452" t="s">
        <v>4473</v>
      </c>
      <c r="AR452" t="s">
        <v>4476</v>
      </c>
      <c r="AS452" t="s">
        <v>4486</v>
      </c>
      <c r="AT452">
        <v>0</v>
      </c>
      <c r="AX452" t="s">
        <v>4504</v>
      </c>
      <c r="BA452" t="s">
        <v>4539</v>
      </c>
      <c r="BD452" t="s">
        <v>204</v>
      </c>
    </row>
    <row r="453" spans="1:57">
      <c r="A453" s="1">
        <f>HYPERLINK("https://lsnyc.legalserver.org/matter/dynamic-profile/view/1896496","19-1896496")</f>
        <v>0</v>
      </c>
      <c r="B453" t="s">
        <v>64</v>
      </c>
      <c r="C453" t="s">
        <v>93</v>
      </c>
      <c r="D453" t="s">
        <v>143</v>
      </c>
      <c r="F453" t="s">
        <v>618</v>
      </c>
      <c r="G453" t="s">
        <v>1125</v>
      </c>
      <c r="H453" t="s">
        <v>1683</v>
      </c>
      <c r="I453" t="s">
        <v>1994</v>
      </c>
      <c r="J453" t="s">
        <v>2169</v>
      </c>
      <c r="K453" t="s">
        <v>2171</v>
      </c>
      <c r="L453">
        <v>10026</v>
      </c>
      <c r="M453" t="s">
        <v>2173</v>
      </c>
      <c r="N453" t="s">
        <v>2173</v>
      </c>
      <c r="O453" t="s">
        <v>2176</v>
      </c>
      <c r="P453" t="s">
        <v>2608</v>
      </c>
      <c r="Q453">
        <v>20</v>
      </c>
      <c r="R453" t="s">
        <v>2843</v>
      </c>
      <c r="S453" t="s">
        <v>2857</v>
      </c>
      <c r="U453" t="s">
        <v>2868</v>
      </c>
      <c r="V453" t="s">
        <v>2174</v>
      </c>
      <c r="W453" t="s">
        <v>2174</v>
      </c>
      <c r="Y453" t="s">
        <v>2876</v>
      </c>
      <c r="Z453" t="s">
        <v>2879</v>
      </c>
      <c r="AA453" t="s">
        <v>143</v>
      </c>
      <c r="AB453">
        <v>0</v>
      </c>
      <c r="AC453">
        <v>921</v>
      </c>
      <c r="AD453">
        <v>24</v>
      </c>
      <c r="AE453" t="s">
        <v>2894</v>
      </c>
      <c r="AG453" t="s">
        <v>3341</v>
      </c>
      <c r="AI453" t="s">
        <v>4205</v>
      </c>
      <c r="AJ453">
        <v>36</v>
      </c>
      <c r="AK453" t="s">
        <v>4461</v>
      </c>
      <c r="AL453">
        <v>2</v>
      </c>
      <c r="AM453">
        <v>0</v>
      </c>
      <c r="AN453">
        <v>283.86</v>
      </c>
      <c r="AO453" t="s">
        <v>4468</v>
      </c>
      <c r="AP453" t="s">
        <v>4472</v>
      </c>
      <c r="AR453" t="s">
        <v>4477</v>
      </c>
      <c r="AS453" t="s">
        <v>4486</v>
      </c>
      <c r="AT453">
        <v>48000</v>
      </c>
      <c r="AX453" t="s">
        <v>4504</v>
      </c>
      <c r="BA453" t="s">
        <v>4619</v>
      </c>
      <c r="BD453" t="s">
        <v>96</v>
      </c>
      <c r="BE453" t="s">
        <v>4703</v>
      </c>
    </row>
    <row r="454" spans="1:57">
      <c r="A454" s="1">
        <f>HYPERLINK("https://lsnyc.legalserver.org/matter/dynamic-profile/view/1897165","19-1897165")</f>
        <v>0</v>
      </c>
      <c r="B454" t="s">
        <v>67</v>
      </c>
      <c r="C454" t="s">
        <v>93</v>
      </c>
      <c r="D454" t="s">
        <v>161</v>
      </c>
      <c r="F454" t="s">
        <v>403</v>
      </c>
      <c r="G454" t="s">
        <v>1126</v>
      </c>
      <c r="H454" t="s">
        <v>1684</v>
      </c>
      <c r="I454" t="s">
        <v>2030</v>
      </c>
      <c r="J454" t="s">
        <v>2169</v>
      </c>
      <c r="K454" t="s">
        <v>2171</v>
      </c>
      <c r="L454">
        <v>10026</v>
      </c>
      <c r="M454" t="s">
        <v>2173</v>
      </c>
      <c r="N454" t="s">
        <v>2173</v>
      </c>
      <c r="O454" t="s">
        <v>2179</v>
      </c>
      <c r="P454" t="s">
        <v>2609</v>
      </c>
      <c r="Q454">
        <v>25</v>
      </c>
      <c r="R454" t="s">
        <v>2843</v>
      </c>
      <c r="S454" t="s">
        <v>2856</v>
      </c>
      <c r="U454" t="s">
        <v>2869</v>
      </c>
      <c r="V454" t="s">
        <v>2174</v>
      </c>
      <c r="W454" t="s">
        <v>2174</v>
      </c>
      <c r="Y454" t="s">
        <v>2876</v>
      </c>
      <c r="Z454" t="s">
        <v>2879</v>
      </c>
      <c r="AA454" t="s">
        <v>161</v>
      </c>
      <c r="AB454">
        <v>0</v>
      </c>
      <c r="AC454">
        <v>421</v>
      </c>
      <c r="AD454">
        <v>11.9</v>
      </c>
      <c r="AE454" t="s">
        <v>2894</v>
      </c>
      <c r="AG454" t="s">
        <v>3342</v>
      </c>
      <c r="AI454" t="s">
        <v>4206</v>
      </c>
      <c r="AJ454">
        <v>0</v>
      </c>
      <c r="AK454" t="s">
        <v>4458</v>
      </c>
      <c r="AL454">
        <v>1</v>
      </c>
      <c r="AM454">
        <v>0</v>
      </c>
      <c r="AN454">
        <v>198.47</v>
      </c>
      <c r="AR454" t="s">
        <v>4476</v>
      </c>
      <c r="AS454" t="s">
        <v>4486</v>
      </c>
      <c r="AT454">
        <v>24789.44</v>
      </c>
      <c r="AX454" t="s">
        <v>4501</v>
      </c>
      <c r="BA454" t="s">
        <v>4546</v>
      </c>
      <c r="BD454" t="s">
        <v>151</v>
      </c>
    </row>
    <row r="455" spans="1:57">
      <c r="A455" s="1">
        <f>HYPERLINK("https://lsnyc.legalserver.org/matter/dynamic-profile/view/1897183","19-1897183")</f>
        <v>0</v>
      </c>
      <c r="B455" t="s">
        <v>71</v>
      </c>
      <c r="C455" t="s">
        <v>93</v>
      </c>
      <c r="D455" t="s">
        <v>161</v>
      </c>
      <c r="F455" t="s">
        <v>575</v>
      </c>
      <c r="G455" t="s">
        <v>1127</v>
      </c>
      <c r="H455" t="s">
        <v>1685</v>
      </c>
      <c r="I455">
        <v>23</v>
      </c>
      <c r="J455" t="s">
        <v>2169</v>
      </c>
      <c r="K455" t="s">
        <v>2171</v>
      </c>
      <c r="L455">
        <v>10026</v>
      </c>
      <c r="M455" t="s">
        <v>2173</v>
      </c>
      <c r="N455" t="s">
        <v>2173</v>
      </c>
      <c r="O455" t="s">
        <v>2175</v>
      </c>
      <c r="P455" t="s">
        <v>2610</v>
      </c>
      <c r="Q455">
        <v>15</v>
      </c>
      <c r="R455" t="s">
        <v>2843</v>
      </c>
      <c r="S455" t="s">
        <v>2856</v>
      </c>
      <c r="U455" t="s">
        <v>2869</v>
      </c>
      <c r="V455" t="s">
        <v>2174</v>
      </c>
      <c r="W455" t="s">
        <v>2174</v>
      </c>
      <c r="Y455" t="s">
        <v>2876</v>
      </c>
      <c r="Z455" t="s">
        <v>2883</v>
      </c>
      <c r="AA455" t="s">
        <v>161</v>
      </c>
      <c r="AB455">
        <v>0</v>
      </c>
      <c r="AC455">
        <v>900</v>
      </c>
      <c r="AD455">
        <v>1</v>
      </c>
      <c r="AE455" t="s">
        <v>2894</v>
      </c>
      <c r="AG455" t="s">
        <v>3343</v>
      </c>
      <c r="AI455" t="s">
        <v>4207</v>
      </c>
      <c r="AJ455">
        <v>0</v>
      </c>
      <c r="AK455" t="s">
        <v>4458</v>
      </c>
      <c r="AL455">
        <v>2</v>
      </c>
      <c r="AM455">
        <v>3</v>
      </c>
      <c r="AN455">
        <v>79.55</v>
      </c>
      <c r="AR455" t="s">
        <v>4476</v>
      </c>
      <c r="AS455" t="s">
        <v>4486</v>
      </c>
      <c r="AT455">
        <v>24000</v>
      </c>
      <c r="AX455" t="s">
        <v>4501</v>
      </c>
      <c r="BA455" t="s">
        <v>4546</v>
      </c>
      <c r="BD455" t="s">
        <v>161</v>
      </c>
    </row>
    <row r="456" spans="1:57">
      <c r="A456" s="1">
        <f>HYPERLINK("https://lsnyc.legalserver.org/matter/dynamic-profile/view/1898815","19-1898815")</f>
        <v>0</v>
      </c>
      <c r="B456" t="s">
        <v>72</v>
      </c>
      <c r="C456" t="s">
        <v>92</v>
      </c>
      <c r="D456" t="s">
        <v>109</v>
      </c>
      <c r="E456" t="s">
        <v>163</v>
      </c>
      <c r="F456" t="s">
        <v>619</v>
      </c>
      <c r="G456" t="s">
        <v>1128</v>
      </c>
      <c r="H456" t="s">
        <v>1686</v>
      </c>
      <c r="I456">
        <v>51</v>
      </c>
      <c r="J456" t="s">
        <v>2169</v>
      </c>
      <c r="K456" t="s">
        <v>2171</v>
      </c>
      <c r="L456">
        <v>10026</v>
      </c>
      <c r="M456" t="s">
        <v>2173</v>
      </c>
      <c r="N456" t="s">
        <v>2173</v>
      </c>
      <c r="O456" t="s">
        <v>2175</v>
      </c>
      <c r="P456" t="s">
        <v>2611</v>
      </c>
      <c r="Q456">
        <v>6</v>
      </c>
      <c r="R456" t="s">
        <v>2843</v>
      </c>
      <c r="S456" t="s">
        <v>2857</v>
      </c>
      <c r="T456" t="s">
        <v>2863</v>
      </c>
      <c r="U456" t="s">
        <v>2869</v>
      </c>
      <c r="V456" t="s">
        <v>2174</v>
      </c>
      <c r="W456" t="s">
        <v>2174</v>
      </c>
      <c r="Y456" t="s">
        <v>2877</v>
      </c>
      <c r="AA456" t="s">
        <v>109</v>
      </c>
      <c r="AB456">
        <v>0</v>
      </c>
      <c r="AC456">
        <v>247</v>
      </c>
      <c r="AD456">
        <v>0.75</v>
      </c>
      <c r="AE456" t="s">
        <v>2894</v>
      </c>
      <c r="AF456" t="s">
        <v>2896</v>
      </c>
      <c r="AG456" t="s">
        <v>3344</v>
      </c>
      <c r="AH456" t="s">
        <v>3702</v>
      </c>
      <c r="AI456" t="s">
        <v>4208</v>
      </c>
      <c r="AJ456">
        <v>0</v>
      </c>
      <c r="AK456" t="s">
        <v>4465</v>
      </c>
      <c r="AL456">
        <v>2</v>
      </c>
      <c r="AM456">
        <v>2</v>
      </c>
      <c r="AN456">
        <v>8.31</v>
      </c>
      <c r="AR456" t="s">
        <v>4476</v>
      </c>
      <c r="AS456" t="s">
        <v>4486</v>
      </c>
      <c r="AT456">
        <v>2141.1</v>
      </c>
      <c r="AX456" t="s">
        <v>4504</v>
      </c>
      <c r="BA456" t="s">
        <v>4551</v>
      </c>
      <c r="BD456" t="s">
        <v>202</v>
      </c>
    </row>
    <row r="457" spans="1:57">
      <c r="A457" s="1">
        <f>HYPERLINK("https://lsnyc.legalserver.org/matter/dynamic-profile/view/1899779","19-1899779")</f>
        <v>0</v>
      </c>
      <c r="B457" t="s">
        <v>75</v>
      </c>
      <c r="C457" t="s">
        <v>93</v>
      </c>
      <c r="D457" t="s">
        <v>188</v>
      </c>
      <c r="F457" t="s">
        <v>620</v>
      </c>
      <c r="G457" t="s">
        <v>1129</v>
      </c>
      <c r="H457" t="s">
        <v>1687</v>
      </c>
      <c r="I457" t="s">
        <v>2077</v>
      </c>
      <c r="J457" t="s">
        <v>2169</v>
      </c>
      <c r="K457" t="s">
        <v>2171</v>
      </c>
      <c r="L457">
        <v>10026</v>
      </c>
      <c r="M457" t="s">
        <v>2173</v>
      </c>
      <c r="N457" t="s">
        <v>2172</v>
      </c>
      <c r="O457" t="s">
        <v>2175</v>
      </c>
      <c r="P457" t="s">
        <v>2612</v>
      </c>
      <c r="Q457">
        <v>21</v>
      </c>
      <c r="R457" t="s">
        <v>2843</v>
      </c>
      <c r="S457" t="s">
        <v>2857</v>
      </c>
      <c r="U457" t="s">
        <v>2869</v>
      </c>
      <c r="V457" t="s">
        <v>2174</v>
      </c>
      <c r="W457" t="s">
        <v>2174</v>
      </c>
      <c r="Y457" t="s">
        <v>2876</v>
      </c>
      <c r="AA457" t="s">
        <v>2887</v>
      </c>
      <c r="AB457">
        <v>0</v>
      </c>
      <c r="AC457">
        <v>357.5</v>
      </c>
      <c r="AD457">
        <v>2.5</v>
      </c>
      <c r="AE457" t="s">
        <v>2894</v>
      </c>
      <c r="AG457" t="s">
        <v>3345</v>
      </c>
      <c r="AI457" t="s">
        <v>4209</v>
      </c>
      <c r="AJ457">
        <v>0</v>
      </c>
      <c r="AK457" t="s">
        <v>4456</v>
      </c>
      <c r="AL457">
        <v>3</v>
      </c>
      <c r="AM457">
        <v>0</v>
      </c>
      <c r="AN457">
        <v>0</v>
      </c>
      <c r="AR457" t="s">
        <v>4476</v>
      </c>
      <c r="AS457" t="s">
        <v>4486</v>
      </c>
      <c r="AT457">
        <v>0</v>
      </c>
      <c r="AX457" t="s">
        <v>4501</v>
      </c>
      <c r="BA457" t="s">
        <v>4539</v>
      </c>
      <c r="BD457" t="s">
        <v>155</v>
      </c>
      <c r="BE457" t="s">
        <v>4476</v>
      </c>
    </row>
    <row r="458" spans="1:57">
      <c r="A458" s="1">
        <f>HYPERLINK("https://lsnyc.legalserver.org/matter/dynamic-profile/view/1900960","19-1900960")</f>
        <v>0</v>
      </c>
      <c r="B458" t="s">
        <v>58</v>
      </c>
      <c r="C458" t="s">
        <v>93</v>
      </c>
      <c r="D458" t="s">
        <v>148</v>
      </c>
      <c r="F458" t="s">
        <v>621</v>
      </c>
      <c r="G458" t="s">
        <v>806</v>
      </c>
      <c r="H458" t="s">
        <v>1687</v>
      </c>
      <c r="I458" t="s">
        <v>1982</v>
      </c>
      <c r="J458" t="s">
        <v>2169</v>
      </c>
      <c r="K458" t="s">
        <v>2171</v>
      </c>
      <c r="L458">
        <v>10026</v>
      </c>
      <c r="M458" t="s">
        <v>2173</v>
      </c>
      <c r="N458" t="s">
        <v>2172</v>
      </c>
      <c r="O458" t="s">
        <v>2179</v>
      </c>
      <c r="P458" t="s">
        <v>2613</v>
      </c>
      <c r="Q458">
        <v>30</v>
      </c>
      <c r="R458" t="s">
        <v>2843</v>
      </c>
      <c r="S458" t="s">
        <v>2857</v>
      </c>
      <c r="U458" t="s">
        <v>2869</v>
      </c>
      <c r="V458" t="s">
        <v>2174</v>
      </c>
      <c r="W458" t="s">
        <v>2174</v>
      </c>
      <c r="Y458" t="s">
        <v>2876</v>
      </c>
      <c r="AA458" t="s">
        <v>148</v>
      </c>
      <c r="AB458">
        <v>0</v>
      </c>
      <c r="AC458">
        <v>464.75</v>
      </c>
      <c r="AD458">
        <v>31.45</v>
      </c>
      <c r="AE458" t="s">
        <v>2894</v>
      </c>
      <c r="AG458" t="s">
        <v>3346</v>
      </c>
      <c r="AI458" t="s">
        <v>4210</v>
      </c>
      <c r="AJ458">
        <v>17</v>
      </c>
      <c r="AK458" t="s">
        <v>4456</v>
      </c>
      <c r="AL458">
        <v>4</v>
      </c>
      <c r="AM458">
        <v>0</v>
      </c>
      <c r="AN458">
        <v>30.29</v>
      </c>
      <c r="AR458" t="s">
        <v>4476</v>
      </c>
      <c r="AS458" t="s">
        <v>4487</v>
      </c>
      <c r="AT458">
        <v>7800</v>
      </c>
      <c r="AX458" t="s">
        <v>4504</v>
      </c>
      <c r="BA458" t="s">
        <v>4545</v>
      </c>
      <c r="BD458" t="s">
        <v>4696</v>
      </c>
      <c r="BE458" t="s">
        <v>4703</v>
      </c>
    </row>
    <row r="459" spans="1:57">
      <c r="A459" s="1">
        <f>HYPERLINK("https://lsnyc.legalserver.org/matter/dynamic-profile/view/1902506","19-1902506")</f>
        <v>0</v>
      </c>
      <c r="B459" t="s">
        <v>57</v>
      </c>
      <c r="C459" t="s">
        <v>93</v>
      </c>
      <c r="D459" t="s">
        <v>173</v>
      </c>
      <c r="F459" t="s">
        <v>622</v>
      </c>
      <c r="G459" t="s">
        <v>1130</v>
      </c>
      <c r="H459" t="s">
        <v>1688</v>
      </c>
      <c r="I459" t="s">
        <v>1931</v>
      </c>
      <c r="J459" t="s">
        <v>2169</v>
      </c>
      <c r="K459" t="s">
        <v>2171</v>
      </c>
      <c r="L459">
        <v>10026</v>
      </c>
      <c r="M459" t="s">
        <v>2173</v>
      </c>
      <c r="N459" t="s">
        <v>2172</v>
      </c>
      <c r="O459" t="s">
        <v>2177</v>
      </c>
      <c r="P459" t="s">
        <v>2614</v>
      </c>
      <c r="Q459">
        <v>6</v>
      </c>
      <c r="R459" t="s">
        <v>2843</v>
      </c>
      <c r="S459" t="s">
        <v>2857</v>
      </c>
      <c r="U459" t="s">
        <v>2869</v>
      </c>
      <c r="V459" t="s">
        <v>2174</v>
      </c>
      <c r="W459" t="s">
        <v>2174</v>
      </c>
      <c r="Y459" t="s">
        <v>2876</v>
      </c>
      <c r="AA459" t="s">
        <v>173</v>
      </c>
      <c r="AB459">
        <v>0</v>
      </c>
      <c r="AC459">
        <v>294</v>
      </c>
      <c r="AD459">
        <v>5.4</v>
      </c>
      <c r="AE459" t="s">
        <v>2894</v>
      </c>
      <c r="AG459" t="s">
        <v>3347</v>
      </c>
      <c r="AI459" t="s">
        <v>4211</v>
      </c>
      <c r="AJ459">
        <v>0</v>
      </c>
      <c r="AK459" t="s">
        <v>4456</v>
      </c>
      <c r="AL459">
        <v>1</v>
      </c>
      <c r="AM459">
        <v>0</v>
      </c>
      <c r="AN459">
        <v>69.94</v>
      </c>
      <c r="AR459" t="s">
        <v>4476</v>
      </c>
      <c r="AS459" t="s">
        <v>4486</v>
      </c>
      <c r="AT459">
        <v>8736</v>
      </c>
      <c r="AX459" t="s">
        <v>4504</v>
      </c>
      <c r="BA459" t="s">
        <v>4538</v>
      </c>
      <c r="BD459" t="s">
        <v>131</v>
      </c>
      <c r="BE459" t="s">
        <v>4703</v>
      </c>
    </row>
    <row r="460" spans="1:57">
      <c r="A460" s="1">
        <f>HYPERLINK("https://lsnyc.legalserver.org/matter/dynamic-profile/view/1902732","19-1902732")</f>
        <v>0</v>
      </c>
      <c r="B460" t="s">
        <v>61</v>
      </c>
      <c r="C460" t="s">
        <v>93</v>
      </c>
      <c r="D460" t="s">
        <v>175</v>
      </c>
      <c r="F460" t="s">
        <v>623</v>
      </c>
      <c r="G460" t="s">
        <v>674</v>
      </c>
      <c r="H460" t="s">
        <v>1689</v>
      </c>
      <c r="I460" t="s">
        <v>1931</v>
      </c>
      <c r="J460" t="s">
        <v>2169</v>
      </c>
      <c r="K460" t="s">
        <v>2171</v>
      </c>
      <c r="L460">
        <v>10026</v>
      </c>
      <c r="M460" t="s">
        <v>2173</v>
      </c>
      <c r="N460" t="s">
        <v>2172</v>
      </c>
      <c r="O460" t="s">
        <v>2175</v>
      </c>
      <c r="P460" t="s">
        <v>2615</v>
      </c>
      <c r="Q460">
        <v>13</v>
      </c>
      <c r="R460" t="s">
        <v>2843</v>
      </c>
      <c r="S460" t="s">
        <v>2857</v>
      </c>
      <c r="U460" t="s">
        <v>2869</v>
      </c>
      <c r="V460" t="s">
        <v>2174</v>
      </c>
      <c r="W460" t="s">
        <v>2174</v>
      </c>
      <c r="Y460" t="s">
        <v>2876</v>
      </c>
      <c r="Z460" t="s">
        <v>2881</v>
      </c>
      <c r="AA460" t="s">
        <v>175</v>
      </c>
      <c r="AB460">
        <v>0</v>
      </c>
      <c r="AC460">
        <v>910.74</v>
      </c>
      <c r="AD460">
        <v>16.1</v>
      </c>
      <c r="AE460" t="s">
        <v>2894</v>
      </c>
      <c r="AG460" t="s">
        <v>3348</v>
      </c>
      <c r="AI460" t="s">
        <v>4212</v>
      </c>
      <c r="AJ460">
        <v>0</v>
      </c>
      <c r="AK460" t="s">
        <v>4456</v>
      </c>
      <c r="AL460">
        <v>1</v>
      </c>
      <c r="AM460">
        <v>1</v>
      </c>
      <c r="AN460">
        <v>106.45</v>
      </c>
      <c r="AR460" t="s">
        <v>4476</v>
      </c>
      <c r="AS460" t="s">
        <v>4486</v>
      </c>
      <c r="AT460">
        <v>18000</v>
      </c>
      <c r="AX460" t="s">
        <v>4504</v>
      </c>
      <c r="AY460" t="s">
        <v>4516</v>
      </c>
      <c r="BA460" t="s">
        <v>4546</v>
      </c>
      <c r="BD460" t="s">
        <v>116</v>
      </c>
      <c r="BE460" t="s">
        <v>4703</v>
      </c>
    </row>
    <row r="461" spans="1:57">
      <c r="A461" s="1">
        <f>HYPERLINK("https://lsnyc.legalserver.org/matter/dynamic-profile/view/1903106","19-1903106")</f>
        <v>0</v>
      </c>
      <c r="B461" t="s">
        <v>68</v>
      </c>
      <c r="C461" t="s">
        <v>92</v>
      </c>
      <c r="D461" t="s">
        <v>163</v>
      </c>
      <c r="E461" t="s">
        <v>197</v>
      </c>
      <c r="F461" t="s">
        <v>624</v>
      </c>
      <c r="G461" t="s">
        <v>1131</v>
      </c>
      <c r="H461" t="s">
        <v>1690</v>
      </c>
      <c r="I461" t="s">
        <v>1980</v>
      </c>
      <c r="J461" t="s">
        <v>2169</v>
      </c>
      <c r="K461" t="s">
        <v>2171</v>
      </c>
      <c r="L461">
        <v>10026</v>
      </c>
      <c r="M461" t="s">
        <v>2173</v>
      </c>
      <c r="N461" t="s">
        <v>2172</v>
      </c>
      <c r="O461" t="s">
        <v>2175</v>
      </c>
      <c r="P461" t="s">
        <v>2616</v>
      </c>
      <c r="Q461">
        <v>1</v>
      </c>
      <c r="R461" t="s">
        <v>2843</v>
      </c>
      <c r="S461" t="s">
        <v>2856</v>
      </c>
      <c r="T461" t="s">
        <v>2863</v>
      </c>
      <c r="U461" t="s">
        <v>2869</v>
      </c>
      <c r="V461" t="s">
        <v>2174</v>
      </c>
      <c r="W461" t="s">
        <v>2174</v>
      </c>
      <c r="Y461" t="s">
        <v>2876</v>
      </c>
      <c r="AA461" t="s">
        <v>163</v>
      </c>
      <c r="AB461">
        <v>0</v>
      </c>
      <c r="AC461">
        <v>900</v>
      </c>
      <c r="AD461">
        <v>1</v>
      </c>
      <c r="AE461" t="s">
        <v>2894</v>
      </c>
      <c r="AF461" t="s">
        <v>2896</v>
      </c>
      <c r="AG461" t="s">
        <v>3349</v>
      </c>
      <c r="AI461" t="s">
        <v>4213</v>
      </c>
      <c r="AJ461">
        <v>24</v>
      </c>
      <c r="AK461" t="s">
        <v>4456</v>
      </c>
      <c r="AL461">
        <v>1</v>
      </c>
      <c r="AM461">
        <v>0</v>
      </c>
      <c r="AN461">
        <v>0</v>
      </c>
      <c r="AR461" t="s">
        <v>4476</v>
      </c>
      <c r="AS461" t="s">
        <v>4486</v>
      </c>
      <c r="AT461">
        <v>0</v>
      </c>
      <c r="AX461" t="s">
        <v>4505</v>
      </c>
      <c r="BA461" t="s">
        <v>4539</v>
      </c>
      <c r="BD461" t="s">
        <v>163</v>
      </c>
      <c r="BE461" t="s">
        <v>4703</v>
      </c>
    </row>
    <row r="462" spans="1:57">
      <c r="A462" s="1">
        <f>HYPERLINK("https://lsnyc.legalserver.org/matter/dynamic-profile/view/1904940","19-1904940")</f>
        <v>0</v>
      </c>
      <c r="B462" t="s">
        <v>75</v>
      </c>
      <c r="C462" t="s">
        <v>93</v>
      </c>
      <c r="D462" t="s">
        <v>122</v>
      </c>
      <c r="F462" t="s">
        <v>625</v>
      </c>
      <c r="G462" t="s">
        <v>1005</v>
      </c>
      <c r="H462" t="s">
        <v>1691</v>
      </c>
      <c r="J462" t="s">
        <v>2169</v>
      </c>
      <c r="K462" t="s">
        <v>2171</v>
      </c>
      <c r="L462">
        <v>10026</v>
      </c>
      <c r="M462" t="s">
        <v>2172</v>
      </c>
      <c r="N462" t="s">
        <v>2172</v>
      </c>
      <c r="P462" t="s">
        <v>2617</v>
      </c>
      <c r="Q462">
        <v>0</v>
      </c>
      <c r="R462" t="s">
        <v>2843</v>
      </c>
      <c r="S462" t="s">
        <v>2858</v>
      </c>
      <c r="U462" t="s">
        <v>2869</v>
      </c>
      <c r="V462" t="s">
        <v>2174</v>
      </c>
      <c r="W462" t="s">
        <v>2174</v>
      </c>
      <c r="Y462" t="s">
        <v>2875</v>
      </c>
      <c r="AB462">
        <v>0</v>
      </c>
      <c r="AC462">
        <v>0</v>
      </c>
      <c r="AD462">
        <v>4</v>
      </c>
      <c r="AE462" t="s">
        <v>2894</v>
      </c>
      <c r="AG462" t="s">
        <v>3350</v>
      </c>
      <c r="AI462" t="s">
        <v>4214</v>
      </c>
      <c r="AJ462">
        <v>0</v>
      </c>
      <c r="AK462" t="s">
        <v>4459</v>
      </c>
      <c r="AL462">
        <v>3</v>
      </c>
      <c r="AM462">
        <v>0</v>
      </c>
      <c r="AN462">
        <v>84.39</v>
      </c>
      <c r="AS462" t="s">
        <v>4486</v>
      </c>
      <c r="AT462">
        <v>18000</v>
      </c>
      <c r="AX462" t="s">
        <v>86</v>
      </c>
      <c r="BA462" t="s">
        <v>4549</v>
      </c>
      <c r="BD462" t="s">
        <v>222</v>
      </c>
    </row>
    <row r="463" spans="1:57">
      <c r="A463" s="1">
        <f>HYPERLINK("https://lsnyc.legalserver.org/matter/dynamic-profile/view/1906177","19-1906177")</f>
        <v>0</v>
      </c>
      <c r="B463" t="s">
        <v>63</v>
      </c>
      <c r="C463" t="s">
        <v>93</v>
      </c>
      <c r="D463" t="s">
        <v>189</v>
      </c>
      <c r="F463" t="s">
        <v>626</v>
      </c>
      <c r="G463" t="s">
        <v>1065</v>
      </c>
      <c r="H463" t="s">
        <v>1692</v>
      </c>
      <c r="I463" t="s">
        <v>1920</v>
      </c>
      <c r="J463" t="s">
        <v>2169</v>
      </c>
      <c r="K463" t="s">
        <v>2171</v>
      </c>
      <c r="L463">
        <v>10026</v>
      </c>
      <c r="M463" t="s">
        <v>2173</v>
      </c>
      <c r="N463" t="s">
        <v>2172</v>
      </c>
      <c r="O463" t="s">
        <v>2177</v>
      </c>
      <c r="P463" t="s">
        <v>2618</v>
      </c>
      <c r="Q463">
        <v>30</v>
      </c>
      <c r="R463" t="s">
        <v>2843</v>
      </c>
      <c r="S463" t="s">
        <v>2857</v>
      </c>
      <c r="U463" t="s">
        <v>2869</v>
      </c>
      <c r="V463" t="s">
        <v>2174</v>
      </c>
      <c r="W463" t="s">
        <v>2174</v>
      </c>
      <c r="Y463" t="s">
        <v>2876</v>
      </c>
      <c r="AA463" t="s">
        <v>189</v>
      </c>
      <c r="AB463">
        <v>0</v>
      </c>
      <c r="AC463">
        <v>0</v>
      </c>
      <c r="AD463">
        <v>7.9</v>
      </c>
      <c r="AE463" t="s">
        <v>2894</v>
      </c>
      <c r="AG463" t="s">
        <v>3351</v>
      </c>
      <c r="AI463" t="s">
        <v>4215</v>
      </c>
      <c r="AJ463">
        <v>54</v>
      </c>
      <c r="AK463" t="s">
        <v>4456</v>
      </c>
      <c r="AL463">
        <v>1</v>
      </c>
      <c r="AM463">
        <v>0</v>
      </c>
      <c r="AN463">
        <v>73.69</v>
      </c>
      <c r="AS463" t="s">
        <v>4486</v>
      </c>
      <c r="AT463">
        <v>9204</v>
      </c>
      <c r="AX463" t="s">
        <v>4501</v>
      </c>
      <c r="BA463" t="s">
        <v>4548</v>
      </c>
      <c r="BD463" t="s">
        <v>117</v>
      </c>
      <c r="BE463" t="s">
        <v>4703</v>
      </c>
    </row>
    <row r="464" spans="1:57">
      <c r="A464" s="1">
        <f>HYPERLINK("https://lsnyc.legalserver.org/matter/dynamic-profile/view/1906279","19-1906279")</f>
        <v>0</v>
      </c>
      <c r="B464" t="s">
        <v>72</v>
      </c>
      <c r="C464" t="s">
        <v>92</v>
      </c>
      <c r="D464" t="s">
        <v>151</v>
      </c>
      <c r="E464" t="s">
        <v>199</v>
      </c>
      <c r="F464" t="s">
        <v>318</v>
      </c>
      <c r="G464" t="s">
        <v>926</v>
      </c>
      <c r="H464" t="s">
        <v>1693</v>
      </c>
      <c r="I464" t="s">
        <v>1931</v>
      </c>
      <c r="J464" t="s">
        <v>2169</v>
      </c>
      <c r="K464" t="s">
        <v>2171</v>
      </c>
      <c r="L464">
        <v>10026</v>
      </c>
      <c r="M464" t="s">
        <v>2173</v>
      </c>
      <c r="N464" t="s">
        <v>2172</v>
      </c>
      <c r="O464" t="s">
        <v>2179</v>
      </c>
      <c r="P464" t="s">
        <v>2619</v>
      </c>
      <c r="Q464">
        <v>4</v>
      </c>
      <c r="R464" t="s">
        <v>2843</v>
      </c>
      <c r="S464" t="s">
        <v>2856</v>
      </c>
      <c r="T464" t="s">
        <v>2863</v>
      </c>
      <c r="U464" t="s">
        <v>2869</v>
      </c>
      <c r="V464" t="s">
        <v>2174</v>
      </c>
      <c r="W464" t="s">
        <v>2174</v>
      </c>
      <c r="Y464" t="s">
        <v>2876</v>
      </c>
      <c r="Z464" t="s">
        <v>2879</v>
      </c>
      <c r="AA464" t="s">
        <v>151</v>
      </c>
      <c r="AB464">
        <v>0</v>
      </c>
      <c r="AC464">
        <v>0</v>
      </c>
      <c r="AD464">
        <v>3.75</v>
      </c>
      <c r="AE464" t="s">
        <v>2894</v>
      </c>
      <c r="AF464" t="s">
        <v>2896</v>
      </c>
      <c r="AG464" t="s">
        <v>3352</v>
      </c>
      <c r="AI464" t="s">
        <v>4216</v>
      </c>
      <c r="AJ464">
        <v>47</v>
      </c>
      <c r="AK464" t="s">
        <v>4458</v>
      </c>
      <c r="AL464">
        <v>2</v>
      </c>
      <c r="AM464">
        <v>1</v>
      </c>
      <c r="AN464">
        <v>39.01</v>
      </c>
      <c r="AR464" t="s">
        <v>4476</v>
      </c>
      <c r="AS464" t="s">
        <v>4486</v>
      </c>
      <c r="AT464">
        <v>8320</v>
      </c>
      <c r="AX464" t="s">
        <v>4504</v>
      </c>
      <c r="BA464" t="s">
        <v>4620</v>
      </c>
      <c r="BD464" t="s">
        <v>186</v>
      </c>
      <c r="BE464" t="s">
        <v>4703</v>
      </c>
    </row>
    <row r="465" spans="1:57">
      <c r="A465" s="1">
        <f>HYPERLINK("https://lsnyc.legalserver.org/matter/dynamic-profile/view/1906812","19-1906812")</f>
        <v>0</v>
      </c>
      <c r="B465" t="s">
        <v>64</v>
      </c>
      <c r="C465" t="s">
        <v>93</v>
      </c>
      <c r="D465" t="s">
        <v>152</v>
      </c>
      <c r="F465" t="s">
        <v>238</v>
      </c>
      <c r="G465" t="s">
        <v>1132</v>
      </c>
      <c r="H465" t="s">
        <v>1694</v>
      </c>
      <c r="I465" t="s">
        <v>2041</v>
      </c>
      <c r="J465" t="s">
        <v>2169</v>
      </c>
      <c r="K465" t="s">
        <v>2171</v>
      </c>
      <c r="L465">
        <v>10026</v>
      </c>
      <c r="M465" t="s">
        <v>2173</v>
      </c>
      <c r="N465" t="s">
        <v>2172</v>
      </c>
      <c r="O465" t="s">
        <v>2179</v>
      </c>
      <c r="P465" t="s">
        <v>2620</v>
      </c>
      <c r="Q465">
        <v>4</v>
      </c>
      <c r="R465" t="s">
        <v>2843</v>
      </c>
      <c r="S465" t="s">
        <v>2857</v>
      </c>
      <c r="U465" t="s">
        <v>2869</v>
      </c>
      <c r="V465" t="s">
        <v>2174</v>
      </c>
      <c r="W465" t="s">
        <v>2174</v>
      </c>
      <c r="Y465" t="s">
        <v>2876</v>
      </c>
      <c r="AA465" t="s">
        <v>152</v>
      </c>
      <c r="AB465">
        <v>0</v>
      </c>
      <c r="AC465">
        <v>1600</v>
      </c>
      <c r="AD465">
        <v>9</v>
      </c>
      <c r="AE465" t="s">
        <v>2894</v>
      </c>
      <c r="AG465" t="s">
        <v>3353</v>
      </c>
      <c r="AI465" t="s">
        <v>4217</v>
      </c>
      <c r="AJ465">
        <v>59</v>
      </c>
      <c r="AK465" t="s">
        <v>4456</v>
      </c>
      <c r="AL465">
        <v>1</v>
      </c>
      <c r="AM465">
        <v>1</v>
      </c>
      <c r="AN465">
        <v>177.41</v>
      </c>
      <c r="AR465" t="s">
        <v>4476</v>
      </c>
      <c r="AS465" t="s">
        <v>4486</v>
      </c>
      <c r="AT465">
        <v>30000</v>
      </c>
      <c r="AX465" t="s">
        <v>4501</v>
      </c>
      <c r="BA465" t="s">
        <v>4546</v>
      </c>
      <c r="BD465" t="s">
        <v>4677</v>
      </c>
      <c r="BE465" t="s">
        <v>4703</v>
      </c>
    </row>
    <row r="466" spans="1:57">
      <c r="A466" s="1">
        <f>HYPERLINK("https://lsnyc.legalserver.org/matter/dynamic-profile/view/1910528","19-1910528")</f>
        <v>0</v>
      </c>
      <c r="B466" t="s">
        <v>62</v>
      </c>
      <c r="C466" t="s">
        <v>93</v>
      </c>
      <c r="D466" t="s">
        <v>187</v>
      </c>
      <c r="F466" t="s">
        <v>627</v>
      </c>
      <c r="G466" t="s">
        <v>933</v>
      </c>
      <c r="H466" t="s">
        <v>1695</v>
      </c>
      <c r="I466">
        <v>51</v>
      </c>
      <c r="J466" t="s">
        <v>2169</v>
      </c>
      <c r="K466" t="s">
        <v>2171</v>
      </c>
      <c r="L466">
        <v>10026</v>
      </c>
      <c r="M466" t="s">
        <v>2173</v>
      </c>
      <c r="N466" t="s">
        <v>2172</v>
      </c>
      <c r="O466" t="s">
        <v>2179</v>
      </c>
      <c r="P466" t="s">
        <v>2621</v>
      </c>
      <c r="Q466">
        <v>12</v>
      </c>
      <c r="R466" t="s">
        <v>2843</v>
      </c>
      <c r="S466" t="s">
        <v>2856</v>
      </c>
      <c r="U466" t="s">
        <v>2868</v>
      </c>
      <c r="V466" t="s">
        <v>2174</v>
      </c>
      <c r="W466" t="s">
        <v>2174</v>
      </c>
      <c r="Y466" t="s">
        <v>2876</v>
      </c>
      <c r="AA466" t="s">
        <v>187</v>
      </c>
      <c r="AB466">
        <v>0</v>
      </c>
      <c r="AC466">
        <v>891.3099999999999</v>
      </c>
      <c r="AD466">
        <v>5.9</v>
      </c>
      <c r="AE466" t="s">
        <v>2894</v>
      </c>
      <c r="AG466" t="s">
        <v>3354</v>
      </c>
      <c r="AI466" t="s">
        <v>4218</v>
      </c>
      <c r="AJ466">
        <v>0</v>
      </c>
      <c r="AK466" t="s">
        <v>4464</v>
      </c>
      <c r="AL466">
        <v>1</v>
      </c>
      <c r="AM466">
        <v>0</v>
      </c>
      <c r="AN466">
        <v>597.6</v>
      </c>
      <c r="AR466" t="s">
        <v>4476</v>
      </c>
      <c r="AS466" t="s">
        <v>4486</v>
      </c>
      <c r="AT466">
        <v>74640</v>
      </c>
      <c r="AX466" t="s">
        <v>4501</v>
      </c>
      <c r="BA466" t="s">
        <v>4592</v>
      </c>
      <c r="BD466" t="s">
        <v>210</v>
      </c>
      <c r="BE466" t="s">
        <v>4703</v>
      </c>
    </row>
    <row r="467" spans="1:57">
      <c r="A467" s="1">
        <f>HYPERLINK("https://lsnyc.legalserver.org/matter/dynamic-profile/view/1911050","19-1911050")</f>
        <v>0</v>
      </c>
      <c r="B467" t="s">
        <v>57</v>
      </c>
      <c r="C467" t="s">
        <v>93</v>
      </c>
      <c r="D467" t="s">
        <v>168</v>
      </c>
      <c r="F467" t="s">
        <v>628</v>
      </c>
      <c r="G467" t="s">
        <v>1133</v>
      </c>
      <c r="H467" t="s">
        <v>1696</v>
      </c>
      <c r="I467" t="s">
        <v>2078</v>
      </c>
      <c r="J467" t="s">
        <v>2169</v>
      </c>
      <c r="K467" t="s">
        <v>2171</v>
      </c>
      <c r="L467">
        <v>10026</v>
      </c>
      <c r="M467" t="s">
        <v>2173</v>
      </c>
      <c r="N467" t="s">
        <v>2172</v>
      </c>
      <c r="O467" t="s">
        <v>2175</v>
      </c>
      <c r="P467" t="s">
        <v>2622</v>
      </c>
      <c r="Q467">
        <v>34</v>
      </c>
      <c r="R467" t="s">
        <v>2843</v>
      </c>
      <c r="S467" t="s">
        <v>2857</v>
      </c>
      <c r="U467" t="s">
        <v>2869</v>
      </c>
      <c r="V467" t="s">
        <v>2174</v>
      </c>
      <c r="W467" t="s">
        <v>2174</v>
      </c>
      <c r="Y467" t="s">
        <v>2876</v>
      </c>
      <c r="Z467" t="s">
        <v>2879</v>
      </c>
      <c r="AB467">
        <v>0</v>
      </c>
      <c r="AC467">
        <v>350</v>
      </c>
      <c r="AD467">
        <v>1.25</v>
      </c>
      <c r="AE467" t="s">
        <v>2894</v>
      </c>
      <c r="AG467" t="s">
        <v>3355</v>
      </c>
      <c r="AI467" t="s">
        <v>4219</v>
      </c>
      <c r="AJ467">
        <v>0</v>
      </c>
      <c r="AK467" t="s">
        <v>4458</v>
      </c>
      <c r="AL467">
        <v>1</v>
      </c>
      <c r="AM467">
        <v>0</v>
      </c>
      <c r="AN467">
        <v>120.1</v>
      </c>
      <c r="AR467" t="s">
        <v>4476</v>
      </c>
      <c r="AS467" t="s">
        <v>4486</v>
      </c>
      <c r="AT467">
        <v>15000</v>
      </c>
      <c r="AX467" t="s">
        <v>4504</v>
      </c>
      <c r="BA467" t="s">
        <v>4546</v>
      </c>
      <c r="BD467" t="s">
        <v>215</v>
      </c>
      <c r="BE467" t="s">
        <v>4703</v>
      </c>
    </row>
    <row r="468" spans="1:57">
      <c r="A468" s="1">
        <f>HYPERLINK("https://lsnyc.legalserver.org/matter/dynamic-profile/view/1886809","19-1886809")</f>
        <v>0</v>
      </c>
      <c r="B468" t="s">
        <v>82</v>
      </c>
      <c r="C468" t="s">
        <v>93</v>
      </c>
      <c r="D468" t="s">
        <v>157</v>
      </c>
      <c r="F468" t="s">
        <v>629</v>
      </c>
      <c r="G468" t="s">
        <v>1134</v>
      </c>
      <c r="H468" t="s">
        <v>1697</v>
      </c>
      <c r="I468" t="s">
        <v>1923</v>
      </c>
      <c r="J468" t="s">
        <v>2169</v>
      </c>
      <c r="K468" t="s">
        <v>2171</v>
      </c>
      <c r="L468">
        <v>10026</v>
      </c>
      <c r="M468" t="s">
        <v>2173</v>
      </c>
      <c r="N468" t="s">
        <v>2173</v>
      </c>
      <c r="O468" t="s">
        <v>2175</v>
      </c>
      <c r="P468" t="s">
        <v>2623</v>
      </c>
      <c r="Q468">
        <v>10</v>
      </c>
      <c r="R468" t="s">
        <v>2844</v>
      </c>
      <c r="S468" t="s">
        <v>2857</v>
      </c>
      <c r="U468" t="s">
        <v>2869</v>
      </c>
      <c r="V468" t="s">
        <v>2174</v>
      </c>
      <c r="W468" t="s">
        <v>2174</v>
      </c>
      <c r="Y468" t="s">
        <v>2876</v>
      </c>
      <c r="Z468" t="s">
        <v>2880</v>
      </c>
      <c r="AA468" t="s">
        <v>157</v>
      </c>
      <c r="AB468">
        <v>0</v>
      </c>
      <c r="AC468">
        <v>952</v>
      </c>
      <c r="AD468">
        <v>57.05</v>
      </c>
      <c r="AE468" t="s">
        <v>2894</v>
      </c>
      <c r="AG468" t="s">
        <v>3121</v>
      </c>
      <c r="AH468" t="s">
        <v>3703</v>
      </c>
      <c r="AI468" t="s">
        <v>4220</v>
      </c>
      <c r="AJ468">
        <v>0</v>
      </c>
      <c r="AK468" t="s">
        <v>4458</v>
      </c>
      <c r="AL468">
        <v>1</v>
      </c>
      <c r="AM468">
        <v>0</v>
      </c>
      <c r="AN468">
        <v>76.90000000000001</v>
      </c>
      <c r="AQ468" t="s">
        <v>4473</v>
      </c>
      <c r="AR468" t="s">
        <v>4476</v>
      </c>
      <c r="AT468">
        <v>9336</v>
      </c>
      <c r="AX468" t="s">
        <v>4504</v>
      </c>
      <c r="BA468" t="s">
        <v>4534</v>
      </c>
      <c r="BD468" t="s">
        <v>117</v>
      </c>
      <c r="BE468" t="s">
        <v>4704</v>
      </c>
    </row>
    <row r="469" spans="1:57">
      <c r="A469" s="1">
        <f>HYPERLINK("https://lsnyc.legalserver.org/matter/dynamic-profile/view/1887333","19-1887333")</f>
        <v>0</v>
      </c>
      <c r="B469" t="s">
        <v>71</v>
      </c>
      <c r="C469" t="s">
        <v>93</v>
      </c>
      <c r="D469" t="s">
        <v>190</v>
      </c>
      <c r="F469" t="s">
        <v>630</v>
      </c>
      <c r="G469" t="s">
        <v>819</v>
      </c>
      <c r="H469" t="s">
        <v>1698</v>
      </c>
      <c r="I469" t="s">
        <v>1985</v>
      </c>
      <c r="J469" t="s">
        <v>2169</v>
      </c>
      <c r="K469" t="s">
        <v>2171</v>
      </c>
      <c r="L469">
        <v>10026</v>
      </c>
      <c r="M469" t="s">
        <v>2173</v>
      </c>
      <c r="N469" t="s">
        <v>2173</v>
      </c>
      <c r="O469" t="s">
        <v>2179</v>
      </c>
      <c r="P469" t="s">
        <v>2624</v>
      </c>
      <c r="Q469">
        <v>0</v>
      </c>
      <c r="R469" t="s">
        <v>2844</v>
      </c>
      <c r="S469" t="s">
        <v>2856</v>
      </c>
      <c r="U469" t="s">
        <v>2869</v>
      </c>
      <c r="V469" t="s">
        <v>2174</v>
      </c>
      <c r="W469" t="s">
        <v>2174</v>
      </c>
      <c r="Y469" t="s">
        <v>2875</v>
      </c>
      <c r="AA469" t="s">
        <v>190</v>
      </c>
      <c r="AB469">
        <v>0</v>
      </c>
      <c r="AC469">
        <v>1249.99</v>
      </c>
      <c r="AD469">
        <v>0</v>
      </c>
      <c r="AE469" t="s">
        <v>2894</v>
      </c>
      <c r="AG469" t="s">
        <v>3356</v>
      </c>
      <c r="AJ469">
        <v>527</v>
      </c>
      <c r="AK469" t="s">
        <v>4459</v>
      </c>
      <c r="AL469">
        <v>2</v>
      </c>
      <c r="AM469">
        <v>0</v>
      </c>
      <c r="AN469">
        <v>267.31</v>
      </c>
      <c r="AQ469" t="s">
        <v>4473</v>
      </c>
      <c r="AR469" t="s">
        <v>4476</v>
      </c>
      <c r="AS469" t="s">
        <v>4486</v>
      </c>
      <c r="AT469">
        <v>44000</v>
      </c>
      <c r="AX469" t="s">
        <v>4504</v>
      </c>
      <c r="BA469" t="s">
        <v>4543</v>
      </c>
    </row>
    <row r="470" spans="1:57">
      <c r="A470" s="1">
        <f>HYPERLINK("https://lsnyc.legalserver.org/matter/dynamic-profile/view/1887397","19-1887397")</f>
        <v>0</v>
      </c>
      <c r="B470" t="s">
        <v>67</v>
      </c>
      <c r="C470" t="s">
        <v>93</v>
      </c>
      <c r="D470" t="s">
        <v>190</v>
      </c>
      <c r="F470" t="s">
        <v>493</v>
      </c>
      <c r="G470" t="s">
        <v>1135</v>
      </c>
      <c r="H470" t="s">
        <v>1691</v>
      </c>
      <c r="I470" t="s">
        <v>2079</v>
      </c>
      <c r="J470" t="s">
        <v>2169</v>
      </c>
      <c r="K470" t="s">
        <v>2171</v>
      </c>
      <c r="L470">
        <v>10026</v>
      </c>
      <c r="M470" t="s">
        <v>2173</v>
      </c>
      <c r="N470" t="s">
        <v>2173</v>
      </c>
      <c r="O470" t="s">
        <v>2179</v>
      </c>
      <c r="P470" t="s">
        <v>2625</v>
      </c>
      <c r="Q470">
        <v>30</v>
      </c>
      <c r="R470" t="s">
        <v>2844</v>
      </c>
      <c r="S470" t="s">
        <v>2857</v>
      </c>
      <c r="U470" t="s">
        <v>2869</v>
      </c>
      <c r="V470" t="s">
        <v>2174</v>
      </c>
      <c r="W470" t="s">
        <v>2174</v>
      </c>
      <c r="Y470" t="s">
        <v>2875</v>
      </c>
      <c r="AA470" t="s">
        <v>190</v>
      </c>
      <c r="AB470">
        <v>0</v>
      </c>
      <c r="AC470">
        <v>653</v>
      </c>
      <c r="AD470">
        <v>1.1</v>
      </c>
      <c r="AE470" t="s">
        <v>2894</v>
      </c>
      <c r="AG470" t="s">
        <v>3357</v>
      </c>
      <c r="AI470" t="s">
        <v>4221</v>
      </c>
      <c r="AJ470">
        <v>0</v>
      </c>
      <c r="AK470" t="s">
        <v>4459</v>
      </c>
      <c r="AL470">
        <v>1</v>
      </c>
      <c r="AM470">
        <v>0</v>
      </c>
      <c r="AN470">
        <v>172.09</v>
      </c>
      <c r="AQ470" t="s">
        <v>4473</v>
      </c>
      <c r="AS470" t="s">
        <v>4486</v>
      </c>
      <c r="AT470">
        <v>20892</v>
      </c>
      <c r="AX470" t="s">
        <v>4501</v>
      </c>
      <c r="BA470" t="s">
        <v>4531</v>
      </c>
      <c r="BD470" t="s">
        <v>102</v>
      </c>
      <c r="BE470" t="s">
        <v>4703</v>
      </c>
    </row>
    <row r="471" spans="1:57">
      <c r="A471" s="1">
        <f>HYPERLINK("https://lsnyc.legalserver.org/matter/dynamic-profile/view/1887426","19-1887426")</f>
        <v>0</v>
      </c>
      <c r="B471" t="s">
        <v>62</v>
      </c>
      <c r="C471" t="s">
        <v>93</v>
      </c>
      <c r="D471" t="s">
        <v>134</v>
      </c>
      <c r="F471" t="s">
        <v>631</v>
      </c>
      <c r="G471" t="s">
        <v>1136</v>
      </c>
      <c r="H471" t="s">
        <v>1699</v>
      </c>
      <c r="I471" t="s">
        <v>2080</v>
      </c>
      <c r="J471" t="s">
        <v>2169</v>
      </c>
      <c r="K471" t="s">
        <v>2171</v>
      </c>
      <c r="L471">
        <v>10026</v>
      </c>
      <c r="M471" t="s">
        <v>2173</v>
      </c>
      <c r="N471" t="s">
        <v>2173</v>
      </c>
      <c r="O471" t="s">
        <v>2175</v>
      </c>
      <c r="P471" t="s">
        <v>2626</v>
      </c>
      <c r="Q471">
        <v>4</v>
      </c>
      <c r="R471" t="s">
        <v>2844</v>
      </c>
      <c r="S471" t="s">
        <v>2857</v>
      </c>
      <c r="U471" t="s">
        <v>2869</v>
      </c>
      <c r="V471" t="s">
        <v>2174</v>
      </c>
      <c r="W471" t="s">
        <v>2174</v>
      </c>
      <c r="Y471" t="s">
        <v>2876</v>
      </c>
      <c r="Z471" t="s">
        <v>2879</v>
      </c>
      <c r="AA471" t="s">
        <v>134</v>
      </c>
      <c r="AB471">
        <v>0</v>
      </c>
      <c r="AC471">
        <v>872.99</v>
      </c>
      <c r="AD471">
        <v>24.25</v>
      </c>
      <c r="AE471" t="s">
        <v>2894</v>
      </c>
      <c r="AG471" t="s">
        <v>3358</v>
      </c>
      <c r="AH471" t="s">
        <v>3704</v>
      </c>
      <c r="AI471" t="s">
        <v>4222</v>
      </c>
      <c r="AJ471">
        <v>113</v>
      </c>
      <c r="AK471" t="s">
        <v>4456</v>
      </c>
      <c r="AL471">
        <v>1</v>
      </c>
      <c r="AM471">
        <v>1</v>
      </c>
      <c r="AN471">
        <v>67.36</v>
      </c>
      <c r="AQ471" t="s">
        <v>4474</v>
      </c>
      <c r="AR471" t="s">
        <v>4476</v>
      </c>
      <c r="AS471" t="s">
        <v>4486</v>
      </c>
      <c r="AT471">
        <v>11088</v>
      </c>
      <c r="AX471" t="s">
        <v>4504</v>
      </c>
      <c r="BA471" t="s">
        <v>4537</v>
      </c>
      <c r="BD471" t="s">
        <v>208</v>
      </c>
    </row>
    <row r="472" spans="1:57">
      <c r="A472" s="1">
        <f>HYPERLINK("https://lsnyc.legalserver.org/matter/dynamic-profile/view/1887434","19-1887434")</f>
        <v>0</v>
      </c>
      <c r="B472" t="s">
        <v>62</v>
      </c>
      <c r="C472" t="s">
        <v>93</v>
      </c>
      <c r="D472" t="s">
        <v>134</v>
      </c>
      <c r="F472" t="s">
        <v>324</v>
      </c>
      <c r="G472" t="s">
        <v>1137</v>
      </c>
      <c r="H472" t="s">
        <v>1700</v>
      </c>
      <c r="I472" t="s">
        <v>1977</v>
      </c>
      <c r="J472" t="s">
        <v>2169</v>
      </c>
      <c r="K472" t="s">
        <v>2171</v>
      </c>
      <c r="L472">
        <v>10026</v>
      </c>
      <c r="M472" t="s">
        <v>2173</v>
      </c>
      <c r="N472" t="s">
        <v>2173</v>
      </c>
      <c r="O472" t="s">
        <v>2179</v>
      </c>
      <c r="P472" t="s">
        <v>2627</v>
      </c>
      <c r="Q472">
        <v>2</v>
      </c>
      <c r="R472" t="s">
        <v>2844</v>
      </c>
      <c r="S472" t="s">
        <v>2856</v>
      </c>
      <c r="U472" t="s">
        <v>2869</v>
      </c>
      <c r="V472" t="s">
        <v>2174</v>
      </c>
      <c r="W472" t="s">
        <v>2174</v>
      </c>
      <c r="Y472" t="s">
        <v>2876</v>
      </c>
      <c r="AA472" t="s">
        <v>134</v>
      </c>
      <c r="AB472">
        <v>0</v>
      </c>
      <c r="AC472">
        <v>1114</v>
      </c>
      <c r="AD472">
        <v>0</v>
      </c>
      <c r="AE472" t="s">
        <v>2894</v>
      </c>
      <c r="AG472" t="s">
        <v>3359</v>
      </c>
      <c r="AI472" t="s">
        <v>4223</v>
      </c>
      <c r="AJ472">
        <v>0</v>
      </c>
      <c r="AK472" t="s">
        <v>4456</v>
      </c>
      <c r="AL472">
        <v>2</v>
      </c>
      <c r="AM472">
        <v>0</v>
      </c>
      <c r="AN472">
        <v>255.16</v>
      </c>
      <c r="AQ472" t="s">
        <v>4473</v>
      </c>
      <c r="AR472" t="s">
        <v>4476</v>
      </c>
      <c r="AS472" t="s">
        <v>4486</v>
      </c>
      <c r="AT472">
        <v>42000</v>
      </c>
      <c r="AX472" t="s">
        <v>4504</v>
      </c>
      <c r="BA472" t="s">
        <v>4546</v>
      </c>
    </row>
    <row r="473" spans="1:57">
      <c r="A473" s="1">
        <f>HYPERLINK("https://lsnyc.legalserver.org/matter/dynamic-profile/view/1887500","19-1887500")</f>
        <v>0</v>
      </c>
      <c r="B473" t="s">
        <v>63</v>
      </c>
      <c r="C473" t="s">
        <v>93</v>
      </c>
      <c r="D473" t="s">
        <v>134</v>
      </c>
      <c r="F473" t="s">
        <v>632</v>
      </c>
      <c r="G473" t="s">
        <v>1138</v>
      </c>
      <c r="H473" t="s">
        <v>1701</v>
      </c>
      <c r="I473" t="s">
        <v>1987</v>
      </c>
      <c r="J473" t="s">
        <v>2169</v>
      </c>
      <c r="K473" t="s">
        <v>2171</v>
      </c>
      <c r="L473">
        <v>10026</v>
      </c>
      <c r="M473" t="s">
        <v>2173</v>
      </c>
      <c r="N473" t="s">
        <v>2173</v>
      </c>
      <c r="O473" t="s">
        <v>2175</v>
      </c>
      <c r="P473" t="s">
        <v>2628</v>
      </c>
      <c r="Q473">
        <v>8</v>
      </c>
      <c r="R473" t="s">
        <v>2844</v>
      </c>
      <c r="S473" t="s">
        <v>2857</v>
      </c>
      <c r="U473" t="s">
        <v>2869</v>
      </c>
      <c r="V473" t="s">
        <v>2174</v>
      </c>
      <c r="W473" t="s">
        <v>2174</v>
      </c>
      <c r="Y473" t="s">
        <v>2876</v>
      </c>
      <c r="Z473" t="s">
        <v>2879</v>
      </c>
      <c r="AA473" t="s">
        <v>134</v>
      </c>
      <c r="AB473">
        <v>0</v>
      </c>
      <c r="AC473">
        <v>2371</v>
      </c>
      <c r="AD473">
        <v>25</v>
      </c>
      <c r="AE473" t="s">
        <v>2894</v>
      </c>
      <c r="AG473" t="s">
        <v>3360</v>
      </c>
      <c r="AH473" t="s">
        <v>3705</v>
      </c>
      <c r="AI473" t="s">
        <v>4224</v>
      </c>
      <c r="AJ473">
        <v>0</v>
      </c>
      <c r="AK473" t="s">
        <v>4460</v>
      </c>
      <c r="AL473">
        <v>1</v>
      </c>
      <c r="AM473">
        <v>0</v>
      </c>
      <c r="AN473">
        <v>84.70999999999999</v>
      </c>
      <c r="AQ473" t="s">
        <v>4473</v>
      </c>
      <c r="AR473" t="s">
        <v>4476</v>
      </c>
      <c r="AS473" t="s">
        <v>4487</v>
      </c>
      <c r="AT473">
        <v>10284</v>
      </c>
      <c r="AX473" t="s">
        <v>4504</v>
      </c>
      <c r="BA473" t="s">
        <v>4560</v>
      </c>
      <c r="BD473" t="s">
        <v>106</v>
      </c>
      <c r="BE473" t="s">
        <v>4704</v>
      </c>
    </row>
    <row r="474" spans="1:57">
      <c r="A474" s="1">
        <f>HYPERLINK("https://lsnyc.legalserver.org/matter/dynamic-profile/view/1887502","19-1887502")</f>
        <v>0</v>
      </c>
      <c r="B474" t="s">
        <v>57</v>
      </c>
      <c r="C474" t="s">
        <v>93</v>
      </c>
      <c r="D474" t="s">
        <v>134</v>
      </c>
      <c r="F474" t="s">
        <v>622</v>
      </c>
      <c r="G474" t="s">
        <v>1130</v>
      </c>
      <c r="H474" t="s">
        <v>1688</v>
      </c>
      <c r="I474" t="s">
        <v>1931</v>
      </c>
      <c r="J474" t="s">
        <v>2169</v>
      </c>
      <c r="K474" t="s">
        <v>2171</v>
      </c>
      <c r="L474">
        <v>10026</v>
      </c>
      <c r="M474" t="s">
        <v>2173</v>
      </c>
      <c r="N474" t="s">
        <v>2173</v>
      </c>
      <c r="O474" t="s">
        <v>2177</v>
      </c>
      <c r="P474" t="s">
        <v>2629</v>
      </c>
      <c r="Q474">
        <v>6</v>
      </c>
      <c r="R474" t="s">
        <v>2844</v>
      </c>
      <c r="S474" t="s">
        <v>2857</v>
      </c>
      <c r="U474" t="s">
        <v>2869</v>
      </c>
      <c r="V474" t="s">
        <v>2174</v>
      </c>
      <c r="W474" t="s">
        <v>2174</v>
      </c>
      <c r="Y474" t="s">
        <v>2876</v>
      </c>
      <c r="Z474" t="s">
        <v>2879</v>
      </c>
      <c r="AA474" t="s">
        <v>134</v>
      </c>
      <c r="AB474">
        <v>0</v>
      </c>
      <c r="AC474">
        <v>294</v>
      </c>
      <c r="AD474">
        <v>24.5</v>
      </c>
      <c r="AE474" t="s">
        <v>2894</v>
      </c>
      <c r="AG474" t="s">
        <v>3347</v>
      </c>
      <c r="AI474" t="s">
        <v>4211</v>
      </c>
      <c r="AJ474">
        <v>0</v>
      </c>
      <c r="AK474" t="s">
        <v>4456</v>
      </c>
      <c r="AL474">
        <v>1</v>
      </c>
      <c r="AM474">
        <v>0</v>
      </c>
      <c r="AN474">
        <v>76.51000000000001</v>
      </c>
      <c r="AQ474" t="s">
        <v>4473</v>
      </c>
      <c r="AS474" t="s">
        <v>4486</v>
      </c>
      <c r="AT474">
        <v>9288</v>
      </c>
      <c r="AX474" t="s">
        <v>4502</v>
      </c>
      <c r="BA474" t="s">
        <v>4548</v>
      </c>
      <c r="BD474" t="s">
        <v>213</v>
      </c>
      <c r="BE474" t="s">
        <v>4703</v>
      </c>
    </row>
    <row r="475" spans="1:57">
      <c r="A475" s="1">
        <f>HYPERLINK("https://lsnyc.legalserver.org/matter/dynamic-profile/view/1888189","19-1888189")</f>
        <v>0</v>
      </c>
      <c r="B475" t="s">
        <v>67</v>
      </c>
      <c r="C475" t="s">
        <v>93</v>
      </c>
      <c r="D475" t="s">
        <v>110</v>
      </c>
      <c r="F475" t="s">
        <v>633</v>
      </c>
      <c r="G475" t="s">
        <v>990</v>
      </c>
      <c r="H475" t="s">
        <v>1699</v>
      </c>
      <c r="I475" t="s">
        <v>2081</v>
      </c>
      <c r="J475" t="s">
        <v>2169</v>
      </c>
      <c r="K475" t="s">
        <v>2171</v>
      </c>
      <c r="L475">
        <v>10026</v>
      </c>
      <c r="M475" t="s">
        <v>2173</v>
      </c>
      <c r="N475" t="s">
        <v>2173</v>
      </c>
      <c r="O475" t="s">
        <v>2179</v>
      </c>
      <c r="P475" t="s">
        <v>2630</v>
      </c>
      <c r="Q475">
        <v>4</v>
      </c>
      <c r="R475" t="s">
        <v>2844</v>
      </c>
      <c r="S475" t="s">
        <v>2857</v>
      </c>
      <c r="U475" t="s">
        <v>2869</v>
      </c>
      <c r="V475" t="s">
        <v>2174</v>
      </c>
      <c r="W475" t="s">
        <v>2174</v>
      </c>
      <c r="Y475" t="s">
        <v>2876</v>
      </c>
      <c r="Z475" t="s">
        <v>2879</v>
      </c>
      <c r="AA475" t="s">
        <v>110</v>
      </c>
      <c r="AB475">
        <v>0</v>
      </c>
      <c r="AC475">
        <v>851.7</v>
      </c>
      <c r="AD475">
        <v>5.6</v>
      </c>
      <c r="AE475" t="s">
        <v>2894</v>
      </c>
      <c r="AG475" t="s">
        <v>3361</v>
      </c>
      <c r="AH475" t="s">
        <v>3706</v>
      </c>
      <c r="AI475" t="s">
        <v>4225</v>
      </c>
      <c r="AJ475">
        <v>0</v>
      </c>
      <c r="AK475" t="s">
        <v>4456</v>
      </c>
      <c r="AL475">
        <v>1</v>
      </c>
      <c r="AM475">
        <v>1</v>
      </c>
      <c r="AN475">
        <v>18.01</v>
      </c>
      <c r="AQ475" t="s">
        <v>4474</v>
      </c>
      <c r="AR475" t="s">
        <v>4476</v>
      </c>
      <c r="AS475" t="s">
        <v>4486</v>
      </c>
      <c r="AT475">
        <v>2964</v>
      </c>
      <c r="AX475" t="s">
        <v>4501</v>
      </c>
      <c r="BA475" t="s">
        <v>4535</v>
      </c>
      <c r="BD475" t="s">
        <v>236</v>
      </c>
      <c r="BE475" t="s">
        <v>4704</v>
      </c>
    </row>
    <row r="476" spans="1:57">
      <c r="A476" s="1">
        <f>HYPERLINK("https://lsnyc.legalserver.org/matter/dynamic-profile/view/1888198","19-1888198")</f>
        <v>0</v>
      </c>
      <c r="B476" t="s">
        <v>64</v>
      </c>
      <c r="C476" t="s">
        <v>92</v>
      </c>
      <c r="D476" t="s">
        <v>110</v>
      </c>
      <c r="E476" t="s">
        <v>174</v>
      </c>
      <c r="F476" t="s">
        <v>634</v>
      </c>
      <c r="G476" t="s">
        <v>1139</v>
      </c>
      <c r="H476" t="s">
        <v>1702</v>
      </c>
      <c r="I476" t="s">
        <v>1924</v>
      </c>
      <c r="J476" t="s">
        <v>2169</v>
      </c>
      <c r="K476" t="s">
        <v>2171</v>
      </c>
      <c r="L476">
        <v>10026</v>
      </c>
      <c r="M476" t="s">
        <v>2173</v>
      </c>
      <c r="N476" t="s">
        <v>2173</v>
      </c>
      <c r="O476" t="s">
        <v>2179</v>
      </c>
      <c r="P476" t="s">
        <v>2631</v>
      </c>
      <c r="Q476">
        <v>5</v>
      </c>
      <c r="R476" t="s">
        <v>2844</v>
      </c>
      <c r="S476" t="s">
        <v>2857</v>
      </c>
      <c r="T476" t="s">
        <v>2864</v>
      </c>
      <c r="U476" t="s">
        <v>2869</v>
      </c>
      <c r="V476" t="s">
        <v>2174</v>
      </c>
      <c r="W476" t="s">
        <v>2174</v>
      </c>
      <c r="Y476" t="s">
        <v>2876</v>
      </c>
      <c r="Z476" t="s">
        <v>2879</v>
      </c>
      <c r="AA476" t="s">
        <v>110</v>
      </c>
      <c r="AB476">
        <v>0</v>
      </c>
      <c r="AC476">
        <v>1691</v>
      </c>
      <c r="AD476">
        <v>15.5</v>
      </c>
      <c r="AE476" t="s">
        <v>2894</v>
      </c>
      <c r="AF476" t="s">
        <v>2898</v>
      </c>
      <c r="AG476" t="s">
        <v>3362</v>
      </c>
      <c r="AI476" t="s">
        <v>4226</v>
      </c>
      <c r="AJ476">
        <v>0</v>
      </c>
      <c r="AK476" t="s">
        <v>4456</v>
      </c>
      <c r="AL476">
        <v>1</v>
      </c>
      <c r="AM476">
        <v>2</v>
      </c>
      <c r="AN476">
        <v>173.24</v>
      </c>
      <c r="AQ476" t="s">
        <v>4475</v>
      </c>
      <c r="AR476" t="s">
        <v>4476</v>
      </c>
      <c r="AS476" t="s">
        <v>4486</v>
      </c>
      <c r="AT476">
        <v>36000</v>
      </c>
      <c r="AX476" t="s">
        <v>4504</v>
      </c>
      <c r="AY476" t="s">
        <v>4518</v>
      </c>
      <c r="AZ476" t="s">
        <v>4528</v>
      </c>
      <c r="BA476" t="s">
        <v>4546</v>
      </c>
      <c r="BB476" t="s">
        <v>4632</v>
      </c>
      <c r="BC476" t="s">
        <v>4659</v>
      </c>
      <c r="BD476" t="s">
        <v>121</v>
      </c>
      <c r="BE476" t="s">
        <v>4703</v>
      </c>
    </row>
    <row r="477" spans="1:57">
      <c r="A477" s="1">
        <f>HYPERLINK("https://lsnyc.legalserver.org/matter/dynamic-profile/view/1888715","19-1888715")</f>
        <v>0</v>
      </c>
      <c r="B477" t="s">
        <v>57</v>
      </c>
      <c r="C477" t="s">
        <v>92</v>
      </c>
      <c r="D477" t="s">
        <v>179</v>
      </c>
      <c r="E477" t="s">
        <v>216</v>
      </c>
      <c r="F477" t="s">
        <v>635</v>
      </c>
      <c r="G477" t="s">
        <v>1140</v>
      </c>
      <c r="H477" t="s">
        <v>1703</v>
      </c>
      <c r="I477" t="s">
        <v>1932</v>
      </c>
      <c r="J477" t="s">
        <v>2169</v>
      </c>
      <c r="K477" t="s">
        <v>2171</v>
      </c>
      <c r="L477">
        <v>10026</v>
      </c>
      <c r="M477" t="s">
        <v>2173</v>
      </c>
      <c r="N477" t="s">
        <v>2173</v>
      </c>
      <c r="O477" t="s">
        <v>2179</v>
      </c>
      <c r="P477" t="s">
        <v>2632</v>
      </c>
      <c r="Q477">
        <v>1</v>
      </c>
      <c r="R477" t="s">
        <v>2844</v>
      </c>
      <c r="S477" t="s">
        <v>2857</v>
      </c>
      <c r="T477" t="s">
        <v>2866</v>
      </c>
      <c r="U477" t="s">
        <v>2869</v>
      </c>
      <c r="V477" t="s">
        <v>2174</v>
      </c>
      <c r="W477" t="s">
        <v>2174</v>
      </c>
      <c r="Y477" t="s">
        <v>2876</v>
      </c>
      <c r="Z477" t="s">
        <v>2879</v>
      </c>
      <c r="AA477" t="s">
        <v>179</v>
      </c>
      <c r="AB477">
        <v>0</v>
      </c>
      <c r="AC477">
        <v>719</v>
      </c>
      <c r="AD477">
        <v>2.7</v>
      </c>
      <c r="AE477" t="s">
        <v>2894</v>
      </c>
      <c r="AF477" t="s">
        <v>2904</v>
      </c>
      <c r="AG477" t="s">
        <v>3363</v>
      </c>
      <c r="AI477" t="s">
        <v>4227</v>
      </c>
      <c r="AJ477">
        <v>0</v>
      </c>
      <c r="AK477" t="s">
        <v>4461</v>
      </c>
      <c r="AL477">
        <v>1</v>
      </c>
      <c r="AM477">
        <v>2</v>
      </c>
      <c r="AN477">
        <v>179.18</v>
      </c>
      <c r="AQ477" t="s">
        <v>4475</v>
      </c>
      <c r="AR477" t="s">
        <v>2176</v>
      </c>
      <c r="AS477" t="s">
        <v>4486</v>
      </c>
      <c r="AT477">
        <v>38220</v>
      </c>
      <c r="AX477" t="s">
        <v>4501</v>
      </c>
      <c r="BA477" t="s">
        <v>4546</v>
      </c>
      <c r="BB477" t="s">
        <v>4632</v>
      </c>
      <c r="BD477" t="s">
        <v>212</v>
      </c>
      <c r="BE477" t="s">
        <v>4703</v>
      </c>
    </row>
    <row r="478" spans="1:57">
      <c r="A478" s="1">
        <f>HYPERLINK("https://lsnyc.legalserver.org/matter/dynamic-profile/view/1888743","19-1888743")</f>
        <v>0</v>
      </c>
      <c r="B478" t="s">
        <v>57</v>
      </c>
      <c r="C478" t="s">
        <v>93</v>
      </c>
      <c r="D478" t="s">
        <v>179</v>
      </c>
      <c r="F478" t="s">
        <v>636</v>
      </c>
      <c r="G478" t="s">
        <v>609</v>
      </c>
      <c r="H478" t="s">
        <v>1704</v>
      </c>
      <c r="I478" t="s">
        <v>2082</v>
      </c>
      <c r="J478" t="s">
        <v>2169</v>
      </c>
      <c r="K478" t="s">
        <v>2171</v>
      </c>
      <c r="L478">
        <v>10026</v>
      </c>
      <c r="M478" t="s">
        <v>2173</v>
      </c>
      <c r="N478" t="s">
        <v>2173</v>
      </c>
      <c r="O478" t="s">
        <v>2175</v>
      </c>
      <c r="P478" t="s">
        <v>2633</v>
      </c>
      <c r="Q478">
        <v>10</v>
      </c>
      <c r="R478" t="s">
        <v>2844</v>
      </c>
      <c r="S478" t="s">
        <v>2856</v>
      </c>
      <c r="U478" t="s">
        <v>2869</v>
      </c>
      <c r="V478" t="s">
        <v>2174</v>
      </c>
      <c r="W478" t="s">
        <v>2174</v>
      </c>
      <c r="Y478" t="s">
        <v>2876</v>
      </c>
      <c r="Z478" t="s">
        <v>2879</v>
      </c>
      <c r="AA478" t="s">
        <v>179</v>
      </c>
      <c r="AB478">
        <v>0</v>
      </c>
      <c r="AC478">
        <v>673</v>
      </c>
      <c r="AD478">
        <v>14.8</v>
      </c>
      <c r="AE478" t="s">
        <v>2894</v>
      </c>
      <c r="AG478" t="s">
        <v>3364</v>
      </c>
      <c r="AI478" t="s">
        <v>4228</v>
      </c>
      <c r="AJ478">
        <v>0</v>
      </c>
      <c r="AK478" t="s">
        <v>4458</v>
      </c>
      <c r="AL478">
        <v>1</v>
      </c>
      <c r="AM478">
        <v>2</v>
      </c>
      <c r="AN478">
        <v>201.59</v>
      </c>
      <c r="AQ478" t="s">
        <v>4475</v>
      </c>
      <c r="AR478" t="s">
        <v>4476</v>
      </c>
      <c r="AS478" t="s">
        <v>4486</v>
      </c>
      <c r="AT478">
        <v>43000</v>
      </c>
      <c r="AX478" t="s">
        <v>4501</v>
      </c>
      <c r="BA478" t="s">
        <v>4546</v>
      </c>
      <c r="BD478" t="s">
        <v>4698</v>
      </c>
    </row>
    <row r="479" spans="1:57">
      <c r="A479" s="1">
        <f>HYPERLINK("https://lsnyc.legalserver.org/matter/dynamic-profile/view/1889221","19-1889221")</f>
        <v>0</v>
      </c>
      <c r="B479" t="s">
        <v>73</v>
      </c>
      <c r="C479" t="s">
        <v>93</v>
      </c>
      <c r="D479" t="s">
        <v>132</v>
      </c>
      <c r="F479" t="s">
        <v>637</v>
      </c>
      <c r="G479" t="s">
        <v>1141</v>
      </c>
      <c r="H479" t="s">
        <v>1699</v>
      </c>
      <c r="I479" t="s">
        <v>2016</v>
      </c>
      <c r="J479" t="s">
        <v>2169</v>
      </c>
      <c r="K479" t="s">
        <v>2171</v>
      </c>
      <c r="L479">
        <v>10026</v>
      </c>
      <c r="M479" t="s">
        <v>2173</v>
      </c>
      <c r="N479" t="s">
        <v>2173</v>
      </c>
      <c r="O479" t="s">
        <v>2175</v>
      </c>
      <c r="P479" t="s">
        <v>2634</v>
      </c>
      <c r="Q479">
        <v>4</v>
      </c>
      <c r="R479" t="s">
        <v>2844</v>
      </c>
      <c r="S479" t="s">
        <v>2857</v>
      </c>
      <c r="U479" t="s">
        <v>2869</v>
      </c>
      <c r="V479" t="s">
        <v>2174</v>
      </c>
      <c r="W479" t="s">
        <v>2174</v>
      </c>
      <c r="Y479" t="s">
        <v>2876</v>
      </c>
      <c r="Z479" t="s">
        <v>2879</v>
      </c>
      <c r="AA479" t="s">
        <v>132</v>
      </c>
      <c r="AB479">
        <v>0</v>
      </c>
      <c r="AC479">
        <v>1052</v>
      </c>
      <c r="AD479">
        <v>67.09999999999999</v>
      </c>
      <c r="AE479" t="s">
        <v>2894</v>
      </c>
      <c r="AG479" t="s">
        <v>3365</v>
      </c>
      <c r="AH479" t="s">
        <v>3707</v>
      </c>
      <c r="AI479" t="s">
        <v>4229</v>
      </c>
      <c r="AJ479">
        <v>0</v>
      </c>
      <c r="AK479" t="s">
        <v>4458</v>
      </c>
      <c r="AL479">
        <v>1</v>
      </c>
      <c r="AM479">
        <v>0</v>
      </c>
      <c r="AN479">
        <v>12.28</v>
      </c>
      <c r="AQ479" t="s">
        <v>4473</v>
      </c>
      <c r="AR479" t="s">
        <v>2176</v>
      </c>
      <c r="AS479" t="s">
        <v>4486</v>
      </c>
      <c r="AT479">
        <v>1534</v>
      </c>
      <c r="AX479" t="s">
        <v>4501</v>
      </c>
      <c r="BA479" t="s">
        <v>4564</v>
      </c>
      <c r="BD479" t="s">
        <v>98</v>
      </c>
    </row>
    <row r="480" spans="1:57">
      <c r="A480" s="1">
        <f>HYPERLINK("https://lsnyc.legalserver.org/matter/dynamic-profile/view/1889430","19-1889430")</f>
        <v>0</v>
      </c>
      <c r="B480" t="s">
        <v>62</v>
      </c>
      <c r="C480" t="s">
        <v>93</v>
      </c>
      <c r="D480" t="s">
        <v>129</v>
      </c>
      <c r="F480" t="s">
        <v>638</v>
      </c>
      <c r="G480" t="s">
        <v>1142</v>
      </c>
      <c r="H480" t="s">
        <v>1705</v>
      </c>
      <c r="I480" t="s">
        <v>1934</v>
      </c>
      <c r="J480" t="s">
        <v>2169</v>
      </c>
      <c r="K480" t="s">
        <v>2171</v>
      </c>
      <c r="L480">
        <v>10026</v>
      </c>
      <c r="M480" t="s">
        <v>2173</v>
      </c>
      <c r="N480" t="s">
        <v>2173</v>
      </c>
      <c r="O480" t="s">
        <v>2179</v>
      </c>
      <c r="P480" t="s">
        <v>2635</v>
      </c>
      <c r="Q480">
        <v>24</v>
      </c>
      <c r="R480" t="s">
        <v>2844</v>
      </c>
      <c r="S480" t="s">
        <v>2857</v>
      </c>
      <c r="U480" t="s">
        <v>2869</v>
      </c>
      <c r="V480" t="s">
        <v>2174</v>
      </c>
      <c r="W480" t="s">
        <v>2174</v>
      </c>
      <c r="Y480" t="s">
        <v>2876</v>
      </c>
      <c r="Z480" t="s">
        <v>2879</v>
      </c>
      <c r="AA480" t="s">
        <v>129</v>
      </c>
      <c r="AB480">
        <v>0</v>
      </c>
      <c r="AC480">
        <v>993.25</v>
      </c>
      <c r="AD480">
        <v>6.2</v>
      </c>
      <c r="AE480" t="s">
        <v>2894</v>
      </c>
      <c r="AG480" t="s">
        <v>3366</v>
      </c>
      <c r="AI480" t="s">
        <v>4230</v>
      </c>
      <c r="AJ480">
        <v>0</v>
      </c>
      <c r="AK480" t="s">
        <v>4456</v>
      </c>
      <c r="AL480">
        <v>3</v>
      </c>
      <c r="AM480">
        <v>3</v>
      </c>
      <c r="AN480">
        <v>76.79000000000001</v>
      </c>
      <c r="AQ480" t="s">
        <v>4475</v>
      </c>
      <c r="AR480" t="s">
        <v>4476</v>
      </c>
      <c r="AS480" t="s">
        <v>4486</v>
      </c>
      <c r="AT480">
        <v>26562</v>
      </c>
      <c r="AX480" t="s">
        <v>4504</v>
      </c>
      <c r="BA480" t="s">
        <v>4546</v>
      </c>
      <c r="BD480" t="s">
        <v>232</v>
      </c>
      <c r="BE480" t="s">
        <v>4703</v>
      </c>
    </row>
    <row r="481" spans="1:57">
      <c r="A481" s="1">
        <f>HYPERLINK("https://lsnyc.legalserver.org/matter/dynamic-profile/view/1889482","19-1889482")</f>
        <v>0</v>
      </c>
      <c r="B481" t="s">
        <v>66</v>
      </c>
      <c r="C481" t="s">
        <v>92</v>
      </c>
      <c r="D481" t="s">
        <v>129</v>
      </c>
      <c r="E481" t="s">
        <v>233</v>
      </c>
      <c r="F481" t="s">
        <v>639</v>
      </c>
      <c r="G481" t="s">
        <v>933</v>
      </c>
      <c r="H481" t="s">
        <v>1706</v>
      </c>
      <c r="I481">
        <v>26</v>
      </c>
      <c r="J481" t="s">
        <v>2169</v>
      </c>
      <c r="K481" t="s">
        <v>2171</v>
      </c>
      <c r="L481">
        <v>10026</v>
      </c>
      <c r="M481" t="s">
        <v>2173</v>
      </c>
      <c r="N481" t="s">
        <v>2173</v>
      </c>
      <c r="O481" t="s">
        <v>2175</v>
      </c>
      <c r="P481" t="s">
        <v>2636</v>
      </c>
      <c r="Q481">
        <v>26</v>
      </c>
      <c r="R481" t="s">
        <v>2844</v>
      </c>
      <c r="S481" t="s">
        <v>2857</v>
      </c>
      <c r="T481" t="s">
        <v>2866</v>
      </c>
      <c r="U481" t="s">
        <v>2869</v>
      </c>
      <c r="V481" t="s">
        <v>2174</v>
      </c>
      <c r="W481" t="s">
        <v>2174</v>
      </c>
      <c r="Y481" t="s">
        <v>2876</v>
      </c>
      <c r="AA481" t="s">
        <v>129</v>
      </c>
      <c r="AB481">
        <v>0</v>
      </c>
      <c r="AC481">
        <v>866</v>
      </c>
      <c r="AD481">
        <v>18.2</v>
      </c>
      <c r="AE481" t="s">
        <v>2894</v>
      </c>
      <c r="AF481" t="s">
        <v>2898</v>
      </c>
      <c r="AG481" t="s">
        <v>3367</v>
      </c>
      <c r="AH481" t="s">
        <v>3708</v>
      </c>
      <c r="AI481" t="s">
        <v>4231</v>
      </c>
      <c r="AJ481">
        <v>0</v>
      </c>
      <c r="AK481" t="s">
        <v>4456</v>
      </c>
      <c r="AL481">
        <v>1</v>
      </c>
      <c r="AM481">
        <v>0</v>
      </c>
      <c r="AN481">
        <v>178.7</v>
      </c>
      <c r="AQ481" t="s">
        <v>4473</v>
      </c>
      <c r="AR481" t="s">
        <v>4476</v>
      </c>
      <c r="AS481" t="s">
        <v>4486</v>
      </c>
      <c r="AT481">
        <v>22320</v>
      </c>
      <c r="AX481" t="s">
        <v>4504</v>
      </c>
      <c r="BA481" t="s">
        <v>4560</v>
      </c>
      <c r="BD481" t="s">
        <v>148</v>
      </c>
      <c r="BE481" t="s">
        <v>4704</v>
      </c>
    </row>
    <row r="482" spans="1:57">
      <c r="A482" s="1">
        <f>HYPERLINK("https://lsnyc.legalserver.org/matter/dynamic-profile/view/1890075","19-1890075")</f>
        <v>0</v>
      </c>
      <c r="B482" t="s">
        <v>64</v>
      </c>
      <c r="C482" t="s">
        <v>93</v>
      </c>
      <c r="D482" t="s">
        <v>137</v>
      </c>
      <c r="F482" t="s">
        <v>640</v>
      </c>
      <c r="G482" t="s">
        <v>584</v>
      </c>
      <c r="H482" t="s">
        <v>1707</v>
      </c>
      <c r="I482" t="s">
        <v>1917</v>
      </c>
      <c r="J482" t="s">
        <v>2169</v>
      </c>
      <c r="K482" t="s">
        <v>2171</v>
      </c>
      <c r="L482">
        <v>10026</v>
      </c>
      <c r="M482" t="s">
        <v>2173</v>
      </c>
      <c r="N482" t="s">
        <v>2173</v>
      </c>
      <c r="O482" t="s">
        <v>2179</v>
      </c>
      <c r="P482" t="s">
        <v>2637</v>
      </c>
      <c r="Q482">
        <v>3</v>
      </c>
      <c r="R482" t="s">
        <v>2844</v>
      </c>
      <c r="S482" t="s">
        <v>2856</v>
      </c>
      <c r="U482" t="s">
        <v>2868</v>
      </c>
      <c r="V482" t="s">
        <v>2174</v>
      </c>
      <c r="W482" t="s">
        <v>2174</v>
      </c>
      <c r="Y482" t="s">
        <v>2876</v>
      </c>
      <c r="Z482" t="s">
        <v>2879</v>
      </c>
      <c r="AA482" t="s">
        <v>137</v>
      </c>
      <c r="AB482">
        <v>0</v>
      </c>
      <c r="AC482">
        <v>1050</v>
      </c>
      <c r="AD482">
        <v>0</v>
      </c>
      <c r="AE482" t="s">
        <v>2894</v>
      </c>
      <c r="AG482" t="s">
        <v>3368</v>
      </c>
      <c r="AI482" t="s">
        <v>4232</v>
      </c>
      <c r="AJ482">
        <v>0</v>
      </c>
      <c r="AK482" t="s">
        <v>4458</v>
      </c>
      <c r="AL482">
        <v>1</v>
      </c>
      <c r="AM482">
        <v>1</v>
      </c>
      <c r="AN482">
        <v>236.55</v>
      </c>
      <c r="AQ482" t="s">
        <v>4475</v>
      </c>
      <c r="AR482" t="s">
        <v>4476</v>
      </c>
      <c r="AS482" t="s">
        <v>4486</v>
      </c>
      <c r="AT482">
        <v>40000</v>
      </c>
      <c r="AX482" t="s">
        <v>4504</v>
      </c>
      <c r="BA482" t="s">
        <v>4546</v>
      </c>
    </row>
    <row r="483" spans="1:57">
      <c r="A483" s="1">
        <f>HYPERLINK("https://lsnyc.legalserver.org/matter/dynamic-profile/view/1890098","19-1890098")</f>
        <v>0</v>
      </c>
      <c r="B483" t="s">
        <v>57</v>
      </c>
      <c r="C483" t="s">
        <v>93</v>
      </c>
      <c r="D483" t="s">
        <v>137</v>
      </c>
      <c r="F483" t="s">
        <v>580</v>
      </c>
      <c r="G483" t="s">
        <v>1143</v>
      </c>
      <c r="H483" t="s">
        <v>1708</v>
      </c>
      <c r="I483" t="s">
        <v>1912</v>
      </c>
      <c r="J483" t="s">
        <v>2169</v>
      </c>
      <c r="K483" t="s">
        <v>2171</v>
      </c>
      <c r="L483">
        <v>10026</v>
      </c>
      <c r="M483" t="s">
        <v>2173</v>
      </c>
      <c r="N483" t="s">
        <v>2173</v>
      </c>
      <c r="O483" t="s">
        <v>2175</v>
      </c>
      <c r="P483" t="s">
        <v>2638</v>
      </c>
      <c r="Q483">
        <v>5</v>
      </c>
      <c r="R483" t="s">
        <v>2844</v>
      </c>
      <c r="S483" t="s">
        <v>2857</v>
      </c>
      <c r="U483" t="s">
        <v>2869</v>
      </c>
      <c r="V483" t="s">
        <v>2174</v>
      </c>
      <c r="W483" t="s">
        <v>2174</v>
      </c>
      <c r="Y483" t="s">
        <v>2876</v>
      </c>
      <c r="Z483" t="s">
        <v>2879</v>
      </c>
      <c r="AA483" t="s">
        <v>137</v>
      </c>
      <c r="AB483">
        <v>0</v>
      </c>
      <c r="AC483">
        <v>767</v>
      </c>
      <c r="AD483">
        <v>15.9</v>
      </c>
      <c r="AE483" t="s">
        <v>2894</v>
      </c>
      <c r="AG483" t="s">
        <v>3369</v>
      </c>
      <c r="AH483" t="s">
        <v>3709</v>
      </c>
      <c r="AI483" t="s">
        <v>4233</v>
      </c>
      <c r="AJ483">
        <v>0</v>
      </c>
      <c r="AK483" t="s">
        <v>4458</v>
      </c>
      <c r="AL483">
        <v>2</v>
      </c>
      <c r="AM483">
        <v>4</v>
      </c>
      <c r="AN483">
        <v>82.68000000000001</v>
      </c>
      <c r="AQ483" t="s">
        <v>4474</v>
      </c>
      <c r="AR483" t="s">
        <v>4478</v>
      </c>
      <c r="AS483" t="s">
        <v>4486</v>
      </c>
      <c r="AT483">
        <v>28600</v>
      </c>
      <c r="AX483" t="s">
        <v>4501</v>
      </c>
      <c r="BA483" t="s">
        <v>4537</v>
      </c>
      <c r="BD483" t="s">
        <v>208</v>
      </c>
      <c r="BE483" t="s">
        <v>4704</v>
      </c>
    </row>
    <row r="484" spans="1:57">
      <c r="A484" s="1">
        <f>HYPERLINK("https://lsnyc.legalserver.org/matter/dynamic-profile/view/1890113","19-1890113")</f>
        <v>0</v>
      </c>
      <c r="B484" t="s">
        <v>73</v>
      </c>
      <c r="C484" t="s">
        <v>92</v>
      </c>
      <c r="D484" t="s">
        <v>137</v>
      </c>
      <c r="E484" t="s">
        <v>188</v>
      </c>
      <c r="F484" t="s">
        <v>380</v>
      </c>
      <c r="G484" t="s">
        <v>1144</v>
      </c>
      <c r="H484" t="s">
        <v>1709</v>
      </c>
      <c r="I484" t="s">
        <v>1955</v>
      </c>
      <c r="J484" t="s">
        <v>2169</v>
      </c>
      <c r="K484" t="s">
        <v>2171</v>
      </c>
      <c r="L484">
        <v>10026</v>
      </c>
      <c r="M484" t="s">
        <v>2173</v>
      </c>
      <c r="N484" t="s">
        <v>2173</v>
      </c>
      <c r="O484" t="s">
        <v>2179</v>
      </c>
      <c r="P484" t="s">
        <v>2639</v>
      </c>
      <c r="Q484">
        <v>13</v>
      </c>
      <c r="R484" t="s">
        <v>2844</v>
      </c>
      <c r="S484" t="s">
        <v>2857</v>
      </c>
      <c r="T484" t="s">
        <v>2864</v>
      </c>
      <c r="U484" t="s">
        <v>2869</v>
      </c>
      <c r="V484" t="s">
        <v>2174</v>
      </c>
      <c r="W484" t="s">
        <v>2174</v>
      </c>
      <c r="Y484" t="s">
        <v>2877</v>
      </c>
      <c r="Z484" t="s">
        <v>2879</v>
      </c>
      <c r="AA484" t="s">
        <v>137</v>
      </c>
      <c r="AB484">
        <v>0</v>
      </c>
      <c r="AC484">
        <v>2403</v>
      </c>
      <c r="AD484">
        <v>6.6</v>
      </c>
      <c r="AE484" t="s">
        <v>2894</v>
      </c>
      <c r="AF484" t="s">
        <v>2898</v>
      </c>
      <c r="AG484" t="s">
        <v>3370</v>
      </c>
      <c r="AI484" t="s">
        <v>4234</v>
      </c>
      <c r="AJ484">
        <v>0</v>
      </c>
      <c r="AK484" t="s">
        <v>4466</v>
      </c>
      <c r="AL484">
        <v>1</v>
      </c>
      <c r="AM484">
        <v>1</v>
      </c>
      <c r="AN484">
        <v>76.88</v>
      </c>
      <c r="AQ484" t="s">
        <v>4474</v>
      </c>
      <c r="AR484" t="s">
        <v>4478</v>
      </c>
      <c r="AS484" t="s">
        <v>4486</v>
      </c>
      <c r="AT484">
        <v>13000</v>
      </c>
      <c r="AX484" t="s">
        <v>4504</v>
      </c>
      <c r="AZ484" t="s">
        <v>4519</v>
      </c>
      <c r="BA484" t="s">
        <v>4537</v>
      </c>
      <c r="BB484" t="s">
        <v>4632</v>
      </c>
      <c r="BC484" t="s">
        <v>4660</v>
      </c>
      <c r="BD484" t="s">
        <v>224</v>
      </c>
      <c r="BE484" t="s">
        <v>4703</v>
      </c>
    </row>
    <row r="485" spans="1:57">
      <c r="A485" s="1">
        <f>HYPERLINK("https://lsnyc.legalserver.org/matter/dynamic-profile/view/1890125","19-1890125")</f>
        <v>0</v>
      </c>
      <c r="B485" t="s">
        <v>67</v>
      </c>
      <c r="C485" t="s">
        <v>92</v>
      </c>
      <c r="D485" t="s">
        <v>137</v>
      </c>
      <c r="E485" t="s">
        <v>184</v>
      </c>
      <c r="F485" t="s">
        <v>247</v>
      </c>
      <c r="G485" t="s">
        <v>1145</v>
      </c>
      <c r="H485" t="s">
        <v>1710</v>
      </c>
      <c r="I485" t="s">
        <v>1960</v>
      </c>
      <c r="J485" t="s">
        <v>2169</v>
      </c>
      <c r="K485" t="s">
        <v>2171</v>
      </c>
      <c r="L485">
        <v>10026</v>
      </c>
      <c r="M485" t="s">
        <v>2173</v>
      </c>
      <c r="N485" t="s">
        <v>2173</v>
      </c>
      <c r="O485" t="s">
        <v>2179</v>
      </c>
      <c r="P485" t="s">
        <v>2640</v>
      </c>
      <c r="Q485">
        <v>10</v>
      </c>
      <c r="R485" t="s">
        <v>2844</v>
      </c>
      <c r="S485" t="s">
        <v>2857</v>
      </c>
      <c r="T485" t="s">
        <v>2864</v>
      </c>
      <c r="U485" t="s">
        <v>2869</v>
      </c>
      <c r="V485" t="s">
        <v>2174</v>
      </c>
      <c r="W485" t="s">
        <v>2174</v>
      </c>
      <c r="Y485" t="s">
        <v>2876</v>
      </c>
      <c r="Z485" t="s">
        <v>2879</v>
      </c>
      <c r="AA485" t="s">
        <v>137</v>
      </c>
      <c r="AB485">
        <v>0</v>
      </c>
      <c r="AC485">
        <v>897.89</v>
      </c>
      <c r="AD485">
        <v>11.4</v>
      </c>
      <c r="AE485" t="s">
        <v>2894</v>
      </c>
      <c r="AF485" t="s">
        <v>2898</v>
      </c>
      <c r="AG485" t="s">
        <v>3371</v>
      </c>
      <c r="AI485" t="s">
        <v>4235</v>
      </c>
      <c r="AJ485">
        <v>0</v>
      </c>
      <c r="AK485" t="s">
        <v>4456</v>
      </c>
      <c r="AL485">
        <v>1</v>
      </c>
      <c r="AM485">
        <v>0</v>
      </c>
      <c r="AN485">
        <v>61.59</v>
      </c>
      <c r="AQ485" t="s">
        <v>4473</v>
      </c>
      <c r="AR485" t="s">
        <v>4476</v>
      </c>
      <c r="AS485" t="s">
        <v>4486</v>
      </c>
      <c r="AT485">
        <v>7692</v>
      </c>
      <c r="AX485" t="s">
        <v>4504</v>
      </c>
      <c r="BA485" t="s">
        <v>4534</v>
      </c>
      <c r="BB485" t="s">
        <v>4632</v>
      </c>
      <c r="BC485" t="s">
        <v>4661</v>
      </c>
      <c r="BD485" t="s">
        <v>214</v>
      </c>
    </row>
    <row r="486" spans="1:57">
      <c r="A486" s="1">
        <f>HYPERLINK("https://lsnyc.legalserver.org/matter/dynamic-profile/view/1890706","19-1890706")</f>
        <v>0</v>
      </c>
      <c r="B486" t="s">
        <v>57</v>
      </c>
      <c r="C486" t="s">
        <v>93</v>
      </c>
      <c r="D486" t="s">
        <v>138</v>
      </c>
      <c r="F486" t="s">
        <v>254</v>
      </c>
      <c r="G486" t="s">
        <v>1146</v>
      </c>
      <c r="H486" t="s">
        <v>1711</v>
      </c>
      <c r="I486" t="s">
        <v>2014</v>
      </c>
      <c r="J486" t="s">
        <v>2169</v>
      </c>
      <c r="K486" t="s">
        <v>2171</v>
      </c>
      <c r="L486">
        <v>10026</v>
      </c>
      <c r="M486" t="s">
        <v>2173</v>
      </c>
      <c r="N486" t="s">
        <v>2173</v>
      </c>
      <c r="O486" t="s">
        <v>2179</v>
      </c>
      <c r="P486" t="s">
        <v>2641</v>
      </c>
      <c r="Q486">
        <v>25</v>
      </c>
      <c r="R486" t="s">
        <v>2844</v>
      </c>
      <c r="S486" t="s">
        <v>2857</v>
      </c>
      <c r="U486" t="s">
        <v>2869</v>
      </c>
      <c r="V486" t="s">
        <v>2174</v>
      </c>
      <c r="W486" t="s">
        <v>2174</v>
      </c>
      <c r="Y486" t="s">
        <v>2876</v>
      </c>
      <c r="AA486" t="s">
        <v>2891</v>
      </c>
      <c r="AB486">
        <v>0</v>
      </c>
      <c r="AC486">
        <v>1043.47</v>
      </c>
      <c r="AD486">
        <v>17.85</v>
      </c>
      <c r="AE486" t="s">
        <v>2894</v>
      </c>
      <c r="AG486" t="s">
        <v>3372</v>
      </c>
      <c r="AI486" t="s">
        <v>4236</v>
      </c>
      <c r="AJ486">
        <v>0</v>
      </c>
      <c r="AK486" t="s">
        <v>4456</v>
      </c>
      <c r="AL486">
        <v>2</v>
      </c>
      <c r="AM486">
        <v>2</v>
      </c>
      <c r="AN486">
        <v>116.5</v>
      </c>
      <c r="AQ486" t="s">
        <v>4475</v>
      </c>
      <c r="AR486" t="s">
        <v>4476</v>
      </c>
      <c r="AS486" t="s">
        <v>4486</v>
      </c>
      <c r="AT486">
        <v>30000</v>
      </c>
      <c r="AX486" t="s">
        <v>4501</v>
      </c>
      <c r="BA486" t="s">
        <v>4605</v>
      </c>
      <c r="BD486" t="s">
        <v>210</v>
      </c>
      <c r="BE486" t="s">
        <v>4703</v>
      </c>
    </row>
    <row r="487" spans="1:57">
      <c r="A487" s="1">
        <f>HYPERLINK("https://lsnyc.legalserver.org/matter/dynamic-profile/view/1890728","19-1890728")</f>
        <v>0</v>
      </c>
      <c r="B487" t="s">
        <v>66</v>
      </c>
      <c r="C487" t="s">
        <v>92</v>
      </c>
      <c r="D487" t="s">
        <v>138</v>
      </c>
      <c r="E487" t="s">
        <v>128</v>
      </c>
      <c r="F487" t="s">
        <v>641</v>
      </c>
      <c r="G487" t="s">
        <v>1147</v>
      </c>
      <c r="H487" t="s">
        <v>1712</v>
      </c>
      <c r="I487">
        <v>4</v>
      </c>
      <c r="J487" t="s">
        <v>2169</v>
      </c>
      <c r="K487" t="s">
        <v>2171</v>
      </c>
      <c r="L487">
        <v>10026</v>
      </c>
      <c r="M487" t="s">
        <v>2173</v>
      </c>
      <c r="N487" t="s">
        <v>2173</v>
      </c>
      <c r="O487" t="s">
        <v>2179</v>
      </c>
      <c r="P487" t="s">
        <v>2642</v>
      </c>
      <c r="Q487">
        <v>19</v>
      </c>
      <c r="R487" t="s">
        <v>2844</v>
      </c>
      <c r="S487" t="s">
        <v>2857</v>
      </c>
      <c r="T487" t="s">
        <v>2866</v>
      </c>
      <c r="U487" t="s">
        <v>2869</v>
      </c>
      <c r="V487" t="s">
        <v>2174</v>
      </c>
      <c r="W487" t="s">
        <v>2174</v>
      </c>
      <c r="Y487" t="s">
        <v>2876</v>
      </c>
      <c r="AA487" t="s">
        <v>138</v>
      </c>
      <c r="AB487">
        <v>0</v>
      </c>
      <c r="AC487">
        <v>1096.71</v>
      </c>
      <c r="AD487">
        <v>8.800000000000001</v>
      </c>
      <c r="AE487" t="s">
        <v>2894</v>
      </c>
      <c r="AF487" t="s">
        <v>2898</v>
      </c>
      <c r="AG487" t="s">
        <v>3373</v>
      </c>
      <c r="AI487" t="s">
        <v>4237</v>
      </c>
      <c r="AJ487">
        <v>0</v>
      </c>
      <c r="AK487" t="s">
        <v>4458</v>
      </c>
      <c r="AL487">
        <v>2</v>
      </c>
      <c r="AM487">
        <v>3</v>
      </c>
      <c r="AN487">
        <v>48.81</v>
      </c>
      <c r="AQ487" t="s">
        <v>4475</v>
      </c>
      <c r="AR487" t="s">
        <v>4476</v>
      </c>
      <c r="AS487" t="s">
        <v>4486</v>
      </c>
      <c r="AT487">
        <v>14725</v>
      </c>
      <c r="AX487" t="s">
        <v>4501</v>
      </c>
      <c r="BA487" t="s">
        <v>4545</v>
      </c>
      <c r="BD487" t="s">
        <v>136</v>
      </c>
      <c r="BE487" t="s">
        <v>4703</v>
      </c>
    </row>
    <row r="488" spans="1:57">
      <c r="A488" s="1">
        <f>HYPERLINK("https://lsnyc.legalserver.org/matter/dynamic-profile/view/1890770","19-1890770")</f>
        <v>0</v>
      </c>
      <c r="B488" t="s">
        <v>61</v>
      </c>
      <c r="C488" t="s">
        <v>92</v>
      </c>
      <c r="D488" t="s">
        <v>138</v>
      </c>
      <c r="E488" t="s">
        <v>193</v>
      </c>
      <c r="F488" t="s">
        <v>642</v>
      </c>
      <c r="G488" t="s">
        <v>1148</v>
      </c>
      <c r="H488" t="s">
        <v>1713</v>
      </c>
      <c r="I488">
        <v>1</v>
      </c>
      <c r="J488" t="s">
        <v>2169</v>
      </c>
      <c r="K488" t="s">
        <v>2171</v>
      </c>
      <c r="L488">
        <v>10026</v>
      </c>
      <c r="M488" t="s">
        <v>2173</v>
      </c>
      <c r="N488" t="s">
        <v>2173</v>
      </c>
      <c r="O488" t="s">
        <v>2175</v>
      </c>
      <c r="P488" t="s">
        <v>2643</v>
      </c>
      <c r="Q488">
        <v>6</v>
      </c>
      <c r="R488" t="s">
        <v>2844</v>
      </c>
      <c r="S488" t="s">
        <v>2857</v>
      </c>
      <c r="T488" t="s">
        <v>2864</v>
      </c>
      <c r="U488" t="s">
        <v>2869</v>
      </c>
      <c r="V488" t="s">
        <v>2174</v>
      </c>
      <c r="W488" t="s">
        <v>2174</v>
      </c>
      <c r="Y488" t="s">
        <v>2876</v>
      </c>
      <c r="AA488" t="s">
        <v>138</v>
      </c>
      <c r="AB488">
        <v>0</v>
      </c>
      <c r="AC488">
        <v>983</v>
      </c>
      <c r="AD488">
        <v>4.9</v>
      </c>
      <c r="AE488" t="s">
        <v>2894</v>
      </c>
      <c r="AF488" t="s">
        <v>2898</v>
      </c>
      <c r="AG488" t="s">
        <v>3374</v>
      </c>
      <c r="AH488" t="s">
        <v>3710</v>
      </c>
      <c r="AI488" t="s">
        <v>4238</v>
      </c>
      <c r="AJ488">
        <v>0</v>
      </c>
      <c r="AK488" t="s">
        <v>4456</v>
      </c>
      <c r="AL488">
        <v>1</v>
      </c>
      <c r="AM488">
        <v>0</v>
      </c>
      <c r="AN488">
        <v>80.7</v>
      </c>
      <c r="AQ488" t="s">
        <v>4473</v>
      </c>
      <c r="AR488" t="s">
        <v>4478</v>
      </c>
      <c r="AS488" t="s">
        <v>4486</v>
      </c>
      <c r="AT488">
        <v>10080</v>
      </c>
      <c r="AX488" t="s">
        <v>4504</v>
      </c>
      <c r="AZ488" t="s">
        <v>4519</v>
      </c>
      <c r="BA488" t="s">
        <v>4590</v>
      </c>
      <c r="BB488" t="s">
        <v>4632</v>
      </c>
      <c r="BC488" t="s">
        <v>4661</v>
      </c>
      <c r="BD488" t="s">
        <v>148</v>
      </c>
      <c r="BE488" t="s">
        <v>4703</v>
      </c>
    </row>
    <row r="489" spans="1:57">
      <c r="A489" s="1">
        <f>HYPERLINK("https://lsnyc.legalserver.org/matter/dynamic-profile/view/1891307","19-1891307")</f>
        <v>0</v>
      </c>
      <c r="B489" t="s">
        <v>66</v>
      </c>
      <c r="C489" t="s">
        <v>92</v>
      </c>
      <c r="D489" t="s">
        <v>139</v>
      </c>
      <c r="E489" t="s">
        <v>197</v>
      </c>
      <c r="F489" t="s">
        <v>643</v>
      </c>
      <c r="G489" t="s">
        <v>1149</v>
      </c>
      <c r="H489" t="s">
        <v>1714</v>
      </c>
      <c r="I489" t="s">
        <v>1951</v>
      </c>
      <c r="J489" t="s">
        <v>2169</v>
      </c>
      <c r="K489" t="s">
        <v>2171</v>
      </c>
      <c r="L489">
        <v>10026</v>
      </c>
      <c r="M489" t="s">
        <v>2173</v>
      </c>
      <c r="N489" t="s">
        <v>2173</v>
      </c>
      <c r="O489" t="s">
        <v>2175</v>
      </c>
      <c r="P489" t="s">
        <v>2644</v>
      </c>
      <c r="Q489">
        <v>7</v>
      </c>
      <c r="R489" t="s">
        <v>2844</v>
      </c>
      <c r="S489" t="s">
        <v>2857</v>
      </c>
      <c r="T489" t="s">
        <v>2864</v>
      </c>
      <c r="U489" t="s">
        <v>2869</v>
      </c>
      <c r="V489" t="s">
        <v>2174</v>
      </c>
      <c r="W489" t="s">
        <v>2174</v>
      </c>
      <c r="Y489" t="s">
        <v>2876</v>
      </c>
      <c r="Z489" t="s">
        <v>2879</v>
      </c>
      <c r="AA489" t="s">
        <v>139</v>
      </c>
      <c r="AB489">
        <v>0</v>
      </c>
      <c r="AC489">
        <v>2500</v>
      </c>
      <c r="AD489">
        <v>38.9</v>
      </c>
      <c r="AE489" t="s">
        <v>2894</v>
      </c>
      <c r="AF489" t="s">
        <v>2896</v>
      </c>
      <c r="AG489" t="s">
        <v>3375</v>
      </c>
      <c r="AI489" t="s">
        <v>4239</v>
      </c>
      <c r="AJ489">
        <v>0</v>
      </c>
      <c r="AK489" t="s">
        <v>4456</v>
      </c>
      <c r="AL489">
        <v>1</v>
      </c>
      <c r="AM489">
        <v>0</v>
      </c>
      <c r="AN489">
        <v>187.35</v>
      </c>
      <c r="AQ489" t="s">
        <v>4473</v>
      </c>
      <c r="AR489" t="s">
        <v>4476</v>
      </c>
      <c r="AS489" t="s">
        <v>4486</v>
      </c>
      <c r="AT489">
        <v>23400</v>
      </c>
      <c r="AX489" t="s">
        <v>4501</v>
      </c>
      <c r="BA489" t="s">
        <v>4597</v>
      </c>
      <c r="BD489" t="s">
        <v>4680</v>
      </c>
      <c r="BE489" t="s">
        <v>4703</v>
      </c>
    </row>
    <row r="490" spans="1:57">
      <c r="A490" s="1">
        <f>HYPERLINK("https://lsnyc.legalserver.org/matter/dynamic-profile/view/1892817","19-1892817")</f>
        <v>0</v>
      </c>
      <c r="B490" t="s">
        <v>75</v>
      </c>
      <c r="C490" t="s">
        <v>93</v>
      </c>
      <c r="D490" t="s">
        <v>140</v>
      </c>
      <c r="F490" t="s">
        <v>644</v>
      </c>
      <c r="G490" t="s">
        <v>1150</v>
      </c>
      <c r="H490" t="s">
        <v>1715</v>
      </c>
      <c r="I490" t="s">
        <v>2083</v>
      </c>
      <c r="J490" t="s">
        <v>2169</v>
      </c>
      <c r="K490" t="s">
        <v>2171</v>
      </c>
      <c r="L490">
        <v>10026</v>
      </c>
      <c r="M490" t="s">
        <v>2173</v>
      </c>
      <c r="N490" t="s">
        <v>2173</v>
      </c>
      <c r="O490" t="s">
        <v>2179</v>
      </c>
      <c r="P490" t="s">
        <v>2645</v>
      </c>
      <c r="Q490">
        <v>2</v>
      </c>
      <c r="R490" t="s">
        <v>2844</v>
      </c>
      <c r="S490" t="s">
        <v>2857</v>
      </c>
      <c r="U490" t="s">
        <v>2869</v>
      </c>
      <c r="V490" t="s">
        <v>2174</v>
      </c>
      <c r="W490" t="s">
        <v>2174</v>
      </c>
      <c r="Y490" t="s">
        <v>2876</v>
      </c>
      <c r="Z490" t="s">
        <v>2879</v>
      </c>
      <c r="AB490">
        <v>0</v>
      </c>
      <c r="AC490">
        <v>275</v>
      </c>
      <c r="AD490">
        <v>8.800000000000001</v>
      </c>
      <c r="AE490" t="s">
        <v>2894</v>
      </c>
      <c r="AG490" t="s">
        <v>3376</v>
      </c>
      <c r="AI490" t="s">
        <v>4240</v>
      </c>
      <c r="AJ490">
        <v>0</v>
      </c>
      <c r="AK490" t="s">
        <v>4458</v>
      </c>
      <c r="AL490">
        <v>1</v>
      </c>
      <c r="AM490">
        <v>1</v>
      </c>
      <c r="AN490">
        <v>22.29</v>
      </c>
      <c r="AQ490" t="s">
        <v>4474</v>
      </c>
      <c r="AR490" t="s">
        <v>4476</v>
      </c>
      <c r="AS490" t="s">
        <v>4486</v>
      </c>
      <c r="AT490">
        <v>3770</v>
      </c>
      <c r="AX490" t="s">
        <v>4504</v>
      </c>
      <c r="BA490" t="s">
        <v>4551</v>
      </c>
      <c r="BD490" t="s">
        <v>105</v>
      </c>
    </row>
    <row r="491" spans="1:57">
      <c r="A491" s="1">
        <f>HYPERLINK("https://lsnyc.legalserver.org/matter/dynamic-profile/view/1892834","19-1892834")</f>
        <v>0</v>
      </c>
      <c r="B491" t="s">
        <v>67</v>
      </c>
      <c r="C491" t="s">
        <v>92</v>
      </c>
      <c r="D491" t="s">
        <v>140</v>
      </c>
      <c r="E491" t="s">
        <v>162</v>
      </c>
      <c r="F491" t="s">
        <v>384</v>
      </c>
      <c r="G491" t="s">
        <v>1151</v>
      </c>
      <c r="H491" t="s">
        <v>1716</v>
      </c>
      <c r="J491" t="s">
        <v>2169</v>
      </c>
      <c r="K491" t="s">
        <v>2171</v>
      </c>
      <c r="L491">
        <v>10026</v>
      </c>
      <c r="M491" t="s">
        <v>2173</v>
      </c>
      <c r="N491" t="s">
        <v>2173</v>
      </c>
      <c r="P491" t="s">
        <v>2646</v>
      </c>
      <c r="Q491">
        <v>0</v>
      </c>
      <c r="R491" t="s">
        <v>2844</v>
      </c>
      <c r="S491" t="s">
        <v>2856</v>
      </c>
      <c r="T491" t="s">
        <v>2863</v>
      </c>
      <c r="U491" t="s">
        <v>2869</v>
      </c>
      <c r="V491" t="s">
        <v>2174</v>
      </c>
      <c r="Y491" t="s">
        <v>2875</v>
      </c>
      <c r="Z491" t="s">
        <v>2879</v>
      </c>
      <c r="AA491" t="s">
        <v>140</v>
      </c>
      <c r="AB491">
        <v>0</v>
      </c>
      <c r="AC491">
        <v>0</v>
      </c>
      <c r="AD491">
        <v>0.9</v>
      </c>
      <c r="AE491" t="s">
        <v>2894</v>
      </c>
      <c r="AF491" t="s">
        <v>2896</v>
      </c>
      <c r="AG491" t="s">
        <v>3377</v>
      </c>
      <c r="AI491" t="s">
        <v>4241</v>
      </c>
      <c r="AJ491">
        <v>0</v>
      </c>
      <c r="AL491">
        <v>1</v>
      </c>
      <c r="AM491">
        <v>0</v>
      </c>
      <c r="AN491">
        <v>0</v>
      </c>
      <c r="AS491" t="s">
        <v>4486</v>
      </c>
      <c r="AT491">
        <v>0</v>
      </c>
      <c r="AX491" t="s">
        <v>86</v>
      </c>
      <c r="BA491" t="s">
        <v>4539</v>
      </c>
      <c r="BD491" t="s">
        <v>102</v>
      </c>
    </row>
    <row r="492" spans="1:57">
      <c r="A492" s="1">
        <f>HYPERLINK("https://lsnyc.legalserver.org/matter/dynamic-profile/view/1893634","19-1893634")</f>
        <v>0</v>
      </c>
      <c r="B492" t="s">
        <v>69</v>
      </c>
      <c r="C492" t="s">
        <v>93</v>
      </c>
      <c r="D492" t="s">
        <v>159</v>
      </c>
      <c r="F492" t="s">
        <v>645</v>
      </c>
      <c r="G492" t="s">
        <v>1152</v>
      </c>
      <c r="H492" t="s">
        <v>1717</v>
      </c>
      <c r="I492" t="s">
        <v>1982</v>
      </c>
      <c r="J492" t="s">
        <v>2169</v>
      </c>
      <c r="K492" t="s">
        <v>2171</v>
      </c>
      <c r="L492">
        <v>10026</v>
      </c>
      <c r="M492" t="s">
        <v>2173</v>
      </c>
      <c r="N492" t="s">
        <v>2173</v>
      </c>
      <c r="O492" t="s">
        <v>2175</v>
      </c>
      <c r="P492" t="s">
        <v>2647</v>
      </c>
      <c r="Q492">
        <v>3</v>
      </c>
      <c r="R492" t="s">
        <v>2844</v>
      </c>
      <c r="S492" t="s">
        <v>2857</v>
      </c>
      <c r="U492" t="s">
        <v>2869</v>
      </c>
      <c r="V492" t="s">
        <v>2174</v>
      </c>
      <c r="W492" t="s">
        <v>2174</v>
      </c>
      <c r="Y492" t="s">
        <v>2876</v>
      </c>
      <c r="Z492" t="s">
        <v>2879</v>
      </c>
      <c r="AA492" t="s">
        <v>159</v>
      </c>
      <c r="AB492">
        <v>0</v>
      </c>
      <c r="AC492">
        <v>201</v>
      </c>
      <c r="AD492">
        <v>12.2</v>
      </c>
      <c r="AE492" t="s">
        <v>2894</v>
      </c>
      <c r="AG492" t="s">
        <v>3378</v>
      </c>
      <c r="AJ492">
        <v>0</v>
      </c>
      <c r="AL492">
        <v>1</v>
      </c>
      <c r="AM492">
        <v>0</v>
      </c>
      <c r="AN492">
        <v>83.48999999999999</v>
      </c>
      <c r="AQ492" t="s">
        <v>4473</v>
      </c>
      <c r="AS492" t="s">
        <v>4486</v>
      </c>
      <c r="AT492">
        <v>10428</v>
      </c>
      <c r="AX492" t="s">
        <v>4510</v>
      </c>
      <c r="BA492" t="s">
        <v>4538</v>
      </c>
      <c r="BD492" t="s">
        <v>189</v>
      </c>
    </row>
    <row r="493" spans="1:57">
      <c r="A493" s="1">
        <f>HYPERLINK("https://lsnyc.legalserver.org/matter/dynamic-profile/view/1894207","19-1894207")</f>
        <v>0</v>
      </c>
      <c r="B493" t="s">
        <v>72</v>
      </c>
      <c r="C493" t="s">
        <v>92</v>
      </c>
      <c r="D493" t="s">
        <v>177</v>
      </c>
      <c r="E493" t="s">
        <v>221</v>
      </c>
      <c r="F493" t="s">
        <v>646</v>
      </c>
      <c r="G493" t="s">
        <v>1153</v>
      </c>
      <c r="H493" t="s">
        <v>1718</v>
      </c>
      <c r="I493" t="s">
        <v>1943</v>
      </c>
      <c r="J493" t="s">
        <v>2169</v>
      </c>
      <c r="K493" t="s">
        <v>2171</v>
      </c>
      <c r="L493">
        <v>10026</v>
      </c>
      <c r="M493" t="s">
        <v>2173</v>
      </c>
      <c r="N493" t="s">
        <v>2173</v>
      </c>
      <c r="O493" t="s">
        <v>2175</v>
      </c>
      <c r="P493" t="s">
        <v>2648</v>
      </c>
      <c r="Q493">
        <v>20</v>
      </c>
      <c r="R493" t="s">
        <v>2844</v>
      </c>
      <c r="S493" t="s">
        <v>2857</v>
      </c>
      <c r="T493" t="s">
        <v>2864</v>
      </c>
      <c r="U493" t="s">
        <v>2869</v>
      </c>
      <c r="V493" t="s">
        <v>2174</v>
      </c>
      <c r="W493" t="s">
        <v>2174</v>
      </c>
      <c r="Y493" t="s">
        <v>2875</v>
      </c>
      <c r="Z493" t="s">
        <v>2879</v>
      </c>
      <c r="AA493" t="s">
        <v>177</v>
      </c>
      <c r="AB493">
        <v>0</v>
      </c>
      <c r="AC493">
        <v>217</v>
      </c>
      <c r="AD493">
        <v>1.75</v>
      </c>
      <c r="AE493" t="s">
        <v>2894</v>
      </c>
      <c r="AF493" t="s">
        <v>2903</v>
      </c>
      <c r="AG493" t="s">
        <v>3379</v>
      </c>
      <c r="AI493" t="s">
        <v>4242</v>
      </c>
      <c r="AJ493">
        <v>0</v>
      </c>
      <c r="AK493" t="s">
        <v>4457</v>
      </c>
      <c r="AL493">
        <v>1</v>
      </c>
      <c r="AM493">
        <v>0</v>
      </c>
      <c r="AN493">
        <v>74.08</v>
      </c>
      <c r="AQ493" t="s">
        <v>4473</v>
      </c>
      <c r="AR493" t="s">
        <v>4476</v>
      </c>
      <c r="AS493" t="s">
        <v>4486</v>
      </c>
      <c r="AT493">
        <v>9252</v>
      </c>
      <c r="AX493" t="s">
        <v>4502</v>
      </c>
      <c r="AY493" t="s">
        <v>4514</v>
      </c>
      <c r="AZ493" t="s">
        <v>4529</v>
      </c>
      <c r="BA493" t="s">
        <v>4548</v>
      </c>
      <c r="BB493" t="s">
        <v>4632</v>
      </c>
      <c r="BC493" t="s">
        <v>4662</v>
      </c>
      <c r="BD493" t="s">
        <v>156</v>
      </c>
      <c r="BE493" t="s">
        <v>4703</v>
      </c>
    </row>
    <row r="494" spans="1:57">
      <c r="A494" s="1">
        <f>HYPERLINK("https://lsnyc.legalserver.org/matter/dynamic-profile/view/1894364","19-1894364")</f>
        <v>0</v>
      </c>
      <c r="B494" t="s">
        <v>73</v>
      </c>
      <c r="C494" t="s">
        <v>93</v>
      </c>
      <c r="D494" t="s">
        <v>94</v>
      </c>
      <c r="F494" t="s">
        <v>647</v>
      </c>
      <c r="G494" t="s">
        <v>1154</v>
      </c>
      <c r="H494" t="s">
        <v>1719</v>
      </c>
      <c r="I494" t="s">
        <v>1932</v>
      </c>
      <c r="J494" t="s">
        <v>2169</v>
      </c>
      <c r="K494" t="s">
        <v>2171</v>
      </c>
      <c r="L494">
        <v>10026</v>
      </c>
      <c r="M494" t="s">
        <v>2173</v>
      </c>
      <c r="N494" t="s">
        <v>2173</v>
      </c>
      <c r="O494" t="s">
        <v>2179</v>
      </c>
      <c r="P494" t="s">
        <v>2649</v>
      </c>
      <c r="Q494">
        <v>1</v>
      </c>
      <c r="R494" t="s">
        <v>2844</v>
      </c>
      <c r="S494" t="s">
        <v>2857</v>
      </c>
      <c r="U494" t="s">
        <v>2869</v>
      </c>
      <c r="V494" t="s">
        <v>2174</v>
      </c>
      <c r="W494" t="s">
        <v>2174</v>
      </c>
      <c r="Y494" t="s">
        <v>2876</v>
      </c>
      <c r="Z494" t="s">
        <v>2879</v>
      </c>
      <c r="AA494" t="s">
        <v>94</v>
      </c>
      <c r="AB494">
        <v>0</v>
      </c>
      <c r="AC494">
        <v>1008</v>
      </c>
      <c r="AD494">
        <v>14.25</v>
      </c>
      <c r="AE494" t="s">
        <v>2894</v>
      </c>
      <c r="AG494" t="s">
        <v>3380</v>
      </c>
      <c r="AI494" t="s">
        <v>4243</v>
      </c>
      <c r="AJ494">
        <v>0</v>
      </c>
      <c r="AK494" t="s">
        <v>4456</v>
      </c>
      <c r="AL494">
        <v>1</v>
      </c>
      <c r="AM494">
        <v>1</v>
      </c>
      <c r="AN494">
        <v>124.54</v>
      </c>
      <c r="AQ494" t="s">
        <v>4475</v>
      </c>
      <c r="AR494" t="s">
        <v>4482</v>
      </c>
      <c r="AS494" t="s">
        <v>4486</v>
      </c>
      <c r="AT494">
        <v>21060</v>
      </c>
      <c r="AX494" t="s">
        <v>4501</v>
      </c>
      <c r="BA494" t="s">
        <v>4546</v>
      </c>
      <c r="BD494" t="s">
        <v>118</v>
      </c>
    </row>
    <row r="495" spans="1:57">
      <c r="A495" s="1">
        <f>HYPERLINK("https://lsnyc.legalserver.org/matter/dynamic-profile/view/1895372","19-1895372")</f>
        <v>0</v>
      </c>
      <c r="B495" t="s">
        <v>71</v>
      </c>
      <c r="C495" t="s">
        <v>93</v>
      </c>
      <c r="D495" t="s">
        <v>181</v>
      </c>
      <c r="F495" t="s">
        <v>305</v>
      </c>
      <c r="G495" t="s">
        <v>1145</v>
      </c>
      <c r="H495" t="s">
        <v>1720</v>
      </c>
      <c r="I495" t="s">
        <v>1950</v>
      </c>
      <c r="J495" t="s">
        <v>2169</v>
      </c>
      <c r="K495" t="s">
        <v>2171</v>
      </c>
      <c r="L495">
        <v>10026</v>
      </c>
      <c r="M495" t="s">
        <v>2173</v>
      </c>
      <c r="N495" t="s">
        <v>2172</v>
      </c>
      <c r="O495" t="s">
        <v>2177</v>
      </c>
      <c r="P495" t="s">
        <v>2650</v>
      </c>
      <c r="Q495">
        <v>17</v>
      </c>
      <c r="R495" t="s">
        <v>2844</v>
      </c>
      <c r="S495" t="s">
        <v>2857</v>
      </c>
      <c r="U495" t="s">
        <v>2869</v>
      </c>
      <c r="V495" t="s">
        <v>2174</v>
      </c>
      <c r="W495" t="s">
        <v>2174</v>
      </c>
      <c r="Y495" t="s">
        <v>2876</v>
      </c>
      <c r="AA495" t="s">
        <v>181</v>
      </c>
      <c r="AB495">
        <v>0</v>
      </c>
      <c r="AC495">
        <v>1108.87</v>
      </c>
      <c r="AD495">
        <v>12</v>
      </c>
      <c r="AE495" t="s">
        <v>2894</v>
      </c>
      <c r="AG495" t="s">
        <v>2920</v>
      </c>
      <c r="AH495" t="s">
        <v>3711</v>
      </c>
      <c r="AI495" t="s">
        <v>4244</v>
      </c>
      <c r="AJ495">
        <v>10</v>
      </c>
      <c r="AK495" t="s">
        <v>4456</v>
      </c>
      <c r="AL495">
        <v>1</v>
      </c>
      <c r="AM495">
        <v>2</v>
      </c>
      <c r="AN495">
        <v>75.01000000000001</v>
      </c>
      <c r="AQ495" t="s">
        <v>4474</v>
      </c>
      <c r="AR495" t="s">
        <v>4480</v>
      </c>
      <c r="AS495" t="s">
        <v>4486</v>
      </c>
      <c r="AT495">
        <v>16000</v>
      </c>
      <c r="AX495" t="s">
        <v>4504</v>
      </c>
      <c r="BA495" t="s">
        <v>4537</v>
      </c>
      <c r="BD495" t="s">
        <v>4670</v>
      </c>
    </row>
    <row r="496" spans="1:57">
      <c r="A496" s="1">
        <f>HYPERLINK("https://lsnyc.legalserver.org/matter/dynamic-profile/view/1895785","19-1895785")</f>
        <v>0</v>
      </c>
      <c r="B496" t="s">
        <v>72</v>
      </c>
      <c r="C496" t="s">
        <v>92</v>
      </c>
      <c r="D496" t="s">
        <v>141</v>
      </c>
      <c r="E496" t="s">
        <v>186</v>
      </c>
      <c r="F496" t="s">
        <v>648</v>
      </c>
      <c r="G496" t="s">
        <v>1124</v>
      </c>
      <c r="H496" t="s">
        <v>1721</v>
      </c>
      <c r="I496" t="s">
        <v>2027</v>
      </c>
      <c r="J496" t="s">
        <v>2169</v>
      </c>
      <c r="K496" t="s">
        <v>2171</v>
      </c>
      <c r="L496">
        <v>10026</v>
      </c>
      <c r="M496" t="s">
        <v>2173</v>
      </c>
      <c r="N496" t="s">
        <v>2173</v>
      </c>
      <c r="O496" t="s">
        <v>2175</v>
      </c>
      <c r="P496" t="s">
        <v>2651</v>
      </c>
      <c r="Q496">
        <v>-1</v>
      </c>
      <c r="R496" t="s">
        <v>2844</v>
      </c>
      <c r="S496" t="s">
        <v>2857</v>
      </c>
      <c r="T496" t="s">
        <v>2864</v>
      </c>
      <c r="U496" t="s">
        <v>2869</v>
      </c>
      <c r="V496" t="s">
        <v>2174</v>
      </c>
      <c r="W496" t="s">
        <v>2174</v>
      </c>
      <c r="Y496" t="s">
        <v>2875</v>
      </c>
      <c r="Z496" t="s">
        <v>2879</v>
      </c>
      <c r="AA496" t="s">
        <v>141</v>
      </c>
      <c r="AB496">
        <v>0</v>
      </c>
      <c r="AC496">
        <v>383</v>
      </c>
      <c r="AD496">
        <v>16.55</v>
      </c>
      <c r="AE496" t="s">
        <v>2894</v>
      </c>
      <c r="AF496" t="s">
        <v>2903</v>
      </c>
      <c r="AG496" t="s">
        <v>3381</v>
      </c>
      <c r="AH496" t="s">
        <v>3712</v>
      </c>
      <c r="AI496" t="s">
        <v>4245</v>
      </c>
      <c r="AJ496">
        <v>527</v>
      </c>
      <c r="AK496" t="s">
        <v>4459</v>
      </c>
      <c r="AL496">
        <v>1</v>
      </c>
      <c r="AM496">
        <v>2</v>
      </c>
      <c r="AN496">
        <v>61.11</v>
      </c>
      <c r="AQ496" t="s">
        <v>4474</v>
      </c>
      <c r="AR496" t="s">
        <v>4476</v>
      </c>
      <c r="AS496" t="s">
        <v>4486</v>
      </c>
      <c r="AT496">
        <v>13035</v>
      </c>
      <c r="AX496" t="s">
        <v>4501</v>
      </c>
      <c r="AZ496" t="s">
        <v>4524</v>
      </c>
      <c r="BA496" t="s">
        <v>4612</v>
      </c>
      <c r="BB496" t="s">
        <v>4632</v>
      </c>
      <c r="BC496" t="s">
        <v>4655</v>
      </c>
      <c r="BD496" t="s">
        <v>235</v>
      </c>
      <c r="BE496" t="s">
        <v>4704</v>
      </c>
    </row>
    <row r="497" spans="1:57">
      <c r="A497" s="1">
        <f>HYPERLINK("https://lsnyc.legalserver.org/matter/dynamic-profile/view/1895825","19-1895825")</f>
        <v>0</v>
      </c>
      <c r="B497" t="s">
        <v>69</v>
      </c>
      <c r="C497" t="s">
        <v>93</v>
      </c>
      <c r="D497" t="s">
        <v>141</v>
      </c>
      <c r="F497" t="s">
        <v>649</v>
      </c>
      <c r="G497" t="s">
        <v>1150</v>
      </c>
      <c r="H497" t="s">
        <v>1722</v>
      </c>
      <c r="I497" t="s">
        <v>1931</v>
      </c>
      <c r="J497" t="s">
        <v>2169</v>
      </c>
      <c r="K497" t="s">
        <v>2171</v>
      </c>
      <c r="L497">
        <v>10026</v>
      </c>
      <c r="M497" t="s">
        <v>2173</v>
      </c>
      <c r="N497" t="s">
        <v>2173</v>
      </c>
      <c r="O497" t="s">
        <v>2175</v>
      </c>
      <c r="P497" t="s">
        <v>2652</v>
      </c>
      <c r="Q497">
        <v>15</v>
      </c>
      <c r="R497" t="s">
        <v>2844</v>
      </c>
      <c r="S497" t="s">
        <v>2857</v>
      </c>
      <c r="U497" t="s">
        <v>2869</v>
      </c>
      <c r="V497" t="s">
        <v>2174</v>
      </c>
      <c r="W497" t="s">
        <v>2174</v>
      </c>
      <c r="Y497" t="s">
        <v>2876</v>
      </c>
      <c r="AA497" t="s">
        <v>141</v>
      </c>
      <c r="AB497">
        <v>0</v>
      </c>
      <c r="AC497">
        <v>517</v>
      </c>
      <c r="AD497">
        <v>7</v>
      </c>
      <c r="AE497" t="s">
        <v>2894</v>
      </c>
      <c r="AG497" t="s">
        <v>3097</v>
      </c>
      <c r="AH497" t="s">
        <v>3713</v>
      </c>
      <c r="AI497" t="s">
        <v>4246</v>
      </c>
      <c r="AJ497">
        <v>0</v>
      </c>
      <c r="AK497" t="s">
        <v>4456</v>
      </c>
      <c r="AL497">
        <v>1</v>
      </c>
      <c r="AM497">
        <v>0</v>
      </c>
      <c r="AN497">
        <v>92.43000000000001</v>
      </c>
      <c r="AQ497" t="s">
        <v>4473</v>
      </c>
      <c r="AR497" t="s">
        <v>4477</v>
      </c>
      <c r="AS497" t="s">
        <v>4486</v>
      </c>
      <c r="AT497">
        <v>11544</v>
      </c>
      <c r="AX497" t="s">
        <v>4504</v>
      </c>
      <c r="BA497" t="s">
        <v>4534</v>
      </c>
      <c r="BD497" t="s">
        <v>183</v>
      </c>
    </row>
    <row r="498" spans="1:57">
      <c r="A498" s="1">
        <f>HYPERLINK("https://lsnyc.legalserver.org/matter/dynamic-profile/view/1895841","19-1895841")</f>
        <v>0</v>
      </c>
      <c r="B498" t="s">
        <v>68</v>
      </c>
      <c r="C498" t="s">
        <v>93</v>
      </c>
      <c r="D498" t="s">
        <v>141</v>
      </c>
      <c r="F498" t="s">
        <v>650</v>
      </c>
      <c r="G498" t="s">
        <v>1065</v>
      </c>
      <c r="H498" t="s">
        <v>1723</v>
      </c>
      <c r="I498" t="s">
        <v>1960</v>
      </c>
      <c r="J498" t="s">
        <v>2169</v>
      </c>
      <c r="K498" t="s">
        <v>2171</v>
      </c>
      <c r="L498">
        <v>10026</v>
      </c>
      <c r="M498" t="s">
        <v>2173</v>
      </c>
      <c r="N498" t="s">
        <v>2173</v>
      </c>
      <c r="O498" t="s">
        <v>2179</v>
      </c>
      <c r="P498" t="s">
        <v>2653</v>
      </c>
      <c r="Q498">
        <v>20</v>
      </c>
      <c r="R498" t="s">
        <v>2844</v>
      </c>
      <c r="S498" t="s">
        <v>2856</v>
      </c>
      <c r="U498" t="s">
        <v>2869</v>
      </c>
      <c r="V498" t="s">
        <v>2174</v>
      </c>
      <c r="Y498" t="s">
        <v>2876</v>
      </c>
      <c r="AA498" t="s">
        <v>141</v>
      </c>
      <c r="AB498">
        <v>0</v>
      </c>
      <c r="AC498">
        <v>569</v>
      </c>
      <c r="AD498">
        <v>0</v>
      </c>
      <c r="AE498" t="s">
        <v>2894</v>
      </c>
      <c r="AG498" t="s">
        <v>3382</v>
      </c>
      <c r="AI498" t="s">
        <v>4247</v>
      </c>
      <c r="AJ498">
        <v>0</v>
      </c>
      <c r="AK498" t="s">
        <v>4464</v>
      </c>
      <c r="AL498">
        <v>1</v>
      </c>
      <c r="AM498">
        <v>0</v>
      </c>
      <c r="AN498">
        <v>208.17</v>
      </c>
      <c r="AQ498" t="s">
        <v>4473</v>
      </c>
      <c r="AR498" t="s">
        <v>4476</v>
      </c>
      <c r="AS498" t="s">
        <v>4486</v>
      </c>
      <c r="AT498">
        <v>26000</v>
      </c>
      <c r="AX498" t="s">
        <v>4501</v>
      </c>
      <c r="BA498" t="s">
        <v>4546</v>
      </c>
    </row>
    <row r="499" spans="1:57">
      <c r="A499" s="1">
        <f>HYPERLINK("https://lsnyc.legalserver.org/matter/dynamic-profile/view/1895901","19-1895901")</f>
        <v>0</v>
      </c>
      <c r="B499" t="s">
        <v>63</v>
      </c>
      <c r="C499" t="s">
        <v>93</v>
      </c>
      <c r="D499" t="s">
        <v>191</v>
      </c>
      <c r="F499" t="s">
        <v>338</v>
      </c>
      <c r="G499" t="s">
        <v>240</v>
      </c>
      <c r="H499" t="s">
        <v>1724</v>
      </c>
      <c r="I499" t="s">
        <v>2084</v>
      </c>
      <c r="J499" t="s">
        <v>2169</v>
      </c>
      <c r="K499" t="s">
        <v>2171</v>
      </c>
      <c r="L499">
        <v>10026</v>
      </c>
      <c r="M499" t="s">
        <v>2173</v>
      </c>
      <c r="N499" t="s">
        <v>2173</v>
      </c>
      <c r="O499" t="s">
        <v>2179</v>
      </c>
      <c r="P499" t="s">
        <v>2654</v>
      </c>
      <c r="Q499">
        <v>65</v>
      </c>
      <c r="R499" t="s">
        <v>2844</v>
      </c>
      <c r="S499" t="s">
        <v>2857</v>
      </c>
      <c r="U499" t="s">
        <v>2869</v>
      </c>
      <c r="V499" t="s">
        <v>2174</v>
      </c>
      <c r="W499" t="s">
        <v>2174</v>
      </c>
      <c r="Y499" t="s">
        <v>2876</v>
      </c>
      <c r="AA499" t="s">
        <v>191</v>
      </c>
      <c r="AB499">
        <v>0</v>
      </c>
      <c r="AC499">
        <v>889</v>
      </c>
      <c r="AD499">
        <v>38.6</v>
      </c>
      <c r="AE499" t="s">
        <v>2894</v>
      </c>
      <c r="AG499" t="s">
        <v>3383</v>
      </c>
      <c r="AI499" t="s">
        <v>4248</v>
      </c>
      <c r="AJ499">
        <v>0</v>
      </c>
      <c r="AK499" t="s">
        <v>4461</v>
      </c>
      <c r="AL499">
        <v>1</v>
      </c>
      <c r="AM499">
        <v>0</v>
      </c>
      <c r="AN499">
        <v>68.5</v>
      </c>
      <c r="AQ499" t="s">
        <v>4473</v>
      </c>
      <c r="AR499" t="s">
        <v>4477</v>
      </c>
      <c r="AS499" t="s">
        <v>4486</v>
      </c>
      <c r="AT499">
        <v>8556</v>
      </c>
      <c r="AX499" t="s">
        <v>4504</v>
      </c>
      <c r="BA499" t="s">
        <v>4538</v>
      </c>
      <c r="BD499" t="s">
        <v>96</v>
      </c>
      <c r="BE499" t="s">
        <v>4703</v>
      </c>
    </row>
    <row r="500" spans="1:57">
      <c r="A500" s="1">
        <f>HYPERLINK("https://lsnyc.legalserver.org/matter/dynamic-profile/view/1896028","19-1896028")</f>
        <v>0</v>
      </c>
      <c r="B500" t="s">
        <v>66</v>
      </c>
      <c r="C500" t="s">
        <v>93</v>
      </c>
      <c r="D500" t="s">
        <v>100</v>
      </c>
      <c r="F500" t="s">
        <v>248</v>
      </c>
      <c r="G500" t="s">
        <v>833</v>
      </c>
      <c r="H500" t="s">
        <v>1725</v>
      </c>
      <c r="I500" t="s">
        <v>1912</v>
      </c>
      <c r="J500" t="s">
        <v>2169</v>
      </c>
      <c r="K500" t="s">
        <v>2171</v>
      </c>
      <c r="L500">
        <v>10026</v>
      </c>
      <c r="M500" t="s">
        <v>2173</v>
      </c>
      <c r="N500" t="s">
        <v>2172</v>
      </c>
      <c r="O500" t="s">
        <v>2180</v>
      </c>
      <c r="P500" t="s">
        <v>2655</v>
      </c>
      <c r="Q500">
        <v>3</v>
      </c>
      <c r="R500" t="s">
        <v>2844</v>
      </c>
      <c r="S500" t="s">
        <v>2857</v>
      </c>
      <c r="U500" t="s">
        <v>2869</v>
      </c>
      <c r="V500" t="s">
        <v>2174</v>
      </c>
      <c r="W500" t="s">
        <v>2174</v>
      </c>
      <c r="Y500" t="s">
        <v>2875</v>
      </c>
      <c r="Z500" t="s">
        <v>2882</v>
      </c>
      <c r="AA500" t="s">
        <v>100</v>
      </c>
      <c r="AB500">
        <v>0</v>
      </c>
      <c r="AC500">
        <v>387</v>
      </c>
      <c r="AD500">
        <v>0.7</v>
      </c>
      <c r="AE500" t="s">
        <v>2894</v>
      </c>
      <c r="AG500" t="s">
        <v>3384</v>
      </c>
      <c r="AH500" t="s">
        <v>3714</v>
      </c>
      <c r="AI500" t="s">
        <v>4249</v>
      </c>
      <c r="AJ500">
        <v>0</v>
      </c>
      <c r="AK500" t="s">
        <v>4459</v>
      </c>
      <c r="AL500">
        <v>1</v>
      </c>
      <c r="AM500">
        <v>5</v>
      </c>
      <c r="AN500">
        <v>49.64</v>
      </c>
      <c r="AQ500" t="s">
        <v>4474</v>
      </c>
      <c r="AR500" t="s">
        <v>4476</v>
      </c>
      <c r="AS500" t="s">
        <v>4487</v>
      </c>
      <c r="AT500">
        <v>17172</v>
      </c>
      <c r="AX500" t="s">
        <v>4501</v>
      </c>
      <c r="BA500" t="s">
        <v>4600</v>
      </c>
      <c r="BD500" t="s">
        <v>100</v>
      </c>
    </row>
    <row r="501" spans="1:57">
      <c r="A501" s="1">
        <f>HYPERLINK("https://lsnyc.legalserver.org/matter/dynamic-profile/view/1896153","19-1896153")</f>
        <v>0</v>
      </c>
      <c r="B501" t="s">
        <v>77</v>
      </c>
      <c r="C501" t="s">
        <v>92</v>
      </c>
      <c r="D501" t="s">
        <v>142</v>
      </c>
      <c r="E501" t="s">
        <v>219</v>
      </c>
      <c r="F501" t="s">
        <v>651</v>
      </c>
      <c r="G501" t="s">
        <v>1155</v>
      </c>
      <c r="H501" t="s">
        <v>1726</v>
      </c>
      <c r="J501" t="s">
        <v>2169</v>
      </c>
      <c r="K501" t="s">
        <v>2171</v>
      </c>
      <c r="L501">
        <v>10026</v>
      </c>
      <c r="M501" t="s">
        <v>2173</v>
      </c>
      <c r="N501" t="s">
        <v>2172</v>
      </c>
      <c r="O501" t="s">
        <v>2179</v>
      </c>
      <c r="P501" t="s">
        <v>2656</v>
      </c>
      <c r="Q501">
        <v>12</v>
      </c>
      <c r="R501" t="s">
        <v>2844</v>
      </c>
      <c r="S501" t="s">
        <v>2857</v>
      </c>
      <c r="T501" t="s">
        <v>2864</v>
      </c>
      <c r="U501" t="s">
        <v>2869</v>
      </c>
      <c r="V501" t="s">
        <v>2174</v>
      </c>
      <c r="W501" t="s">
        <v>2174</v>
      </c>
      <c r="Y501" t="s">
        <v>2876</v>
      </c>
      <c r="AA501" t="s">
        <v>230</v>
      </c>
      <c r="AB501">
        <v>0</v>
      </c>
      <c r="AC501">
        <v>0</v>
      </c>
      <c r="AD501">
        <v>5.1</v>
      </c>
      <c r="AE501" t="s">
        <v>2894</v>
      </c>
      <c r="AF501" t="s">
        <v>2898</v>
      </c>
      <c r="AG501" t="s">
        <v>3385</v>
      </c>
      <c r="AI501" t="s">
        <v>4250</v>
      </c>
      <c r="AJ501">
        <v>161</v>
      </c>
      <c r="AK501" t="s">
        <v>4456</v>
      </c>
      <c r="AL501">
        <v>3</v>
      </c>
      <c r="AM501">
        <v>0</v>
      </c>
      <c r="AN501">
        <v>0</v>
      </c>
      <c r="AR501" t="s">
        <v>4478</v>
      </c>
      <c r="AS501" t="s">
        <v>4486</v>
      </c>
      <c r="AT501">
        <v>0</v>
      </c>
      <c r="AX501" t="s">
        <v>86</v>
      </c>
      <c r="BA501" t="s">
        <v>4539</v>
      </c>
      <c r="BB501" t="s">
        <v>4632</v>
      </c>
      <c r="BC501" t="s">
        <v>4663</v>
      </c>
      <c r="BD501" t="s">
        <v>219</v>
      </c>
      <c r="BE501" t="s">
        <v>4703</v>
      </c>
    </row>
    <row r="502" spans="1:57">
      <c r="A502" s="1">
        <f>HYPERLINK("https://lsnyc.legalserver.org/matter/dynamic-profile/view/1896472","19-1896472")</f>
        <v>0</v>
      </c>
      <c r="B502" t="s">
        <v>66</v>
      </c>
      <c r="C502" t="s">
        <v>92</v>
      </c>
      <c r="D502" t="s">
        <v>143</v>
      </c>
      <c r="E502" t="s">
        <v>217</v>
      </c>
      <c r="F502" t="s">
        <v>652</v>
      </c>
      <c r="G502" t="s">
        <v>1156</v>
      </c>
      <c r="H502" t="s">
        <v>1715</v>
      </c>
      <c r="I502" t="s">
        <v>2085</v>
      </c>
      <c r="J502" t="s">
        <v>2169</v>
      </c>
      <c r="K502" t="s">
        <v>2171</v>
      </c>
      <c r="L502">
        <v>10026</v>
      </c>
      <c r="M502" t="s">
        <v>2173</v>
      </c>
      <c r="N502" t="s">
        <v>2173</v>
      </c>
      <c r="O502" t="s">
        <v>2179</v>
      </c>
      <c r="P502" t="s">
        <v>2657</v>
      </c>
      <c r="Q502">
        <v>35</v>
      </c>
      <c r="R502" t="s">
        <v>2844</v>
      </c>
      <c r="S502" t="s">
        <v>2856</v>
      </c>
      <c r="T502" t="s">
        <v>2863</v>
      </c>
      <c r="U502" t="s">
        <v>2869</v>
      </c>
      <c r="V502" t="s">
        <v>2174</v>
      </c>
      <c r="W502" t="s">
        <v>2174</v>
      </c>
      <c r="Y502" t="s">
        <v>2876</v>
      </c>
      <c r="AA502" t="s">
        <v>143</v>
      </c>
      <c r="AB502">
        <v>0</v>
      </c>
      <c r="AC502">
        <v>1140.05</v>
      </c>
      <c r="AD502">
        <v>1</v>
      </c>
      <c r="AE502" t="s">
        <v>2894</v>
      </c>
      <c r="AF502" t="s">
        <v>2896</v>
      </c>
      <c r="AG502" t="s">
        <v>3386</v>
      </c>
      <c r="AI502" t="s">
        <v>4251</v>
      </c>
      <c r="AJ502">
        <v>0</v>
      </c>
      <c r="AK502" t="s">
        <v>4465</v>
      </c>
      <c r="AL502">
        <v>1</v>
      </c>
      <c r="AM502">
        <v>1</v>
      </c>
      <c r="AN502">
        <v>322.89</v>
      </c>
      <c r="AR502" t="s">
        <v>4476</v>
      </c>
      <c r="AS502" t="s">
        <v>4486</v>
      </c>
      <c r="AT502">
        <v>54600</v>
      </c>
      <c r="AX502" t="s">
        <v>4501</v>
      </c>
      <c r="BA502" t="s">
        <v>4537</v>
      </c>
      <c r="BD502" t="s">
        <v>143</v>
      </c>
      <c r="BE502" t="s">
        <v>4703</v>
      </c>
    </row>
    <row r="503" spans="1:57">
      <c r="A503" s="1">
        <f>HYPERLINK("https://lsnyc.legalserver.org/matter/dynamic-profile/view/1896489","19-1896489")</f>
        <v>0</v>
      </c>
      <c r="B503" t="s">
        <v>72</v>
      </c>
      <c r="C503" t="s">
        <v>92</v>
      </c>
      <c r="D503" t="s">
        <v>143</v>
      </c>
      <c r="E503" t="s">
        <v>221</v>
      </c>
      <c r="F503" t="s">
        <v>653</v>
      </c>
      <c r="G503" t="s">
        <v>1157</v>
      </c>
      <c r="H503" t="s">
        <v>1715</v>
      </c>
      <c r="I503" t="s">
        <v>2086</v>
      </c>
      <c r="J503" t="s">
        <v>2169</v>
      </c>
      <c r="K503" t="s">
        <v>2171</v>
      </c>
      <c r="L503">
        <v>10026</v>
      </c>
      <c r="M503" t="s">
        <v>2173</v>
      </c>
      <c r="N503" t="s">
        <v>2173</v>
      </c>
      <c r="O503" t="s">
        <v>2179</v>
      </c>
      <c r="P503" t="s">
        <v>2658</v>
      </c>
      <c r="Q503">
        <v>3</v>
      </c>
      <c r="R503" t="s">
        <v>2844</v>
      </c>
      <c r="S503" t="s">
        <v>2856</v>
      </c>
      <c r="T503" t="s">
        <v>2863</v>
      </c>
      <c r="U503" t="s">
        <v>2869</v>
      </c>
      <c r="V503" t="s">
        <v>2174</v>
      </c>
      <c r="W503" t="s">
        <v>2174</v>
      </c>
      <c r="Y503" t="s">
        <v>2876</v>
      </c>
      <c r="AA503" t="s">
        <v>143</v>
      </c>
      <c r="AB503">
        <v>0</v>
      </c>
      <c r="AC503">
        <v>654</v>
      </c>
      <c r="AD503">
        <v>1</v>
      </c>
      <c r="AE503" t="s">
        <v>2894</v>
      </c>
      <c r="AF503" t="s">
        <v>2896</v>
      </c>
      <c r="AG503" t="s">
        <v>3387</v>
      </c>
      <c r="AI503" t="s">
        <v>4252</v>
      </c>
      <c r="AJ503">
        <v>0</v>
      </c>
      <c r="AK503" t="s">
        <v>4465</v>
      </c>
      <c r="AL503">
        <v>1</v>
      </c>
      <c r="AM503">
        <v>1</v>
      </c>
      <c r="AN503">
        <v>260.2</v>
      </c>
      <c r="AR503" t="s">
        <v>2176</v>
      </c>
      <c r="AS503" t="s">
        <v>4486</v>
      </c>
      <c r="AT503">
        <v>44000</v>
      </c>
      <c r="AX503" t="s">
        <v>4501</v>
      </c>
      <c r="BA503" t="s">
        <v>4546</v>
      </c>
      <c r="BD503" t="s">
        <v>207</v>
      </c>
    </row>
    <row r="504" spans="1:57">
      <c r="A504" s="1">
        <f>HYPERLINK("https://lsnyc.legalserver.org/matter/dynamic-profile/view/1896565","19-1896565")</f>
        <v>0</v>
      </c>
      <c r="B504" t="s">
        <v>72</v>
      </c>
      <c r="C504" t="s">
        <v>92</v>
      </c>
      <c r="D504" t="s">
        <v>143</v>
      </c>
      <c r="E504" t="s">
        <v>234</v>
      </c>
      <c r="F504" t="s">
        <v>654</v>
      </c>
      <c r="G504" t="s">
        <v>1158</v>
      </c>
      <c r="H504" t="s">
        <v>1727</v>
      </c>
      <c r="I504" t="s">
        <v>2087</v>
      </c>
      <c r="J504" t="s">
        <v>2169</v>
      </c>
      <c r="K504" t="s">
        <v>2171</v>
      </c>
      <c r="L504">
        <v>10026</v>
      </c>
      <c r="M504" t="s">
        <v>2173</v>
      </c>
      <c r="N504" t="s">
        <v>2173</v>
      </c>
      <c r="O504" t="s">
        <v>2179</v>
      </c>
      <c r="P504" t="s">
        <v>2659</v>
      </c>
      <c r="Q504">
        <v>16</v>
      </c>
      <c r="R504" t="s">
        <v>2844</v>
      </c>
      <c r="S504" t="s">
        <v>2857</v>
      </c>
      <c r="T504" t="s">
        <v>2864</v>
      </c>
      <c r="U504" t="s">
        <v>2869</v>
      </c>
      <c r="V504" t="s">
        <v>2174</v>
      </c>
      <c r="W504" t="s">
        <v>2174</v>
      </c>
      <c r="Y504" t="s">
        <v>2876</v>
      </c>
      <c r="Z504" t="s">
        <v>2880</v>
      </c>
      <c r="AA504" t="s">
        <v>143</v>
      </c>
      <c r="AB504">
        <v>0</v>
      </c>
      <c r="AC504">
        <v>57</v>
      </c>
      <c r="AD504">
        <v>60.4</v>
      </c>
      <c r="AE504" t="s">
        <v>2894</v>
      </c>
      <c r="AF504" t="s">
        <v>2898</v>
      </c>
      <c r="AG504" t="s">
        <v>3388</v>
      </c>
      <c r="AI504" t="s">
        <v>4253</v>
      </c>
      <c r="AJ504">
        <v>0</v>
      </c>
      <c r="AK504" t="s">
        <v>4465</v>
      </c>
      <c r="AL504">
        <v>1</v>
      </c>
      <c r="AM504">
        <v>2</v>
      </c>
      <c r="AN504">
        <v>168.78</v>
      </c>
      <c r="AR504" t="s">
        <v>4476</v>
      </c>
      <c r="AS504" t="s">
        <v>4486</v>
      </c>
      <c r="AT504">
        <v>36000</v>
      </c>
      <c r="AX504" t="s">
        <v>4504</v>
      </c>
      <c r="AY504" t="s">
        <v>4515</v>
      </c>
      <c r="AZ504" t="s">
        <v>4524</v>
      </c>
      <c r="BA504" t="s">
        <v>4546</v>
      </c>
      <c r="BC504" t="s">
        <v>4656</v>
      </c>
      <c r="BD504" t="s">
        <v>4679</v>
      </c>
      <c r="BE504" t="s">
        <v>4703</v>
      </c>
    </row>
    <row r="505" spans="1:57">
      <c r="A505" s="1">
        <f>HYPERLINK("https://lsnyc.legalserver.org/matter/dynamic-profile/view/1897188","19-1897188")</f>
        <v>0</v>
      </c>
      <c r="B505" t="s">
        <v>63</v>
      </c>
      <c r="C505" t="s">
        <v>93</v>
      </c>
      <c r="D505" t="s">
        <v>161</v>
      </c>
      <c r="F505" t="s">
        <v>655</v>
      </c>
      <c r="G505" t="s">
        <v>1159</v>
      </c>
      <c r="H505" t="s">
        <v>1728</v>
      </c>
      <c r="I505" t="s">
        <v>2088</v>
      </c>
      <c r="J505" t="s">
        <v>2169</v>
      </c>
      <c r="K505" t="s">
        <v>2171</v>
      </c>
      <c r="L505">
        <v>10026</v>
      </c>
      <c r="M505" t="s">
        <v>2173</v>
      </c>
      <c r="N505" t="s">
        <v>2173</v>
      </c>
      <c r="O505" t="s">
        <v>2175</v>
      </c>
      <c r="P505" t="s">
        <v>2660</v>
      </c>
      <c r="Q505">
        <v>2</v>
      </c>
      <c r="R505" t="s">
        <v>2844</v>
      </c>
      <c r="S505" t="s">
        <v>2857</v>
      </c>
      <c r="U505" t="s">
        <v>2869</v>
      </c>
      <c r="V505" t="s">
        <v>2174</v>
      </c>
      <c r="W505" t="s">
        <v>2174</v>
      </c>
      <c r="Y505" t="s">
        <v>2875</v>
      </c>
      <c r="AA505" t="s">
        <v>161</v>
      </c>
      <c r="AB505">
        <v>0</v>
      </c>
      <c r="AC505">
        <v>108</v>
      </c>
      <c r="AD505">
        <v>10</v>
      </c>
      <c r="AE505" t="s">
        <v>2894</v>
      </c>
      <c r="AG505" t="s">
        <v>3389</v>
      </c>
      <c r="AH505" t="s">
        <v>3715</v>
      </c>
      <c r="AI505" t="s">
        <v>4254</v>
      </c>
      <c r="AJ505">
        <v>0</v>
      </c>
      <c r="AK505" t="s">
        <v>4459</v>
      </c>
      <c r="AL505">
        <v>1</v>
      </c>
      <c r="AM505">
        <v>1</v>
      </c>
      <c r="AN505">
        <v>28.39</v>
      </c>
      <c r="AR505" t="s">
        <v>4476</v>
      </c>
      <c r="AS505" t="s">
        <v>4486</v>
      </c>
      <c r="AT505">
        <v>4800</v>
      </c>
      <c r="AX505" t="s">
        <v>4504</v>
      </c>
      <c r="BA505" t="s">
        <v>4562</v>
      </c>
      <c r="BD505" t="s">
        <v>156</v>
      </c>
      <c r="BE505" t="s">
        <v>4704</v>
      </c>
    </row>
    <row r="506" spans="1:57">
      <c r="A506" s="1">
        <f>HYPERLINK("https://lsnyc.legalserver.org/matter/dynamic-profile/view/1897219","19-1897219")</f>
        <v>0</v>
      </c>
      <c r="B506" t="s">
        <v>71</v>
      </c>
      <c r="C506" t="s">
        <v>93</v>
      </c>
      <c r="D506" t="s">
        <v>161</v>
      </c>
      <c r="F506" t="s">
        <v>475</v>
      </c>
      <c r="G506" t="s">
        <v>1160</v>
      </c>
      <c r="H506" t="s">
        <v>1692</v>
      </c>
      <c r="I506" t="s">
        <v>1917</v>
      </c>
      <c r="J506" t="s">
        <v>2169</v>
      </c>
      <c r="K506" t="s">
        <v>2171</v>
      </c>
      <c r="L506">
        <v>10026</v>
      </c>
      <c r="M506" t="s">
        <v>2173</v>
      </c>
      <c r="N506" t="s">
        <v>2173</v>
      </c>
      <c r="O506" t="s">
        <v>2175</v>
      </c>
      <c r="P506" t="s">
        <v>2661</v>
      </c>
      <c r="Q506">
        <v>2</v>
      </c>
      <c r="R506" t="s">
        <v>2844</v>
      </c>
      <c r="S506" t="s">
        <v>2857</v>
      </c>
      <c r="U506" t="s">
        <v>2869</v>
      </c>
      <c r="V506" t="s">
        <v>2174</v>
      </c>
      <c r="W506" t="s">
        <v>2174</v>
      </c>
      <c r="Y506" t="s">
        <v>2876</v>
      </c>
      <c r="AA506" t="s">
        <v>161</v>
      </c>
      <c r="AB506">
        <v>0</v>
      </c>
      <c r="AC506">
        <v>650</v>
      </c>
      <c r="AD506">
        <v>7.6</v>
      </c>
      <c r="AE506" t="s">
        <v>2894</v>
      </c>
      <c r="AG506" t="s">
        <v>3390</v>
      </c>
      <c r="AI506" t="s">
        <v>4255</v>
      </c>
      <c r="AJ506">
        <v>0</v>
      </c>
      <c r="AK506" t="s">
        <v>4461</v>
      </c>
      <c r="AL506">
        <v>2</v>
      </c>
      <c r="AM506">
        <v>0</v>
      </c>
      <c r="AN506">
        <v>147.84</v>
      </c>
      <c r="AR506" t="s">
        <v>4476</v>
      </c>
      <c r="AS506" t="s">
        <v>4486</v>
      </c>
      <c r="AT506">
        <v>25000</v>
      </c>
      <c r="AX506" t="s">
        <v>4501</v>
      </c>
      <c r="BA506" t="s">
        <v>4546</v>
      </c>
      <c r="BD506" t="s">
        <v>4684</v>
      </c>
    </row>
    <row r="507" spans="1:57">
      <c r="A507" s="1">
        <f>HYPERLINK("https://lsnyc.legalserver.org/matter/dynamic-profile/view/1897919","19-1897919")</f>
        <v>0</v>
      </c>
      <c r="B507" t="s">
        <v>68</v>
      </c>
      <c r="C507" t="s">
        <v>93</v>
      </c>
      <c r="D507" t="s">
        <v>144</v>
      </c>
      <c r="F507" t="s">
        <v>656</v>
      </c>
      <c r="G507" t="s">
        <v>1055</v>
      </c>
      <c r="H507" t="s">
        <v>1692</v>
      </c>
      <c r="I507" t="s">
        <v>1978</v>
      </c>
      <c r="J507" t="s">
        <v>2169</v>
      </c>
      <c r="K507" t="s">
        <v>2171</v>
      </c>
      <c r="L507">
        <v>10026</v>
      </c>
      <c r="M507" t="s">
        <v>2173</v>
      </c>
      <c r="N507" t="s">
        <v>2173</v>
      </c>
      <c r="O507" t="s">
        <v>2179</v>
      </c>
      <c r="P507" t="s">
        <v>2662</v>
      </c>
      <c r="Q507">
        <v>8</v>
      </c>
      <c r="R507" t="s">
        <v>2844</v>
      </c>
      <c r="S507" t="s">
        <v>2857</v>
      </c>
      <c r="U507" t="s">
        <v>2869</v>
      </c>
      <c r="V507" t="s">
        <v>2174</v>
      </c>
      <c r="W507" t="s">
        <v>2174</v>
      </c>
      <c r="Y507" t="s">
        <v>2876</v>
      </c>
      <c r="AA507" t="s">
        <v>144</v>
      </c>
      <c r="AB507">
        <v>0</v>
      </c>
      <c r="AC507">
        <v>1279</v>
      </c>
      <c r="AD507">
        <v>15</v>
      </c>
      <c r="AE507" t="s">
        <v>2894</v>
      </c>
      <c r="AG507" t="s">
        <v>3391</v>
      </c>
      <c r="AI507" t="s">
        <v>4256</v>
      </c>
      <c r="AJ507">
        <v>0</v>
      </c>
      <c r="AK507" t="s">
        <v>4456</v>
      </c>
      <c r="AL507">
        <v>2</v>
      </c>
      <c r="AM507">
        <v>2</v>
      </c>
      <c r="AN507">
        <v>166.99</v>
      </c>
      <c r="AR507" t="s">
        <v>4478</v>
      </c>
      <c r="AS507" t="s">
        <v>4486</v>
      </c>
      <c r="AT507">
        <v>43000</v>
      </c>
      <c r="AX507" t="s">
        <v>4501</v>
      </c>
      <c r="BA507" t="s">
        <v>4546</v>
      </c>
      <c r="BD507" t="s">
        <v>118</v>
      </c>
    </row>
    <row r="508" spans="1:57">
      <c r="A508" s="1">
        <f>HYPERLINK("https://lsnyc.legalserver.org/matter/dynamic-profile/view/1898241","19-1898241")</f>
        <v>0</v>
      </c>
      <c r="B508" t="s">
        <v>58</v>
      </c>
      <c r="C508" t="s">
        <v>93</v>
      </c>
      <c r="D508" t="s">
        <v>145</v>
      </c>
      <c r="F508" t="s">
        <v>657</v>
      </c>
      <c r="G508" t="s">
        <v>1161</v>
      </c>
      <c r="H508" t="s">
        <v>1729</v>
      </c>
      <c r="I508">
        <v>409</v>
      </c>
      <c r="J508" t="s">
        <v>2169</v>
      </c>
      <c r="K508" t="s">
        <v>2171</v>
      </c>
      <c r="L508">
        <v>10026</v>
      </c>
      <c r="M508" t="s">
        <v>2172</v>
      </c>
      <c r="N508" t="s">
        <v>2172</v>
      </c>
      <c r="P508" t="s">
        <v>2663</v>
      </c>
      <c r="Q508">
        <v>17</v>
      </c>
      <c r="R508" t="s">
        <v>2844</v>
      </c>
      <c r="S508" t="s">
        <v>2857</v>
      </c>
      <c r="U508" t="s">
        <v>2868</v>
      </c>
      <c r="V508" t="s">
        <v>2174</v>
      </c>
      <c r="W508" t="s">
        <v>2174</v>
      </c>
      <c r="Y508" t="s">
        <v>2876</v>
      </c>
      <c r="AB508">
        <v>0</v>
      </c>
      <c r="AC508">
        <v>1777</v>
      </c>
      <c r="AD508">
        <v>16.75</v>
      </c>
      <c r="AE508" t="s">
        <v>2894</v>
      </c>
      <c r="AG508" t="s">
        <v>3392</v>
      </c>
      <c r="AI508" t="s">
        <v>4257</v>
      </c>
      <c r="AJ508">
        <v>254</v>
      </c>
      <c r="AK508" t="s">
        <v>4464</v>
      </c>
      <c r="AL508">
        <v>1</v>
      </c>
      <c r="AM508">
        <v>0</v>
      </c>
      <c r="AN508">
        <v>173.86</v>
      </c>
      <c r="AR508" t="s">
        <v>4476</v>
      </c>
      <c r="AS508" t="s">
        <v>4486</v>
      </c>
      <c r="AT508">
        <v>21715.72</v>
      </c>
      <c r="AX508" t="s">
        <v>4499</v>
      </c>
      <c r="BA508" t="s">
        <v>4546</v>
      </c>
      <c r="BD508" t="s">
        <v>116</v>
      </c>
    </row>
    <row r="509" spans="1:57">
      <c r="A509" s="1">
        <f>HYPERLINK("https://lsnyc.legalserver.org/matter/dynamic-profile/view/1898538","19-1898538")</f>
        <v>0</v>
      </c>
      <c r="B509" t="s">
        <v>69</v>
      </c>
      <c r="C509" t="s">
        <v>93</v>
      </c>
      <c r="D509" t="s">
        <v>162</v>
      </c>
      <c r="F509" t="s">
        <v>658</v>
      </c>
      <c r="G509" t="s">
        <v>1162</v>
      </c>
      <c r="H509" t="s">
        <v>1730</v>
      </c>
      <c r="I509" t="s">
        <v>2078</v>
      </c>
      <c r="J509" t="s">
        <v>2169</v>
      </c>
      <c r="K509" t="s">
        <v>2171</v>
      </c>
      <c r="L509">
        <v>10026</v>
      </c>
      <c r="M509" t="s">
        <v>2173</v>
      </c>
      <c r="N509" t="s">
        <v>2173</v>
      </c>
      <c r="O509" t="s">
        <v>2179</v>
      </c>
      <c r="P509" t="s">
        <v>2664</v>
      </c>
      <c r="Q509">
        <v>31</v>
      </c>
      <c r="R509" t="s">
        <v>2844</v>
      </c>
      <c r="S509" t="s">
        <v>2857</v>
      </c>
      <c r="U509" t="s">
        <v>2869</v>
      </c>
      <c r="V509" t="s">
        <v>2174</v>
      </c>
      <c r="W509" t="s">
        <v>2174</v>
      </c>
      <c r="Y509" t="s">
        <v>2876</v>
      </c>
      <c r="AA509" t="s">
        <v>162</v>
      </c>
      <c r="AB509">
        <v>0</v>
      </c>
      <c r="AC509">
        <v>421</v>
      </c>
      <c r="AD509">
        <v>82.59999999999999</v>
      </c>
      <c r="AE509" t="s">
        <v>2894</v>
      </c>
      <c r="AG509" t="s">
        <v>3393</v>
      </c>
      <c r="AI509" t="s">
        <v>4258</v>
      </c>
      <c r="AJ509">
        <v>0</v>
      </c>
      <c r="AK509" t="s">
        <v>4458</v>
      </c>
      <c r="AL509">
        <v>1</v>
      </c>
      <c r="AM509">
        <v>0</v>
      </c>
      <c r="AN509">
        <v>9.32</v>
      </c>
      <c r="AR509" t="s">
        <v>4476</v>
      </c>
      <c r="AS509" t="s">
        <v>4486</v>
      </c>
      <c r="AT509">
        <v>1164</v>
      </c>
      <c r="AX509" t="s">
        <v>4501</v>
      </c>
      <c r="BA509" t="s">
        <v>4552</v>
      </c>
      <c r="BD509" t="s">
        <v>197</v>
      </c>
      <c r="BE509" t="s">
        <v>4703</v>
      </c>
    </row>
    <row r="510" spans="1:57">
      <c r="A510" s="1">
        <f>HYPERLINK("https://lsnyc.legalserver.org/matter/dynamic-profile/view/1899204","19-1899204")</f>
        <v>0</v>
      </c>
      <c r="B510" t="s">
        <v>64</v>
      </c>
      <c r="C510" t="s">
        <v>93</v>
      </c>
      <c r="D510" t="s">
        <v>113</v>
      </c>
      <c r="F510" t="s">
        <v>659</v>
      </c>
      <c r="G510" t="s">
        <v>1163</v>
      </c>
      <c r="H510" t="s">
        <v>1731</v>
      </c>
      <c r="I510" t="s">
        <v>2089</v>
      </c>
      <c r="J510" t="s">
        <v>2169</v>
      </c>
      <c r="K510" t="s">
        <v>2171</v>
      </c>
      <c r="L510">
        <v>10026</v>
      </c>
      <c r="M510" t="s">
        <v>2173</v>
      </c>
      <c r="N510" t="s">
        <v>2172</v>
      </c>
      <c r="O510" t="s">
        <v>2175</v>
      </c>
      <c r="P510" t="s">
        <v>2665</v>
      </c>
      <c r="Q510">
        <v>2</v>
      </c>
      <c r="R510" t="s">
        <v>2844</v>
      </c>
      <c r="S510" t="s">
        <v>2857</v>
      </c>
      <c r="U510" t="s">
        <v>2869</v>
      </c>
      <c r="V510" t="s">
        <v>2174</v>
      </c>
      <c r="W510" t="s">
        <v>2174</v>
      </c>
      <c r="Y510" t="s">
        <v>2876</v>
      </c>
      <c r="Z510" t="s">
        <v>2879</v>
      </c>
      <c r="AA510" t="s">
        <v>2890</v>
      </c>
      <c r="AB510">
        <v>0</v>
      </c>
      <c r="AC510">
        <v>1725</v>
      </c>
      <c r="AD510">
        <v>22.7</v>
      </c>
      <c r="AE510" t="s">
        <v>2894</v>
      </c>
      <c r="AG510" t="s">
        <v>3394</v>
      </c>
      <c r="AH510" t="s">
        <v>3716</v>
      </c>
      <c r="AI510" t="s">
        <v>4259</v>
      </c>
      <c r="AJ510">
        <v>20</v>
      </c>
      <c r="AK510" t="s">
        <v>4461</v>
      </c>
      <c r="AL510">
        <v>1</v>
      </c>
      <c r="AM510">
        <v>2</v>
      </c>
      <c r="AN510">
        <v>19.99</v>
      </c>
      <c r="AR510" t="s">
        <v>2176</v>
      </c>
      <c r="AS510" t="s">
        <v>4486</v>
      </c>
      <c r="AT510">
        <v>4264</v>
      </c>
      <c r="AX510" t="s">
        <v>4504</v>
      </c>
      <c r="BA510" t="s">
        <v>4551</v>
      </c>
      <c r="BD510" t="s">
        <v>217</v>
      </c>
      <c r="BE510" t="s">
        <v>4704</v>
      </c>
    </row>
    <row r="511" spans="1:57">
      <c r="A511" s="1">
        <f>HYPERLINK("https://lsnyc.legalserver.org/matter/dynamic-profile/view/1899244","19-1899244")</f>
        <v>0</v>
      </c>
      <c r="B511" t="s">
        <v>77</v>
      </c>
      <c r="C511" t="s">
        <v>92</v>
      </c>
      <c r="D511" t="s">
        <v>113</v>
      </c>
      <c r="E511" t="s">
        <v>219</v>
      </c>
      <c r="F511" t="s">
        <v>660</v>
      </c>
      <c r="G511" t="s">
        <v>974</v>
      </c>
      <c r="H511" t="s">
        <v>1732</v>
      </c>
      <c r="I511" t="s">
        <v>1917</v>
      </c>
      <c r="J511" t="s">
        <v>2169</v>
      </c>
      <c r="K511" t="s">
        <v>2171</v>
      </c>
      <c r="L511">
        <v>10026</v>
      </c>
      <c r="M511" t="s">
        <v>2173</v>
      </c>
      <c r="N511" t="s">
        <v>2172</v>
      </c>
      <c r="O511" t="s">
        <v>2179</v>
      </c>
      <c r="P511" t="s">
        <v>2666</v>
      </c>
      <c r="Q511">
        <v>20</v>
      </c>
      <c r="R511" t="s">
        <v>2844</v>
      </c>
      <c r="S511" t="s">
        <v>2857</v>
      </c>
      <c r="T511" t="s">
        <v>2864</v>
      </c>
      <c r="U511" t="s">
        <v>2869</v>
      </c>
      <c r="V511" t="s">
        <v>2174</v>
      </c>
      <c r="W511" t="s">
        <v>2174</v>
      </c>
      <c r="Y511" t="s">
        <v>2876</v>
      </c>
      <c r="Z511" t="s">
        <v>2879</v>
      </c>
      <c r="AA511" t="s">
        <v>113</v>
      </c>
      <c r="AB511">
        <v>0</v>
      </c>
      <c r="AC511">
        <v>824</v>
      </c>
      <c r="AD511">
        <v>6.9</v>
      </c>
      <c r="AE511" t="s">
        <v>2894</v>
      </c>
      <c r="AF511" t="s">
        <v>2898</v>
      </c>
      <c r="AG511" t="s">
        <v>3395</v>
      </c>
      <c r="AI511" t="s">
        <v>4260</v>
      </c>
      <c r="AJ511">
        <v>10</v>
      </c>
      <c r="AK511" t="s">
        <v>4456</v>
      </c>
      <c r="AL511">
        <v>2</v>
      </c>
      <c r="AM511">
        <v>2</v>
      </c>
      <c r="AN511">
        <v>155.34</v>
      </c>
      <c r="AR511" t="s">
        <v>4476</v>
      </c>
      <c r="AS511" t="s">
        <v>4486</v>
      </c>
      <c r="AT511">
        <v>40000</v>
      </c>
      <c r="AX511" t="s">
        <v>4504</v>
      </c>
      <c r="BA511" t="s">
        <v>4546</v>
      </c>
      <c r="BB511" t="s">
        <v>4632</v>
      </c>
      <c r="BC511" t="s">
        <v>4664</v>
      </c>
      <c r="BD511" t="s">
        <v>234</v>
      </c>
      <c r="BE511" t="s">
        <v>4703</v>
      </c>
    </row>
    <row r="512" spans="1:57">
      <c r="A512" s="1">
        <f>HYPERLINK("https://lsnyc.legalserver.org/matter/dynamic-profile/view/1899830","19-1899830")</f>
        <v>0</v>
      </c>
      <c r="B512" t="s">
        <v>69</v>
      </c>
      <c r="C512" t="s">
        <v>93</v>
      </c>
      <c r="D512" t="s">
        <v>95</v>
      </c>
      <c r="F512" t="s">
        <v>661</v>
      </c>
      <c r="G512" t="s">
        <v>1164</v>
      </c>
      <c r="H512" t="s">
        <v>1733</v>
      </c>
      <c r="I512" t="s">
        <v>1978</v>
      </c>
      <c r="J512" t="s">
        <v>2169</v>
      </c>
      <c r="K512" t="s">
        <v>2171</v>
      </c>
      <c r="L512">
        <v>10026</v>
      </c>
      <c r="M512" t="s">
        <v>2172</v>
      </c>
      <c r="N512" t="s">
        <v>2172</v>
      </c>
      <c r="P512" t="s">
        <v>2667</v>
      </c>
      <c r="Q512">
        <v>20</v>
      </c>
      <c r="R512" t="s">
        <v>2844</v>
      </c>
      <c r="S512" t="s">
        <v>2857</v>
      </c>
      <c r="U512" t="s">
        <v>2869</v>
      </c>
      <c r="V512" t="s">
        <v>2174</v>
      </c>
      <c r="W512" t="s">
        <v>2174</v>
      </c>
      <c r="Y512" t="s">
        <v>2876</v>
      </c>
      <c r="AB512">
        <v>0</v>
      </c>
      <c r="AC512">
        <v>908.54</v>
      </c>
      <c r="AD512">
        <v>16.2</v>
      </c>
      <c r="AE512" t="s">
        <v>2894</v>
      </c>
      <c r="AG512" t="s">
        <v>3396</v>
      </c>
      <c r="AI512" t="s">
        <v>4261</v>
      </c>
      <c r="AJ512">
        <v>0</v>
      </c>
      <c r="AL512">
        <v>1</v>
      </c>
      <c r="AM512">
        <v>0</v>
      </c>
      <c r="AN512">
        <v>124.9</v>
      </c>
      <c r="AS512" t="s">
        <v>4486</v>
      </c>
      <c r="AT512">
        <v>15600</v>
      </c>
      <c r="AX512" t="s">
        <v>4499</v>
      </c>
      <c r="BA512" t="s">
        <v>4537</v>
      </c>
      <c r="BD512" t="s">
        <v>215</v>
      </c>
    </row>
    <row r="513" spans="1:57">
      <c r="A513" s="1">
        <f>HYPERLINK("https://lsnyc.legalserver.org/matter/dynamic-profile/view/1900298","19-1900298")</f>
        <v>0</v>
      </c>
      <c r="B513" t="s">
        <v>72</v>
      </c>
      <c r="C513" t="s">
        <v>92</v>
      </c>
      <c r="D513" t="s">
        <v>183</v>
      </c>
      <c r="E513" t="s">
        <v>235</v>
      </c>
      <c r="F513" t="s">
        <v>591</v>
      </c>
      <c r="G513" t="s">
        <v>1000</v>
      </c>
      <c r="H513" t="s">
        <v>1691</v>
      </c>
      <c r="I513" t="s">
        <v>2052</v>
      </c>
      <c r="J513" t="s">
        <v>2169</v>
      </c>
      <c r="K513" t="s">
        <v>2171</v>
      </c>
      <c r="L513">
        <v>10026</v>
      </c>
      <c r="M513" t="s">
        <v>2173</v>
      </c>
      <c r="N513" t="s">
        <v>2172</v>
      </c>
      <c r="O513" t="s">
        <v>2183</v>
      </c>
      <c r="P513" t="s">
        <v>2668</v>
      </c>
      <c r="Q513">
        <v>2</v>
      </c>
      <c r="R513" t="s">
        <v>2844</v>
      </c>
      <c r="S513" t="s">
        <v>2857</v>
      </c>
      <c r="T513" t="s">
        <v>2864</v>
      </c>
      <c r="U513" t="s">
        <v>2869</v>
      </c>
      <c r="V513" t="s">
        <v>2174</v>
      </c>
      <c r="W513" t="s">
        <v>2174</v>
      </c>
      <c r="Y513" t="s">
        <v>2876</v>
      </c>
      <c r="Z513" t="s">
        <v>2879</v>
      </c>
      <c r="AA513" t="s">
        <v>183</v>
      </c>
      <c r="AB513">
        <v>0</v>
      </c>
      <c r="AC513">
        <v>648</v>
      </c>
      <c r="AD513">
        <v>2</v>
      </c>
      <c r="AE513" t="s">
        <v>2894</v>
      </c>
      <c r="AF513" t="s">
        <v>2898</v>
      </c>
      <c r="AG513" t="s">
        <v>3397</v>
      </c>
      <c r="AI513" t="s">
        <v>4262</v>
      </c>
      <c r="AJ513">
        <v>527</v>
      </c>
      <c r="AK513" t="s">
        <v>4456</v>
      </c>
      <c r="AL513">
        <v>1</v>
      </c>
      <c r="AM513">
        <v>0</v>
      </c>
      <c r="AN513">
        <v>208.17</v>
      </c>
      <c r="AO513" t="s">
        <v>156</v>
      </c>
      <c r="AP513" t="s">
        <v>4472</v>
      </c>
      <c r="AR513" t="s">
        <v>4476</v>
      </c>
      <c r="AS513" t="s">
        <v>4486</v>
      </c>
      <c r="AT513">
        <v>26000</v>
      </c>
      <c r="AX513" t="s">
        <v>4505</v>
      </c>
      <c r="AZ513" t="s">
        <v>4519</v>
      </c>
      <c r="BA513" t="s">
        <v>4546</v>
      </c>
      <c r="BC513" t="s">
        <v>4665</v>
      </c>
      <c r="BD513" t="s">
        <v>4679</v>
      </c>
      <c r="BE513" t="s">
        <v>4703</v>
      </c>
    </row>
    <row r="514" spans="1:57">
      <c r="A514" s="1">
        <f>HYPERLINK("https://lsnyc.legalserver.org/matter/dynamic-profile/view/1900364","19-1900364")</f>
        <v>0</v>
      </c>
      <c r="B514" t="s">
        <v>73</v>
      </c>
      <c r="C514" t="s">
        <v>92</v>
      </c>
      <c r="D514" t="s">
        <v>183</v>
      </c>
      <c r="E514" t="s">
        <v>128</v>
      </c>
      <c r="F514" t="s">
        <v>662</v>
      </c>
      <c r="G514" t="s">
        <v>1165</v>
      </c>
      <c r="H514" t="s">
        <v>1734</v>
      </c>
      <c r="I514" t="s">
        <v>2090</v>
      </c>
      <c r="J514" t="s">
        <v>2169</v>
      </c>
      <c r="K514" t="s">
        <v>2171</v>
      </c>
      <c r="L514">
        <v>10026</v>
      </c>
      <c r="M514" t="s">
        <v>2173</v>
      </c>
      <c r="N514" t="s">
        <v>2172</v>
      </c>
      <c r="O514" t="s">
        <v>2183</v>
      </c>
      <c r="P514" t="s">
        <v>2669</v>
      </c>
      <c r="Q514">
        <v>9</v>
      </c>
      <c r="R514" t="s">
        <v>2844</v>
      </c>
      <c r="S514" t="s">
        <v>2857</v>
      </c>
      <c r="T514" t="s">
        <v>2864</v>
      </c>
      <c r="U514" t="s">
        <v>2869</v>
      </c>
      <c r="V514" t="s">
        <v>2174</v>
      </c>
      <c r="W514" t="s">
        <v>2174</v>
      </c>
      <c r="Y514" t="s">
        <v>2876</v>
      </c>
      <c r="Z514" t="s">
        <v>2881</v>
      </c>
      <c r="AA514" t="s">
        <v>183</v>
      </c>
      <c r="AB514">
        <v>0</v>
      </c>
      <c r="AC514">
        <v>436</v>
      </c>
      <c r="AD514">
        <v>21.8</v>
      </c>
      <c r="AE514" t="s">
        <v>2894</v>
      </c>
      <c r="AF514" t="s">
        <v>2903</v>
      </c>
      <c r="AG514" t="s">
        <v>3398</v>
      </c>
      <c r="AI514" t="s">
        <v>4263</v>
      </c>
      <c r="AJ514">
        <v>527</v>
      </c>
      <c r="AK514" t="s">
        <v>4456</v>
      </c>
      <c r="AL514">
        <v>2</v>
      </c>
      <c r="AM514">
        <v>1</v>
      </c>
      <c r="AN514">
        <v>40.51</v>
      </c>
      <c r="AR514" t="s">
        <v>4476</v>
      </c>
      <c r="AS514" t="s">
        <v>4487</v>
      </c>
      <c r="AT514">
        <v>8640</v>
      </c>
      <c r="AX514" t="s">
        <v>4505</v>
      </c>
      <c r="AZ514" t="s">
        <v>4519</v>
      </c>
      <c r="BA514" t="s">
        <v>4534</v>
      </c>
      <c r="BB514" t="s">
        <v>4632</v>
      </c>
      <c r="BC514" t="s">
        <v>4666</v>
      </c>
      <c r="BD514" t="s">
        <v>151</v>
      </c>
      <c r="BE514" t="s">
        <v>4703</v>
      </c>
    </row>
    <row r="515" spans="1:57">
      <c r="A515" s="1">
        <f>HYPERLINK("https://lsnyc.legalserver.org/matter/dynamic-profile/view/1901030","19-1901030")</f>
        <v>0</v>
      </c>
      <c r="B515" t="s">
        <v>57</v>
      </c>
      <c r="C515" t="s">
        <v>93</v>
      </c>
      <c r="D515" t="s">
        <v>146</v>
      </c>
      <c r="F515" t="s">
        <v>271</v>
      </c>
      <c r="G515" t="s">
        <v>1166</v>
      </c>
      <c r="H515" t="s">
        <v>1735</v>
      </c>
      <c r="I515" t="s">
        <v>1932</v>
      </c>
      <c r="J515" t="s">
        <v>2169</v>
      </c>
      <c r="K515" t="s">
        <v>2171</v>
      </c>
      <c r="L515">
        <v>10026</v>
      </c>
      <c r="M515" t="s">
        <v>2173</v>
      </c>
      <c r="N515" t="s">
        <v>2172</v>
      </c>
      <c r="O515" t="s">
        <v>2179</v>
      </c>
      <c r="P515" t="s">
        <v>2670</v>
      </c>
      <c r="Q515">
        <v>11</v>
      </c>
      <c r="R515" t="s">
        <v>2844</v>
      </c>
      <c r="S515" t="s">
        <v>2857</v>
      </c>
      <c r="U515" t="s">
        <v>2869</v>
      </c>
      <c r="V515" t="s">
        <v>2174</v>
      </c>
      <c r="W515" t="s">
        <v>2174</v>
      </c>
      <c r="Y515" t="s">
        <v>2876</v>
      </c>
      <c r="AA515" t="s">
        <v>146</v>
      </c>
      <c r="AB515">
        <v>0</v>
      </c>
      <c r="AC515">
        <v>780.3200000000001</v>
      </c>
      <c r="AD515">
        <v>7.5</v>
      </c>
      <c r="AE515" t="s">
        <v>2894</v>
      </c>
      <c r="AG515" t="s">
        <v>3399</v>
      </c>
      <c r="AI515" t="s">
        <v>4264</v>
      </c>
      <c r="AJ515">
        <v>0</v>
      </c>
      <c r="AK515" t="s">
        <v>4456</v>
      </c>
      <c r="AL515">
        <v>1</v>
      </c>
      <c r="AM515">
        <v>0</v>
      </c>
      <c r="AN515">
        <v>262.64</v>
      </c>
      <c r="AO515" t="s">
        <v>124</v>
      </c>
      <c r="AP515" t="s">
        <v>4472</v>
      </c>
      <c r="AR515" t="s">
        <v>4477</v>
      </c>
      <c r="AS515" t="s">
        <v>4486</v>
      </c>
      <c r="AT515">
        <v>32804.28</v>
      </c>
      <c r="AX515" t="s">
        <v>4501</v>
      </c>
      <c r="BA515" t="s">
        <v>4621</v>
      </c>
      <c r="BD515" t="s">
        <v>116</v>
      </c>
      <c r="BE515" t="s">
        <v>4703</v>
      </c>
    </row>
    <row r="516" spans="1:57">
      <c r="A516" s="1">
        <f>HYPERLINK("https://lsnyc.legalserver.org/matter/dynamic-profile/view/1901042","19-1901042")</f>
        <v>0</v>
      </c>
      <c r="B516" t="s">
        <v>63</v>
      </c>
      <c r="C516" t="s">
        <v>93</v>
      </c>
      <c r="D516" t="s">
        <v>146</v>
      </c>
      <c r="F516" t="s">
        <v>663</v>
      </c>
      <c r="G516" t="s">
        <v>1167</v>
      </c>
      <c r="H516" t="s">
        <v>1728</v>
      </c>
      <c r="I516" t="s">
        <v>1918</v>
      </c>
      <c r="J516" t="s">
        <v>2169</v>
      </c>
      <c r="K516" t="s">
        <v>2171</v>
      </c>
      <c r="L516">
        <v>10026</v>
      </c>
      <c r="M516" t="s">
        <v>2173</v>
      </c>
      <c r="N516" t="s">
        <v>2172</v>
      </c>
      <c r="O516" t="s">
        <v>2175</v>
      </c>
      <c r="P516" t="s">
        <v>2671</v>
      </c>
      <c r="Q516">
        <v>5</v>
      </c>
      <c r="R516" t="s">
        <v>2844</v>
      </c>
      <c r="S516" t="s">
        <v>2857</v>
      </c>
      <c r="U516" t="s">
        <v>2869</v>
      </c>
      <c r="V516" t="s">
        <v>2174</v>
      </c>
      <c r="W516" t="s">
        <v>2174</v>
      </c>
      <c r="Y516" t="s">
        <v>2875</v>
      </c>
      <c r="AA516" t="s">
        <v>146</v>
      </c>
      <c r="AB516">
        <v>0</v>
      </c>
      <c r="AC516">
        <v>400</v>
      </c>
      <c r="AD516">
        <v>9.300000000000001</v>
      </c>
      <c r="AE516" t="s">
        <v>2894</v>
      </c>
      <c r="AG516" t="s">
        <v>3400</v>
      </c>
      <c r="AI516" t="s">
        <v>4265</v>
      </c>
      <c r="AJ516">
        <v>527</v>
      </c>
      <c r="AK516" t="s">
        <v>4459</v>
      </c>
      <c r="AL516">
        <v>1</v>
      </c>
      <c r="AM516">
        <v>3</v>
      </c>
      <c r="AN516">
        <v>38.83</v>
      </c>
      <c r="AR516" t="s">
        <v>4476</v>
      </c>
      <c r="AS516" t="s">
        <v>4486</v>
      </c>
      <c r="AT516">
        <v>10000</v>
      </c>
      <c r="AX516" t="s">
        <v>4501</v>
      </c>
      <c r="BA516" t="s">
        <v>4545</v>
      </c>
      <c r="BD516" t="s">
        <v>117</v>
      </c>
      <c r="BE516" t="s">
        <v>4703</v>
      </c>
    </row>
    <row r="517" spans="1:57">
      <c r="A517" s="1">
        <f>HYPERLINK("https://lsnyc.legalserver.org/matter/dynamic-profile/view/1901578","19-1901578")</f>
        <v>0</v>
      </c>
      <c r="B517" t="s">
        <v>73</v>
      </c>
      <c r="C517" t="s">
        <v>92</v>
      </c>
      <c r="D517" t="s">
        <v>147</v>
      </c>
      <c r="E517" t="s">
        <v>176</v>
      </c>
      <c r="F517" t="s">
        <v>626</v>
      </c>
      <c r="G517" t="s">
        <v>906</v>
      </c>
      <c r="H517" t="s">
        <v>1736</v>
      </c>
      <c r="I517">
        <v>2</v>
      </c>
      <c r="J517" t="s">
        <v>2169</v>
      </c>
      <c r="K517" t="s">
        <v>2171</v>
      </c>
      <c r="L517">
        <v>10026</v>
      </c>
      <c r="M517" t="s">
        <v>2173</v>
      </c>
      <c r="N517" t="s">
        <v>2172</v>
      </c>
      <c r="O517" t="s">
        <v>2179</v>
      </c>
      <c r="P517" t="s">
        <v>2672</v>
      </c>
      <c r="Q517">
        <v>30</v>
      </c>
      <c r="R517" t="s">
        <v>2844</v>
      </c>
      <c r="S517" t="s">
        <v>2856</v>
      </c>
      <c r="T517" t="s">
        <v>2863</v>
      </c>
      <c r="U517" t="s">
        <v>2869</v>
      </c>
      <c r="V517" t="s">
        <v>2174</v>
      </c>
      <c r="W517" t="s">
        <v>2174</v>
      </c>
      <c r="Y517" t="s">
        <v>2876</v>
      </c>
      <c r="AA517" t="s">
        <v>147</v>
      </c>
      <c r="AB517">
        <v>0</v>
      </c>
      <c r="AC517">
        <v>1600</v>
      </c>
      <c r="AD517">
        <v>1.15</v>
      </c>
      <c r="AE517" t="s">
        <v>2894</v>
      </c>
      <c r="AF517" t="s">
        <v>2896</v>
      </c>
      <c r="AG517" t="s">
        <v>3401</v>
      </c>
      <c r="AI517" t="s">
        <v>4266</v>
      </c>
      <c r="AJ517">
        <v>30</v>
      </c>
      <c r="AK517" t="s">
        <v>4456</v>
      </c>
      <c r="AL517">
        <v>1</v>
      </c>
      <c r="AM517">
        <v>0</v>
      </c>
      <c r="AN517">
        <v>200.16</v>
      </c>
      <c r="AR517" t="s">
        <v>4476</v>
      </c>
      <c r="AS517" t="s">
        <v>4486</v>
      </c>
      <c r="AT517">
        <v>25000</v>
      </c>
      <c r="AX517" t="s">
        <v>4501</v>
      </c>
      <c r="BA517" t="s">
        <v>4545</v>
      </c>
      <c r="BD517" t="s">
        <v>136</v>
      </c>
      <c r="BE517" t="s">
        <v>4703</v>
      </c>
    </row>
    <row r="518" spans="1:57">
      <c r="A518" s="1">
        <f>HYPERLINK("https://lsnyc.legalserver.org/matter/dynamic-profile/view/1901595","19-1901595")</f>
        <v>0</v>
      </c>
      <c r="B518" t="s">
        <v>69</v>
      </c>
      <c r="C518" t="s">
        <v>92</v>
      </c>
      <c r="D518" t="s">
        <v>147</v>
      </c>
      <c r="E518" t="s">
        <v>124</v>
      </c>
      <c r="F518" t="s">
        <v>664</v>
      </c>
      <c r="G518" t="s">
        <v>1168</v>
      </c>
      <c r="H518" t="s">
        <v>1737</v>
      </c>
      <c r="I518" t="s">
        <v>1994</v>
      </c>
      <c r="J518" t="s">
        <v>2169</v>
      </c>
      <c r="K518" t="s">
        <v>2171</v>
      </c>
      <c r="L518">
        <v>10026</v>
      </c>
      <c r="M518" t="s">
        <v>2173</v>
      </c>
      <c r="N518" t="s">
        <v>2172</v>
      </c>
      <c r="O518" t="s">
        <v>2179</v>
      </c>
      <c r="P518" t="s">
        <v>2673</v>
      </c>
      <c r="Q518">
        <v>12</v>
      </c>
      <c r="R518" t="s">
        <v>2844</v>
      </c>
      <c r="S518" t="s">
        <v>2856</v>
      </c>
      <c r="T518" t="s">
        <v>2865</v>
      </c>
      <c r="U518" t="s">
        <v>2869</v>
      </c>
      <c r="V518" t="s">
        <v>2174</v>
      </c>
      <c r="W518" t="s">
        <v>2174</v>
      </c>
      <c r="Y518" t="s">
        <v>2876</v>
      </c>
      <c r="AA518" t="s">
        <v>147</v>
      </c>
      <c r="AB518">
        <v>0</v>
      </c>
      <c r="AC518">
        <v>1300</v>
      </c>
      <c r="AD518">
        <v>0.6</v>
      </c>
      <c r="AE518" t="s">
        <v>2894</v>
      </c>
      <c r="AF518" t="s">
        <v>2900</v>
      </c>
      <c r="AG518" t="s">
        <v>3402</v>
      </c>
      <c r="AI518" t="s">
        <v>4267</v>
      </c>
      <c r="AJ518">
        <v>13</v>
      </c>
      <c r="AK518" t="s">
        <v>4456</v>
      </c>
      <c r="AL518">
        <v>1</v>
      </c>
      <c r="AM518">
        <v>4</v>
      </c>
      <c r="AN518">
        <v>31.02</v>
      </c>
      <c r="AR518" t="s">
        <v>4476</v>
      </c>
      <c r="AS518" t="s">
        <v>4486</v>
      </c>
      <c r="AT518">
        <v>9360</v>
      </c>
      <c r="AX518" t="s">
        <v>4505</v>
      </c>
      <c r="BA518" t="s">
        <v>4548</v>
      </c>
      <c r="BD518" t="s">
        <v>192</v>
      </c>
      <c r="BE518" t="s">
        <v>4703</v>
      </c>
    </row>
    <row r="519" spans="1:57">
      <c r="A519" s="1">
        <f>HYPERLINK("https://lsnyc.legalserver.org/matter/dynamic-profile/view/1901660","19-1901660")</f>
        <v>0</v>
      </c>
      <c r="B519" t="s">
        <v>69</v>
      </c>
      <c r="C519" t="s">
        <v>93</v>
      </c>
      <c r="D519" t="s">
        <v>147</v>
      </c>
      <c r="F519" t="s">
        <v>525</v>
      </c>
      <c r="G519" t="s">
        <v>1169</v>
      </c>
      <c r="H519" t="s">
        <v>1738</v>
      </c>
      <c r="I519" t="s">
        <v>2091</v>
      </c>
      <c r="J519" t="s">
        <v>2169</v>
      </c>
      <c r="K519" t="s">
        <v>2171</v>
      </c>
      <c r="L519">
        <v>10026</v>
      </c>
      <c r="M519" t="s">
        <v>2173</v>
      </c>
      <c r="N519" t="s">
        <v>2172</v>
      </c>
      <c r="O519" t="s">
        <v>2175</v>
      </c>
      <c r="P519" t="s">
        <v>2674</v>
      </c>
      <c r="Q519">
        <v>19</v>
      </c>
      <c r="R519" t="s">
        <v>2844</v>
      </c>
      <c r="S519" t="s">
        <v>2857</v>
      </c>
      <c r="U519" t="s">
        <v>2869</v>
      </c>
      <c r="V519" t="s">
        <v>2174</v>
      </c>
      <c r="W519" t="s">
        <v>2174</v>
      </c>
      <c r="Y519" t="s">
        <v>2876</v>
      </c>
      <c r="AA519" t="s">
        <v>147</v>
      </c>
      <c r="AB519">
        <v>0</v>
      </c>
      <c r="AC519">
        <v>1915</v>
      </c>
      <c r="AD519">
        <v>8.800000000000001</v>
      </c>
      <c r="AE519" t="s">
        <v>2894</v>
      </c>
      <c r="AG519" t="s">
        <v>3403</v>
      </c>
      <c r="AH519" t="s">
        <v>3717</v>
      </c>
      <c r="AI519" t="s">
        <v>4268</v>
      </c>
      <c r="AJ519">
        <v>0</v>
      </c>
      <c r="AK519" t="s">
        <v>4456</v>
      </c>
      <c r="AL519">
        <v>1</v>
      </c>
      <c r="AM519">
        <v>0</v>
      </c>
      <c r="AN519">
        <v>82.43000000000001</v>
      </c>
      <c r="AR519" t="s">
        <v>4476</v>
      </c>
      <c r="AS519" t="s">
        <v>4486</v>
      </c>
      <c r="AT519">
        <v>10296</v>
      </c>
      <c r="AX519" t="s">
        <v>4501</v>
      </c>
      <c r="BA519" t="s">
        <v>4548</v>
      </c>
      <c r="BD519" t="s">
        <v>118</v>
      </c>
      <c r="BE519" t="s">
        <v>4704</v>
      </c>
    </row>
    <row r="520" spans="1:57">
      <c r="A520" s="1">
        <f>HYPERLINK("https://lsnyc.legalserver.org/matter/dynamic-profile/view/1901689","19-1901689")</f>
        <v>0</v>
      </c>
      <c r="B520" t="s">
        <v>57</v>
      </c>
      <c r="C520" t="s">
        <v>93</v>
      </c>
      <c r="D520" t="s">
        <v>136</v>
      </c>
      <c r="F520" t="s">
        <v>665</v>
      </c>
      <c r="G520" t="s">
        <v>1170</v>
      </c>
      <c r="H520" t="s">
        <v>1739</v>
      </c>
      <c r="I520" t="s">
        <v>1934</v>
      </c>
      <c r="J520" t="s">
        <v>2169</v>
      </c>
      <c r="K520" t="s">
        <v>2171</v>
      </c>
      <c r="L520">
        <v>10026</v>
      </c>
      <c r="M520" t="s">
        <v>2173</v>
      </c>
      <c r="N520" t="s">
        <v>2172</v>
      </c>
      <c r="O520" t="s">
        <v>2175</v>
      </c>
      <c r="P520" t="s">
        <v>2675</v>
      </c>
      <c r="Q520">
        <v>20</v>
      </c>
      <c r="R520" t="s">
        <v>2844</v>
      </c>
      <c r="S520" t="s">
        <v>2857</v>
      </c>
      <c r="U520" t="s">
        <v>2869</v>
      </c>
      <c r="V520" t="s">
        <v>2174</v>
      </c>
      <c r="W520" t="s">
        <v>2174</v>
      </c>
      <c r="Y520" t="s">
        <v>2876</v>
      </c>
      <c r="AA520" t="s">
        <v>136</v>
      </c>
      <c r="AB520">
        <v>0</v>
      </c>
      <c r="AC520">
        <v>856.05</v>
      </c>
      <c r="AD520">
        <v>3</v>
      </c>
      <c r="AE520" t="s">
        <v>2894</v>
      </c>
      <c r="AG520" t="s">
        <v>3254</v>
      </c>
      <c r="AI520" t="s">
        <v>4269</v>
      </c>
      <c r="AJ520">
        <v>10</v>
      </c>
      <c r="AK520" t="s">
        <v>4461</v>
      </c>
      <c r="AL520">
        <v>2</v>
      </c>
      <c r="AM520">
        <v>4</v>
      </c>
      <c r="AN520">
        <v>107.55</v>
      </c>
      <c r="AS520" t="s">
        <v>4486</v>
      </c>
      <c r="AT520">
        <v>37200</v>
      </c>
      <c r="AX520" t="s">
        <v>4505</v>
      </c>
      <c r="BA520" t="s">
        <v>4546</v>
      </c>
      <c r="BD520" t="s">
        <v>136</v>
      </c>
      <c r="BE520" t="s">
        <v>4703</v>
      </c>
    </row>
    <row r="521" spans="1:57">
      <c r="A521" s="1">
        <f>HYPERLINK("https://lsnyc.legalserver.org/matter/dynamic-profile/view/1901771","19-1901771")</f>
        <v>0</v>
      </c>
      <c r="B521" t="s">
        <v>63</v>
      </c>
      <c r="C521" t="s">
        <v>93</v>
      </c>
      <c r="D521" t="s">
        <v>192</v>
      </c>
      <c r="F521" t="s">
        <v>666</v>
      </c>
      <c r="G521" t="s">
        <v>1171</v>
      </c>
      <c r="H521" t="s">
        <v>1740</v>
      </c>
      <c r="I521" t="s">
        <v>2092</v>
      </c>
      <c r="J521" t="s">
        <v>2169</v>
      </c>
      <c r="K521" t="s">
        <v>2171</v>
      </c>
      <c r="L521">
        <v>10026</v>
      </c>
      <c r="M521" t="s">
        <v>2173</v>
      </c>
      <c r="N521" t="s">
        <v>2172</v>
      </c>
      <c r="O521" t="s">
        <v>2175</v>
      </c>
      <c r="P521" t="s">
        <v>2676</v>
      </c>
      <c r="Q521">
        <v>5</v>
      </c>
      <c r="R521" t="s">
        <v>2844</v>
      </c>
      <c r="S521" t="s">
        <v>2857</v>
      </c>
      <c r="U521" t="s">
        <v>2869</v>
      </c>
      <c r="V521" t="s">
        <v>2174</v>
      </c>
      <c r="W521" t="s">
        <v>2174</v>
      </c>
      <c r="Y521" t="s">
        <v>2876</v>
      </c>
      <c r="AA521" t="s">
        <v>136</v>
      </c>
      <c r="AB521">
        <v>0</v>
      </c>
      <c r="AC521">
        <v>2400</v>
      </c>
      <c r="AD521">
        <v>4.6</v>
      </c>
      <c r="AE521" t="s">
        <v>2894</v>
      </c>
      <c r="AG521" t="s">
        <v>3404</v>
      </c>
      <c r="AI521" t="s">
        <v>4270</v>
      </c>
      <c r="AJ521">
        <v>39</v>
      </c>
      <c r="AK521" t="s">
        <v>4458</v>
      </c>
      <c r="AL521">
        <v>2</v>
      </c>
      <c r="AM521">
        <v>0</v>
      </c>
      <c r="AN521">
        <v>0</v>
      </c>
      <c r="AR521" t="s">
        <v>4476</v>
      </c>
      <c r="AS521" t="s">
        <v>4486</v>
      </c>
      <c r="AT521">
        <v>0</v>
      </c>
      <c r="AX521" t="s">
        <v>4501</v>
      </c>
      <c r="BA521" t="s">
        <v>4539</v>
      </c>
      <c r="BD521" t="s">
        <v>105</v>
      </c>
      <c r="BE521" t="s">
        <v>4703</v>
      </c>
    </row>
    <row r="522" spans="1:57">
      <c r="A522" s="1">
        <f>HYPERLINK("https://lsnyc.legalserver.org/matter/dynamic-profile/view/1902159","19-1902159")</f>
        <v>0</v>
      </c>
      <c r="B522" t="s">
        <v>63</v>
      </c>
      <c r="C522" t="s">
        <v>92</v>
      </c>
      <c r="D522" t="s">
        <v>136</v>
      </c>
      <c r="E522" t="s">
        <v>184</v>
      </c>
      <c r="F522" t="s">
        <v>667</v>
      </c>
      <c r="G522" t="s">
        <v>1172</v>
      </c>
      <c r="H522" t="s">
        <v>1741</v>
      </c>
      <c r="I522" t="s">
        <v>1939</v>
      </c>
      <c r="J522" t="s">
        <v>2169</v>
      </c>
      <c r="K522" t="s">
        <v>2171</v>
      </c>
      <c r="L522">
        <v>10026</v>
      </c>
      <c r="M522" t="s">
        <v>2173</v>
      </c>
      <c r="N522" t="s">
        <v>2172</v>
      </c>
      <c r="O522" t="s">
        <v>2179</v>
      </c>
      <c r="P522" t="s">
        <v>2677</v>
      </c>
      <c r="Q522">
        <v>6</v>
      </c>
      <c r="R522" t="s">
        <v>2844</v>
      </c>
      <c r="S522" t="s">
        <v>2856</v>
      </c>
      <c r="T522" t="s">
        <v>2863</v>
      </c>
      <c r="U522" t="s">
        <v>2869</v>
      </c>
      <c r="V522" t="s">
        <v>2174</v>
      </c>
      <c r="W522" t="s">
        <v>2174</v>
      </c>
      <c r="Y522" t="s">
        <v>2876</v>
      </c>
      <c r="Z522" t="s">
        <v>2879</v>
      </c>
      <c r="AA522" t="s">
        <v>136</v>
      </c>
      <c r="AB522">
        <v>0</v>
      </c>
      <c r="AC522">
        <v>885</v>
      </c>
      <c r="AD522">
        <v>0.8</v>
      </c>
      <c r="AE522" t="s">
        <v>2894</v>
      </c>
      <c r="AF522" t="s">
        <v>2896</v>
      </c>
      <c r="AG522" t="s">
        <v>3405</v>
      </c>
      <c r="AI522" t="s">
        <v>4271</v>
      </c>
      <c r="AJ522">
        <v>50</v>
      </c>
      <c r="AK522" t="s">
        <v>4456</v>
      </c>
      <c r="AL522">
        <v>1</v>
      </c>
      <c r="AM522">
        <v>0</v>
      </c>
      <c r="AN522">
        <v>299.76</v>
      </c>
      <c r="AR522" t="s">
        <v>2176</v>
      </c>
      <c r="AS522" t="s">
        <v>4486</v>
      </c>
      <c r="AT522">
        <v>37440</v>
      </c>
      <c r="AX522" t="s">
        <v>4501</v>
      </c>
      <c r="BA522" t="s">
        <v>4546</v>
      </c>
      <c r="BD522" t="s">
        <v>136</v>
      </c>
      <c r="BE522" t="s">
        <v>4703</v>
      </c>
    </row>
    <row r="523" spans="1:57">
      <c r="A523" s="1">
        <f>HYPERLINK("https://lsnyc.legalserver.org/matter/dynamic-profile/view/1902235","19-1902235")</f>
        <v>0</v>
      </c>
      <c r="B523" t="s">
        <v>63</v>
      </c>
      <c r="C523" t="s">
        <v>93</v>
      </c>
      <c r="D523" t="s">
        <v>136</v>
      </c>
      <c r="F523" t="s">
        <v>668</v>
      </c>
      <c r="G523" t="s">
        <v>1173</v>
      </c>
      <c r="H523" t="s">
        <v>1739</v>
      </c>
      <c r="I523" t="s">
        <v>2093</v>
      </c>
      <c r="J523" t="s">
        <v>2169</v>
      </c>
      <c r="K523" t="s">
        <v>2171</v>
      </c>
      <c r="L523">
        <v>10026</v>
      </c>
      <c r="M523" t="s">
        <v>2173</v>
      </c>
      <c r="N523" t="s">
        <v>2172</v>
      </c>
      <c r="O523" t="s">
        <v>2175</v>
      </c>
      <c r="P523" t="s">
        <v>2678</v>
      </c>
      <c r="Q523">
        <v>0</v>
      </c>
      <c r="R523" t="s">
        <v>2844</v>
      </c>
      <c r="S523" t="s">
        <v>2857</v>
      </c>
      <c r="U523" t="s">
        <v>2869</v>
      </c>
      <c r="V523" t="s">
        <v>2174</v>
      </c>
      <c r="W523" t="s">
        <v>2872</v>
      </c>
      <c r="Y523" t="s">
        <v>2876</v>
      </c>
      <c r="AA523" t="s">
        <v>136</v>
      </c>
      <c r="AB523">
        <v>0</v>
      </c>
      <c r="AC523">
        <v>0</v>
      </c>
      <c r="AD523">
        <v>7.7</v>
      </c>
      <c r="AE523" t="s">
        <v>2894</v>
      </c>
      <c r="AG523" t="s">
        <v>3406</v>
      </c>
      <c r="AH523">
        <v>87546636</v>
      </c>
      <c r="AI523" t="s">
        <v>4272</v>
      </c>
      <c r="AJ523">
        <v>0</v>
      </c>
      <c r="AL523">
        <v>1</v>
      </c>
      <c r="AM523">
        <v>0</v>
      </c>
      <c r="AN523">
        <v>28.82</v>
      </c>
      <c r="AS523" t="s">
        <v>4490</v>
      </c>
      <c r="AT523">
        <v>3600</v>
      </c>
      <c r="AX523" t="s">
        <v>4507</v>
      </c>
      <c r="BA523" t="s">
        <v>4538</v>
      </c>
      <c r="BD523" t="s">
        <v>4673</v>
      </c>
      <c r="BE523" t="s">
        <v>4703</v>
      </c>
    </row>
    <row r="524" spans="1:57">
      <c r="A524" s="1">
        <f>HYPERLINK("https://lsnyc.legalserver.org/matter/dynamic-profile/view/1902780","19-1902780")</f>
        <v>0</v>
      </c>
      <c r="B524" t="s">
        <v>61</v>
      </c>
      <c r="C524" t="s">
        <v>93</v>
      </c>
      <c r="D524" t="s">
        <v>175</v>
      </c>
      <c r="F524" t="s">
        <v>669</v>
      </c>
      <c r="G524" t="s">
        <v>1174</v>
      </c>
      <c r="H524" t="s">
        <v>1742</v>
      </c>
      <c r="I524" t="s">
        <v>2094</v>
      </c>
      <c r="J524" t="s">
        <v>2169</v>
      </c>
      <c r="K524" t="s">
        <v>2171</v>
      </c>
      <c r="L524">
        <v>10026</v>
      </c>
      <c r="M524" t="s">
        <v>2173</v>
      </c>
      <c r="N524" t="s">
        <v>2172</v>
      </c>
      <c r="O524" t="s">
        <v>2175</v>
      </c>
      <c r="P524" t="s">
        <v>2679</v>
      </c>
      <c r="Q524">
        <v>15</v>
      </c>
      <c r="R524" t="s">
        <v>2844</v>
      </c>
      <c r="S524" t="s">
        <v>2857</v>
      </c>
      <c r="U524" t="s">
        <v>2869</v>
      </c>
      <c r="V524" t="s">
        <v>2174</v>
      </c>
      <c r="W524" t="s">
        <v>2174</v>
      </c>
      <c r="Y524" t="s">
        <v>2876</v>
      </c>
      <c r="AA524" t="s">
        <v>175</v>
      </c>
      <c r="AB524">
        <v>0</v>
      </c>
      <c r="AC524">
        <v>250</v>
      </c>
      <c r="AD524">
        <v>11.4</v>
      </c>
      <c r="AE524" t="s">
        <v>2894</v>
      </c>
      <c r="AG524" t="s">
        <v>3407</v>
      </c>
      <c r="AI524" t="s">
        <v>4273</v>
      </c>
      <c r="AJ524">
        <v>0</v>
      </c>
      <c r="AK524" t="s">
        <v>4456</v>
      </c>
      <c r="AL524">
        <v>1</v>
      </c>
      <c r="AM524">
        <v>0</v>
      </c>
      <c r="AN524">
        <v>0</v>
      </c>
      <c r="AR524" t="s">
        <v>2176</v>
      </c>
      <c r="AS524" t="s">
        <v>4486</v>
      </c>
      <c r="AT524">
        <v>0</v>
      </c>
      <c r="AX524" t="s">
        <v>4501</v>
      </c>
      <c r="BA524" t="s">
        <v>4539</v>
      </c>
      <c r="BD524" t="s">
        <v>117</v>
      </c>
      <c r="BE524" t="s">
        <v>4703</v>
      </c>
    </row>
    <row r="525" spans="1:57">
      <c r="A525" s="1">
        <f>HYPERLINK("https://lsnyc.legalserver.org/matter/dynamic-profile/view/1903118","19-1903118")</f>
        <v>0</v>
      </c>
      <c r="B525" t="s">
        <v>68</v>
      </c>
      <c r="C525" t="s">
        <v>92</v>
      </c>
      <c r="D525" t="s">
        <v>163</v>
      </c>
      <c r="E525" t="s">
        <v>197</v>
      </c>
      <c r="F525" t="s">
        <v>362</v>
      </c>
      <c r="G525" t="s">
        <v>1104</v>
      </c>
      <c r="H525" t="s">
        <v>1725</v>
      </c>
      <c r="I525" t="s">
        <v>2095</v>
      </c>
      <c r="J525" t="s">
        <v>2169</v>
      </c>
      <c r="K525" t="s">
        <v>2171</v>
      </c>
      <c r="L525">
        <v>10026</v>
      </c>
      <c r="M525" t="s">
        <v>2173</v>
      </c>
      <c r="N525" t="s">
        <v>2172</v>
      </c>
      <c r="O525" t="s">
        <v>2179</v>
      </c>
      <c r="P525" t="s">
        <v>2680</v>
      </c>
      <c r="Q525">
        <v>1</v>
      </c>
      <c r="R525" t="s">
        <v>2844</v>
      </c>
      <c r="S525" t="s">
        <v>2856</v>
      </c>
      <c r="T525" t="s">
        <v>2863</v>
      </c>
      <c r="U525" t="s">
        <v>2869</v>
      </c>
      <c r="V525" t="s">
        <v>2174</v>
      </c>
      <c r="W525" t="s">
        <v>2174</v>
      </c>
      <c r="Y525" t="s">
        <v>2876</v>
      </c>
      <c r="AA525" t="s">
        <v>163</v>
      </c>
      <c r="AB525">
        <v>0</v>
      </c>
      <c r="AC525">
        <v>500</v>
      </c>
      <c r="AD525">
        <v>0.95</v>
      </c>
      <c r="AE525" t="s">
        <v>2894</v>
      </c>
      <c r="AF525" t="s">
        <v>2896</v>
      </c>
      <c r="AG525" t="s">
        <v>3408</v>
      </c>
      <c r="AI525" t="s">
        <v>4274</v>
      </c>
      <c r="AJ525">
        <v>527</v>
      </c>
      <c r="AK525" t="s">
        <v>4459</v>
      </c>
      <c r="AL525">
        <v>2</v>
      </c>
      <c r="AM525">
        <v>0</v>
      </c>
      <c r="AN525">
        <v>96.87</v>
      </c>
      <c r="AR525" t="s">
        <v>4476</v>
      </c>
      <c r="AS525" t="s">
        <v>4486</v>
      </c>
      <c r="AT525">
        <v>16380</v>
      </c>
      <c r="AX525" t="s">
        <v>4505</v>
      </c>
      <c r="BA525" t="s">
        <v>4531</v>
      </c>
      <c r="BD525" t="s">
        <v>4679</v>
      </c>
      <c r="BE525" t="s">
        <v>4703</v>
      </c>
    </row>
    <row r="526" spans="1:57">
      <c r="A526" s="1">
        <f>HYPERLINK("https://lsnyc.legalserver.org/matter/dynamic-profile/view/1903467","19-1903467")</f>
        <v>0</v>
      </c>
      <c r="B526" t="s">
        <v>64</v>
      </c>
      <c r="C526" t="s">
        <v>93</v>
      </c>
      <c r="D526" t="s">
        <v>148</v>
      </c>
      <c r="F526" t="s">
        <v>422</v>
      </c>
      <c r="G526" t="s">
        <v>1175</v>
      </c>
      <c r="H526" t="s">
        <v>1743</v>
      </c>
      <c r="I526" t="s">
        <v>1927</v>
      </c>
      <c r="J526" t="s">
        <v>2169</v>
      </c>
      <c r="K526" t="s">
        <v>2171</v>
      </c>
      <c r="L526">
        <v>10026</v>
      </c>
      <c r="M526" t="s">
        <v>2173</v>
      </c>
      <c r="N526" t="s">
        <v>2172</v>
      </c>
      <c r="O526" t="s">
        <v>2175</v>
      </c>
      <c r="P526" t="s">
        <v>2681</v>
      </c>
      <c r="Q526">
        <v>26</v>
      </c>
      <c r="R526" t="s">
        <v>2844</v>
      </c>
      <c r="S526" t="s">
        <v>2857</v>
      </c>
      <c r="U526" t="s">
        <v>2869</v>
      </c>
      <c r="V526" t="s">
        <v>2174</v>
      </c>
      <c r="W526" t="s">
        <v>2174</v>
      </c>
      <c r="Y526" t="s">
        <v>2876</v>
      </c>
      <c r="Z526" t="s">
        <v>2879</v>
      </c>
      <c r="AA526" t="s">
        <v>148</v>
      </c>
      <c r="AB526">
        <v>0</v>
      </c>
      <c r="AC526">
        <v>1295.99</v>
      </c>
      <c r="AD526">
        <v>14.9</v>
      </c>
      <c r="AE526" t="s">
        <v>2894</v>
      </c>
      <c r="AG526" t="s">
        <v>3409</v>
      </c>
      <c r="AH526" t="s">
        <v>3718</v>
      </c>
      <c r="AI526" t="s">
        <v>4275</v>
      </c>
      <c r="AJ526">
        <v>16</v>
      </c>
      <c r="AK526" t="s">
        <v>4456</v>
      </c>
      <c r="AL526">
        <v>2</v>
      </c>
      <c r="AM526">
        <v>1</v>
      </c>
      <c r="AN526">
        <v>120.17</v>
      </c>
      <c r="AR526" t="s">
        <v>4476</v>
      </c>
      <c r="AS526" t="s">
        <v>4486</v>
      </c>
      <c r="AT526">
        <v>25632</v>
      </c>
      <c r="AX526" t="s">
        <v>4504</v>
      </c>
      <c r="BA526" t="s">
        <v>4534</v>
      </c>
      <c r="BD526" t="s">
        <v>123</v>
      </c>
      <c r="BE526" t="s">
        <v>4704</v>
      </c>
    </row>
    <row r="527" spans="1:57">
      <c r="A527" s="1">
        <f>HYPERLINK("https://lsnyc.legalserver.org/matter/dynamic-profile/view/1903986","19-1903986")</f>
        <v>0</v>
      </c>
      <c r="B527" t="s">
        <v>67</v>
      </c>
      <c r="C527" t="s">
        <v>93</v>
      </c>
      <c r="D527" t="s">
        <v>164</v>
      </c>
      <c r="F527" t="s">
        <v>670</v>
      </c>
      <c r="G527" t="s">
        <v>1176</v>
      </c>
      <c r="H527" t="s">
        <v>1731</v>
      </c>
      <c r="I527" t="s">
        <v>1937</v>
      </c>
      <c r="J527" t="s">
        <v>2169</v>
      </c>
      <c r="K527" t="s">
        <v>2171</v>
      </c>
      <c r="L527">
        <v>10026</v>
      </c>
      <c r="M527" t="s">
        <v>2173</v>
      </c>
      <c r="N527" t="s">
        <v>2172</v>
      </c>
      <c r="O527" t="s">
        <v>2179</v>
      </c>
      <c r="P527" t="s">
        <v>2682</v>
      </c>
      <c r="Q527">
        <v>25</v>
      </c>
      <c r="R527" t="s">
        <v>2844</v>
      </c>
      <c r="S527" t="s">
        <v>2857</v>
      </c>
      <c r="U527" t="s">
        <v>2869</v>
      </c>
      <c r="V527" t="s">
        <v>2174</v>
      </c>
      <c r="W527" t="s">
        <v>2174</v>
      </c>
      <c r="Y527" t="s">
        <v>2875</v>
      </c>
      <c r="Z527" t="s">
        <v>2879</v>
      </c>
      <c r="AA527" t="s">
        <v>164</v>
      </c>
      <c r="AB527">
        <v>0</v>
      </c>
      <c r="AC527">
        <v>387</v>
      </c>
      <c r="AD527">
        <v>6.1</v>
      </c>
      <c r="AE527" t="s">
        <v>2894</v>
      </c>
      <c r="AG527" t="s">
        <v>3410</v>
      </c>
      <c r="AI527" t="s">
        <v>4276</v>
      </c>
      <c r="AJ527">
        <v>10</v>
      </c>
      <c r="AK527" t="s">
        <v>4466</v>
      </c>
      <c r="AL527">
        <v>1</v>
      </c>
      <c r="AM527">
        <v>0</v>
      </c>
      <c r="AN527">
        <v>160.13</v>
      </c>
      <c r="AR527" t="s">
        <v>4476</v>
      </c>
      <c r="AS527" t="s">
        <v>4486</v>
      </c>
      <c r="AT527">
        <v>20000</v>
      </c>
      <c r="AX527" t="s">
        <v>4504</v>
      </c>
      <c r="BA527" t="s">
        <v>4546</v>
      </c>
      <c r="BD527" t="s">
        <v>215</v>
      </c>
      <c r="BE527" t="s">
        <v>4703</v>
      </c>
    </row>
    <row r="528" spans="1:57">
      <c r="A528" s="1">
        <f>HYPERLINK("https://lsnyc.legalserver.org/matter/dynamic-profile/view/1904147","19-1904147")</f>
        <v>0</v>
      </c>
      <c r="B528" t="s">
        <v>72</v>
      </c>
      <c r="C528" t="s">
        <v>93</v>
      </c>
      <c r="D528" t="s">
        <v>149</v>
      </c>
      <c r="F528" t="s">
        <v>671</v>
      </c>
      <c r="G528" t="s">
        <v>945</v>
      </c>
      <c r="H528" t="s">
        <v>1744</v>
      </c>
      <c r="I528" t="s">
        <v>1934</v>
      </c>
      <c r="J528" t="s">
        <v>2169</v>
      </c>
      <c r="K528" t="s">
        <v>2171</v>
      </c>
      <c r="L528">
        <v>10026</v>
      </c>
      <c r="M528" t="s">
        <v>2172</v>
      </c>
      <c r="N528" t="s">
        <v>2172</v>
      </c>
      <c r="P528" t="s">
        <v>2683</v>
      </c>
      <c r="Q528">
        <v>4</v>
      </c>
      <c r="R528" t="s">
        <v>2844</v>
      </c>
      <c r="S528" t="s">
        <v>2857</v>
      </c>
      <c r="U528" t="s">
        <v>2869</v>
      </c>
      <c r="V528" t="s">
        <v>2174</v>
      </c>
      <c r="W528" t="s">
        <v>2174</v>
      </c>
      <c r="Y528" t="s">
        <v>2876</v>
      </c>
      <c r="AB528">
        <v>0</v>
      </c>
      <c r="AC528">
        <v>247</v>
      </c>
      <c r="AD528">
        <v>8.25</v>
      </c>
      <c r="AE528" t="s">
        <v>2894</v>
      </c>
      <c r="AG528" t="s">
        <v>3411</v>
      </c>
      <c r="AI528" t="s">
        <v>4277</v>
      </c>
      <c r="AJ528">
        <v>0</v>
      </c>
      <c r="AL528">
        <v>1</v>
      </c>
      <c r="AM528">
        <v>0</v>
      </c>
      <c r="AN528">
        <v>78.01000000000001</v>
      </c>
      <c r="AS528" t="s">
        <v>4486</v>
      </c>
      <c r="AT528">
        <v>9744</v>
      </c>
      <c r="AX528" t="s">
        <v>4508</v>
      </c>
      <c r="BA528" t="s">
        <v>4622</v>
      </c>
      <c r="BD528" t="s">
        <v>154</v>
      </c>
    </row>
    <row r="529" spans="1:57">
      <c r="A529" s="1">
        <f>HYPERLINK("https://lsnyc.legalserver.org/matter/dynamic-profile/view/1904155","19-1904155")</f>
        <v>0</v>
      </c>
      <c r="B529" t="s">
        <v>73</v>
      </c>
      <c r="C529" t="s">
        <v>93</v>
      </c>
      <c r="D529" t="s">
        <v>149</v>
      </c>
      <c r="F529" t="s">
        <v>672</v>
      </c>
      <c r="G529" t="s">
        <v>1033</v>
      </c>
      <c r="H529" t="s">
        <v>1699</v>
      </c>
      <c r="I529" t="s">
        <v>1920</v>
      </c>
      <c r="J529" t="s">
        <v>2169</v>
      </c>
      <c r="K529" t="s">
        <v>2171</v>
      </c>
      <c r="L529">
        <v>10026</v>
      </c>
      <c r="M529" t="s">
        <v>2173</v>
      </c>
      <c r="N529" t="s">
        <v>2172</v>
      </c>
      <c r="P529" t="s">
        <v>2684</v>
      </c>
      <c r="Q529">
        <v>5</v>
      </c>
      <c r="R529" t="s">
        <v>2844</v>
      </c>
      <c r="S529" t="s">
        <v>2857</v>
      </c>
      <c r="U529" t="s">
        <v>2869</v>
      </c>
      <c r="V529" t="s">
        <v>2174</v>
      </c>
      <c r="W529" t="s">
        <v>2174</v>
      </c>
      <c r="Y529" t="s">
        <v>2875</v>
      </c>
      <c r="AA529" t="s">
        <v>149</v>
      </c>
      <c r="AB529">
        <v>0</v>
      </c>
      <c r="AC529">
        <v>552</v>
      </c>
      <c r="AD529">
        <v>13.8</v>
      </c>
      <c r="AE529" t="s">
        <v>2894</v>
      </c>
      <c r="AG529" t="s">
        <v>3297</v>
      </c>
      <c r="AI529" t="s">
        <v>4278</v>
      </c>
      <c r="AJ529">
        <v>111</v>
      </c>
      <c r="AK529" t="s">
        <v>4458</v>
      </c>
      <c r="AL529">
        <v>1</v>
      </c>
      <c r="AM529">
        <v>1</v>
      </c>
      <c r="AN529">
        <v>196.64</v>
      </c>
      <c r="AR529" t="s">
        <v>4476</v>
      </c>
      <c r="AS529" t="s">
        <v>4486</v>
      </c>
      <c r="AT529">
        <v>33252</v>
      </c>
      <c r="AX529" t="s">
        <v>4499</v>
      </c>
      <c r="BA529" t="s">
        <v>4581</v>
      </c>
      <c r="BD529" t="s">
        <v>217</v>
      </c>
      <c r="BE529" t="s">
        <v>4703</v>
      </c>
    </row>
    <row r="530" spans="1:57">
      <c r="A530" s="1">
        <f>HYPERLINK("https://lsnyc.legalserver.org/matter/dynamic-profile/view/1904166","19-1904166")</f>
        <v>0</v>
      </c>
      <c r="B530" t="s">
        <v>73</v>
      </c>
      <c r="C530" t="s">
        <v>92</v>
      </c>
      <c r="D530" t="s">
        <v>149</v>
      </c>
      <c r="E530" t="s">
        <v>233</v>
      </c>
      <c r="F530" t="s">
        <v>673</v>
      </c>
      <c r="G530" t="s">
        <v>1177</v>
      </c>
      <c r="H530" t="s">
        <v>1745</v>
      </c>
      <c r="I530" t="s">
        <v>1931</v>
      </c>
      <c r="J530" t="s">
        <v>2169</v>
      </c>
      <c r="K530" t="s">
        <v>2171</v>
      </c>
      <c r="L530">
        <v>10026</v>
      </c>
      <c r="M530" t="s">
        <v>2173</v>
      </c>
      <c r="N530" t="s">
        <v>2172</v>
      </c>
      <c r="P530" t="s">
        <v>2685</v>
      </c>
      <c r="Q530">
        <v>5</v>
      </c>
      <c r="R530" t="s">
        <v>2844</v>
      </c>
      <c r="S530" t="s">
        <v>2856</v>
      </c>
      <c r="T530" t="s">
        <v>2863</v>
      </c>
      <c r="U530" t="s">
        <v>2869</v>
      </c>
      <c r="V530" t="s">
        <v>2174</v>
      </c>
      <c r="W530" t="s">
        <v>2174</v>
      </c>
      <c r="Y530" t="s">
        <v>2876</v>
      </c>
      <c r="AA530" t="s">
        <v>149</v>
      </c>
      <c r="AB530">
        <v>0</v>
      </c>
      <c r="AC530">
        <v>800</v>
      </c>
      <c r="AD530">
        <v>1</v>
      </c>
      <c r="AE530" t="s">
        <v>2894</v>
      </c>
      <c r="AF530" t="s">
        <v>2896</v>
      </c>
      <c r="AG530" t="s">
        <v>3412</v>
      </c>
      <c r="AI530" t="s">
        <v>4279</v>
      </c>
      <c r="AJ530">
        <v>21</v>
      </c>
      <c r="AK530" t="s">
        <v>4464</v>
      </c>
      <c r="AL530">
        <v>1</v>
      </c>
      <c r="AM530">
        <v>0</v>
      </c>
      <c r="AN530">
        <v>0</v>
      </c>
      <c r="AS530" t="s">
        <v>4486</v>
      </c>
      <c r="AT530">
        <v>0</v>
      </c>
      <c r="AX530" t="s">
        <v>4499</v>
      </c>
      <c r="BA530" t="s">
        <v>4547</v>
      </c>
      <c r="BD530" t="s">
        <v>149</v>
      </c>
      <c r="BE530" t="s">
        <v>4703</v>
      </c>
    </row>
    <row r="531" spans="1:57">
      <c r="A531" s="1">
        <f>HYPERLINK("https://lsnyc.legalserver.org/matter/dynamic-profile/view/1904403","19-1904403")</f>
        <v>0</v>
      </c>
      <c r="B531" t="s">
        <v>71</v>
      </c>
      <c r="C531" t="s">
        <v>93</v>
      </c>
      <c r="D531" t="s">
        <v>155</v>
      </c>
      <c r="F531" t="s">
        <v>674</v>
      </c>
      <c r="G531" t="s">
        <v>1178</v>
      </c>
      <c r="H531" t="s">
        <v>1746</v>
      </c>
      <c r="I531" t="s">
        <v>2096</v>
      </c>
      <c r="J531" t="s">
        <v>2169</v>
      </c>
      <c r="K531" t="s">
        <v>2171</v>
      </c>
      <c r="L531">
        <v>10026</v>
      </c>
      <c r="M531" t="s">
        <v>2173</v>
      </c>
      <c r="N531" t="s">
        <v>2172</v>
      </c>
      <c r="O531" t="s">
        <v>2179</v>
      </c>
      <c r="P531" t="s">
        <v>2686</v>
      </c>
      <c r="Q531">
        <v>21</v>
      </c>
      <c r="R531" t="s">
        <v>2844</v>
      </c>
      <c r="S531" t="s">
        <v>2857</v>
      </c>
      <c r="U531" t="s">
        <v>2869</v>
      </c>
      <c r="V531" t="s">
        <v>2174</v>
      </c>
      <c r="W531" t="s">
        <v>2174</v>
      </c>
      <c r="Y531" t="s">
        <v>2876</v>
      </c>
      <c r="AA531" t="s">
        <v>155</v>
      </c>
      <c r="AB531">
        <v>0</v>
      </c>
      <c r="AC531">
        <v>644</v>
      </c>
      <c r="AD531">
        <v>1.75</v>
      </c>
      <c r="AE531" t="s">
        <v>2894</v>
      </c>
      <c r="AG531" t="s">
        <v>3413</v>
      </c>
      <c r="AI531" t="s">
        <v>4280</v>
      </c>
      <c r="AJ531">
        <v>0</v>
      </c>
      <c r="AK531" t="s">
        <v>4464</v>
      </c>
      <c r="AL531">
        <v>1</v>
      </c>
      <c r="AM531">
        <v>0</v>
      </c>
      <c r="AN531">
        <v>96.08</v>
      </c>
      <c r="AR531" t="s">
        <v>4476</v>
      </c>
      <c r="AS531" t="s">
        <v>4486</v>
      </c>
      <c r="AT531">
        <v>12000</v>
      </c>
      <c r="AX531" t="s">
        <v>4501</v>
      </c>
      <c r="BA531" t="s">
        <v>4545</v>
      </c>
      <c r="BD531" t="s">
        <v>4684</v>
      </c>
      <c r="BE531" t="s">
        <v>4703</v>
      </c>
    </row>
    <row r="532" spans="1:57">
      <c r="A532" s="1">
        <f>HYPERLINK("https://lsnyc.legalserver.org/matter/dynamic-profile/view/1904415","19-1904415")</f>
        <v>0</v>
      </c>
      <c r="B532" t="s">
        <v>61</v>
      </c>
      <c r="C532" t="s">
        <v>93</v>
      </c>
      <c r="D532" t="s">
        <v>155</v>
      </c>
      <c r="F532" t="s">
        <v>675</v>
      </c>
      <c r="G532" t="s">
        <v>823</v>
      </c>
      <c r="H532" t="s">
        <v>1747</v>
      </c>
      <c r="I532" t="s">
        <v>1961</v>
      </c>
      <c r="J532" t="s">
        <v>2169</v>
      </c>
      <c r="K532" t="s">
        <v>2171</v>
      </c>
      <c r="L532">
        <v>10026</v>
      </c>
      <c r="M532" t="s">
        <v>2173</v>
      </c>
      <c r="N532" t="s">
        <v>2172</v>
      </c>
      <c r="O532" t="s">
        <v>2179</v>
      </c>
      <c r="P532" t="s">
        <v>2687</v>
      </c>
      <c r="Q532">
        <v>29</v>
      </c>
      <c r="R532" t="s">
        <v>2844</v>
      </c>
      <c r="S532" t="s">
        <v>2857</v>
      </c>
      <c r="U532" t="s">
        <v>2869</v>
      </c>
      <c r="V532" t="s">
        <v>2174</v>
      </c>
      <c r="W532" t="s">
        <v>2174</v>
      </c>
      <c r="Y532" t="s">
        <v>2876</v>
      </c>
      <c r="AA532" t="s">
        <v>155</v>
      </c>
      <c r="AB532">
        <v>0</v>
      </c>
      <c r="AC532">
        <v>1269.25</v>
      </c>
      <c r="AD532">
        <v>17.5</v>
      </c>
      <c r="AE532" t="s">
        <v>2894</v>
      </c>
      <c r="AG532" t="s">
        <v>3414</v>
      </c>
      <c r="AI532" t="s">
        <v>4281</v>
      </c>
      <c r="AJ532">
        <v>0</v>
      </c>
      <c r="AK532" t="s">
        <v>4461</v>
      </c>
      <c r="AL532">
        <v>3</v>
      </c>
      <c r="AM532">
        <v>1</v>
      </c>
      <c r="AN532">
        <v>182.91</v>
      </c>
      <c r="AR532" t="s">
        <v>4476</v>
      </c>
      <c r="AS532" t="s">
        <v>4486</v>
      </c>
      <c r="AT532">
        <v>47100</v>
      </c>
      <c r="AX532" t="s">
        <v>4501</v>
      </c>
      <c r="BA532" t="s">
        <v>4546</v>
      </c>
      <c r="BD532" t="s">
        <v>4699</v>
      </c>
      <c r="BE532" t="s">
        <v>4703</v>
      </c>
    </row>
    <row r="533" spans="1:57">
      <c r="A533" s="1">
        <f>HYPERLINK("https://lsnyc.legalserver.org/matter/dynamic-profile/view/1904912","19-1904912")</f>
        <v>0</v>
      </c>
      <c r="B533" t="s">
        <v>57</v>
      </c>
      <c r="C533" t="s">
        <v>93</v>
      </c>
      <c r="D533" t="s">
        <v>122</v>
      </c>
      <c r="F533" t="s">
        <v>676</v>
      </c>
      <c r="G533" t="s">
        <v>895</v>
      </c>
      <c r="H533" t="s">
        <v>1748</v>
      </c>
      <c r="I533" t="s">
        <v>2097</v>
      </c>
      <c r="J533" t="s">
        <v>2169</v>
      </c>
      <c r="K533" t="s">
        <v>2171</v>
      </c>
      <c r="L533">
        <v>10026</v>
      </c>
      <c r="M533" t="s">
        <v>2173</v>
      </c>
      <c r="N533" t="s">
        <v>2172</v>
      </c>
      <c r="O533" t="s">
        <v>2177</v>
      </c>
      <c r="P533" t="s">
        <v>2688</v>
      </c>
      <c r="Q533">
        <v>27</v>
      </c>
      <c r="R533" t="s">
        <v>2844</v>
      </c>
      <c r="S533" t="s">
        <v>2857</v>
      </c>
      <c r="U533" t="s">
        <v>2869</v>
      </c>
      <c r="V533" t="s">
        <v>2174</v>
      </c>
      <c r="W533" t="s">
        <v>2174</v>
      </c>
      <c r="Y533" t="s">
        <v>2876</v>
      </c>
      <c r="AA533" t="s">
        <v>122</v>
      </c>
      <c r="AB533">
        <v>0</v>
      </c>
      <c r="AC533">
        <v>783</v>
      </c>
      <c r="AD533">
        <v>9.300000000000001</v>
      </c>
      <c r="AE533" t="s">
        <v>2894</v>
      </c>
      <c r="AG533" t="s">
        <v>3415</v>
      </c>
      <c r="AI533" t="s">
        <v>4282</v>
      </c>
      <c r="AJ533">
        <v>42</v>
      </c>
      <c r="AK533" t="s">
        <v>4464</v>
      </c>
      <c r="AL533">
        <v>2</v>
      </c>
      <c r="AM533">
        <v>1</v>
      </c>
      <c r="AN533">
        <v>0</v>
      </c>
      <c r="AR533" t="s">
        <v>4480</v>
      </c>
      <c r="AS533" t="s">
        <v>4487</v>
      </c>
      <c r="AT533">
        <v>0</v>
      </c>
      <c r="AX533" t="s">
        <v>4501</v>
      </c>
      <c r="BA533" t="s">
        <v>4539</v>
      </c>
      <c r="BD533" t="s">
        <v>117</v>
      </c>
      <c r="BE533" t="s">
        <v>4703</v>
      </c>
    </row>
    <row r="534" spans="1:57">
      <c r="A534" s="1">
        <f>HYPERLINK("https://lsnyc.legalserver.org/matter/dynamic-profile/view/1905080","19-1905080")</f>
        <v>0</v>
      </c>
      <c r="B534" t="s">
        <v>69</v>
      </c>
      <c r="C534" t="s">
        <v>93</v>
      </c>
      <c r="D534" t="s">
        <v>150</v>
      </c>
      <c r="F534" t="s">
        <v>677</v>
      </c>
      <c r="G534" t="s">
        <v>1179</v>
      </c>
      <c r="H534" t="s">
        <v>1749</v>
      </c>
      <c r="I534">
        <v>622</v>
      </c>
      <c r="J534" t="s">
        <v>2169</v>
      </c>
      <c r="K534" t="s">
        <v>2171</v>
      </c>
      <c r="L534">
        <v>10026</v>
      </c>
      <c r="M534" t="s">
        <v>2173</v>
      </c>
      <c r="N534" t="s">
        <v>2172</v>
      </c>
      <c r="O534" t="s">
        <v>2175</v>
      </c>
      <c r="P534" t="s">
        <v>2689</v>
      </c>
      <c r="Q534">
        <v>7</v>
      </c>
      <c r="R534" t="s">
        <v>2844</v>
      </c>
      <c r="S534" t="s">
        <v>2857</v>
      </c>
      <c r="U534" t="s">
        <v>2869</v>
      </c>
      <c r="V534" t="s">
        <v>2174</v>
      </c>
      <c r="W534" t="s">
        <v>2174</v>
      </c>
      <c r="Y534" t="s">
        <v>2876</v>
      </c>
      <c r="AA534" t="s">
        <v>150</v>
      </c>
      <c r="AB534">
        <v>0</v>
      </c>
      <c r="AC534">
        <v>1055</v>
      </c>
      <c r="AD534">
        <v>2.6</v>
      </c>
      <c r="AE534" t="s">
        <v>2894</v>
      </c>
      <c r="AG534" t="s">
        <v>3416</v>
      </c>
      <c r="AH534" t="s">
        <v>3719</v>
      </c>
      <c r="AI534" t="s">
        <v>4283</v>
      </c>
      <c r="AJ534">
        <v>254</v>
      </c>
      <c r="AK534" t="s">
        <v>4456</v>
      </c>
      <c r="AL534">
        <v>1</v>
      </c>
      <c r="AM534">
        <v>0</v>
      </c>
      <c r="AN534">
        <v>82.15000000000001</v>
      </c>
      <c r="AR534" t="s">
        <v>4476</v>
      </c>
      <c r="AS534" t="s">
        <v>4486</v>
      </c>
      <c r="AT534">
        <v>10260</v>
      </c>
      <c r="AX534" t="s">
        <v>4501</v>
      </c>
      <c r="BA534" t="s">
        <v>4548</v>
      </c>
      <c r="BD534" t="s">
        <v>4672</v>
      </c>
      <c r="BE534" t="s">
        <v>4704</v>
      </c>
    </row>
    <row r="535" spans="1:57">
      <c r="A535" s="1">
        <f>HYPERLINK("https://lsnyc.legalserver.org/matter/dynamic-profile/view/1905765","19-1905765")</f>
        <v>0</v>
      </c>
      <c r="B535" t="s">
        <v>66</v>
      </c>
      <c r="C535" t="s">
        <v>93</v>
      </c>
      <c r="D535" t="s">
        <v>165</v>
      </c>
      <c r="F535" t="s">
        <v>270</v>
      </c>
      <c r="G535" t="s">
        <v>1180</v>
      </c>
      <c r="H535" t="s">
        <v>1750</v>
      </c>
      <c r="I535" t="s">
        <v>2098</v>
      </c>
      <c r="J535" t="s">
        <v>2169</v>
      </c>
      <c r="K535" t="s">
        <v>2171</v>
      </c>
      <c r="L535">
        <v>10026</v>
      </c>
      <c r="M535" t="s">
        <v>2173</v>
      </c>
      <c r="N535" t="s">
        <v>2172</v>
      </c>
      <c r="O535" t="s">
        <v>2179</v>
      </c>
      <c r="P535" t="s">
        <v>2690</v>
      </c>
      <c r="Q535">
        <v>0</v>
      </c>
      <c r="R535" t="s">
        <v>2844</v>
      </c>
      <c r="S535" t="s">
        <v>2857</v>
      </c>
      <c r="U535" t="s">
        <v>2869</v>
      </c>
      <c r="V535" t="s">
        <v>2174</v>
      </c>
      <c r="W535" t="s">
        <v>2174</v>
      </c>
      <c r="Y535" t="s">
        <v>2876</v>
      </c>
      <c r="AA535" t="s">
        <v>165</v>
      </c>
      <c r="AB535">
        <v>0</v>
      </c>
      <c r="AC535">
        <v>0</v>
      </c>
      <c r="AD535">
        <v>2</v>
      </c>
      <c r="AE535" t="s">
        <v>2894</v>
      </c>
      <c r="AG535" t="s">
        <v>3417</v>
      </c>
      <c r="AI535" t="s">
        <v>4284</v>
      </c>
      <c r="AJ535">
        <v>18</v>
      </c>
      <c r="AK535" t="s">
        <v>4456</v>
      </c>
      <c r="AL535">
        <v>1</v>
      </c>
      <c r="AM535">
        <v>1</v>
      </c>
      <c r="AN535">
        <v>425.78</v>
      </c>
      <c r="AR535" t="s">
        <v>4476</v>
      </c>
      <c r="AS535" t="s">
        <v>4486</v>
      </c>
      <c r="AT535">
        <v>72000</v>
      </c>
      <c r="AX535" t="s">
        <v>4504</v>
      </c>
      <c r="BA535" t="s">
        <v>4546</v>
      </c>
      <c r="BD535" t="s">
        <v>174</v>
      </c>
      <c r="BE535" t="s">
        <v>4703</v>
      </c>
    </row>
    <row r="536" spans="1:57">
      <c r="A536" s="1">
        <f>HYPERLINK("https://lsnyc.legalserver.org/matter/dynamic-profile/view/1906265","19-1906265")</f>
        <v>0</v>
      </c>
      <c r="B536" t="s">
        <v>68</v>
      </c>
      <c r="C536" t="s">
        <v>93</v>
      </c>
      <c r="D536" t="s">
        <v>151</v>
      </c>
      <c r="F536" t="s">
        <v>678</v>
      </c>
      <c r="G536" t="s">
        <v>1181</v>
      </c>
      <c r="H536" t="s">
        <v>1751</v>
      </c>
      <c r="I536" t="s">
        <v>1982</v>
      </c>
      <c r="J536" t="s">
        <v>2169</v>
      </c>
      <c r="K536" t="s">
        <v>2171</v>
      </c>
      <c r="L536">
        <v>10026</v>
      </c>
      <c r="M536" t="s">
        <v>2173</v>
      </c>
      <c r="N536" t="s">
        <v>2172</v>
      </c>
      <c r="O536" t="s">
        <v>2179</v>
      </c>
      <c r="P536" t="s">
        <v>2619</v>
      </c>
      <c r="Q536">
        <v>38</v>
      </c>
      <c r="R536" t="s">
        <v>2844</v>
      </c>
      <c r="S536" t="s">
        <v>2857</v>
      </c>
      <c r="U536" t="s">
        <v>2869</v>
      </c>
      <c r="V536" t="s">
        <v>2174</v>
      </c>
      <c r="W536" t="s">
        <v>2174</v>
      </c>
      <c r="Y536" t="s">
        <v>2876</v>
      </c>
      <c r="Z536" t="s">
        <v>2879</v>
      </c>
      <c r="AA536" t="s">
        <v>151</v>
      </c>
      <c r="AB536">
        <v>0</v>
      </c>
      <c r="AC536">
        <v>229</v>
      </c>
      <c r="AD536">
        <v>6.6</v>
      </c>
      <c r="AE536" t="s">
        <v>2894</v>
      </c>
      <c r="AG536" t="s">
        <v>2955</v>
      </c>
      <c r="AI536" t="s">
        <v>4285</v>
      </c>
      <c r="AJ536">
        <v>0</v>
      </c>
      <c r="AK536" t="s">
        <v>4459</v>
      </c>
      <c r="AL536">
        <v>1</v>
      </c>
      <c r="AM536">
        <v>0</v>
      </c>
      <c r="AN536">
        <v>38.43</v>
      </c>
      <c r="AR536" t="s">
        <v>4478</v>
      </c>
      <c r="AS536" t="s">
        <v>4486</v>
      </c>
      <c r="AT536">
        <v>4800</v>
      </c>
      <c r="AX536" t="s">
        <v>4504</v>
      </c>
      <c r="BA536" t="s">
        <v>4531</v>
      </c>
      <c r="BD536" t="s">
        <v>117</v>
      </c>
      <c r="BE536" t="s">
        <v>4703</v>
      </c>
    </row>
    <row r="537" spans="1:57">
      <c r="A537" s="1">
        <f>HYPERLINK("https://lsnyc.legalserver.org/matter/dynamic-profile/view/1906330","19-1906330")</f>
        <v>0</v>
      </c>
      <c r="B537" t="s">
        <v>68</v>
      </c>
      <c r="C537" t="s">
        <v>93</v>
      </c>
      <c r="D537" t="s">
        <v>151</v>
      </c>
      <c r="F537" t="s">
        <v>620</v>
      </c>
      <c r="G537" t="s">
        <v>906</v>
      </c>
      <c r="H537" t="s">
        <v>1752</v>
      </c>
      <c r="I537" t="s">
        <v>2099</v>
      </c>
      <c r="J537" t="s">
        <v>2169</v>
      </c>
      <c r="K537" t="s">
        <v>2171</v>
      </c>
      <c r="L537">
        <v>10026</v>
      </c>
      <c r="M537" t="s">
        <v>2173</v>
      </c>
      <c r="N537" t="s">
        <v>2172</v>
      </c>
      <c r="O537" t="s">
        <v>2179</v>
      </c>
      <c r="P537" t="s">
        <v>2691</v>
      </c>
      <c r="Q537">
        <v>7</v>
      </c>
      <c r="R537" t="s">
        <v>2844</v>
      </c>
      <c r="S537" t="s">
        <v>2857</v>
      </c>
      <c r="U537" t="s">
        <v>2868</v>
      </c>
      <c r="V537" t="s">
        <v>2174</v>
      </c>
      <c r="W537" t="s">
        <v>2174</v>
      </c>
      <c r="Y537" t="s">
        <v>2876</v>
      </c>
      <c r="AA537" t="s">
        <v>151</v>
      </c>
      <c r="AB537">
        <v>0</v>
      </c>
      <c r="AC537">
        <v>1747.93</v>
      </c>
      <c r="AD537">
        <v>6.5</v>
      </c>
      <c r="AE537" t="s">
        <v>2894</v>
      </c>
      <c r="AG537" t="s">
        <v>3418</v>
      </c>
      <c r="AI537" t="s">
        <v>4286</v>
      </c>
      <c r="AJ537">
        <v>72</v>
      </c>
      <c r="AK537" t="s">
        <v>4458</v>
      </c>
      <c r="AL537">
        <v>1</v>
      </c>
      <c r="AM537">
        <v>0</v>
      </c>
      <c r="AN537">
        <v>80.06</v>
      </c>
      <c r="AR537" t="s">
        <v>4476</v>
      </c>
      <c r="AS537" t="s">
        <v>4486</v>
      </c>
      <c r="AT537">
        <v>10000</v>
      </c>
      <c r="AX537" t="s">
        <v>4504</v>
      </c>
      <c r="BA537" t="s">
        <v>4545</v>
      </c>
      <c r="BD537" t="s">
        <v>215</v>
      </c>
      <c r="BE537" t="s">
        <v>4703</v>
      </c>
    </row>
    <row r="538" spans="1:57">
      <c r="A538" s="1">
        <f>HYPERLINK("https://lsnyc.legalserver.org/matter/dynamic-profile/view/1907758","19-1907758")</f>
        <v>0</v>
      </c>
      <c r="B538" t="s">
        <v>71</v>
      </c>
      <c r="C538" t="s">
        <v>93</v>
      </c>
      <c r="D538" t="s">
        <v>193</v>
      </c>
      <c r="F538" t="s">
        <v>679</v>
      </c>
      <c r="G538" t="s">
        <v>1182</v>
      </c>
      <c r="H538" t="s">
        <v>1753</v>
      </c>
      <c r="I538" t="s">
        <v>2100</v>
      </c>
      <c r="J538" t="s">
        <v>2169</v>
      </c>
      <c r="K538" t="s">
        <v>2171</v>
      </c>
      <c r="L538">
        <v>10026</v>
      </c>
      <c r="M538" t="s">
        <v>2173</v>
      </c>
      <c r="N538" t="s">
        <v>2172</v>
      </c>
      <c r="O538" t="s">
        <v>2175</v>
      </c>
      <c r="P538" t="s">
        <v>2692</v>
      </c>
      <c r="Q538">
        <v>19</v>
      </c>
      <c r="R538" t="s">
        <v>2844</v>
      </c>
      <c r="S538" t="s">
        <v>2857</v>
      </c>
      <c r="U538" t="s">
        <v>2869</v>
      </c>
      <c r="V538" t="s">
        <v>2174</v>
      </c>
      <c r="W538" t="s">
        <v>2174</v>
      </c>
      <c r="Y538" t="s">
        <v>2875</v>
      </c>
      <c r="AA538" t="s">
        <v>193</v>
      </c>
      <c r="AB538">
        <v>0</v>
      </c>
      <c r="AC538">
        <v>435</v>
      </c>
      <c r="AD538">
        <v>3</v>
      </c>
      <c r="AE538" t="s">
        <v>2894</v>
      </c>
      <c r="AG538" t="s">
        <v>3419</v>
      </c>
      <c r="AI538" t="s">
        <v>4287</v>
      </c>
      <c r="AJ538">
        <v>0</v>
      </c>
      <c r="AK538" t="s">
        <v>4459</v>
      </c>
      <c r="AL538">
        <v>2</v>
      </c>
      <c r="AM538">
        <v>3</v>
      </c>
      <c r="AN538">
        <v>1.99</v>
      </c>
      <c r="AR538" t="s">
        <v>4476</v>
      </c>
      <c r="AS538" t="s">
        <v>4486</v>
      </c>
      <c r="AT538">
        <v>600</v>
      </c>
      <c r="AX538" t="s">
        <v>4507</v>
      </c>
      <c r="BA538" t="s">
        <v>4567</v>
      </c>
      <c r="BD538" t="s">
        <v>118</v>
      </c>
      <c r="BE538" t="s">
        <v>4703</v>
      </c>
    </row>
    <row r="539" spans="1:57">
      <c r="A539" s="1">
        <f>HYPERLINK("https://lsnyc.legalserver.org/matter/dynamic-profile/view/1907889","19-1907889")</f>
        <v>0</v>
      </c>
      <c r="B539" t="s">
        <v>68</v>
      </c>
      <c r="C539" t="s">
        <v>93</v>
      </c>
      <c r="D539" t="s">
        <v>105</v>
      </c>
      <c r="F539" t="s">
        <v>680</v>
      </c>
      <c r="G539" t="s">
        <v>1000</v>
      </c>
      <c r="H539" t="s">
        <v>1754</v>
      </c>
      <c r="I539" t="s">
        <v>2101</v>
      </c>
      <c r="J539" t="s">
        <v>2169</v>
      </c>
      <c r="K539" t="s">
        <v>2171</v>
      </c>
      <c r="L539">
        <v>10026</v>
      </c>
      <c r="M539" t="s">
        <v>2173</v>
      </c>
      <c r="N539" t="s">
        <v>2172</v>
      </c>
      <c r="O539" t="s">
        <v>2179</v>
      </c>
      <c r="P539" t="s">
        <v>2693</v>
      </c>
      <c r="Q539">
        <v>14</v>
      </c>
      <c r="R539" t="s">
        <v>2844</v>
      </c>
      <c r="S539" t="s">
        <v>2857</v>
      </c>
      <c r="U539" t="s">
        <v>2869</v>
      </c>
      <c r="V539" t="s">
        <v>2174</v>
      </c>
      <c r="W539" t="s">
        <v>2174</v>
      </c>
      <c r="Y539" t="s">
        <v>2876</v>
      </c>
      <c r="Z539" t="s">
        <v>2880</v>
      </c>
      <c r="AA539" t="s">
        <v>105</v>
      </c>
      <c r="AB539">
        <v>0</v>
      </c>
      <c r="AC539">
        <v>535</v>
      </c>
      <c r="AD539">
        <v>3.9</v>
      </c>
      <c r="AE539" t="s">
        <v>2894</v>
      </c>
      <c r="AG539" t="s">
        <v>3420</v>
      </c>
      <c r="AI539" t="s">
        <v>4288</v>
      </c>
      <c r="AJ539">
        <v>48</v>
      </c>
      <c r="AK539" t="s">
        <v>4456</v>
      </c>
      <c r="AL539">
        <v>3</v>
      </c>
      <c r="AM539">
        <v>0</v>
      </c>
      <c r="AN539">
        <v>18.28</v>
      </c>
      <c r="AR539" t="s">
        <v>4476</v>
      </c>
      <c r="AS539" t="s">
        <v>4486</v>
      </c>
      <c r="AT539">
        <v>3900</v>
      </c>
      <c r="AX539" t="s">
        <v>4504</v>
      </c>
      <c r="BA539" t="s">
        <v>4546</v>
      </c>
      <c r="BD539" t="s">
        <v>4678</v>
      </c>
      <c r="BE539" t="s">
        <v>4703</v>
      </c>
    </row>
    <row r="540" spans="1:57">
      <c r="A540" s="1">
        <f>HYPERLINK("https://lsnyc.legalserver.org/matter/dynamic-profile/view/1908205","19-1908205")</f>
        <v>0</v>
      </c>
      <c r="B540" t="s">
        <v>75</v>
      </c>
      <c r="C540" t="s">
        <v>93</v>
      </c>
      <c r="D540" t="s">
        <v>172</v>
      </c>
      <c r="F540" t="s">
        <v>681</v>
      </c>
      <c r="G540" t="s">
        <v>1183</v>
      </c>
      <c r="H540" t="s">
        <v>1755</v>
      </c>
      <c r="I540" t="s">
        <v>2004</v>
      </c>
      <c r="J540" t="s">
        <v>2169</v>
      </c>
      <c r="K540" t="s">
        <v>2171</v>
      </c>
      <c r="L540">
        <v>10026</v>
      </c>
      <c r="M540" t="s">
        <v>2172</v>
      </c>
      <c r="N540" t="s">
        <v>2172</v>
      </c>
      <c r="P540" t="s">
        <v>2694</v>
      </c>
      <c r="Q540">
        <v>1</v>
      </c>
      <c r="R540" t="s">
        <v>2844</v>
      </c>
      <c r="U540" t="s">
        <v>2868</v>
      </c>
      <c r="V540" t="s">
        <v>2174</v>
      </c>
      <c r="Y540" t="s">
        <v>2878</v>
      </c>
      <c r="AB540">
        <v>0</v>
      </c>
      <c r="AC540">
        <v>1350</v>
      </c>
      <c r="AD540">
        <v>0</v>
      </c>
      <c r="AE540" t="s">
        <v>2894</v>
      </c>
      <c r="AG540" t="s">
        <v>3421</v>
      </c>
      <c r="AI540" t="s">
        <v>4289</v>
      </c>
      <c r="AJ540">
        <v>0</v>
      </c>
      <c r="AL540">
        <v>1</v>
      </c>
      <c r="AM540">
        <v>0</v>
      </c>
      <c r="AN540">
        <v>0</v>
      </c>
      <c r="AS540" t="s">
        <v>4486</v>
      </c>
      <c r="AT540">
        <v>0</v>
      </c>
      <c r="AX540" t="s">
        <v>4499</v>
      </c>
      <c r="BA540" t="s">
        <v>4539</v>
      </c>
    </row>
    <row r="541" spans="1:57">
      <c r="A541" s="1">
        <f>HYPERLINK("https://lsnyc.legalserver.org/matter/dynamic-profile/view/1908210","19-1908210")</f>
        <v>0</v>
      </c>
      <c r="B541" t="s">
        <v>75</v>
      </c>
      <c r="C541" t="s">
        <v>93</v>
      </c>
      <c r="D541" t="s">
        <v>172</v>
      </c>
      <c r="F541" t="s">
        <v>682</v>
      </c>
      <c r="G541" t="s">
        <v>1184</v>
      </c>
      <c r="H541" t="s">
        <v>1756</v>
      </c>
      <c r="I541" t="s">
        <v>1920</v>
      </c>
      <c r="J541" t="s">
        <v>2169</v>
      </c>
      <c r="K541" t="s">
        <v>2171</v>
      </c>
      <c r="L541">
        <v>10026</v>
      </c>
      <c r="M541" t="s">
        <v>2172</v>
      </c>
      <c r="N541" t="s">
        <v>2172</v>
      </c>
      <c r="P541" t="s">
        <v>2695</v>
      </c>
      <c r="Q541">
        <v>20</v>
      </c>
      <c r="R541" t="s">
        <v>2844</v>
      </c>
      <c r="U541" t="s">
        <v>2868</v>
      </c>
      <c r="V541" t="s">
        <v>2174</v>
      </c>
      <c r="Y541" t="s">
        <v>2878</v>
      </c>
      <c r="AB541">
        <v>0</v>
      </c>
      <c r="AC541">
        <v>380</v>
      </c>
      <c r="AD541">
        <v>0</v>
      </c>
      <c r="AE541" t="s">
        <v>2894</v>
      </c>
      <c r="AG541" t="s">
        <v>3422</v>
      </c>
      <c r="AI541" t="s">
        <v>4290</v>
      </c>
      <c r="AJ541">
        <v>0</v>
      </c>
      <c r="AL541">
        <v>1</v>
      </c>
      <c r="AM541">
        <v>0</v>
      </c>
      <c r="AN541">
        <v>13.26</v>
      </c>
      <c r="AS541" t="s">
        <v>4486</v>
      </c>
      <c r="AT541">
        <v>1656</v>
      </c>
      <c r="AX541" t="s">
        <v>4499</v>
      </c>
      <c r="BA541" t="s">
        <v>4564</v>
      </c>
    </row>
    <row r="542" spans="1:57">
      <c r="A542" s="1">
        <f>HYPERLINK("https://lsnyc.legalserver.org/matter/dynamic-profile/view/1908435","19-1908435")</f>
        <v>0</v>
      </c>
      <c r="B542" t="s">
        <v>62</v>
      </c>
      <c r="C542" t="s">
        <v>93</v>
      </c>
      <c r="D542" t="s">
        <v>194</v>
      </c>
      <c r="F542" t="s">
        <v>243</v>
      </c>
      <c r="G542" t="s">
        <v>1185</v>
      </c>
      <c r="H542" t="s">
        <v>1757</v>
      </c>
      <c r="I542">
        <v>9</v>
      </c>
      <c r="J542" t="s">
        <v>2169</v>
      </c>
      <c r="K542" t="s">
        <v>2171</v>
      </c>
      <c r="L542">
        <v>10026</v>
      </c>
      <c r="M542" t="s">
        <v>2173</v>
      </c>
      <c r="N542" t="s">
        <v>2172</v>
      </c>
      <c r="O542" t="s">
        <v>2175</v>
      </c>
      <c r="P542" t="s">
        <v>2696</v>
      </c>
      <c r="Q542">
        <v>47</v>
      </c>
      <c r="R542" t="s">
        <v>2844</v>
      </c>
      <c r="S542" t="s">
        <v>2857</v>
      </c>
      <c r="U542" t="s">
        <v>2869</v>
      </c>
      <c r="V542" t="s">
        <v>2174</v>
      </c>
      <c r="W542" t="s">
        <v>2174</v>
      </c>
      <c r="Y542" t="s">
        <v>2876</v>
      </c>
      <c r="AA542" t="s">
        <v>194</v>
      </c>
      <c r="AB542">
        <v>0</v>
      </c>
      <c r="AC542">
        <v>448.4</v>
      </c>
      <c r="AD542">
        <v>3.5</v>
      </c>
      <c r="AE542" t="s">
        <v>2894</v>
      </c>
      <c r="AG542" t="s">
        <v>3413</v>
      </c>
      <c r="AI542" t="s">
        <v>4291</v>
      </c>
      <c r="AJ542">
        <v>0</v>
      </c>
      <c r="AK542" t="s">
        <v>4461</v>
      </c>
      <c r="AL542">
        <v>1</v>
      </c>
      <c r="AM542">
        <v>0</v>
      </c>
      <c r="AN542">
        <v>0</v>
      </c>
      <c r="AR542" t="s">
        <v>4476</v>
      </c>
      <c r="AS542" t="s">
        <v>4486</v>
      </c>
      <c r="AT542">
        <v>0</v>
      </c>
      <c r="AX542" t="s">
        <v>4501</v>
      </c>
      <c r="BA542" t="s">
        <v>4539</v>
      </c>
      <c r="BD542" t="s">
        <v>210</v>
      </c>
      <c r="BE542" t="s">
        <v>4703</v>
      </c>
    </row>
    <row r="543" spans="1:57">
      <c r="A543" s="1">
        <f>HYPERLINK("https://lsnyc.legalserver.org/matter/dynamic-profile/view/1908787","19-1908787")</f>
        <v>0</v>
      </c>
      <c r="B543" t="s">
        <v>67</v>
      </c>
      <c r="C543" t="s">
        <v>93</v>
      </c>
      <c r="D543" t="s">
        <v>153</v>
      </c>
      <c r="F543" t="s">
        <v>683</v>
      </c>
      <c r="G543" t="s">
        <v>1186</v>
      </c>
      <c r="H543" t="s">
        <v>1758</v>
      </c>
      <c r="I543" t="s">
        <v>1935</v>
      </c>
      <c r="J543" t="s">
        <v>2169</v>
      </c>
      <c r="K543" t="s">
        <v>2171</v>
      </c>
      <c r="L543">
        <v>10026</v>
      </c>
      <c r="M543" t="s">
        <v>2173</v>
      </c>
      <c r="N543" t="s">
        <v>2172</v>
      </c>
      <c r="O543" t="s">
        <v>2175</v>
      </c>
      <c r="P543" t="s">
        <v>2697</v>
      </c>
      <c r="Q543">
        <v>-1</v>
      </c>
      <c r="R543" t="s">
        <v>2844</v>
      </c>
      <c r="S543" t="s">
        <v>2857</v>
      </c>
      <c r="U543" t="s">
        <v>2869</v>
      </c>
      <c r="V543" t="s">
        <v>2174</v>
      </c>
      <c r="W543" t="s">
        <v>2174</v>
      </c>
      <c r="Y543" t="s">
        <v>2876</v>
      </c>
      <c r="Z543" t="s">
        <v>2879</v>
      </c>
      <c r="AB543">
        <v>0</v>
      </c>
      <c r="AC543">
        <v>1559</v>
      </c>
      <c r="AD543">
        <v>3.3</v>
      </c>
      <c r="AE543" t="s">
        <v>2894</v>
      </c>
      <c r="AG543" t="s">
        <v>3423</v>
      </c>
      <c r="AH543" t="s">
        <v>3720</v>
      </c>
      <c r="AI543" t="s">
        <v>4292</v>
      </c>
      <c r="AJ543">
        <v>0</v>
      </c>
      <c r="AK543" t="s">
        <v>4464</v>
      </c>
      <c r="AL543">
        <v>1</v>
      </c>
      <c r="AM543">
        <v>0</v>
      </c>
      <c r="AN543">
        <v>39.14</v>
      </c>
      <c r="AR543" t="s">
        <v>4479</v>
      </c>
      <c r="AS543" t="s">
        <v>4486</v>
      </c>
      <c r="AT543">
        <v>4888</v>
      </c>
      <c r="AX543" t="s">
        <v>4504</v>
      </c>
      <c r="BA543" t="s">
        <v>4551</v>
      </c>
      <c r="BD543" t="s">
        <v>210</v>
      </c>
      <c r="BE543" t="s">
        <v>4704</v>
      </c>
    </row>
    <row r="544" spans="1:57">
      <c r="A544" s="1">
        <f>HYPERLINK("https://lsnyc.legalserver.org/matter/dynamic-profile/view/1908789","19-1908789")</f>
        <v>0</v>
      </c>
      <c r="B544" t="s">
        <v>80</v>
      </c>
      <c r="C544" t="s">
        <v>93</v>
      </c>
      <c r="D544" t="s">
        <v>153</v>
      </c>
      <c r="F544" t="s">
        <v>684</v>
      </c>
      <c r="G544" t="s">
        <v>1187</v>
      </c>
      <c r="H544" t="s">
        <v>1759</v>
      </c>
      <c r="I544" t="s">
        <v>2034</v>
      </c>
      <c r="J544" t="s">
        <v>2169</v>
      </c>
      <c r="K544" t="s">
        <v>2171</v>
      </c>
      <c r="L544">
        <v>10026</v>
      </c>
      <c r="M544" t="s">
        <v>2173</v>
      </c>
      <c r="N544" t="s">
        <v>2172</v>
      </c>
      <c r="O544" t="s">
        <v>2179</v>
      </c>
      <c r="P544" t="s">
        <v>2698</v>
      </c>
      <c r="Q544">
        <v>20</v>
      </c>
      <c r="R544" t="s">
        <v>2844</v>
      </c>
      <c r="S544" t="s">
        <v>2857</v>
      </c>
      <c r="U544" t="s">
        <v>2869</v>
      </c>
      <c r="V544" t="s">
        <v>2174</v>
      </c>
      <c r="W544" t="s">
        <v>2174</v>
      </c>
      <c r="Y544" t="s">
        <v>2876</v>
      </c>
      <c r="AA544" t="s">
        <v>153</v>
      </c>
      <c r="AB544">
        <v>0</v>
      </c>
      <c r="AC544">
        <v>648</v>
      </c>
      <c r="AD544">
        <v>14</v>
      </c>
      <c r="AE544" t="s">
        <v>2894</v>
      </c>
      <c r="AG544" t="s">
        <v>3424</v>
      </c>
      <c r="AI544" t="s">
        <v>4293</v>
      </c>
      <c r="AJ544">
        <v>0</v>
      </c>
      <c r="AK544" t="s">
        <v>4464</v>
      </c>
      <c r="AL544">
        <v>2</v>
      </c>
      <c r="AM544">
        <v>3</v>
      </c>
      <c r="AN544">
        <v>46.54</v>
      </c>
      <c r="AR544" t="s">
        <v>2176</v>
      </c>
      <c r="AS544" t="s">
        <v>4490</v>
      </c>
      <c r="AT544">
        <v>14040</v>
      </c>
      <c r="AX544" t="s">
        <v>4501</v>
      </c>
      <c r="BA544" t="s">
        <v>4548</v>
      </c>
      <c r="BD544" t="s">
        <v>210</v>
      </c>
      <c r="BE544" t="s">
        <v>4703</v>
      </c>
    </row>
    <row r="545" spans="1:57">
      <c r="A545" s="1">
        <f>HYPERLINK("https://lsnyc.legalserver.org/matter/dynamic-profile/view/1910532","19-1910532")</f>
        <v>0</v>
      </c>
      <c r="B545" t="s">
        <v>66</v>
      </c>
      <c r="C545" t="s">
        <v>93</v>
      </c>
      <c r="D545" t="s">
        <v>187</v>
      </c>
      <c r="F545" t="s">
        <v>460</v>
      </c>
      <c r="G545" t="s">
        <v>1188</v>
      </c>
      <c r="H545" t="s">
        <v>1760</v>
      </c>
      <c r="I545" t="s">
        <v>1960</v>
      </c>
      <c r="J545" t="s">
        <v>2169</v>
      </c>
      <c r="K545" t="s">
        <v>2171</v>
      </c>
      <c r="L545">
        <v>10026</v>
      </c>
      <c r="M545" t="s">
        <v>2173</v>
      </c>
      <c r="N545" t="s">
        <v>2172</v>
      </c>
      <c r="O545" t="s">
        <v>2175</v>
      </c>
      <c r="P545" t="s">
        <v>2699</v>
      </c>
      <c r="Q545">
        <v>25</v>
      </c>
      <c r="R545" t="s">
        <v>2844</v>
      </c>
      <c r="S545" t="s">
        <v>2857</v>
      </c>
      <c r="U545" t="s">
        <v>2869</v>
      </c>
      <c r="V545" t="s">
        <v>2174</v>
      </c>
      <c r="W545" t="s">
        <v>2174</v>
      </c>
      <c r="Y545" t="s">
        <v>2876</v>
      </c>
      <c r="AA545" t="s">
        <v>187</v>
      </c>
      <c r="AB545">
        <v>0</v>
      </c>
      <c r="AC545">
        <v>535</v>
      </c>
      <c r="AD545">
        <v>1.5</v>
      </c>
      <c r="AE545" t="s">
        <v>2894</v>
      </c>
      <c r="AG545" t="s">
        <v>3425</v>
      </c>
      <c r="AI545" t="s">
        <v>4294</v>
      </c>
      <c r="AJ545">
        <v>32</v>
      </c>
      <c r="AK545" t="s">
        <v>4458</v>
      </c>
      <c r="AL545">
        <v>2</v>
      </c>
      <c r="AM545">
        <v>1</v>
      </c>
      <c r="AN545">
        <v>175.06</v>
      </c>
      <c r="AR545" t="s">
        <v>4476</v>
      </c>
      <c r="AS545" t="s">
        <v>4486</v>
      </c>
      <c r="AT545">
        <v>37340</v>
      </c>
      <c r="AX545" t="s">
        <v>4501</v>
      </c>
      <c r="BA545" t="s">
        <v>4623</v>
      </c>
      <c r="BD545" t="s">
        <v>4678</v>
      </c>
      <c r="BE545" t="s">
        <v>4703</v>
      </c>
    </row>
    <row r="546" spans="1:57">
      <c r="A546" s="1">
        <f>HYPERLINK("https://lsnyc.legalserver.org/matter/dynamic-profile/view/1912041","19-1912041")</f>
        <v>0</v>
      </c>
      <c r="B546" t="s">
        <v>81</v>
      </c>
      <c r="C546" t="s">
        <v>93</v>
      </c>
      <c r="D546" t="s">
        <v>154</v>
      </c>
      <c r="F546" t="s">
        <v>537</v>
      </c>
      <c r="G546" t="s">
        <v>1189</v>
      </c>
      <c r="H546" t="s">
        <v>1761</v>
      </c>
      <c r="I546" t="s">
        <v>1986</v>
      </c>
      <c r="J546" t="s">
        <v>2169</v>
      </c>
      <c r="K546" t="s">
        <v>2171</v>
      </c>
      <c r="L546">
        <v>10026</v>
      </c>
      <c r="M546" t="s">
        <v>2173</v>
      </c>
      <c r="N546" t="s">
        <v>2172</v>
      </c>
      <c r="O546" t="s">
        <v>2175</v>
      </c>
      <c r="P546" t="s">
        <v>2700</v>
      </c>
      <c r="Q546">
        <v>20</v>
      </c>
      <c r="R546" t="s">
        <v>2844</v>
      </c>
      <c r="S546" t="s">
        <v>2857</v>
      </c>
      <c r="U546" t="s">
        <v>2869</v>
      </c>
      <c r="V546" t="s">
        <v>2174</v>
      </c>
      <c r="W546" t="s">
        <v>2174</v>
      </c>
      <c r="Y546" t="s">
        <v>2876</v>
      </c>
      <c r="AA546" t="s">
        <v>154</v>
      </c>
      <c r="AB546">
        <v>0</v>
      </c>
      <c r="AC546">
        <v>2775</v>
      </c>
      <c r="AD546">
        <v>0</v>
      </c>
      <c r="AE546" t="s">
        <v>2894</v>
      </c>
      <c r="AG546" t="s">
        <v>3426</v>
      </c>
      <c r="AI546" t="s">
        <v>4295</v>
      </c>
      <c r="AJ546">
        <v>0</v>
      </c>
      <c r="AK546" t="s">
        <v>4466</v>
      </c>
      <c r="AL546">
        <v>2</v>
      </c>
      <c r="AM546">
        <v>3</v>
      </c>
      <c r="AN546">
        <v>118.93</v>
      </c>
      <c r="AR546" t="s">
        <v>4478</v>
      </c>
      <c r="AS546" t="s">
        <v>4486</v>
      </c>
      <c r="AT546">
        <v>35880</v>
      </c>
      <c r="AX546" t="s">
        <v>4501</v>
      </c>
      <c r="BA546" t="s">
        <v>4543</v>
      </c>
      <c r="BE546" t="s">
        <v>4703</v>
      </c>
    </row>
    <row r="547" spans="1:57">
      <c r="A547" s="1">
        <f>HYPERLINK("https://lsnyc.legalserver.org/matter/dynamic-profile/view/1892867","19-1892867")</f>
        <v>0</v>
      </c>
      <c r="B547" t="s">
        <v>75</v>
      </c>
      <c r="C547" t="s">
        <v>93</v>
      </c>
      <c r="D547" t="s">
        <v>140</v>
      </c>
      <c r="F547" t="s">
        <v>312</v>
      </c>
      <c r="G547" t="s">
        <v>1019</v>
      </c>
      <c r="H547" t="s">
        <v>1762</v>
      </c>
      <c r="J547" t="s">
        <v>2169</v>
      </c>
      <c r="K547" t="s">
        <v>2171</v>
      </c>
      <c r="L547">
        <v>10026</v>
      </c>
      <c r="M547" t="s">
        <v>2172</v>
      </c>
      <c r="N547" t="s">
        <v>2172</v>
      </c>
      <c r="Q547">
        <v>21</v>
      </c>
      <c r="U547" t="s">
        <v>2869</v>
      </c>
      <c r="V547" t="s">
        <v>2174</v>
      </c>
      <c r="Y547" t="s">
        <v>2875</v>
      </c>
      <c r="Z547" t="s">
        <v>2879</v>
      </c>
      <c r="AB547">
        <v>0</v>
      </c>
      <c r="AC547">
        <v>688</v>
      </c>
      <c r="AD547">
        <v>6.5</v>
      </c>
      <c r="AE547" t="s">
        <v>2894</v>
      </c>
      <c r="AG547" t="s">
        <v>3149</v>
      </c>
      <c r="AI547" t="s">
        <v>4296</v>
      </c>
      <c r="AJ547">
        <v>15</v>
      </c>
      <c r="AL547">
        <v>2</v>
      </c>
      <c r="AM547">
        <v>0</v>
      </c>
      <c r="AN547">
        <v>256.18</v>
      </c>
      <c r="AS547" t="s">
        <v>4487</v>
      </c>
      <c r="AT547">
        <v>43320</v>
      </c>
      <c r="AX547" t="s">
        <v>86</v>
      </c>
      <c r="BA547" t="s">
        <v>4581</v>
      </c>
      <c r="BD547" t="s">
        <v>106</v>
      </c>
    </row>
    <row r="548" spans="1:57">
      <c r="A548" s="1">
        <f>HYPERLINK("https://lsnyc.legalserver.org/matter/dynamic-profile/view/1886802","19-1886802")</f>
        <v>0</v>
      </c>
      <c r="B548" t="s">
        <v>79</v>
      </c>
      <c r="C548" t="s">
        <v>92</v>
      </c>
      <c r="D548" t="s">
        <v>157</v>
      </c>
      <c r="E548" t="s">
        <v>157</v>
      </c>
      <c r="F548" t="s">
        <v>685</v>
      </c>
      <c r="G548" t="s">
        <v>1190</v>
      </c>
      <c r="H548" t="s">
        <v>1763</v>
      </c>
      <c r="I548" t="s">
        <v>1973</v>
      </c>
      <c r="J548" t="s">
        <v>2169</v>
      </c>
      <c r="K548" t="s">
        <v>2171</v>
      </c>
      <c r="L548">
        <v>10025</v>
      </c>
      <c r="M548" t="s">
        <v>2173</v>
      </c>
      <c r="N548" t="s">
        <v>2173</v>
      </c>
      <c r="O548" t="s">
        <v>2179</v>
      </c>
      <c r="P548" t="s">
        <v>2701</v>
      </c>
      <c r="Q548">
        <v>14</v>
      </c>
      <c r="R548" t="s">
        <v>2843</v>
      </c>
      <c r="S548" t="s">
        <v>2856</v>
      </c>
      <c r="T548" t="s">
        <v>2863</v>
      </c>
      <c r="U548" t="s">
        <v>2869</v>
      </c>
      <c r="V548" t="s">
        <v>2174</v>
      </c>
      <c r="W548" t="s">
        <v>2174</v>
      </c>
      <c r="Y548" t="s">
        <v>2875</v>
      </c>
      <c r="AA548" t="s">
        <v>2892</v>
      </c>
      <c r="AB548">
        <v>0</v>
      </c>
      <c r="AC548">
        <v>500</v>
      </c>
      <c r="AD548">
        <v>0.7</v>
      </c>
      <c r="AE548" t="s">
        <v>2894</v>
      </c>
      <c r="AF548" t="s">
        <v>2896</v>
      </c>
      <c r="AG548" t="s">
        <v>3427</v>
      </c>
      <c r="AJ548">
        <v>0</v>
      </c>
      <c r="AK548" t="s">
        <v>4459</v>
      </c>
      <c r="AL548">
        <v>1</v>
      </c>
      <c r="AM548">
        <v>0</v>
      </c>
      <c r="AN548">
        <v>0</v>
      </c>
      <c r="AQ548" t="s">
        <v>4473</v>
      </c>
      <c r="AR548" t="s">
        <v>4476</v>
      </c>
      <c r="AS548" t="s">
        <v>4486</v>
      </c>
      <c r="AT548">
        <v>0</v>
      </c>
      <c r="AX548" t="s">
        <v>4504</v>
      </c>
      <c r="BA548" t="s">
        <v>4539</v>
      </c>
      <c r="BD548" t="s">
        <v>157</v>
      </c>
    </row>
    <row r="549" spans="1:57">
      <c r="A549" s="1">
        <f>HYPERLINK("https://lsnyc.legalserver.org/matter/dynamic-profile/view/1887507","19-1887507")</f>
        <v>0</v>
      </c>
      <c r="B549" t="s">
        <v>80</v>
      </c>
      <c r="C549" t="s">
        <v>93</v>
      </c>
      <c r="D549" t="s">
        <v>134</v>
      </c>
      <c r="F549" t="s">
        <v>686</v>
      </c>
      <c r="G549" t="s">
        <v>1191</v>
      </c>
      <c r="H549" t="s">
        <v>1764</v>
      </c>
      <c r="I549">
        <v>2</v>
      </c>
      <c r="J549" t="s">
        <v>2169</v>
      </c>
      <c r="K549" t="s">
        <v>2171</v>
      </c>
      <c r="L549">
        <v>10025</v>
      </c>
      <c r="M549" t="s">
        <v>2173</v>
      </c>
      <c r="N549" t="s">
        <v>2173</v>
      </c>
      <c r="O549" t="s">
        <v>2179</v>
      </c>
      <c r="P549" t="s">
        <v>2702</v>
      </c>
      <c r="Q549">
        <v>2</v>
      </c>
      <c r="R549" t="s">
        <v>2843</v>
      </c>
      <c r="S549" t="s">
        <v>2857</v>
      </c>
      <c r="U549" t="s">
        <v>2869</v>
      </c>
      <c r="V549" t="s">
        <v>2174</v>
      </c>
      <c r="W549" t="s">
        <v>2174</v>
      </c>
      <c r="Y549" t="s">
        <v>2876</v>
      </c>
      <c r="Z549" t="s">
        <v>2880</v>
      </c>
      <c r="AA549" t="s">
        <v>134</v>
      </c>
      <c r="AB549">
        <v>0</v>
      </c>
      <c r="AC549">
        <v>7000</v>
      </c>
      <c r="AD549">
        <v>32.69</v>
      </c>
      <c r="AE549" t="s">
        <v>2894</v>
      </c>
      <c r="AG549" t="s">
        <v>3428</v>
      </c>
      <c r="AI549" t="s">
        <v>4297</v>
      </c>
      <c r="AJ549">
        <v>0</v>
      </c>
      <c r="AL549">
        <v>2</v>
      </c>
      <c r="AM549">
        <v>0</v>
      </c>
      <c r="AN549">
        <v>151.88</v>
      </c>
      <c r="AQ549" t="s">
        <v>4473</v>
      </c>
      <c r="AR549" t="s">
        <v>4476</v>
      </c>
      <c r="AS549" t="s">
        <v>4486</v>
      </c>
      <c r="AT549">
        <v>25000</v>
      </c>
      <c r="AX549" t="s">
        <v>4501</v>
      </c>
      <c r="BA549" t="s">
        <v>4546</v>
      </c>
      <c r="BD549" t="s">
        <v>154</v>
      </c>
    </row>
    <row r="550" spans="1:57">
      <c r="A550" s="1">
        <f>HYPERLINK("https://lsnyc.legalserver.org/matter/dynamic-profile/view/1889186","19-1889186")</f>
        <v>0</v>
      </c>
      <c r="B550" t="s">
        <v>64</v>
      </c>
      <c r="C550" t="s">
        <v>93</v>
      </c>
      <c r="D550" t="s">
        <v>132</v>
      </c>
      <c r="F550" t="s">
        <v>687</v>
      </c>
      <c r="G550" t="s">
        <v>1192</v>
      </c>
      <c r="H550" t="s">
        <v>1765</v>
      </c>
      <c r="I550" t="s">
        <v>1976</v>
      </c>
      <c r="J550" t="s">
        <v>2169</v>
      </c>
      <c r="K550" t="s">
        <v>2171</v>
      </c>
      <c r="L550">
        <v>10025</v>
      </c>
      <c r="M550" t="s">
        <v>2173</v>
      </c>
      <c r="N550" t="s">
        <v>2173</v>
      </c>
      <c r="O550" t="s">
        <v>2179</v>
      </c>
      <c r="P550" t="s">
        <v>2703</v>
      </c>
      <c r="Q550">
        <v>26</v>
      </c>
      <c r="R550" t="s">
        <v>2843</v>
      </c>
      <c r="S550" t="s">
        <v>2857</v>
      </c>
      <c r="U550" t="s">
        <v>2869</v>
      </c>
      <c r="V550" t="s">
        <v>2174</v>
      </c>
      <c r="W550" t="s">
        <v>2174</v>
      </c>
      <c r="Y550" t="s">
        <v>2876</v>
      </c>
      <c r="AA550" t="s">
        <v>132</v>
      </c>
      <c r="AB550">
        <v>0</v>
      </c>
      <c r="AC550">
        <v>787</v>
      </c>
      <c r="AD550">
        <v>54.1</v>
      </c>
      <c r="AE550" t="s">
        <v>2894</v>
      </c>
      <c r="AG550" t="s">
        <v>3429</v>
      </c>
      <c r="AI550" t="s">
        <v>4298</v>
      </c>
      <c r="AJ550">
        <v>122</v>
      </c>
      <c r="AK550" t="s">
        <v>4466</v>
      </c>
      <c r="AL550">
        <v>3</v>
      </c>
      <c r="AM550">
        <v>0</v>
      </c>
      <c r="AN550">
        <v>167.27</v>
      </c>
      <c r="AQ550" t="s">
        <v>4473</v>
      </c>
      <c r="AR550" t="s">
        <v>2176</v>
      </c>
      <c r="AS550" t="s">
        <v>4486</v>
      </c>
      <c r="AT550">
        <v>35679</v>
      </c>
      <c r="AX550" t="s">
        <v>4501</v>
      </c>
      <c r="BA550" t="s">
        <v>4543</v>
      </c>
      <c r="BD550" t="s">
        <v>114</v>
      </c>
      <c r="BE550" t="s">
        <v>4703</v>
      </c>
    </row>
    <row r="551" spans="1:57">
      <c r="A551" s="1">
        <f>HYPERLINK("https://lsnyc.legalserver.org/matter/dynamic-profile/view/1889459","19-1889459")</f>
        <v>0</v>
      </c>
      <c r="B551" t="s">
        <v>66</v>
      </c>
      <c r="C551" t="s">
        <v>93</v>
      </c>
      <c r="D551" t="s">
        <v>129</v>
      </c>
      <c r="F551" t="s">
        <v>671</v>
      </c>
      <c r="G551" t="s">
        <v>1098</v>
      </c>
      <c r="H551" t="s">
        <v>1766</v>
      </c>
      <c r="I551">
        <v>1005</v>
      </c>
      <c r="J551" t="s">
        <v>2169</v>
      </c>
      <c r="K551" t="s">
        <v>2171</v>
      </c>
      <c r="L551">
        <v>10025</v>
      </c>
      <c r="M551" t="s">
        <v>2173</v>
      </c>
      <c r="N551" t="s">
        <v>2173</v>
      </c>
      <c r="O551" t="s">
        <v>2179</v>
      </c>
      <c r="P551" t="s">
        <v>2704</v>
      </c>
      <c r="Q551">
        <v>25</v>
      </c>
      <c r="R551" t="s">
        <v>2843</v>
      </c>
      <c r="S551" t="s">
        <v>2857</v>
      </c>
      <c r="U551" t="s">
        <v>2869</v>
      </c>
      <c r="V551" t="s">
        <v>2174</v>
      </c>
      <c r="W551" t="s">
        <v>2174</v>
      </c>
      <c r="Y551" t="s">
        <v>2876</v>
      </c>
      <c r="AA551" t="s">
        <v>129</v>
      </c>
      <c r="AB551">
        <v>0</v>
      </c>
      <c r="AC551">
        <v>433.22</v>
      </c>
      <c r="AD551">
        <v>62.05</v>
      </c>
      <c r="AE551" t="s">
        <v>2894</v>
      </c>
      <c r="AG551" t="s">
        <v>3430</v>
      </c>
      <c r="AI551" t="s">
        <v>4299</v>
      </c>
      <c r="AJ551">
        <v>0</v>
      </c>
      <c r="AK551" t="s">
        <v>4456</v>
      </c>
      <c r="AL551">
        <v>1</v>
      </c>
      <c r="AM551">
        <v>0</v>
      </c>
      <c r="AN551">
        <v>70.23</v>
      </c>
      <c r="AQ551" t="s">
        <v>4473</v>
      </c>
      <c r="AR551" t="s">
        <v>4477</v>
      </c>
      <c r="AS551" t="s">
        <v>4486</v>
      </c>
      <c r="AT551">
        <v>8772</v>
      </c>
      <c r="AX551" t="s">
        <v>4501</v>
      </c>
      <c r="BA551" t="s">
        <v>4560</v>
      </c>
      <c r="BD551" t="s">
        <v>117</v>
      </c>
    </row>
    <row r="552" spans="1:57">
      <c r="A552" s="1">
        <f>HYPERLINK("https://lsnyc.legalserver.org/matter/dynamic-profile/view/1890695","19-1890695")</f>
        <v>0</v>
      </c>
      <c r="B552" t="s">
        <v>66</v>
      </c>
      <c r="C552" t="s">
        <v>93</v>
      </c>
      <c r="D552" t="s">
        <v>138</v>
      </c>
      <c r="F552" t="s">
        <v>688</v>
      </c>
      <c r="G552" t="s">
        <v>1080</v>
      </c>
      <c r="H552" t="s">
        <v>1767</v>
      </c>
      <c r="I552" t="s">
        <v>1931</v>
      </c>
      <c r="J552" t="s">
        <v>2169</v>
      </c>
      <c r="K552" t="s">
        <v>2171</v>
      </c>
      <c r="L552">
        <v>10025</v>
      </c>
      <c r="M552" t="s">
        <v>2173</v>
      </c>
      <c r="N552" t="s">
        <v>2173</v>
      </c>
      <c r="O552" t="s">
        <v>2176</v>
      </c>
      <c r="P552" t="s">
        <v>2705</v>
      </c>
      <c r="Q552">
        <v>50</v>
      </c>
      <c r="R552" t="s">
        <v>2843</v>
      </c>
      <c r="S552" t="s">
        <v>2857</v>
      </c>
      <c r="U552" t="s">
        <v>2869</v>
      </c>
      <c r="V552" t="s">
        <v>2174</v>
      </c>
      <c r="W552" t="s">
        <v>2174</v>
      </c>
      <c r="Y552" t="s">
        <v>2875</v>
      </c>
      <c r="AB552">
        <v>0</v>
      </c>
      <c r="AC552">
        <v>1443</v>
      </c>
      <c r="AD552">
        <v>39.65</v>
      </c>
      <c r="AE552" t="s">
        <v>2894</v>
      </c>
      <c r="AG552" t="s">
        <v>3431</v>
      </c>
      <c r="AI552" t="s">
        <v>4300</v>
      </c>
      <c r="AJ552">
        <v>0</v>
      </c>
      <c r="AK552" t="s">
        <v>4461</v>
      </c>
      <c r="AL552">
        <v>2</v>
      </c>
      <c r="AM552">
        <v>0</v>
      </c>
      <c r="AN552">
        <v>175.99</v>
      </c>
      <c r="AQ552" t="s">
        <v>4473</v>
      </c>
      <c r="AR552" t="s">
        <v>4476</v>
      </c>
      <c r="AS552" t="s">
        <v>4486</v>
      </c>
      <c r="AT552">
        <v>29760</v>
      </c>
      <c r="AX552" t="s">
        <v>4504</v>
      </c>
      <c r="BA552" t="s">
        <v>4531</v>
      </c>
      <c r="BD552" t="s">
        <v>98</v>
      </c>
    </row>
    <row r="553" spans="1:57">
      <c r="A553" s="1">
        <f>HYPERLINK("https://lsnyc.legalserver.org/matter/dynamic-profile/view/1891358","19-1891358")</f>
        <v>0</v>
      </c>
      <c r="B553" t="s">
        <v>57</v>
      </c>
      <c r="C553" t="s">
        <v>93</v>
      </c>
      <c r="D553" t="s">
        <v>139</v>
      </c>
      <c r="F553" t="s">
        <v>689</v>
      </c>
      <c r="G553" t="s">
        <v>1193</v>
      </c>
      <c r="H553" t="s">
        <v>1768</v>
      </c>
      <c r="I553" t="s">
        <v>2102</v>
      </c>
      <c r="J553" t="s">
        <v>2169</v>
      </c>
      <c r="K553" t="s">
        <v>2171</v>
      </c>
      <c r="L553">
        <v>10025</v>
      </c>
      <c r="M553" t="s">
        <v>2173</v>
      </c>
      <c r="N553" t="s">
        <v>2173</v>
      </c>
      <c r="P553" t="s">
        <v>2706</v>
      </c>
      <c r="Q553">
        <v>2</v>
      </c>
      <c r="R553" t="s">
        <v>2843</v>
      </c>
      <c r="S553" t="s">
        <v>2857</v>
      </c>
      <c r="U553" t="s">
        <v>2869</v>
      </c>
      <c r="V553" t="s">
        <v>2174</v>
      </c>
      <c r="W553" t="s">
        <v>2174</v>
      </c>
      <c r="Y553" t="s">
        <v>2876</v>
      </c>
      <c r="Z553" t="s">
        <v>2879</v>
      </c>
      <c r="AA553" t="s">
        <v>139</v>
      </c>
      <c r="AB553">
        <v>0</v>
      </c>
      <c r="AC553">
        <v>0</v>
      </c>
      <c r="AD553">
        <v>15.85</v>
      </c>
      <c r="AE553" t="s">
        <v>2894</v>
      </c>
      <c r="AG553" t="s">
        <v>3432</v>
      </c>
      <c r="AI553" t="s">
        <v>4301</v>
      </c>
      <c r="AJ553">
        <v>0</v>
      </c>
      <c r="AK553" t="s">
        <v>4458</v>
      </c>
      <c r="AL553">
        <v>3</v>
      </c>
      <c r="AM553">
        <v>2</v>
      </c>
      <c r="AN553">
        <v>0</v>
      </c>
      <c r="AQ553" t="s">
        <v>4475</v>
      </c>
      <c r="AR553" t="s">
        <v>4476</v>
      </c>
      <c r="AS553" t="s">
        <v>4486</v>
      </c>
      <c r="AT553">
        <v>0</v>
      </c>
      <c r="AX553" t="s">
        <v>4504</v>
      </c>
      <c r="BA553" t="s">
        <v>4539</v>
      </c>
      <c r="BD553" t="s">
        <v>215</v>
      </c>
      <c r="BE553" t="s">
        <v>4703</v>
      </c>
    </row>
    <row r="554" spans="1:57">
      <c r="A554" s="1">
        <f>HYPERLINK("https://lsnyc.legalserver.org/matter/dynamic-profile/view/1892127","19-1892127")</f>
        <v>0</v>
      </c>
      <c r="B554" t="s">
        <v>72</v>
      </c>
      <c r="C554" t="s">
        <v>93</v>
      </c>
      <c r="D554" t="s">
        <v>158</v>
      </c>
      <c r="F554" t="s">
        <v>690</v>
      </c>
      <c r="G554" t="s">
        <v>1194</v>
      </c>
      <c r="H554" t="s">
        <v>1769</v>
      </c>
      <c r="I554" t="s">
        <v>2010</v>
      </c>
      <c r="J554" t="s">
        <v>2169</v>
      </c>
      <c r="K554" t="s">
        <v>2171</v>
      </c>
      <c r="L554">
        <v>10025</v>
      </c>
      <c r="M554" t="s">
        <v>2173</v>
      </c>
      <c r="N554" t="s">
        <v>2173</v>
      </c>
      <c r="O554" t="s">
        <v>2175</v>
      </c>
      <c r="P554" t="s">
        <v>2707</v>
      </c>
      <c r="Q554">
        <v>46</v>
      </c>
      <c r="R554" t="s">
        <v>2843</v>
      </c>
      <c r="S554" t="s">
        <v>2857</v>
      </c>
      <c r="U554" t="s">
        <v>2869</v>
      </c>
      <c r="V554" t="s">
        <v>2174</v>
      </c>
      <c r="W554" t="s">
        <v>2174</v>
      </c>
      <c r="Y554" t="s">
        <v>2875</v>
      </c>
      <c r="Z554" t="s">
        <v>2879</v>
      </c>
      <c r="AA554" t="s">
        <v>158</v>
      </c>
      <c r="AB554">
        <v>0</v>
      </c>
      <c r="AC554">
        <v>383</v>
      </c>
      <c r="AD554">
        <v>7.5</v>
      </c>
      <c r="AE554" t="s">
        <v>2894</v>
      </c>
      <c r="AG554" t="s">
        <v>3433</v>
      </c>
      <c r="AI554" t="s">
        <v>4302</v>
      </c>
      <c r="AJ554">
        <v>0</v>
      </c>
      <c r="AK554" t="s">
        <v>4457</v>
      </c>
      <c r="AL554">
        <v>1</v>
      </c>
      <c r="AM554">
        <v>0</v>
      </c>
      <c r="AN554">
        <v>43.23</v>
      </c>
      <c r="AQ554" t="s">
        <v>4473</v>
      </c>
      <c r="AR554" t="s">
        <v>4476</v>
      </c>
      <c r="AS554" t="s">
        <v>4486</v>
      </c>
      <c r="AT554">
        <v>5400</v>
      </c>
      <c r="AX554" t="s">
        <v>4502</v>
      </c>
      <c r="BA554" t="s">
        <v>4546</v>
      </c>
      <c r="BD554" t="s">
        <v>128</v>
      </c>
      <c r="BE554" t="s">
        <v>4703</v>
      </c>
    </row>
    <row r="555" spans="1:57">
      <c r="A555" s="1">
        <f>HYPERLINK("https://lsnyc.legalserver.org/matter/dynamic-profile/view/1894442","19-1894442")</f>
        <v>0</v>
      </c>
      <c r="B555" t="s">
        <v>64</v>
      </c>
      <c r="C555" t="s">
        <v>93</v>
      </c>
      <c r="D555" t="s">
        <v>94</v>
      </c>
      <c r="F555" t="s">
        <v>549</v>
      </c>
      <c r="G555" t="s">
        <v>1195</v>
      </c>
      <c r="H555" t="s">
        <v>1770</v>
      </c>
      <c r="I555">
        <v>4</v>
      </c>
      <c r="J555" t="s">
        <v>2169</v>
      </c>
      <c r="K555" t="s">
        <v>2171</v>
      </c>
      <c r="L555">
        <v>10025</v>
      </c>
      <c r="M555" t="s">
        <v>2173</v>
      </c>
      <c r="N555" t="s">
        <v>2173</v>
      </c>
      <c r="O555" t="s">
        <v>2175</v>
      </c>
      <c r="P555" t="s">
        <v>2708</v>
      </c>
      <c r="Q555">
        <v>28</v>
      </c>
      <c r="R555" t="s">
        <v>2843</v>
      </c>
      <c r="S555" t="s">
        <v>2857</v>
      </c>
      <c r="U555" t="s">
        <v>2869</v>
      </c>
      <c r="V555" t="s">
        <v>2174</v>
      </c>
      <c r="W555" t="s">
        <v>2174</v>
      </c>
      <c r="Y555" t="s">
        <v>2876</v>
      </c>
      <c r="Z555" t="s">
        <v>2882</v>
      </c>
      <c r="AA555" t="s">
        <v>94</v>
      </c>
      <c r="AB555">
        <v>0</v>
      </c>
      <c r="AC555">
        <v>1260</v>
      </c>
      <c r="AD555">
        <v>66.7</v>
      </c>
      <c r="AE555" t="s">
        <v>2894</v>
      </c>
      <c r="AG555" t="s">
        <v>3434</v>
      </c>
      <c r="AH555" t="s">
        <v>3721</v>
      </c>
      <c r="AI555" t="s">
        <v>4303</v>
      </c>
      <c r="AJ555">
        <v>0</v>
      </c>
      <c r="AK555" t="s">
        <v>4460</v>
      </c>
      <c r="AL555">
        <v>1</v>
      </c>
      <c r="AM555">
        <v>0</v>
      </c>
      <c r="AN555">
        <v>25.71</v>
      </c>
      <c r="AQ555" t="s">
        <v>4473</v>
      </c>
      <c r="AR555" t="s">
        <v>4476</v>
      </c>
      <c r="AS555" t="s">
        <v>4486</v>
      </c>
      <c r="AT555">
        <v>3211</v>
      </c>
      <c r="AX555" t="s">
        <v>4504</v>
      </c>
      <c r="BA555" t="s">
        <v>4551</v>
      </c>
      <c r="BD555" t="s">
        <v>213</v>
      </c>
      <c r="BE555" t="s">
        <v>4704</v>
      </c>
    </row>
    <row r="556" spans="1:57">
      <c r="A556" s="1">
        <f>HYPERLINK("https://lsnyc.legalserver.org/matter/dynamic-profile/view/1895813","19-1895813")</f>
        <v>0</v>
      </c>
      <c r="B556" t="s">
        <v>58</v>
      </c>
      <c r="C556" t="s">
        <v>93</v>
      </c>
      <c r="D556" t="s">
        <v>141</v>
      </c>
      <c r="F556" t="s">
        <v>691</v>
      </c>
      <c r="G556" t="s">
        <v>972</v>
      </c>
      <c r="H556" t="s">
        <v>1771</v>
      </c>
      <c r="I556" t="s">
        <v>2077</v>
      </c>
      <c r="J556" t="s">
        <v>2169</v>
      </c>
      <c r="K556" t="s">
        <v>2171</v>
      </c>
      <c r="L556">
        <v>10025</v>
      </c>
      <c r="M556" t="s">
        <v>2173</v>
      </c>
      <c r="N556" t="s">
        <v>2173</v>
      </c>
      <c r="O556" t="s">
        <v>2179</v>
      </c>
      <c r="P556" t="s">
        <v>2709</v>
      </c>
      <c r="Q556">
        <v>0</v>
      </c>
      <c r="R556" t="s">
        <v>2843</v>
      </c>
      <c r="S556" t="s">
        <v>2857</v>
      </c>
      <c r="U556" t="s">
        <v>2869</v>
      </c>
      <c r="V556" t="s">
        <v>2174</v>
      </c>
      <c r="W556" t="s">
        <v>2174</v>
      </c>
      <c r="Y556" t="s">
        <v>2876</v>
      </c>
      <c r="AA556" t="s">
        <v>141</v>
      </c>
      <c r="AB556">
        <v>0</v>
      </c>
      <c r="AC556">
        <v>1112</v>
      </c>
      <c r="AD556">
        <v>8</v>
      </c>
      <c r="AE556" t="s">
        <v>2894</v>
      </c>
      <c r="AG556" t="s">
        <v>3435</v>
      </c>
      <c r="AI556" t="s">
        <v>4304</v>
      </c>
      <c r="AJ556">
        <v>12</v>
      </c>
      <c r="AK556" t="s">
        <v>4458</v>
      </c>
      <c r="AL556">
        <v>1</v>
      </c>
      <c r="AM556">
        <v>0</v>
      </c>
      <c r="AN556">
        <v>0</v>
      </c>
      <c r="AQ556" t="s">
        <v>4473</v>
      </c>
      <c r="AR556" t="s">
        <v>4476</v>
      </c>
      <c r="AS556" t="s">
        <v>4486</v>
      </c>
      <c r="AT556">
        <v>0</v>
      </c>
      <c r="AX556" t="s">
        <v>4504</v>
      </c>
      <c r="BA556" t="s">
        <v>4539</v>
      </c>
      <c r="BD556" t="s">
        <v>146</v>
      </c>
      <c r="BE556" t="s">
        <v>4703</v>
      </c>
    </row>
    <row r="557" spans="1:57">
      <c r="A557" s="1">
        <f>HYPERLINK("https://lsnyc.legalserver.org/matter/dynamic-profile/view/1896170","19-1896170")</f>
        <v>0</v>
      </c>
      <c r="B557" t="s">
        <v>77</v>
      </c>
      <c r="C557" t="s">
        <v>92</v>
      </c>
      <c r="D557" t="s">
        <v>142</v>
      </c>
      <c r="E557" t="s">
        <v>155</v>
      </c>
      <c r="F557" t="s">
        <v>610</v>
      </c>
      <c r="G557" t="s">
        <v>885</v>
      </c>
      <c r="H557" t="s">
        <v>1772</v>
      </c>
      <c r="I557" t="s">
        <v>1980</v>
      </c>
      <c r="J557" t="s">
        <v>2169</v>
      </c>
      <c r="K557" t="s">
        <v>2171</v>
      </c>
      <c r="L557">
        <v>10025</v>
      </c>
      <c r="M557" t="s">
        <v>2173</v>
      </c>
      <c r="N557" t="s">
        <v>2173</v>
      </c>
      <c r="O557" t="s">
        <v>2179</v>
      </c>
      <c r="Q557">
        <v>4</v>
      </c>
      <c r="R557" t="s">
        <v>2843</v>
      </c>
      <c r="S557" t="s">
        <v>2857</v>
      </c>
      <c r="T557" t="s">
        <v>2867</v>
      </c>
      <c r="U557" t="s">
        <v>2869</v>
      </c>
      <c r="V557" t="s">
        <v>2174</v>
      </c>
      <c r="W557" t="s">
        <v>2174</v>
      </c>
      <c r="Y557" t="s">
        <v>2876</v>
      </c>
      <c r="Z557" t="s">
        <v>2879</v>
      </c>
      <c r="AA557" t="s">
        <v>142</v>
      </c>
      <c r="AB557">
        <v>0</v>
      </c>
      <c r="AC557">
        <v>1100</v>
      </c>
      <c r="AD557">
        <v>15.15</v>
      </c>
      <c r="AE557" t="s">
        <v>2894</v>
      </c>
      <c r="AF557" t="s">
        <v>2901</v>
      </c>
      <c r="AG557" t="s">
        <v>3436</v>
      </c>
      <c r="AI557" t="s">
        <v>4305</v>
      </c>
      <c r="AJ557">
        <v>0</v>
      </c>
      <c r="AL557">
        <v>2</v>
      </c>
      <c r="AM557">
        <v>0</v>
      </c>
      <c r="AN557">
        <v>153.76</v>
      </c>
      <c r="AQ557" t="s">
        <v>4473</v>
      </c>
      <c r="AT557">
        <v>26000</v>
      </c>
      <c r="AX557" t="s">
        <v>4506</v>
      </c>
      <c r="AY557" t="s">
        <v>4516</v>
      </c>
      <c r="BA557" t="s">
        <v>4546</v>
      </c>
      <c r="BB557" t="s">
        <v>4634</v>
      </c>
      <c r="BC557" t="s">
        <v>4656</v>
      </c>
      <c r="BD557" t="s">
        <v>155</v>
      </c>
    </row>
    <row r="558" spans="1:57">
      <c r="A558" s="1">
        <f>HYPERLINK("https://lsnyc.legalserver.org/matter/dynamic-profile/view/1896260","19-1896260")</f>
        <v>0</v>
      </c>
      <c r="B558" t="s">
        <v>57</v>
      </c>
      <c r="C558" t="s">
        <v>92</v>
      </c>
      <c r="D558" t="s">
        <v>142</v>
      </c>
      <c r="E558" t="s">
        <v>216</v>
      </c>
      <c r="F558" t="s">
        <v>692</v>
      </c>
      <c r="G558" t="s">
        <v>1196</v>
      </c>
      <c r="H558" t="s">
        <v>1773</v>
      </c>
      <c r="J558" t="s">
        <v>2169</v>
      </c>
      <c r="K558" t="s">
        <v>2171</v>
      </c>
      <c r="L558">
        <v>10025</v>
      </c>
      <c r="M558" t="s">
        <v>2173</v>
      </c>
      <c r="N558" t="s">
        <v>2172</v>
      </c>
      <c r="P558" t="s">
        <v>2710</v>
      </c>
      <c r="Q558">
        <v>0</v>
      </c>
      <c r="R558" t="s">
        <v>2843</v>
      </c>
      <c r="S558" t="s">
        <v>2856</v>
      </c>
      <c r="T558" t="s">
        <v>2863</v>
      </c>
      <c r="U558" t="s">
        <v>2869</v>
      </c>
      <c r="V558" t="s">
        <v>2174</v>
      </c>
      <c r="W558" t="s">
        <v>2174</v>
      </c>
      <c r="Y558" t="s">
        <v>2876</v>
      </c>
      <c r="AB558">
        <v>0</v>
      </c>
      <c r="AC558">
        <v>0</v>
      </c>
      <c r="AD558">
        <v>1.2</v>
      </c>
      <c r="AE558" t="s">
        <v>2894</v>
      </c>
      <c r="AF558" t="s">
        <v>2896</v>
      </c>
      <c r="AG558" t="s">
        <v>3437</v>
      </c>
      <c r="AI558" t="s">
        <v>4306</v>
      </c>
      <c r="AJ558">
        <v>124</v>
      </c>
      <c r="AL558">
        <v>5</v>
      </c>
      <c r="AM558">
        <v>0</v>
      </c>
      <c r="AN558">
        <v>361.29</v>
      </c>
      <c r="AS558" t="s">
        <v>4486</v>
      </c>
      <c r="AT558">
        <v>109000</v>
      </c>
      <c r="AX558" t="s">
        <v>86</v>
      </c>
      <c r="BA558" t="s">
        <v>4546</v>
      </c>
      <c r="BD558" t="s">
        <v>212</v>
      </c>
    </row>
    <row r="559" spans="1:57">
      <c r="A559" s="1">
        <f>HYPERLINK("https://lsnyc.legalserver.org/matter/dynamic-profile/view/1896513","19-1896513")</f>
        <v>0</v>
      </c>
      <c r="B559" t="s">
        <v>66</v>
      </c>
      <c r="C559" t="s">
        <v>93</v>
      </c>
      <c r="D559" t="s">
        <v>143</v>
      </c>
      <c r="F559" t="s">
        <v>264</v>
      </c>
      <c r="G559" t="s">
        <v>460</v>
      </c>
      <c r="H559" t="s">
        <v>1774</v>
      </c>
      <c r="I559">
        <v>512</v>
      </c>
      <c r="J559" t="s">
        <v>2169</v>
      </c>
      <c r="K559" t="s">
        <v>2171</v>
      </c>
      <c r="L559">
        <v>10025</v>
      </c>
      <c r="M559" t="s">
        <v>2173</v>
      </c>
      <c r="N559" t="s">
        <v>2173</v>
      </c>
      <c r="O559" t="s">
        <v>2179</v>
      </c>
      <c r="P559" t="s">
        <v>2711</v>
      </c>
      <c r="Q559">
        <v>16</v>
      </c>
      <c r="R559" t="s">
        <v>2843</v>
      </c>
      <c r="S559" t="s">
        <v>2857</v>
      </c>
      <c r="U559" t="s">
        <v>2869</v>
      </c>
      <c r="V559" t="s">
        <v>2174</v>
      </c>
      <c r="W559" t="s">
        <v>2174</v>
      </c>
      <c r="Y559" t="s">
        <v>2876</v>
      </c>
      <c r="AA559" t="s">
        <v>143</v>
      </c>
      <c r="AB559">
        <v>0</v>
      </c>
      <c r="AC559">
        <v>254</v>
      </c>
      <c r="AD559">
        <v>16.3</v>
      </c>
      <c r="AE559" t="s">
        <v>2894</v>
      </c>
      <c r="AG559" t="s">
        <v>3438</v>
      </c>
      <c r="AI559" t="s">
        <v>4307</v>
      </c>
      <c r="AJ559">
        <v>0</v>
      </c>
      <c r="AK559" t="s">
        <v>4458</v>
      </c>
      <c r="AL559">
        <v>1</v>
      </c>
      <c r="AM559">
        <v>0</v>
      </c>
      <c r="AN559">
        <v>83.48999999999999</v>
      </c>
      <c r="AR559" t="s">
        <v>4478</v>
      </c>
      <c r="AS559" t="s">
        <v>4486</v>
      </c>
      <c r="AT559">
        <v>10428</v>
      </c>
      <c r="AX559" t="s">
        <v>4501</v>
      </c>
      <c r="BA559" t="s">
        <v>4538</v>
      </c>
      <c r="BD559" t="s">
        <v>213</v>
      </c>
      <c r="BE559" t="s">
        <v>4703</v>
      </c>
    </row>
    <row r="560" spans="1:57">
      <c r="A560" s="1">
        <f>HYPERLINK("https://lsnyc.legalserver.org/matter/dynamic-profile/view/1899296","19-1899296")</f>
        <v>0</v>
      </c>
      <c r="B560" t="s">
        <v>67</v>
      </c>
      <c r="C560" t="s">
        <v>93</v>
      </c>
      <c r="D560" t="s">
        <v>113</v>
      </c>
      <c r="F560" t="s">
        <v>693</v>
      </c>
      <c r="G560" t="s">
        <v>1197</v>
      </c>
      <c r="H560" t="s">
        <v>1775</v>
      </c>
      <c r="I560" t="s">
        <v>2103</v>
      </c>
      <c r="J560" t="s">
        <v>2169</v>
      </c>
      <c r="K560" t="s">
        <v>2171</v>
      </c>
      <c r="L560">
        <v>10025</v>
      </c>
      <c r="M560" t="s">
        <v>2173</v>
      </c>
      <c r="N560" t="s">
        <v>2172</v>
      </c>
      <c r="O560" t="s">
        <v>2175</v>
      </c>
      <c r="P560" t="s">
        <v>2712</v>
      </c>
      <c r="Q560">
        <v>40</v>
      </c>
      <c r="R560" t="s">
        <v>2843</v>
      </c>
      <c r="U560" t="s">
        <v>2869</v>
      </c>
      <c r="V560" t="s">
        <v>2174</v>
      </c>
      <c r="W560" t="s">
        <v>2872</v>
      </c>
      <c r="Y560" t="s">
        <v>2875</v>
      </c>
      <c r="AA560" t="s">
        <v>113</v>
      </c>
      <c r="AB560">
        <v>0</v>
      </c>
      <c r="AC560">
        <v>236</v>
      </c>
      <c r="AD560">
        <v>18.35</v>
      </c>
      <c r="AE560" t="s">
        <v>2894</v>
      </c>
      <c r="AG560" t="s">
        <v>3439</v>
      </c>
      <c r="AI560" t="s">
        <v>4308</v>
      </c>
      <c r="AJ560">
        <v>0</v>
      </c>
      <c r="AL560">
        <v>1</v>
      </c>
      <c r="AM560">
        <v>0</v>
      </c>
      <c r="AN560">
        <v>72.44</v>
      </c>
      <c r="AR560" t="s">
        <v>4482</v>
      </c>
      <c r="AS560" t="s">
        <v>4486</v>
      </c>
      <c r="AT560">
        <v>9048</v>
      </c>
      <c r="AX560" t="s">
        <v>4507</v>
      </c>
      <c r="BA560" t="s">
        <v>4531</v>
      </c>
      <c r="BD560" t="s">
        <v>208</v>
      </c>
      <c r="BE560" t="s">
        <v>4703</v>
      </c>
    </row>
    <row r="561" spans="1:57">
      <c r="A561" s="1">
        <f>HYPERLINK("https://lsnyc.legalserver.org/matter/dynamic-profile/view/1902167","19-1902167")</f>
        <v>0</v>
      </c>
      <c r="B561" t="s">
        <v>68</v>
      </c>
      <c r="C561" t="s">
        <v>93</v>
      </c>
      <c r="D561" t="s">
        <v>136</v>
      </c>
      <c r="F561" t="s">
        <v>382</v>
      </c>
      <c r="G561" t="s">
        <v>1198</v>
      </c>
      <c r="H561" t="s">
        <v>1776</v>
      </c>
      <c r="I561" t="s">
        <v>1910</v>
      </c>
      <c r="J561" t="s">
        <v>2169</v>
      </c>
      <c r="K561" t="s">
        <v>2171</v>
      </c>
      <c r="L561">
        <v>10025</v>
      </c>
      <c r="M561" t="s">
        <v>2173</v>
      </c>
      <c r="N561" t="s">
        <v>2172</v>
      </c>
      <c r="O561" t="s">
        <v>2179</v>
      </c>
      <c r="P561" t="s">
        <v>2713</v>
      </c>
      <c r="Q561">
        <v>31</v>
      </c>
      <c r="R561" t="s">
        <v>2843</v>
      </c>
      <c r="S561" t="s">
        <v>2857</v>
      </c>
      <c r="U561" t="s">
        <v>2869</v>
      </c>
      <c r="V561" t="s">
        <v>2174</v>
      </c>
      <c r="W561" t="s">
        <v>2174</v>
      </c>
      <c r="Y561" t="s">
        <v>2876</v>
      </c>
      <c r="AA561" t="s">
        <v>136</v>
      </c>
      <c r="AB561">
        <v>0</v>
      </c>
      <c r="AC561">
        <v>791</v>
      </c>
      <c r="AD561">
        <v>7.7</v>
      </c>
      <c r="AE561" t="s">
        <v>2894</v>
      </c>
      <c r="AG561" t="s">
        <v>3440</v>
      </c>
      <c r="AI561" t="s">
        <v>4309</v>
      </c>
      <c r="AJ561">
        <v>0</v>
      </c>
      <c r="AK561" t="s">
        <v>4458</v>
      </c>
      <c r="AL561">
        <v>2</v>
      </c>
      <c r="AM561">
        <v>1</v>
      </c>
      <c r="AN561">
        <v>55.32</v>
      </c>
      <c r="AS561" t="s">
        <v>4486</v>
      </c>
      <c r="AT561">
        <v>11800</v>
      </c>
      <c r="AX561" t="s">
        <v>4507</v>
      </c>
      <c r="BA561" t="s">
        <v>4546</v>
      </c>
      <c r="BD561" t="s">
        <v>4673</v>
      </c>
      <c r="BE561" t="s">
        <v>4703</v>
      </c>
    </row>
    <row r="562" spans="1:57">
      <c r="A562" s="1">
        <f>HYPERLINK("https://lsnyc.legalserver.org/matter/dynamic-profile/view/1902722","19-1902722")</f>
        <v>0</v>
      </c>
      <c r="B562" t="s">
        <v>64</v>
      </c>
      <c r="C562" t="s">
        <v>92</v>
      </c>
      <c r="D562" t="s">
        <v>175</v>
      </c>
      <c r="E562" t="s">
        <v>114</v>
      </c>
      <c r="F562" t="s">
        <v>694</v>
      </c>
      <c r="G562" t="s">
        <v>1199</v>
      </c>
      <c r="H562" t="s">
        <v>1777</v>
      </c>
      <c r="I562" t="s">
        <v>2104</v>
      </c>
      <c r="J562" t="s">
        <v>2169</v>
      </c>
      <c r="K562" t="s">
        <v>2171</v>
      </c>
      <c r="L562">
        <v>10025</v>
      </c>
      <c r="M562" t="s">
        <v>2173</v>
      </c>
      <c r="N562" t="s">
        <v>2172</v>
      </c>
      <c r="O562" t="s">
        <v>2179</v>
      </c>
      <c r="P562" t="s">
        <v>2714</v>
      </c>
      <c r="Q562">
        <v>1</v>
      </c>
      <c r="R562" t="s">
        <v>2843</v>
      </c>
      <c r="S562" t="s">
        <v>2857</v>
      </c>
      <c r="T562" t="s">
        <v>2866</v>
      </c>
      <c r="U562" t="s">
        <v>2869</v>
      </c>
      <c r="V562" t="s">
        <v>2174</v>
      </c>
      <c r="W562" t="s">
        <v>2174</v>
      </c>
      <c r="Y562" t="s">
        <v>2876</v>
      </c>
      <c r="Z562" t="s">
        <v>2879</v>
      </c>
      <c r="AA562" t="s">
        <v>175</v>
      </c>
      <c r="AB562">
        <v>0</v>
      </c>
      <c r="AC562">
        <v>0</v>
      </c>
      <c r="AD562">
        <v>9.4</v>
      </c>
      <c r="AE562" t="s">
        <v>2894</v>
      </c>
      <c r="AF562" t="s">
        <v>2905</v>
      </c>
      <c r="AG562" t="s">
        <v>3441</v>
      </c>
      <c r="AI562" t="s">
        <v>4310</v>
      </c>
      <c r="AJ562">
        <v>0</v>
      </c>
      <c r="AK562" t="s">
        <v>4458</v>
      </c>
      <c r="AL562">
        <v>2</v>
      </c>
      <c r="AM562">
        <v>2</v>
      </c>
      <c r="AN562">
        <v>161.55</v>
      </c>
      <c r="AR562" t="s">
        <v>4476</v>
      </c>
      <c r="AS562" t="s">
        <v>4486</v>
      </c>
      <c r="AT562">
        <v>41600</v>
      </c>
      <c r="AX562" t="s">
        <v>4501</v>
      </c>
      <c r="AY562" t="s">
        <v>4518</v>
      </c>
      <c r="AZ562" t="s">
        <v>4530</v>
      </c>
      <c r="BA562" t="s">
        <v>4546</v>
      </c>
      <c r="BB562" t="s">
        <v>4633</v>
      </c>
      <c r="BC562" t="s">
        <v>4667</v>
      </c>
      <c r="BD562" t="s">
        <v>114</v>
      </c>
      <c r="BE562" t="s">
        <v>4704</v>
      </c>
    </row>
    <row r="563" spans="1:57">
      <c r="A563" s="1">
        <f>HYPERLINK("https://lsnyc.legalserver.org/matter/dynamic-profile/view/1907348","19-1907348")</f>
        <v>0</v>
      </c>
      <c r="B563" t="s">
        <v>62</v>
      </c>
      <c r="C563" t="s">
        <v>93</v>
      </c>
      <c r="D563" t="s">
        <v>178</v>
      </c>
      <c r="F563" t="s">
        <v>621</v>
      </c>
      <c r="G563" t="s">
        <v>1200</v>
      </c>
      <c r="H563" t="s">
        <v>1778</v>
      </c>
      <c r="I563" t="s">
        <v>2105</v>
      </c>
      <c r="J563" t="s">
        <v>2169</v>
      </c>
      <c r="K563" t="s">
        <v>2171</v>
      </c>
      <c r="L563">
        <v>10025</v>
      </c>
      <c r="M563" t="s">
        <v>2173</v>
      </c>
      <c r="N563" t="s">
        <v>2172</v>
      </c>
      <c r="O563" t="s">
        <v>2179</v>
      </c>
      <c r="P563" t="s">
        <v>2715</v>
      </c>
      <c r="Q563">
        <v>30</v>
      </c>
      <c r="R563" t="s">
        <v>2843</v>
      </c>
      <c r="S563" t="s">
        <v>2857</v>
      </c>
      <c r="U563" t="s">
        <v>2869</v>
      </c>
      <c r="V563" t="s">
        <v>2174</v>
      </c>
      <c r="W563" t="s">
        <v>2174</v>
      </c>
      <c r="Y563" t="s">
        <v>2876</v>
      </c>
      <c r="Z563" t="s">
        <v>2883</v>
      </c>
      <c r="AB563">
        <v>0</v>
      </c>
      <c r="AC563">
        <v>2500</v>
      </c>
      <c r="AD563">
        <v>16</v>
      </c>
      <c r="AE563" t="s">
        <v>2894</v>
      </c>
      <c r="AG563" t="s">
        <v>3442</v>
      </c>
      <c r="AI563" t="s">
        <v>4311</v>
      </c>
      <c r="AJ563">
        <v>0</v>
      </c>
      <c r="AK563" t="s">
        <v>4466</v>
      </c>
      <c r="AL563">
        <v>1</v>
      </c>
      <c r="AM563">
        <v>0</v>
      </c>
      <c r="AN563">
        <v>62.45</v>
      </c>
      <c r="AR563" t="s">
        <v>4478</v>
      </c>
      <c r="AS563" t="s">
        <v>4486</v>
      </c>
      <c r="AT563">
        <v>7800</v>
      </c>
      <c r="AX563" t="s">
        <v>4504</v>
      </c>
      <c r="BA563" t="s">
        <v>4545</v>
      </c>
      <c r="BD563" t="s">
        <v>217</v>
      </c>
      <c r="BE563" t="s">
        <v>4703</v>
      </c>
    </row>
    <row r="564" spans="1:57">
      <c r="A564" s="1">
        <f>HYPERLINK("https://lsnyc.legalserver.org/matter/dynamic-profile/view/1908372","19-1908372")</f>
        <v>0</v>
      </c>
      <c r="B564" t="s">
        <v>63</v>
      </c>
      <c r="C564" t="s">
        <v>93</v>
      </c>
      <c r="D564" t="s">
        <v>194</v>
      </c>
      <c r="F564" t="s">
        <v>695</v>
      </c>
      <c r="G564" t="s">
        <v>1201</v>
      </c>
      <c r="H564" t="s">
        <v>1779</v>
      </c>
      <c r="I564" t="s">
        <v>1922</v>
      </c>
      <c r="J564" t="s">
        <v>2169</v>
      </c>
      <c r="K564" t="s">
        <v>2171</v>
      </c>
      <c r="L564">
        <v>10025</v>
      </c>
      <c r="M564" t="s">
        <v>2173</v>
      </c>
      <c r="N564" t="s">
        <v>2172</v>
      </c>
      <c r="O564" t="s">
        <v>2175</v>
      </c>
      <c r="P564" t="s">
        <v>2716</v>
      </c>
      <c r="Q564">
        <v>37</v>
      </c>
      <c r="R564" t="s">
        <v>2843</v>
      </c>
      <c r="S564" t="s">
        <v>2857</v>
      </c>
      <c r="U564" t="s">
        <v>2869</v>
      </c>
      <c r="V564" t="s">
        <v>2174</v>
      </c>
      <c r="W564" t="s">
        <v>2174</v>
      </c>
      <c r="Y564" t="s">
        <v>2876</v>
      </c>
      <c r="Z564" t="s">
        <v>2879</v>
      </c>
      <c r="AA564" t="s">
        <v>194</v>
      </c>
      <c r="AB564">
        <v>0</v>
      </c>
      <c r="AC564">
        <v>732.95</v>
      </c>
      <c r="AD564">
        <v>17</v>
      </c>
      <c r="AE564" t="s">
        <v>2894</v>
      </c>
      <c r="AG564" t="s">
        <v>3443</v>
      </c>
      <c r="AI564" t="s">
        <v>4312</v>
      </c>
      <c r="AJ564">
        <v>35</v>
      </c>
      <c r="AK564" t="s">
        <v>4456</v>
      </c>
      <c r="AL564">
        <v>2</v>
      </c>
      <c r="AM564">
        <v>0</v>
      </c>
      <c r="AN564">
        <v>75.22</v>
      </c>
      <c r="AR564" t="s">
        <v>4477</v>
      </c>
      <c r="AS564" t="s">
        <v>4486</v>
      </c>
      <c r="AT564">
        <v>12720</v>
      </c>
      <c r="AX564" t="s">
        <v>4504</v>
      </c>
      <c r="BA564" t="s">
        <v>4548</v>
      </c>
      <c r="BD564" t="s">
        <v>197</v>
      </c>
      <c r="BE564" t="s">
        <v>4703</v>
      </c>
    </row>
    <row r="565" spans="1:57">
      <c r="A565" s="1">
        <f>HYPERLINK("https://lsnyc.legalserver.org/matter/dynamic-profile/view/1890906","19-1890906")</f>
        <v>0</v>
      </c>
      <c r="B565" t="s">
        <v>87</v>
      </c>
      <c r="C565" t="s">
        <v>93</v>
      </c>
      <c r="D565" t="s">
        <v>195</v>
      </c>
      <c r="F565" t="s">
        <v>696</v>
      </c>
      <c r="G565" t="s">
        <v>1202</v>
      </c>
      <c r="H565" t="s">
        <v>1780</v>
      </c>
      <c r="I565" t="s">
        <v>2106</v>
      </c>
      <c r="J565" t="s">
        <v>2169</v>
      </c>
      <c r="K565" t="s">
        <v>2171</v>
      </c>
      <c r="L565">
        <v>10025</v>
      </c>
      <c r="M565" t="s">
        <v>2174</v>
      </c>
      <c r="N565" t="s">
        <v>2174</v>
      </c>
      <c r="O565" t="s">
        <v>2180</v>
      </c>
      <c r="Q565">
        <v>45</v>
      </c>
      <c r="R565" t="s">
        <v>2841</v>
      </c>
      <c r="S565" t="s">
        <v>2856</v>
      </c>
      <c r="U565" t="s">
        <v>2868</v>
      </c>
      <c r="V565" t="s">
        <v>2174</v>
      </c>
      <c r="W565" t="s">
        <v>2174</v>
      </c>
      <c r="Y565" t="s">
        <v>2875</v>
      </c>
      <c r="AB565">
        <v>0</v>
      </c>
      <c r="AC565">
        <v>250</v>
      </c>
      <c r="AD565">
        <v>0.35</v>
      </c>
      <c r="AE565" t="s">
        <v>2894</v>
      </c>
      <c r="AG565" t="s">
        <v>3444</v>
      </c>
      <c r="AJ565">
        <v>0</v>
      </c>
      <c r="AK565" t="s">
        <v>4457</v>
      </c>
      <c r="AL565">
        <v>2</v>
      </c>
      <c r="AM565">
        <v>2</v>
      </c>
      <c r="AN565">
        <v>34.72</v>
      </c>
      <c r="AQ565" t="s">
        <v>4474</v>
      </c>
      <c r="AR565" t="s">
        <v>4476</v>
      </c>
      <c r="AS565" t="s">
        <v>4486</v>
      </c>
      <c r="AT565">
        <v>8940</v>
      </c>
      <c r="AX565" t="s">
        <v>4504</v>
      </c>
      <c r="BA565" t="s">
        <v>4548</v>
      </c>
      <c r="BD565" t="s">
        <v>130</v>
      </c>
    </row>
    <row r="566" spans="1:57">
      <c r="A566" s="1">
        <f>HYPERLINK("https://lsnyc.legalserver.org/matter/dynamic-profile/view/1895043","19-1895043")</f>
        <v>0</v>
      </c>
      <c r="B566" t="s">
        <v>57</v>
      </c>
      <c r="C566" t="s">
        <v>92</v>
      </c>
      <c r="D566" t="s">
        <v>94</v>
      </c>
      <c r="E566" t="s">
        <v>162</v>
      </c>
      <c r="F566" t="s">
        <v>346</v>
      </c>
      <c r="G566" t="s">
        <v>1203</v>
      </c>
      <c r="H566" t="s">
        <v>1781</v>
      </c>
      <c r="I566" t="s">
        <v>2107</v>
      </c>
      <c r="J566" t="s">
        <v>2169</v>
      </c>
      <c r="K566" t="s">
        <v>2171</v>
      </c>
      <c r="L566">
        <v>10025</v>
      </c>
      <c r="M566" t="s">
        <v>2172</v>
      </c>
      <c r="N566" t="s">
        <v>2172</v>
      </c>
      <c r="Q566">
        <v>18</v>
      </c>
      <c r="R566" t="s">
        <v>2841</v>
      </c>
      <c r="S566" t="s">
        <v>2856</v>
      </c>
      <c r="T566" t="s">
        <v>2863</v>
      </c>
      <c r="U566" t="s">
        <v>2868</v>
      </c>
      <c r="V566" t="s">
        <v>2174</v>
      </c>
      <c r="Y566" t="s">
        <v>2876</v>
      </c>
      <c r="AB566">
        <v>0</v>
      </c>
      <c r="AC566">
        <v>700</v>
      </c>
      <c r="AD566">
        <v>0.1</v>
      </c>
      <c r="AE566" t="s">
        <v>2894</v>
      </c>
      <c r="AF566" t="s">
        <v>2896</v>
      </c>
      <c r="AG566" t="s">
        <v>2963</v>
      </c>
      <c r="AJ566">
        <v>0</v>
      </c>
      <c r="AL566">
        <v>2</v>
      </c>
      <c r="AM566">
        <v>0</v>
      </c>
      <c r="AN566">
        <v>70.95999999999999</v>
      </c>
      <c r="AS566" t="s">
        <v>4486</v>
      </c>
      <c r="AT566">
        <v>12000</v>
      </c>
      <c r="AX566" t="s">
        <v>4499</v>
      </c>
      <c r="BA566" t="s">
        <v>4531</v>
      </c>
      <c r="BD566" t="s">
        <v>144</v>
      </c>
    </row>
    <row r="567" spans="1:57">
      <c r="A567" s="1">
        <f>HYPERLINK("https://lsnyc.legalserver.org/matter/dynamic-profile/view/1886812","19-1886812")</f>
        <v>0</v>
      </c>
      <c r="B567" t="s">
        <v>63</v>
      </c>
      <c r="C567" t="s">
        <v>93</v>
      </c>
      <c r="D567" t="s">
        <v>157</v>
      </c>
      <c r="F567" t="s">
        <v>334</v>
      </c>
      <c r="G567" t="s">
        <v>809</v>
      </c>
      <c r="H567" t="s">
        <v>1782</v>
      </c>
      <c r="I567">
        <v>10</v>
      </c>
      <c r="J567" t="s">
        <v>2169</v>
      </c>
      <c r="K567" t="s">
        <v>2171</v>
      </c>
      <c r="L567">
        <v>10025</v>
      </c>
      <c r="M567" t="s">
        <v>2173</v>
      </c>
      <c r="N567" t="s">
        <v>2173</v>
      </c>
      <c r="O567" t="s">
        <v>2175</v>
      </c>
      <c r="P567" t="s">
        <v>2717</v>
      </c>
      <c r="Q567">
        <v>38</v>
      </c>
      <c r="R567" t="s">
        <v>2844</v>
      </c>
      <c r="S567" t="s">
        <v>2857</v>
      </c>
      <c r="U567" t="s">
        <v>2869</v>
      </c>
      <c r="V567" t="s">
        <v>2174</v>
      </c>
      <c r="W567" t="s">
        <v>2174</v>
      </c>
      <c r="Y567" t="s">
        <v>2876</v>
      </c>
      <c r="AA567" t="s">
        <v>157</v>
      </c>
      <c r="AB567">
        <v>0</v>
      </c>
      <c r="AC567">
        <v>631.42</v>
      </c>
      <c r="AD567">
        <v>21.7</v>
      </c>
      <c r="AE567" t="s">
        <v>2894</v>
      </c>
      <c r="AG567" t="s">
        <v>3445</v>
      </c>
      <c r="AI567" t="s">
        <v>4313</v>
      </c>
      <c r="AJ567">
        <v>0</v>
      </c>
      <c r="AK567" t="s">
        <v>4461</v>
      </c>
      <c r="AL567">
        <v>1</v>
      </c>
      <c r="AM567">
        <v>0</v>
      </c>
      <c r="AN567">
        <v>128.5</v>
      </c>
      <c r="AQ567" t="s">
        <v>4473</v>
      </c>
      <c r="AR567" t="s">
        <v>4476</v>
      </c>
      <c r="AS567" t="s">
        <v>4487</v>
      </c>
      <c r="AT567">
        <v>15600</v>
      </c>
      <c r="AX567" t="s">
        <v>4501</v>
      </c>
      <c r="BA567" t="s">
        <v>4546</v>
      </c>
      <c r="BD567" t="s">
        <v>176</v>
      </c>
      <c r="BE567" t="s">
        <v>4703</v>
      </c>
    </row>
    <row r="568" spans="1:57">
      <c r="A568" s="1">
        <f>HYPERLINK("https://lsnyc.legalserver.org/matter/dynamic-profile/view/1887449","19-1887449")</f>
        <v>0</v>
      </c>
      <c r="B568" t="s">
        <v>62</v>
      </c>
      <c r="C568" t="s">
        <v>93</v>
      </c>
      <c r="D568" t="s">
        <v>134</v>
      </c>
      <c r="F568" t="s">
        <v>697</v>
      </c>
      <c r="G568" t="s">
        <v>1204</v>
      </c>
      <c r="H568" t="s">
        <v>1783</v>
      </c>
      <c r="I568" t="s">
        <v>2071</v>
      </c>
      <c r="J568" t="s">
        <v>2169</v>
      </c>
      <c r="K568" t="s">
        <v>2171</v>
      </c>
      <c r="L568">
        <v>10025</v>
      </c>
      <c r="M568" t="s">
        <v>2173</v>
      </c>
      <c r="N568" t="s">
        <v>2173</v>
      </c>
      <c r="O568" t="s">
        <v>2179</v>
      </c>
      <c r="P568" t="s">
        <v>2718</v>
      </c>
      <c r="Q568">
        <v>34</v>
      </c>
      <c r="R568" t="s">
        <v>2844</v>
      </c>
      <c r="S568" t="s">
        <v>2857</v>
      </c>
      <c r="U568" t="s">
        <v>2869</v>
      </c>
      <c r="V568" t="s">
        <v>2174</v>
      </c>
      <c r="W568" t="s">
        <v>2174</v>
      </c>
      <c r="Y568" t="s">
        <v>2876</v>
      </c>
      <c r="Z568" t="s">
        <v>2879</v>
      </c>
      <c r="AA568" t="s">
        <v>134</v>
      </c>
      <c r="AB568">
        <v>0</v>
      </c>
      <c r="AC568">
        <v>1106.43</v>
      </c>
      <c r="AD568">
        <v>10.8</v>
      </c>
      <c r="AE568" t="s">
        <v>2894</v>
      </c>
      <c r="AG568" t="s">
        <v>3446</v>
      </c>
      <c r="AI568" t="s">
        <v>4314</v>
      </c>
      <c r="AJ568">
        <v>0</v>
      </c>
      <c r="AK568" t="s">
        <v>4456</v>
      </c>
      <c r="AL568">
        <v>1</v>
      </c>
      <c r="AM568">
        <v>0</v>
      </c>
      <c r="AN568">
        <v>103.79</v>
      </c>
      <c r="AQ568" t="s">
        <v>4473</v>
      </c>
      <c r="AR568" t="s">
        <v>4477</v>
      </c>
      <c r="AS568" t="s">
        <v>4486</v>
      </c>
      <c r="AT568">
        <v>12600</v>
      </c>
      <c r="AX568" t="s">
        <v>4501</v>
      </c>
      <c r="BA568" t="s">
        <v>4624</v>
      </c>
      <c r="BD568" t="s">
        <v>231</v>
      </c>
      <c r="BE568" t="s">
        <v>4703</v>
      </c>
    </row>
    <row r="569" spans="1:57">
      <c r="A569" s="1">
        <f>HYPERLINK("https://lsnyc.legalserver.org/matter/dynamic-profile/view/1888252","19-1888252")</f>
        <v>0</v>
      </c>
      <c r="B569" t="s">
        <v>81</v>
      </c>
      <c r="C569" t="s">
        <v>93</v>
      </c>
      <c r="D569" t="s">
        <v>110</v>
      </c>
      <c r="F569" t="s">
        <v>698</v>
      </c>
      <c r="G569" t="s">
        <v>1205</v>
      </c>
      <c r="H569" t="s">
        <v>1774</v>
      </c>
      <c r="I569">
        <v>617</v>
      </c>
      <c r="J569" t="s">
        <v>2169</v>
      </c>
      <c r="K569" t="s">
        <v>2171</v>
      </c>
      <c r="L569">
        <v>10025</v>
      </c>
      <c r="M569" t="s">
        <v>2173</v>
      </c>
      <c r="N569" t="s">
        <v>2173</v>
      </c>
      <c r="O569" t="s">
        <v>2175</v>
      </c>
      <c r="P569" t="s">
        <v>2719</v>
      </c>
      <c r="Q569">
        <v>1</v>
      </c>
      <c r="R569" t="s">
        <v>2844</v>
      </c>
      <c r="S569" t="s">
        <v>2861</v>
      </c>
      <c r="U569" t="s">
        <v>2869</v>
      </c>
      <c r="V569" t="s">
        <v>2174</v>
      </c>
      <c r="W569" t="s">
        <v>2174</v>
      </c>
      <c r="Y569" t="s">
        <v>2876</v>
      </c>
      <c r="Z569" t="s">
        <v>2879</v>
      </c>
      <c r="AA569" t="s">
        <v>110</v>
      </c>
      <c r="AB569">
        <v>0</v>
      </c>
      <c r="AC569">
        <v>246</v>
      </c>
      <c r="AD569">
        <v>20.6</v>
      </c>
      <c r="AE569" t="s">
        <v>2894</v>
      </c>
      <c r="AG569" t="s">
        <v>3447</v>
      </c>
      <c r="AH569" t="s">
        <v>3722</v>
      </c>
      <c r="AI569" t="s">
        <v>4315</v>
      </c>
      <c r="AJ569">
        <v>0</v>
      </c>
      <c r="AK569" t="s">
        <v>4458</v>
      </c>
      <c r="AL569">
        <v>1</v>
      </c>
      <c r="AM569">
        <v>0</v>
      </c>
      <c r="AN569">
        <v>82.54000000000001</v>
      </c>
      <c r="AQ569" t="s">
        <v>4473</v>
      </c>
      <c r="AR569" t="s">
        <v>4476</v>
      </c>
      <c r="AS569" t="s">
        <v>4486</v>
      </c>
      <c r="AT569">
        <v>10020</v>
      </c>
      <c r="AX569" t="s">
        <v>4504</v>
      </c>
      <c r="BA569" t="s">
        <v>4548</v>
      </c>
      <c r="BD569" t="s">
        <v>4684</v>
      </c>
    </row>
    <row r="570" spans="1:57">
      <c r="A570" s="1">
        <f>HYPERLINK("https://lsnyc.legalserver.org/matter/dynamic-profile/view/1888468","19-1888468")</f>
        <v>0</v>
      </c>
      <c r="B570" t="s">
        <v>66</v>
      </c>
      <c r="C570" t="s">
        <v>93</v>
      </c>
      <c r="D570" t="s">
        <v>103</v>
      </c>
      <c r="F570" t="s">
        <v>699</v>
      </c>
      <c r="G570" t="s">
        <v>1206</v>
      </c>
      <c r="H570" t="s">
        <v>1780</v>
      </c>
      <c r="I570" t="s">
        <v>2108</v>
      </c>
      <c r="J570" t="s">
        <v>2169</v>
      </c>
      <c r="K570" t="s">
        <v>2171</v>
      </c>
      <c r="L570">
        <v>10025</v>
      </c>
      <c r="M570" t="s">
        <v>2173</v>
      </c>
      <c r="N570" t="s">
        <v>2173</v>
      </c>
      <c r="O570" t="s">
        <v>2177</v>
      </c>
      <c r="P570" t="s">
        <v>2720</v>
      </c>
      <c r="Q570">
        <v>2</v>
      </c>
      <c r="R570" t="s">
        <v>2844</v>
      </c>
      <c r="S570" t="s">
        <v>2857</v>
      </c>
      <c r="U570" t="s">
        <v>2869</v>
      </c>
      <c r="V570" t="s">
        <v>2174</v>
      </c>
      <c r="W570" t="s">
        <v>2174</v>
      </c>
      <c r="Y570" t="s">
        <v>2875</v>
      </c>
      <c r="AA570" t="s">
        <v>103</v>
      </c>
      <c r="AB570">
        <v>0</v>
      </c>
      <c r="AC570">
        <v>130</v>
      </c>
      <c r="AD570">
        <v>8.1</v>
      </c>
      <c r="AE570" t="s">
        <v>2894</v>
      </c>
      <c r="AG570" t="s">
        <v>3448</v>
      </c>
      <c r="AI570" t="s">
        <v>4316</v>
      </c>
      <c r="AJ570">
        <v>159</v>
      </c>
      <c r="AL570">
        <v>1</v>
      </c>
      <c r="AM570">
        <v>2</v>
      </c>
      <c r="AN570">
        <v>32.74</v>
      </c>
      <c r="AS570" t="s">
        <v>4486</v>
      </c>
      <c r="AT570">
        <v>6804</v>
      </c>
      <c r="AX570" t="s">
        <v>4499</v>
      </c>
      <c r="BA570" t="s">
        <v>4622</v>
      </c>
      <c r="BD570" t="s">
        <v>4697</v>
      </c>
    </row>
    <row r="571" spans="1:57">
      <c r="A571" s="1">
        <f>HYPERLINK("https://lsnyc.legalserver.org/matter/dynamic-profile/view/1888727","19-1888727")</f>
        <v>0</v>
      </c>
      <c r="B571" t="s">
        <v>75</v>
      </c>
      <c r="C571" t="s">
        <v>93</v>
      </c>
      <c r="D571" t="s">
        <v>179</v>
      </c>
      <c r="F571" t="s">
        <v>700</v>
      </c>
      <c r="G571" t="s">
        <v>1207</v>
      </c>
      <c r="H571" t="s">
        <v>1784</v>
      </c>
      <c r="I571" t="s">
        <v>1932</v>
      </c>
      <c r="J571" t="s">
        <v>2169</v>
      </c>
      <c r="K571" t="s">
        <v>2171</v>
      </c>
      <c r="L571">
        <v>10025</v>
      </c>
      <c r="M571" t="s">
        <v>2173</v>
      </c>
      <c r="N571" t="s">
        <v>2173</v>
      </c>
      <c r="O571" t="s">
        <v>2179</v>
      </c>
      <c r="P571" t="s">
        <v>2721</v>
      </c>
      <c r="Q571">
        <v>20</v>
      </c>
      <c r="R571" t="s">
        <v>2844</v>
      </c>
      <c r="S571" t="s">
        <v>2857</v>
      </c>
      <c r="U571" t="s">
        <v>2869</v>
      </c>
      <c r="V571" t="s">
        <v>2174</v>
      </c>
      <c r="W571" t="s">
        <v>2174</v>
      </c>
      <c r="Y571" t="s">
        <v>2876</v>
      </c>
      <c r="Z571" t="s">
        <v>2879</v>
      </c>
      <c r="AA571" t="s">
        <v>179</v>
      </c>
      <c r="AB571">
        <v>0</v>
      </c>
      <c r="AC571">
        <v>2500</v>
      </c>
      <c r="AD571">
        <v>22.05</v>
      </c>
      <c r="AE571" t="s">
        <v>2894</v>
      </c>
      <c r="AG571" t="s">
        <v>3449</v>
      </c>
      <c r="AI571" t="s">
        <v>4317</v>
      </c>
      <c r="AJ571">
        <v>0</v>
      </c>
      <c r="AK571" t="s">
        <v>4456</v>
      </c>
      <c r="AL571">
        <v>3</v>
      </c>
      <c r="AM571">
        <v>0</v>
      </c>
      <c r="AN571">
        <v>187.53</v>
      </c>
      <c r="AQ571" t="s">
        <v>4473</v>
      </c>
      <c r="AR571" t="s">
        <v>4476</v>
      </c>
      <c r="AS571" t="s">
        <v>4486</v>
      </c>
      <c r="AT571">
        <v>40000</v>
      </c>
      <c r="AX571" t="s">
        <v>4504</v>
      </c>
      <c r="BA571" t="s">
        <v>4545</v>
      </c>
      <c r="BD571" t="s">
        <v>4673</v>
      </c>
    </row>
    <row r="572" spans="1:57">
      <c r="A572" s="1">
        <f>HYPERLINK("https://lsnyc.legalserver.org/matter/dynamic-profile/view/1888752","19-1888752")</f>
        <v>0</v>
      </c>
      <c r="B572" t="s">
        <v>64</v>
      </c>
      <c r="C572" t="s">
        <v>93</v>
      </c>
      <c r="D572" t="s">
        <v>179</v>
      </c>
      <c r="F572" t="s">
        <v>399</v>
      </c>
      <c r="G572" t="s">
        <v>1208</v>
      </c>
      <c r="H572" t="s">
        <v>1769</v>
      </c>
      <c r="I572" t="s">
        <v>1930</v>
      </c>
      <c r="J572" t="s">
        <v>2169</v>
      </c>
      <c r="K572" t="s">
        <v>2171</v>
      </c>
      <c r="L572">
        <v>10025</v>
      </c>
      <c r="M572" t="s">
        <v>2173</v>
      </c>
      <c r="N572" t="s">
        <v>2173</v>
      </c>
      <c r="O572" t="s">
        <v>2175</v>
      </c>
      <c r="P572" t="s">
        <v>2722</v>
      </c>
      <c r="Q572">
        <v>21</v>
      </c>
      <c r="R572" t="s">
        <v>2844</v>
      </c>
      <c r="S572" t="s">
        <v>2857</v>
      </c>
      <c r="U572" t="s">
        <v>2869</v>
      </c>
      <c r="V572" t="s">
        <v>2174</v>
      </c>
      <c r="W572" t="s">
        <v>2174</v>
      </c>
      <c r="Y572" t="s">
        <v>2875</v>
      </c>
      <c r="Z572" t="s">
        <v>2879</v>
      </c>
      <c r="AA572" t="s">
        <v>179</v>
      </c>
      <c r="AB572">
        <v>0</v>
      </c>
      <c r="AC572">
        <v>401</v>
      </c>
      <c r="AD572">
        <v>47.7</v>
      </c>
      <c r="AE572" t="s">
        <v>2894</v>
      </c>
      <c r="AG572" t="s">
        <v>3450</v>
      </c>
      <c r="AI572" t="s">
        <v>4318</v>
      </c>
      <c r="AJ572">
        <v>0</v>
      </c>
      <c r="AK572" t="s">
        <v>4459</v>
      </c>
      <c r="AL572">
        <v>3</v>
      </c>
      <c r="AM572">
        <v>0</v>
      </c>
      <c r="AN572">
        <v>74.70999999999999</v>
      </c>
      <c r="AQ572" t="s">
        <v>4473</v>
      </c>
      <c r="AR572" t="s">
        <v>4476</v>
      </c>
      <c r="AS572" t="s">
        <v>4490</v>
      </c>
      <c r="AT572">
        <v>15936</v>
      </c>
      <c r="AX572" t="s">
        <v>4504</v>
      </c>
      <c r="BA572" t="s">
        <v>4550</v>
      </c>
      <c r="BD572" t="s">
        <v>210</v>
      </c>
    </row>
    <row r="573" spans="1:57">
      <c r="A573" s="1">
        <f>HYPERLINK("https://lsnyc.legalserver.org/matter/dynamic-profile/view/1889054","19-1889054")</f>
        <v>0</v>
      </c>
      <c r="B573" t="s">
        <v>57</v>
      </c>
      <c r="C573" t="s">
        <v>92</v>
      </c>
      <c r="D573" t="s">
        <v>196</v>
      </c>
      <c r="E573" t="s">
        <v>202</v>
      </c>
      <c r="F573" t="s">
        <v>701</v>
      </c>
      <c r="G573" t="s">
        <v>840</v>
      </c>
      <c r="H573" t="s">
        <v>1785</v>
      </c>
      <c r="I573">
        <v>17</v>
      </c>
      <c r="J573" t="s">
        <v>2169</v>
      </c>
      <c r="K573" t="s">
        <v>2171</v>
      </c>
      <c r="L573">
        <v>10025</v>
      </c>
      <c r="M573" t="s">
        <v>2173</v>
      </c>
      <c r="N573" t="s">
        <v>2173</v>
      </c>
      <c r="O573" t="s">
        <v>2177</v>
      </c>
      <c r="P573" t="s">
        <v>2723</v>
      </c>
      <c r="Q573">
        <v>25</v>
      </c>
      <c r="R573" t="s">
        <v>2844</v>
      </c>
      <c r="S573" t="s">
        <v>2856</v>
      </c>
      <c r="T573" t="s">
        <v>2863</v>
      </c>
      <c r="U573" t="s">
        <v>2869</v>
      </c>
      <c r="V573" t="s">
        <v>2174</v>
      </c>
      <c r="W573" t="s">
        <v>2174</v>
      </c>
      <c r="Y573" t="s">
        <v>2876</v>
      </c>
      <c r="Z573" t="s">
        <v>2880</v>
      </c>
      <c r="AA573" t="s">
        <v>196</v>
      </c>
      <c r="AB573">
        <v>0</v>
      </c>
      <c r="AC573">
        <v>1605</v>
      </c>
      <c r="AD573">
        <v>2.3</v>
      </c>
      <c r="AE573" t="s">
        <v>2894</v>
      </c>
      <c r="AF573" t="s">
        <v>2896</v>
      </c>
      <c r="AG573" t="s">
        <v>3451</v>
      </c>
      <c r="AI573" t="s">
        <v>4319</v>
      </c>
      <c r="AJ573">
        <v>25</v>
      </c>
      <c r="AK573" t="s">
        <v>4458</v>
      </c>
      <c r="AL573">
        <v>1</v>
      </c>
      <c r="AM573">
        <v>0</v>
      </c>
      <c r="AN573">
        <v>297.65</v>
      </c>
      <c r="AQ573" t="s">
        <v>4473</v>
      </c>
      <c r="AR573" t="s">
        <v>4476</v>
      </c>
      <c r="AS573" t="s">
        <v>4486</v>
      </c>
      <c r="AT573">
        <v>37176</v>
      </c>
      <c r="AX573" t="s">
        <v>4501</v>
      </c>
      <c r="BA573" t="s">
        <v>4586</v>
      </c>
      <c r="BD573" t="s">
        <v>4671</v>
      </c>
    </row>
    <row r="574" spans="1:57">
      <c r="A574" s="1">
        <f>HYPERLINK("https://lsnyc.legalserver.org/matter/dynamic-profile/view/1889410","19-1889410")</f>
        <v>0</v>
      </c>
      <c r="B574" t="s">
        <v>62</v>
      </c>
      <c r="C574" t="s">
        <v>93</v>
      </c>
      <c r="D574" t="s">
        <v>129</v>
      </c>
      <c r="F574" t="s">
        <v>702</v>
      </c>
      <c r="G574" t="s">
        <v>1209</v>
      </c>
      <c r="H574" t="s">
        <v>1774</v>
      </c>
      <c r="I574">
        <v>614</v>
      </c>
      <c r="J574" t="s">
        <v>2169</v>
      </c>
      <c r="K574" t="s">
        <v>2171</v>
      </c>
      <c r="L574">
        <v>10025</v>
      </c>
      <c r="M574" t="s">
        <v>2173</v>
      </c>
      <c r="N574" t="s">
        <v>2173</v>
      </c>
      <c r="O574" t="s">
        <v>2175</v>
      </c>
      <c r="P574" t="s">
        <v>2724</v>
      </c>
      <c r="Q574">
        <v>19</v>
      </c>
      <c r="R574" t="s">
        <v>2844</v>
      </c>
      <c r="S574" t="s">
        <v>2857</v>
      </c>
      <c r="U574" t="s">
        <v>2869</v>
      </c>
      <c r="V574" t="s">
        <v>2174</v>
      </c>
      <c r="W574" t="s">
        <v>2174</v>
      </c>
      <c r="Y574" t="s">
        <v>2876</v>
      </c>
      <c r="Z574" t="s">
        <v>2879</v>
      </c>
      <c r="AA574" t="s">
        <v>129</v>
      </c>
      <c r="AB574">
        <v>0</v>
      </c>
      <c r="AC574">
        <v>800</v>
      </c>
      <c r="AD574">
        <v>1.4</v>
      </c>
      <c r="AE574" t="s">
        <v>2894</v>
      </c>
      <c r="AG574" t="s">
        <v>3452</v>
      </c>
      <c r="AH574" t="s">
        <v>3723</v>
      </c>
      <c r="AI574" t="s">
        <v>4320</v>
      </c>
      <c r="AJ574">
        <v>0</v>
      </c>
      <c r="AK574" t="s">
        <v>4456</v>
      </c>
      <c r="AL574">
        <v>1</v>
      </c>
      <c r="AM574">
        <v>0</v>
      </c>
      <c r="AN574">
        <v>17.49</v>
      </c>
      <c r="AQ574" t="s">
        <v>4473</v>
      </c>
      <c r="AR574" t="s">
        <v>4484</v>
      </c>
      <c r="AS574" t="s">
        <v>4486</v>
      </c>
      <c r="AT574">
        <v>2184</v>
      </c>
      <c r="AX574" t="s">
        <v>4504</v>
      </c>
      <c r="BA574" t="s">
        <v>4551</v>
      </c>
      <c r="BD574" t="s">
        <v>4700</v>
      </c>
      <c r="BE574" t="s">
        <v>4704</v>
      </c>
    </row>
    <row r="575" spans="1:57">
      <c r="A575" s="1">
        <f>HYPERLINK("https://lsnyc.legalserver.org/matter/dynamic-profile/view/1890082","19-1890082")</f>
        <v>0</v>
      </c>
      <c r="B575" t="s">
        <v>69</v>
      </c>
      <c r="C575" t="s">
        <v>92</v>
      </c>
      <c r="D575" t="s">
        <v>137</v>
      </c>
      <c r="E575" t="s">
        <v>228</v>
      </c>
      <c r="F575" t="s">
        <v>703</v>
      </c>
      <c r="G575" t="s">
        <v>903</v>
      </c>
      <c r="H575" t="s">
        <v>1774</v>
      </c>
      <c r="I575">
        <v>209</v>
      </c>
      <c r="J575" t="s">
        <v>2169</v>
      </c>
      <c r="K575" t="s">
        <v>2171</v>
      </c>
      <c r="L575">
        <v>10025</v>
      </c>
      <c r="M575" t="s">
        <v>2173</v>
      </c>
      <c r="N575" t="s">
        <v>2173</v>
      </c>
      <c r="P575" t="s">
        <v>2725</v>
      </c>
      <c r="Q575">
        <v>1</v>
      </c>
      <c r="R575" t="s">
        <v>2844</v>
      </c>
      <c r="S575" t="s">
        <v>2857</v>
      </c>
      <c r="T575" t="s">
        <v>2864</v>
      </c>
      <c r="U575" t="s">
        <v>2869</v>
      </c>
      <c r="V575" t="s">
        <v>2174</v>
      </c>
      <c r="W575" t="s">
        <v>2174</v>
      </c>
      <c r="Y575" t="s">
        <v>2876</v>
      </c>
      <c r="Z575" t="s">
        <v>2879</v>
      </c>
      <c r="AA575" t="s">
        <v>137</v>
      </c>
      <c r="AB575">
        <v>0</v>
      </c>
      <c r="AC575">
        <v>241</v>
      </c>
      <c r="AD575">
        <v>6.9</v>
      </c>
      <c r="AE575" t="s">
        <v>2894</v>
      </c>
      <c r="AF575" t="s">
        <v>2898</v>
      </c>
      <c r="AG575" t="s">
        <v>3453</v>
      </c>
      <c r="AH575" t="s">
        <v>3724</v>
      </c>
      <c r="AI575" t="s">
        <v>4321</v>
      </c>
      <c r="AJ575">
        <v>0</v>
      </c>
      <c r="AK575" t="s">
        <v>4458</v>
      </c>
      <c r="AL575">
        <v>1</v>
      </c>
      <c r="AM575">
        <v>0</v>
      </c>
      <c r="AN575">
        <v>74.08</v>
      </c>
      <c r="AQ575" t="s">
        <v>4473</v>
      </c>
      <c r="AR575" t="s">
        <v>4478</v>
      </c>
      <c r="AS575" t="s">
        <v>4487</v>
      </c>
      <c r="AT575">
        <v>9252</v>
      </c>
      <c r="AX575" t="s">
        <v>4504</v>
      </c>
      <c r="BA575" t="s">
        <v>4574</v>
      </c>
      <c r="BB575" t="s">
        <v>4632</v>
      </c>
      <c r="BC575" t="s">
        <v>4668</v>
      </c>
      <c r="BD575" t="s">
        <v>94</v>
      </c>
    </row>
    <row r="576" spans="1:57">
      <c r="A576" s="1">
        <f>HYPERLINK("https://lsnyc.legalserver.org/matter/dynamic-profile/view/1890118","19-1890118")</f>
        <v>0</v>
      </c>
      <c r="B576" t="s">
        <v>58</v>
      </c>
      <c r="C576" t="s">
        <v>93</v>
      </c>
      <c r="D576" t="s">
        <v>137</v>
      </c>
      <c r="F576" t="s">
        <v>704</v>
      </c>
      <c r="G576" t="s">
        <v>1019</v>
      </c>
      <c r="H576" t="s">
        <v>1786</v>
      </c>
      <c r="I576" t="s">
        <v>1937</v>
      </c>
      <c r="J576" t="s">
        <v>2169</v>
      </c>
      <c r="K576" t="s">
        <v>2171</v>
      </c>
      <c r="L576">
        <v>10025</v>
      </c>
      <c r="M576" t="s">
        <v>2173</v>
      </c>
      <c r="N576" t="s">
        <v>2173</v>
      </c>
      <c r="O576" t="s">
        <v>2179</v>
      </c>
      <c r="P576" t="s">
        <v>2726</v>
      </c>
      <c r="Q576">
        <v>20</v>
      </c>
      <c r="R576" t="s">
        <v>2844</v>
      </c>
      <c r="S576" t="s">
        <v>2857</v>
      </c>
      <c r="U576" t="s">
        <v>2869</v>
      </c>
      <c r="V576" t="s">
        <v>2174</v>
      </c>
      <c r="W576" t="s">
        <v>2174</v>
      </c>
      <c r="Y576" t="s">
        <v>2876</v>
      </c>
      <c r="Z576" t="s">
        <v>2879</v>
      </c>
      <c r="AA576" t="s">
        <v>137</v>
      </c>
      <c r="AB576">
        <v>0</v>
      </c>
      <c r="AC576">
        <v>786.14</v>
      </c>
      <c r="AD576">
        <v>16.4</v>
      </c>
      <c r="AE576" t="s">
        <v>2894</v>
      </c>
      <c r="AG576" t="s">
        <v>3454</v>
      </c>
      <c r="AH576">
        <v>37295333</v>
      </c>
      <c r="AI576" t="s">
        <v>4322</v>
      </c>
      <c r="AJ576">
        <v>0</v>
      </c>
      <c r="AK576" t="s">
        <v>4456</v>
      </c>
      <c r="AL576">
        <v>1</v>
      </c>
      <c r="AM576">
        <v>2</v>
      </c>
      <c r="AN576">
        <v>21.33</v>
      </c>
      <c r="AQ576" t="s">
        <v>4474</v>
      </c>
      <c r="AR576" t="s">
        <v>4476</v>
      </c>
      <c r="AS576" t="s">
        <v>4486</v>
      </c>
      <c r="AT576">
        <v>4550</v>
      </c>
      <c r="AX576" t="s">
        <v>4504</v>
      </c>
      <c r="BA576" t="s">
        <v>4551</v>
      </c>
      <c r="BD576" t="s">
        <v>197</v>
      </c>
      <c r="BE576" t="s">
        <v>4703</v>
      </c>
    </row>
    <row r="577" spans="1:57">
      <c r="A577" s="1">
        <f>HYPERLINK("https://lsnyc.legalserver.org/matter/dynamic-profile/view/1891326","19-1891326")</f>
        <v>0</v>
      </c>
      <c r="B577" t="s">
        <v>69</v>
      </c>
      <c r="C577" t="s">
        <v>92</v>
      </c>
      <c r="D577" t="s">
        <v>139</v>
      </c>
      <c r="E577" t="s">
        <v>206</v>
      </c>
      <c r="F577" t="s">
        <v>705</v>
      </c>
      <c r="G577" t="s">
        <v>1210</v>
      </c>
      <c r="H577" t="s">
        <v>1787</v>
      </c>
      <c r="I577" t="s">
        <v>2066</v>
      </c>
      <c r="J577" t="s">
        <v>2169</v>
      </c>
      <c r="K577" t="s">
        <v>2171</v>
      </c>
      <c r="L577">
        <v>10025</v>
      </c>
      <c r="M577" t="s">
        <v>2173</v>
      </c>
      <c r="N577" t="s">
        <v>2173</v>
      </c>
      <c r="O577" t="s">
        <v>2179</v>
      </c>
      <c r="P577" t="s">
        <v>2727</v>
      </c>
      <c r="Q577">
        <v>8</v>
      </c>
      <c r="R577" t="s">
        <v>2844</v>
      </c>
      <c r="S577" t="s">
        <v>2856</v>
      </c>
      <c r="T577" t="s">
        <v>2863</v>
      </c>
      <c r="U577" t="s">
        <v>2869</v>
      </c>
      <c r="V577" t="s">
        <v>2174</v>
      </c>
      <c r="W577" t="s">
        <v>2174</v>
      </c>
      <c r="Y577" t="s">
        <v>2876</v>
      </c>
      <c r="Z577" t="s">
        <v>2879</v>
      </c>
      <c r="AA577" t="s">
        <v>220</v>
      </c>
      <c r="AB577">
        <v>0</v>
      </c>
      <c r="AC577">
        <v>1072</v>
      </c>
      <c r="AD577">
        <v>1.6</v>
      </c>
      <c r="AE577" t="s">
        <v>2894</v>
      </c>
      <c r="AF577" t="s">
        <v>2896</v>
      </c>
      <c r="AG577" t="s">
        <v>3455</v>
      </c>
      <c r="AI577" t="s">
        <v>4323</v>
      </c>
      <c r="AJ577">
        <v>0</v>
      </c>
      <c r="AK577" t="s">
        <v>4466</v>
      </c>
      <c r="AL577">
        <v>1</v>
      </c>
      <c r="AM577">
        <v>0</v>
      </c>
      <c r="AN577">
        <v>360.29</v>
      </c>
      <c r="AQ577" t="s">
        <v>4473</v>
      </c>
      <c r="AR577" t="s">
        <v>4478</v>
      </c>
      <c r="AS577" t="s">
        <v>4486</v>
      </c>
      <c r="AT577">
        <v>45000</v>
      </c>
      <c r="AX577" t="s">
        <v>4501</v>
      </c>
      <c r="BA577" t="s">
        <v>4546</v>
      </c>
      <c r="BD577" t="s">
        <v>94</v>
      </c>
    </row>
    <row r="578" spans="1:57">
      <c r="A578" s="1">
        <f>HYPERLINK("https://lsnyc.legalserver.org/matter/dynamic-profile/view/1891376","19-1891376")</f>
        <v>0</v>
      </c>
      <c r="B578" t="s">
        <v>62</v>
      </c>
      <c r="C578" t="s">
        <v>93</v>
      </c>
      <c r="D578" t="s">
        <v>139</v>
      </c>
      <c r="F578" t="s">
        <v>706</v>
      </c>
      <c r="G578" t="s">
        <v>933</v>
      </c>
      <c r="H578" t="s">
        <v>1788</v>
      </c>
      <c r="I578" t="s">
        <v>2109</v>
      </c>
      <c r="J578" t="s">
        <v>2169</v>
      </c>
      <c r="K578" t="s">
        <v>2171</v>
      </c>
      <c r="L578">
        <v>10025</v>
      </c>
      <c r="M578" t="s">
        <v>2173</v>
      </c>
      <c r="N578" t="s">
        <v>2173</v>
      </c>
      <c r="O578" t="s">
        <v>2175</v>
      </c>
      <c r="P578" t="s">
        <v>2728</v>
      </c>
      <c r="Q578">
        <v>16</v>
      </c>
      <c r="R578" t="s">
        <v>2844</v>
      </c>
      <c r="S578" t="s">
        <v>2857</v>
      </c>
      <c r="U578" t="s">
        <v>2869</v>
      </c>
      <c r="V578" t="s">
        <v>2174</v>
      </c>
      <c r="W578" t="s">
        <v>2174</v>
      </c>
      <c r="Y578" t="s">
        <v>2876</v>
      </c>
      <c r="Z578" t="s">
        <v>2879</v>
      </c>
      <c r="AA578" t="s">
        <v>139</v>
      </c>
      <c r="AB578">
        <v>0</v>
      </c>
      <c r="AC578">
        <v>543</v>
      </c>
      <c r="AD578">
        <v>11.55</v>
      </c>
      <c r="AE578" t="s">
        <v>2894</v>
      </c>
      <c r="AG578" t="s">
        <v>3456</v>
      </c>
      <c r="AH578" t="s">
        <v>3725</v>
      </c>
      <c r="AI578" t="s">
        <v>4324</v>
      </c>
      <c r="AJ578">
        <v>0</v>
      </c>
      <c r="AL578">
        <v>1</v>
      </c>
      <c r="AM578">
        <v>0</v>
      </c>
      <c r="AN578">
        <v>17.49</v>
      </c>
      <c r="AQ578" t="s">
        <v>4473</v>
      </c>
      <c r="AS578" t="s">
        <v>4486</v>
      </c>
      <c r="AT578">
        <v>2184</v>
      </c>
      <c r="AX578" t="s">
        <v>4501</v>
      </c>
      <c r="BA578" t="s">
        <v>4564</v>
      </c>
      <c r="BD578" t="s">
        <v>203</v>
      </c>
      <c r="BE578" t="s">
        <v>4704</v>
      </c>
    </row>
    <row r="579" spans="1:57">
      <c r="A579" s="1">
        <f>HYPERLINK("https://lsnyc.legalserver.org/matter/dynamic-profile/view/1891387","19-1891387")</f>
        <v>0</v>
      </c>
      <c r="B579" t="s">
        <v>68</v>
      </c>
      <c r="C579" t="s">
        <v>93</v>
      </c>
      <c r="D579" t="s">
        <v>139</v>
      </c>
      <c r="F579" t="s">
        <v>707</v>
      </c>
      <c r="G579" t="s">
        <v>840</v>
      </c>
      <c r="H579" t="s">
        <v>1785</v>
      </c>
      <c r="I579">
        <v>22</v>
      </c>
      <c r="J579" t="s">
        <v>2169</v>
      </c>
      <c r="K579" t="s">
        <v>2171</v>
      </c>
      <c r="L579">
        <v>10025</v>
      </c>
      <c r="M579" t="s">
        <v>2173</v>
      </c>
      <c r="N579" t="s">
        <v>2173</v>
      </c>
      <c r="O579" t="s">
        <v>2175</v>
      </c>
      <c r="P579" t="s">
        <v>2729</v>
      </c>
      <c r="Q579">
        <v>48</v>
      </c>
      <c r="R579" t="s">
        <v>2844</v>
      </c>
      <c r="S579" t="s">
        <v>2857</v>
      </c>
      <c r="U579" t="s">
        <v>2869</v>
      </c>
      <c r="V579" t="s">
        <v>2174</v>
      </c>
      <c r="W579" t="s">
        <v>2174</v>
      </c>
      <c r="Y579" t="s">
        <v>2876</v>
      </c>
      <c r="Z579" t="s">
        <v>2879</v>
      </c>
      <c r="AA579" t="s">
        <v>139</v>
      </c>
      <c r="AB579">
        <v>0</v>
      </c>
      <c r="AC579">
        <v>2600</v>
      </c>
      <c r="AD579">
        <v>39</v>
      </c>
      <c r="AE579" t="s">
        <v>2894</v>
      </c>
      <c r="AG579" t="s">
        <v>3457</v>
      </c>
      <c r="AI579" t="s">
        <v>4325</v>
      </c>
      <c r="AJ579">
        <v>0</v>
      </c>
      <c r="AK579" t="s">
        <v>4461</v>
      </c>
      <c r="AL579">
        <v>1</v>
      </c>
      <c r="AM579">
        <v>0</v>
      </c>
      <c r="AN579">
        <v>104.08</v>
      </c>
      <c r="AQ579" t="s">
        <v>4473</v>
      </c>
      <c r="AR579" t="s">
        <v>4476</v>
      </c>
      <c r="AS579" t="s">
        <v>4486</v>
      </c>
      <c r="AT579">
        <v>12999</v>
      </c>
      <c r="AX579" t="s">
        <v>4504</v>
      </c>
      <c r="BA579" t="s">
        <v>2176</v>
      </c>
      <c r="BD579" t="s">
        <v>213</v>
      </c>
    </row>
    <row r="580" spans="1:57">
      <c r="A580" s="1">
        <f>HYPERLINK("https://lsnyc.legalserver.org/matter/dynamic-profile/view/1892087","19-1892087")</f>
        <v>0</v>
      </c>
      <c r="B580" t="s">
        <v>68</v>
      </c>
      <c r="C580" t="s">
        <v>93</v>
      </c>
      <c r="D580" t="s">
        <v>158</v>
      </c>
      <c r="F580" t="s">
        <v>270</v>
      </c>
      <c r="G580" t="s">
        <v>1211</v>
      </c>
      <c r="H580" t="s">
        <v>1789</v>
      </c>
      <c r="I580" t="s">
        <v>1939</v>
      </c>
      <c r="J580" t="s">
        <v>2169</v>
      </c>
      <c r="K580" t="s">
        <v>2171</v>
      </c>
      <c r="L580">
        <v>10025</v>
      </c>
      <c r="M580" t="s">
        <v>2173</v>
      </c>
      <c r="N580" t="s">
        <v>2173</v>
      </c>
      <c r="O580" t="s">
        <v>2175</v>
      </c>
      <c r="P580" t="s">
        <v>2730</v>
      </c>
      <c r="Q580">
        <v>37</v>
      </c>
      <c r="R580" t="s">
        <v>2844</v>
      </c>
      <c r="S580" t="s">
        <v>2857</v>
      </c>
      <c r="U580" t="s">
        <v>2869</v>
      </c>
      <c r="V580" t="s">
        <v>2174</v>
      </c>
      <c r="W580" t="s">
        <v>2174</v>
      </c>
      <c r="Y580" t="s">
        <v>2876</v>
      </c>
      <c r="Z580" t="s">
        <v>2879</v>
      </c>
      <c r="AA580" t="s">
        <v>158</v>
      </c>
      <c r="AB580">
        <v>0</v>
      </c>
      <c r="AC580">
        <v>530</v>
      </c>
      <c r="AD580">
        <v>17.65</v>
      </c>
      <c r="AE580" t="s">
        <v>2894</v>
      </c>
      <c r="AG580" t="s">
        <v>3458</v>
      </c>
      <c r="AI580" t="s">
        <v>4326</v>
      </c>
      <c r="AJ580">
        <v>0</v>
      </c>
      <c r="AK580" t="s">
        <v>4466</v>
      </c>
      <c r="AL580">
        <v>2</v>
      </c>
      <c r="AM580">
        <v>0</v>
      </c>
      <c r="AN580">
        <v>139.28</v>
      </c>
      <c r="AQ580" t="s">
        <v>4473</v>
      </c>
      <c r="AR580" t="s">
        <v>4476</v>
      </c>
      <c r="AS580" t="s">
        <v>4486</v>
      </c>
      <c r="AT580">
        <v>23552</v>
      </c>
      <c r="AX580" t="s">
        <v>4502</v>
      </c>
      <c r="BA580" t="s">
        <v>4581</v>
      </c>
      <c r="BD580" t="s">
        <v>118</v>
      </c>
    </row>
    <row r="581" spans="1:57">
      <c r="A581" s="1">
        <f>HYPERLINK("https://lsnyc.legalserver.org/matter/dynamic-profile/view/1892102","19-1892102")</f>
        <v>0</v>
      </c>
      <c r="B581" t="s">
        <v>58</v>
      </c>
      <c r="C581" t="s">
        <v>93</v>
      </c>
      <c r="D581" t="s">
        <v>158</v>
      </c>
      <c r="F581" t="s">
        <v>708</v>
      </c>
      <c r="G581" t="s">
        <v>879</v>
      </c>
      <c r="H581" t="s">
        <v>1790</v>
      </c>
      <c r="I581" t="s">
        <v>2110</v>
      </c>
      <c r="J581" t="s">
        <v>2169</v>
      </c>
      <c r="K581" t="s">
        <v>2171</v>
      </c>
      <c r="L581">
        <v>10025</v>
      </c>
      <c r="M581" t="s">
        <v>2173</v>
      </c>
      <c r="N581" t="s">
        <v>2173</v>
      </c>
      <c r="O581" t="s">
        <v>2175</v>
      </c>
      <c r="P581" t="s">
        <v>2731</v>
      </c>
      <c r="Q581">
        <v>8</v>
      </c>
      <c r="R581" t="s">
        <v>2844</v>
      </c>
      <c r="S581" t="s">
        <v>2857</v>
      </c>
      <c r="U581" t="s">
        <v>2869</v>
      </c>
      <c r="V581" t="s">
        <v>2174</v>
      </c>
      <c r="W581" t="s">
        <v>2174</v>
      </c>
      <c r="Y581" t="s">
        <v>2875</v>
      </c>
      <c r="Z581" t="s">
        <v>2880</v>
      </c>
      <c r="AA581" t="s">
        <v>158</v>
      </c>
      <c r="AB581">
        <v>0</v>
      </c>
      <c r="AC581">
        <v>521</v>
      </c>
      <c r="AD581">
        <v>11.25</v>
      </c>
      <c r="AE581" t="s">
        <v>2894</v>
      </c>
      <c r="AG581" t="s">
        <v>3459</v>
      </c>
      <c r="AI581" t="s">
        <v>4327</v>
      </c>
      <c r="AJ581">
        <v>899</v>
      </c>
      <c r="AK581" t="s">
        <v>4457</v>
      </c>
      <c r="AL581">
        <v>1</v>
      </c>
      <c r="AM581">
        <v>0</v>
      </c>
      <c r="AN581">
        <v>0</v>
      </c>
      <c r="AQ581" t="s">
        <v>4473</v>
      </c>
      <c r="AR581" t="s">
        <v>4476</v>
      </c>
      <c r="AS581" t="s">
        <v>4486</v>
      </c>
      <c r="AT581">
        <v>0</v>
      </c>
      <c r="AX581" t="s">
        <v>4502</v>
      </c>
      <c r="BA581" t="s">
        <v>4539</v>
      </c>
      <c r="BD581" t="s">
        <v>4673</v>
      </c>
      <c r="BE581" t="s">
        <v>4703</v>
      </c>
    </row>
    <row r="582" spans="1:57">
      <c r="A582" s="1">
        <f>HYPERLINK("https://lsnyc.legalserver.org/matter/dynamic-profile/view/1892107","19-1892107")</f>
        <v>0</v>
      </c>
      <c r="B582" t="s">
        <v>67</v>
      </c>
      <c r="C582" t="s">
        <v>92</v>
      </c>
      <c r="D582" t="s">
        <v>158</v>
      </c>
      <c r="E582" t="s">
        <v>216</v>
      </c>
      <c r="F582" t="s">
        <v>709</v>
      </c>
      <c r="G582" t="s">
        <v>1212</v>
      </c>
      <c r="H582" t="s">
        <v>1791</v>
      </c>
      <c r="I582" t="s">
        <v>1980</v>
      </c>
      <c r="J582" t="s">
        <v>2169</v>
      </c>
      <c r="K582" t="s">
        <v>2171</v>
      </c>
      <c r="L582">
        <v>10025</v>
      </c>
      <c r="M582" t="s">
        <v>2173</v>
      </c>
      <c r="N582" t="s">
        <v>2173</v>
      </c>
      <c r="O582" t="s">
        <v>2179</v>
      </c>
      <c r="P582" t="s">
        <v>2732</v>
      </c>
      <c r="Q582">
        <v>10</v>
      </c>
      <c r="R582" t="s">
        <v>2844</v>
      </c>
      <c r="S582" t="s">
        <v>2857</v>
      </c>
      <c r="T582" t="s">
        <v>2864</v>
      </c>
      <c r="U582" t="s">
        <v>2869</v>
      </c>
      <c r="V582" t="s">
        <v>2174</v>
      </c>
      <c r="W582" t="s">
        <v>2174</v>
      </c>
      <c r="Y582" t="s">
        <v>2876</v>
      </c>
      <c r="Z582" t="s">
        <v>2880</v>
      </c>
      <c r="AA582" t="s">
        <v>158</v>
      </c>
      <c r="AB582">
        <v>0</v>
      </c>
      <c r="AC582">
        <v>4339</v>
      </c>
      <c r="AD582">
        <v>8.699999999999999</v>
      </c>
      <c r="AE582" t="s">
        <v>2894</v>
      </c>
      <c r="AF582" t="s">
        <v>2898</v>
      </c>
      <c r="AG582" t="s">
        <v>3460</v>
      </c>
      <c r="AI582" t="s">
        <v>4328</v>
      </c>
      <c r="AJ582">
        <v>0</v>
      </c>
      <c r="AK582" t="s">
        <v>4456</v>
      </c>
      <c r="AL582">
        <v>1</v>
      </c>
      <c r="AM582">
        <v>2</v>
      </c>
      <c r="AN582">
        <v>162.73</v>
      </c>
      <c r="AQ582" t="s">
        <v>4475</v>
      </c>
      <c r="AR582" t="s">
        <v>4478</v>
      </c>
      <c r="AS582" t="s">
        <v>4486</v>
      </c>
      <c r="AT582">
        <v>34710</v>
      </c>
      <c r="AX582" t="s">
        <v>4501</v>
      </c>
      <c r="AY582" t="s">
        <v>4516</v>
      </c>
      <c r="BA582" t="s">
        <v>4546</v>
      </c>
      <c r="BB582" t="s">
        <v>4632</v>
      </c>
      <c r="BC582" t="s">
        <v>4640</v>
      </c>
      <c r="BD582" t="s">
        <v>216</v>
      </c>
      <c r="BE582" t="s">
        <v>4703</v>
      </c>
    </row>
    <row r="583" spans="1:57">
      <c r="A583" s="1">
        <f>HYPERLINK("https://lsnyc.legalserver.org/matter/dynamic-profile/view/1892171","19-1892171")</f>
        <v>0</v>
      </c>
      <c r="B583" t="s">
        <v>63</v>
      </c>
      <c r="C583" t="s">
        <v>93</v>
      </c>
      <c r="D583" t="s">
        <v>158</v>
      </c>
      <c r="F583" t="s">
        <v>710</v>
      </c>
      <c r="G583" t="s">
        <v>1213</v>
      </c>
      <c r="H583" t="s">
        <v>1792</v>
      </c>
      <c r="I583" t="s">
        <v>2029</v>
      </c>
      <c r="J583" t="s">
        <v>2169</v>
      </c>
      <c r="K583" t="s">
        <v>2171</v>
      </c>
      <c r="L583">
        <v>10025</v>
      </c>
      <c r="M583" t="s">
        <v>2173</v>
      </c>
      <c r="N583" t="s">
        <v>2173</v>
      </c>
      <c r="O583" t="s">
        <v>2175</v>
      </c>
      <c r="P583" t="s">
        <v>2733</v>
      </c>
      <c r="Q583">
        <v>12</v>
      </c>
      <c r="R583" t="s">
        <v>2844</v>
      </c>
      <c r="S583" t="s">
        <v>2857</v>
      </c>
      <c r="U583" t="s">
        <v>2869</v>
      </c>
      <c r="V583" t="s">
        <v>2174</v>
      </c>
      <c r="W583" t="s">
        <v>2174</v>
      </c>
      <c r="Y583" t="s">
        <v>2876</v>
      </c>
      <c r="Z583" t="s">
        <v>2879</v>
      </c>
      <c r="AA583" t="s">
        <v>158</v>
      </c>
      <c r="AB583">
        <v>0</v>
      </c>
      <c r="AC583">
        <v>1307.58</v>
      </c>
      <c r="AD583">
        <v>74.2</v>
      </c>
      <c r="AE583" t="s">
        <v>2894</v>
      </c>
      <c r="AG583" t="s">
        <v>3461</v>
      </c>
      <c r="AI583" t="s">
        <v>4329</v>
      </c>
      <c r="AJ583">
        <v>20</v>
      </c>
      <c r="AK583" t="s">
        <v>4456</v>
      </c>
      <c r="AL583">
        <v>3</v>
      </c>
      <c r="AM583">
        <v>0</v>
      </c>
      <c r="AN583">
        <v>0</v>
      </c>
      <c r="AQ583" t="s">
        <v>4473</v>
      </c>
      <c r="AR583" t="s">
        <v>4476</v>
      </c>
      <c r="AS583" t="s">
        <v>4486</v>
      </c>
      <c r="AT583">
        <v>0</v>
      </c>
      <c r="AX583" t="s">
        <v>4501</v>
      </c>
      <c r="BA583" t="s">
        <v>4539</v>
      </c>
      <c r="BD583" t="s">
        <v>154</v>
      </c>
      <c r="BE583" t="s">
        <v>4703</v>
      </c>
    </row>
    <row r="584" spans="1:57">
      <c r="A584" s="1">
        <f>HYPERLINK("https://lsnyc.legalserver.org/matter/dynamic-profile/view/1892864","19-1892864")</f>
        <v>0</v>
      </c>
      <c r="B584" t="s">
        <v>62</v>
      </c>
      <c r="C584" t="s">
        <v>93</v>
      </c>
      <c r="D584" t="s">
        <v>140</v>
      </c>
      <c r="F584" t="s">
        <v>711</v>
      </c>
      <c r="G584" t="s">
        <v>1214</v>
      </c>
      <c r="H584" t="s">
        <v>1793</v>
      </c>
      <c r="I584">
        <v>232</v>
      </c>
      <c r="J584" t="s">
        <v>2169</v>
      </c>
      <c r="K584" t="s">
        <v>2171</v>
      </c>
      <c r="L584">
        <v>10025</v>
      </c>
      <c r="M584" t="s">
        <v>2173</v>
      </c>
      <c r="N584" t="s">
        <v>2173</v>
      </c>
      <c r="O584" t="s">
        <v>2180</v>
      </c>
      <c r="P584" t="s">
        <v>2734</v>
      </c>
      <c r="Q584">
        <v>9</v>
      </c>
      <c r="R584" t="s">
        <v>2844</v>
      </c>
      <c r="S584" t="s">
        <v>2857</v>
      </c>
      <c r="U584" t="s">
        <v>2869</v>
      </c>
      <c r="V584" t="s">
        <v>2174</v>
      </c>
      <c r="W584" t="s">
        <v>2174</v>
      </c>
      <c r="Y584" t="s">
        <v>2876</v>
      </c>
      <c r="Z584" t="s">
        <v>2879</v>
      </c>
      <c r="AA584" t="s">
        <v>140</v>
      </c>
      <c r="AB584">
        <v>0</v>
      </c>
      <c r="AC584">
        <v>604</v>
      </c>
      <c r="AD584">
        <v>11.2</v>
      </c>
      <c r="AE584" t="s">
        <v>2894</v>
      </c>
      <c r="AG584" t="s">
        <v>3462</v>
      </c>
      <c r="AI584" t="s">
        <v>4330</v>
      </c>
      <c r="AJ584">
        <v>0</v>
      </c>
      <c r="AK584" t="s">
        <v>4458</v>
      </c>
      <c r="AL584">
        <v>1</v>
      </c>
      <c r="AM584">
        <v>0</v>
      </c>
      <c r="AN584">
        <v>18.73</v>
      </c>
      <c r="AQ584" t="s">
        <v>4473</v>
      </c>
      <c r="AR584" t="s">
        <v>2176</v>
      </c>
      <c r="AS584" t="s">
        <v>4487</v>
      </c>
      <c r="AT584">
        <v>2340</v>
      </c>
      <c r="AX584" t="s">
        <v>4504</v>
      </c>
      <c r="BA584" t="s">
        <v>4551</v>
      </c>
      <c r="BD584" t="s">
        <v>123</v>
      </c>
    </row>
    <row r="585" spans="1:57">
      <c r="A585" s="1">
        <f>HYPERLINK("https://lsnyc.legalserver.org/matter/dynamic-profile/view/1892939","19-1892939")</f>
        <v>0</v>
      </c>
      <c r="B585" t="s">
        <v>76</v>
      </c>
      <c r="C585" t="s">
        <v>93</v>
      </c>
      <c r="D585" t="s">
        <v>140</v>
      </c>
      <c r="F585" t="s">
        <v>712</v>
      </c>
      <c r="G585" t="s">
        <v>1215</v>
      </c>
      <c r="H585" t="s">
        <v>1794</v>
      </c>
      <c r="I585">
        <v>506</v>
      </c>
      <c r="J585" t="s">
        <v>2169</v>
      </c>
      <c r="K585" t="s">
        <v>2171</v>
      </c>
      <c r="L585">
        <v>10025</v>
      </c>
      <c r="M585" t="s">
        <v>2173</v>
      </c>
      <c r="N585" t="s">
        <v>2173</v>
      </c>
      <c r="O585" t="s">
        <v>2175</v>
      </c>
      <c r="P585" t="s">
        <v>2735</v>
      </c>
      <c r="Q585">
        <v>8</v>
      </c>
      <c r="R585" t="s">
        <v>2844</v>
      </c>
      <c r="S585" t="s">
        <v>2857</v>
      </c>
      <c r="U585" t="s">
        <v>2869</v>
      </c>
      <c r="V585" t="s">
        <v>2174</v>
      </c>
      <c r="W585" t="s">
        <v>2174</v>
      </c>
      <c r="Y585" t="s">
        <v>2876</v>
      </c>
      <c r="Z585" t="s">
        <v>2879</v>
      </c>
      <c r="AA585" t="s">
        <v>140</v>
      </c>
      <c r="AB585">
        <v>0</v>
      </c>
      <c r="AC585">
        <v>500</v>
      </c>
      <c r="AD585">
        <v>16.05</v>
      </c>
      <c r="AE585" t="s">
        <v>2894</v>
      </c>
      <c r="AG585" t="s">
        <v>3463</v>
      </c>
      <c r="AI585" t="s">
        <v>4331</v>
      </c>
      <c r="AJ585">
        <v>34</v>
      </c>
      <c r="AK585" t="s">
        <v>4465</v>
      </c>
      <c r="AL585">
        <v>1</v>
      </c>
      <c r="AM585">
        <v>0</v>
      </c>
      <c r="AN585">
        <v>200.16</v>
      </c>
      <c r="AQ585" t="s">
        <v>4473</v>
      </c>
      <c r="AR585" t="s">
        <v>4476</v>
      </c>
      <c r="AS585" t="s">
        <v>4486</v>
      </c>
      <c r="AT585">
        <v>25000</v>
      </c>
      <c r="AX585" t="s">
        <v>4504</v>
      </c>
      <c r="BA585" t="s">
        <v>4541</v>
      </c>
      <c r="BD585" t="s">
        <v>208</v>
      </c>
      <c r="BE585" t="s">
        <v>4703</v>
      </c>
    </row>
    <row r="586" spans="1:57">
      <c r="A586" s="1">
        <f>HYPERLINK("https://lsnyc.legalserver.org/matter/dynamic-profile/view/1894377","19-1894377")</f>
        <v>0</v>
      </c>
      <c r="B586" t="s">
        <v>66</v>
      </c>
      <c r="C586" t="s">
        <v>93</v>
      </c>
      <c r="D586" t="s">
        <v>94</v>
      </c>
      <c r="F586" t="s">
        <v>338</v>
      </c>
      <c r="G586" t="s">
        <v>1216</v>
      </c>
      <c r="H586" t="s">
        <v>1795</v>
      </c>
      <c r="I586">
        <v>804</v>
      </c>
      <c r="J586" t="s">
        <v>2169</v>
      </c>
      <c r="K586" t="s">
        <v>2171</v>
      </c>
      <c r="L586">
        <v>10025</v>
      </c>
      <c r="M586" t="s">
        <v>2173</v>
      </c>
      <c r="N586" t="s">
        <v>2173</v>
      </c>
      <c r="O586" t="s">
        <v>2175</v>
      </c>
      <c r="P586" t="s">
        <v>2736</v>
      </c>
      <c r="Q586">
        <v>2</v>
      </c>
      <c r="R586" t="s">
        <v>2844</v>
      </c>
      <c r="S586" t="s">
        <v>2857</v>
      </c>
      <c r="U586" t="s">
        <v>2869</v>
      </c>
      <c r="V586" t="s">
        <v>2174</v>
      </c>
      <c r="W586" t="s">
        <v>2174</v>
      </c>
      <c r="Y586" t="s">
        <v>2876</v>
      </c>
      <c r="AA586" t="s">
        <v>94</v>
      </c>
      <c r="AB586">
        <v>0</v>
      </c>
      <c r="AC586">
        <v>468</v>
      </c>
      <c r="AD586">
        <v>7.2</v>
      </c>
      <c r="AE586" t="s">
        <v>2894</v>
      </c>
      <c r="AG586" t="s">
        <v>3464</v>
      </c>
      <c r="AI586" t="s">
        <v>4332</v>
      </c>
      <c r="AJ586">
        <v>0</v>
      </c>
      <c r="AK586" t="s">
        <v>4456</v>
      </c>
      <c r="AL586">
        <v>1</v>
      </c>
      <c r="AM586">
        <v>0</v>
      </c>
      <c r="AN586">
        <v>149.88</v>
      </c>
      <c r="AQ586" t="s">
        <v>4473</v>
      </c>
      <c r="AR586" t="s">
        <v>4481</v>
      </c>
      <c r="AS586" t="s">
        <v>4486</v>
      </c>
      <c r="AT586">
        <v>18720</v>
      </c>
      <c r="AX586" t="s">
        <v>4504</v>
      </c>
      <c r="BA586" t="s">
        <v>4531</v>
      </c>
      <c r="BD586" t="s">
        <v>4677</v>
      </c>
    </row>
    <row r="587" spans="1:57">
      <c r="A587" s="1">
        <f>HYPERLINK("https://lsnyc.legalserver.org/matter/dynamic-profile/view/1895040","19-1895040")</f>
        <v>0</v>
      </c>
      <c r="B587" t="s">
        <v>63</v>
      </c>
      <c r="C587" t="s">
        <v>93</v>
      </c>
      <c r="D587" t="s">
        <v>160</v>
      </c>
      <c r="F587" t="s">
        <v>403</v>
      </c>
      <c r="G587" t="s">
        <v>927</v>
      </c>
      <c r="H587" t="s">
        <v>1796</v>
      </c>
      <c r="I587" t="s">
        <v>2111</v>
      </c>
      <c r="J587" t="s">
        <v>2169</v>
      </c>
      <c r="K587" t="s">
        <v>2171</v>
      </c>
      <c r="L587">
        <v>10025</v>
      </c>
      <c r="M587" t="s">
        <v>2173</v>
      </c>
      <c r="N587" t="s">
        <v>2173</v>
      </c>
      <c r="O587" t="s">
        <v>2179</v>
      </c>
      <c r="P587" t="s">
        <v>2737</v>
      </c>
      <c r="Q587">
        <v>11</v>
      </c>
      <c r="R587" t="s">
        <v>2844</v>
      </c>
      <c r="S587" t="s">
        <v>2857</v>
      </c>
      <c r="U587" t="s">
        <v>2869</v>
      </c>
      <c r="V587" t="s">
        <v>2174</v>
      </c>
      <c r="W587" t="s">
        <v>2174</v>
      </c>
      <c r="Y587" t="s">
        <v>2876</v>
      </c>
      <c r="Z587" t="s">
        <v>2884</v>
      </c>
      <c r="AA587" t="s">
        <v>160</v>
      </c>
      <c r="AB587">
        <v>0</v>
      </c>
      <c r="AC587">
        <v>1047</v>
      </c>
      <c r="AD587">
        <v>17.5</v>
      </c>
      <c r="AE587" t="s">
        <v>2894</v>
      </c>
      <c r="AG587" t="s">
        <v>3465</v>
      </c>
      <c r="AI587" t="s">
        <v>4333</v>
      </c>
      <c r="AJ587">
        <v>0</v>
      </c>
      <c r="AK587" t="s">
        <v>4456</v>
      </c>
      <c r="AL587">
        <v>1</v>
      </c>
      <c r="AM587">
        <v>0</v>
      </c>
      <c r="AN587">
        <v>123.23</v>
      </c>
      <c r="AQ587" t="s">
        <v>4473</v>
      </c>
      <c r="AR587" t="s">
        <v>4478</v>
      </c>
      <c r="AS587" t="s">
        <v>4486</v>
      </c>
      <c r="AT587">
        <v>15392</v>
      </c>
      <c r="AX587" t="s">
        <v>4501</v>
      </c>
      <c r="BA587" t="s">
        <v>4546</v>
      </c>
      <c r="BD587" t="s">
        <v>210</v>
      </c>
      <c r="BE587" t="s">
        <v>4703</v>
      </c>
    </row>
    <row r="588" spans="1:57">
      <c r="A588" s="1">
        <f>HYPERLINK("https://lsnyc.legalserver.org/matter/dynamic-profile/view/1895095","19-1895095")</f>
        <v>0</v>
      </c>
      <c r="B588" t="s">
        <v>66</v>
      </c>
      <c r="C588" t="s">
        <v>93</v>
      </c>
      <c r="D588" t="s">
        <v>160</v>
      </c>
      <c r="F588" t="s">
        <v>713</v>
      </c>
      <c r="G588" t="s">
        <v>1217</v>
      </c>
      <c r="H588" t="s">
        <v>1797</v>
      </c>
      <c r="I588" t="s">
        <v>2112</v>
      </c>
      <c r="J588" t="s">
        <v>2169</v>
      </c>
      <c r="K588" t="s">
        <v>2171</v>
      </c>
      <c r="L588">
        <v>10025</v>
      </c>
      <c r="M588" t="s">
        <v>2173</v>
      </c>
      <c r="N588" t="s">
        <v>2173</v>
      </c>
      <c r="O588" t="s">
        <v>2175</v>
      </c>
      <c r="P588" t="s">
        <v>2738</v>
      </c>
      <c r="Q588">
        <v>9</v>
      </c>
      <c r="R588" t="s">
        <v>2844</v>
      </c>
      <c r="S588" t="s">
        <v>2857</v>
      </c>
      <c r="U588" t="s">
        <v>2869</v>
      </c>
      <c r="V588" t="s">
        <v>2174</v>
      </c>
      <c r="W588" t="s">
        <v>2174</v>
      </c>
      <c r="Y588" t="s">
        <v>2875</v>
      </c>
      <c r="AB588">
        <v>0</v>
      </c>
      <c r="AC588">
        <v>745</v>
      </c>
      <c r="AD588">
        <v>7</v>
      </c>
      <c r="AE588" t="s">
        <v>2894</v>
      </c>
      <c r="AG588" t="s">
        <v>3466</v>
      </c>
      <c r="AH588" t="s">
        <v>3726</v>
      </c>
      <c r="AI588" t="s">
        <v>4334</v>
      </c>
      <c r="AJ588">
        <v>0</v>
      </c>
      <c r="AK588" t="s">
        <v>4459</v>
      </c>
      <c r="AL588">
        <v>1</v>
      </c>
      <c r="AM588">
        <v>3</v>
      </c>
      <c r="AN588">
        <v>152.87</v>
      </c>
      <c r="AQ588" t="s">
        <v>4474</v>
      </c>
      <c r="AR588" t="s">
        <v>4476</v>
      </c>
      <c r="AS588" t="s">
        <v>4486</v>
      </c>
      <c r="AT588">
        <v>39363.96</v>
      </c>
      <c r="AX588" t="s">
        <v>4504</v>
      </c>
      <c r="BA588" t="s">
        <v>4542</v>
      </c>
      <c r="BD588" t="s">
        <v>117</v>
      </c>
    </row>
    <row r="589" spans="1:57">
      <c r="A589" s="1">
        <f>HYPERLINK("https://lsnyc.legalserver.org/matter/dynamic-profile/view/1895745","19-1895745")</f>
        <v>0</v>
      </c>
      <c r="B589" t="s">
        <v>68</v>
      </c>
      <c r="C589" t="s">
        <v>93</v>
      </c>
      <c r="D589" t="s">
        <v>141</v>
      </c>
      <c r="F589" t="s">
        <v>714</v>
      </c>
      <c r="G589" t="s">
        <v>821</v>
      </c>
      <c r="H589" t="s">
        <v>1787</v>
      </c>
      <c r="I589" t="s">
        <v>1952</v>
      </c>
      <c r="J589" t="s">
        <v>2169</v>
      </c>
      <c r="K589" t="s">
        <v>2171</v>
      </c>
      <c r="L589">
        <v>10025</v>
      </c>
      <c r="M589" t="s">
        <v>2173</v>
      </c>
      <c r="N589" t="s">
        <v>2173</v>
      </c>
      <c r="O589" t="s">
        <v>2179</v>
      </c>
      <c r="P589" t="s">
        <v>2739</v>
      </c>
      <c r="Q589">
        <v>6</v>
      </c>
      <c r="R589" t="s">
        <v>2844</v>
      </c>
      <c r="S589" t="s">
        <v>2857</v>
      </c>
      <c r="U589" t="s">
        <v>2869</v>
      </c>
      <c r="V589" t="s">
        <v>2174</v>
      </c>
      <c r="W589" t="s">
        <v>2174</v>
      </c>
      <c r="Y589" t="s">
        <v>2876</v>
      </c>
      <c r="AA589" t="s">
        <v>141</v>
      </c>
      <c r="AB589">
        <v>0</v>
      </c>
      <c r="AC589">
        <v>2373</v>
      </c>
      <c r="AD589">
        <v>4.4</v>
      </c>
      <c r="AE589" t="s">
        <v>2894</v>
      </c>
      <c r="AG589" t="s">
        <v>3467</v>
      </c>
      <c r="AH589" t="s">
        <v>3727</v>
      </c>
      <c r="AI589" t="s">
        <v>4335</v>
      </c>
      <c r="AJ589">
        <v>0</v>
      </c>
      <c r="AK589" t="s">
        <v>4458</v>
      </c>
      <c r="AL589">
        <v>1</v>
      </c>
      <c r="AM589">
        <v>0</v>
      </c>
      <c r="AN589">
        <v>81.28</v>
      </c>
      <c r="AQ589" t="s">
        <v>4473</v>
      </c>
      <c r="AR589" t="s">
        <v>2176</v>
      </c>
      <c r="AS589" t="s">
        <v>4487</v>
      </c>
      <c r="AT589">
        <v>10152</v>
      </c>
      <c r="AX589" t="s">
        <v>4501</v>
      </c>
      <c r="BA589" t="s">
        <v>4560</v>
      </c>
      <c r="BD589" t="s">
        <v>155</v>
      </c>
    </row>
    <row r="590" spans="1:57">
      <c r="A590" s="1">
        <f>HYPERLINK("https://lsnyc.legalserver.org/matter/dynamic-profile/view/1895856","19-1895856")</f>
        <v>0</v>
      </c>
      <c r="B590" t="s">
        <v>68</v>
      </c>
      <c r="C590" t="s">
        <v>93</v>
      </c>
      <c r="D590" t="s">
        <v>141</v>
      </c>
      <c r="F590" t="s">
        <v>715</v>
      </c>
      <c r="G590" t="s">
        <v>1218</v>
      </c>
      <c r="H590" t="s">
        <v>1798</v>
      </c>
      <c r="I590" t="s">
        <v>2113</v>
      </c>
      <c r="J590" t="s">
        <v>2169</v>
      </c>
      <c r="K590" t="s">
        <v>2171</v>
      </c>
      <c r="L590">
        <v>10025</v>
      </c>
      <c r="M590" t="s">
        <v>2173</v>
      </c>
      <c r="N590" t="s">
        <v>2173</v>
      </c>
      <c r="O590" t="s">
        <v>2179</v>
      </c>
      <c r="P590" t="s">
        <v>2740</v>
      </c>
      <c r="Q590">
        <v>3</v>
      </c>
      <c r="R590" t="s">
        <v>2844</v>
      </c>
      <c r="S590" t="s">
        <v>2857</v>
      </c>
      <c r="U590" t="s">
        <v>2869</v>
      </c>
      <c r="V590" t="s">
        <v>2174</v>
      </c>
      <c r="W590" t="s">
        <v>2174</v>
      </c>
      <c r="Y590" t="s">
        <v>2876</v>
      </c>
      <c r="Z590" t="s">
        <v>2881</v>
      </c>
      <c r="AA590" t="s">
        <v>141</v>
      </c>
      <c r="AB590">
        <v>0</v>
      </c>
      <c r="AC590">
        <v>897</v>
      </c>
      <c r="AD590">
        <v>5.8</v>
      </c>
      <c r="AE590" t="s">
        <v>2894</v>
      </c>
      <c r="AG590" t="s">
        <v>3468</v>
      </c>
      <c r="AH590" t="s">
        <v>3728</v>
      </c>
      <c r="AJ590">
        <v>0</v>
      </c>
      <c r="AK590" t="s">
        <v>4458</v>
      </c>
      <c r="AL590">
        <v>1</v>
      </c>
      <c r="AM590">
        <v>0</v>
      </c>
      <c r="AN590">
        <v>16.45</v>
      </c>
      <c r="AQ590" t="s">
        <v>4473</v>
      </c>
      <c r="AR590" t="s">
        <v>4478</v>
      </c>
      <c r="AS590" t="s">
        <v>4486</v>
      </c>
      <c r="AT590">
        <v>2054</v>
      </c>
      <c r="AX590" t="s">
        <v>4504</v>
      </c>
      <c r="BA590" t="s">
        <v>4551</v>
      </c>
      <c r="BD590" t="s">
        <v>144</v>
      </c>
      <c r="BE590" t="s">
        <v>4704</v>
      </c>
    </row>
    <row r="591" spans="1:57">
      <c r="A591" s="1">
        <f>HYPERLINK("https://lsnyc.legalserver.org/matter/dynamic-profile/view/1896162","19-1896162")</f>
        <v>0</v>
      </c>
      <c r="B591" t="s">
        <v>75</v>
      </c>
      <c r="C591" t="s">
        <v>93</v>
      </c>
      <c r="D591" t="s">
        <v>142</v>
      </c>
      <c r="F591" t="s">
        <v>306</v>
      </c>
      <c r="G591" t="s">
        <v>1074</v>
      </c>
      <c r="H591" t="s">
        <v>1799</v>
      </c>
      <c r="J591" t="s">
        <v>2169</v>
      </c>
      <c r="K591" t="s">
        <v>2171</v>
      </c>
      <c r="L591">
        <v>10025</v>
      </c>
      <c r="M591" t="s">
        <v>2173</v>
      </c>
      <c r="N591" t="s">
        <v>2172</v>
      </c>
      <c r="P591" t="s">
        <v>2741</v>
      </c>
      <c r="Q591">
        <v>25</v>
      </c>
      <c r="R591" t="s">
        <v>2844</v>
      </c>
      <c r="S591" t="s">
        <v>2857</v>
      </c>
      <c r="U591" t="s">
        <v>2869</v>
      </c>
      <c r="V591" t="s">
        <v>2174</v>
      </c>
      <c r="W591" t="s">
        <v>2174</v>
      </c>
      <c r="Y591" t="s">
        <v>2876</v>
      </c>
      <c r="AA591" t="s">
        <v>142</v>
      </c>
      <c r="AB591">
        <v>0</v>
      </c>
      <c r="AC591">
        <v>950</v>
      </c>
      <c r="AD591">
        <v>1.8</v>
      </c>
      <c r="AE591" t="s">
        <v>2894</v>
      </c>
      <c r="AG591" t="s">
        <v>3469</v>
      </c>
      <c r="AI591" t="s">
        <v>4336</v>
      </c>
      <c r="AJ591">
        <v>0</v>
      </c>
      <c r="AK591" t="s">
        <v>4462</v>
      </c>
      <c r="AL591">
        <v>1</v>
      </c>
      <c r="AM591">
        <v>0</v>
      </c>
      <c r="AN591">
        <v>208.17</v>
      </c>
      <c r="AS591" t="s">
        <v>4486</v>
      </c>
      <c r="AT591">
        <v>26000</v>
      </c>
      <c r="AX591" t="s">
        <v>86</v>
      </c>
      <c r="BA591" t="s">
        <v>4546</v>
      </c>
      <c r="BD591" t="s">
        <v>230</v>
      </c>
      <c r="BE591" t="s">
        <v>4703</v>
      </c>
    </row>
    <row r="592" spans="1:57">
      <c r="A592" s="1">
        <f>HYPERLINK("https://lsnyc.legalserver.org/matter/dynamic-profile/view/1896202","19-1896202")</f>
        <v>0</v>
      </c>
      <c r="B592" t="s">
        <v>58</v>
      </c>
      <c r="C592" t="s">
        <v>93</v>
      </c>
      <c r="D592" t="s">
        <v>142</v>
      </c>
      <c r="F592" t="s">
        <v>716</v>
      </c>
      <c r="G592" t="s">
        <v>1219</v>
      </c>
      <c r="H592" t="s">
        <v>1800</v>
      </c>
      <c r="J592" t="s">
        <v>2169</v>
      </c>
      <c r="K592" t="s">
        <v>2171</v>
      </c>
      <c r="L592">
        <v>10025</v>
      </c>
      <c r="M592" t="s">
        <v>2172</v>
      </c>
      <c r="N592" t="s">
        <v>2172</v>
      </c>
      <c r="Q592">
        <v>0</v>
      </c>
      <c r="R592" t="s">
        <v>2844</v>
      </c>
      <c r="S592" t="s">
        <v>2857</v>
      </c>
      <c r="U592" t="s">
        <v>2869</v>
      </c>
      <c r="V592" t="s">
        <v>2174</v>
      </c>
      <c r="Y592" t="s">
        <v>2876</v>
      </c>
      <c r="AB592">
        <v>0</v>
      </c>
      <c r="AC592">
        <v>353</v>
      </c>
      <c r="AD592">
        <v>18.9</v>
      </c>
      <c r="AE592" t="s">
        <v>2894</v>
      </c>
      <c r="AG592" t="s">
        <v>3470</v>
      </c>
      <c r="AI592" t="s">
        <v>4337</v>
      </c>
      <c r="AJ592">
        <v>135</v>
      </c>
      <c r="AK592" t="s">
        <v>4459</v>
      </c>
      <c r="AL592">
        <v>5</v>
      </c>
      <c r="AM592">
        <v>0</v>
      </c>
      <c r="AN592">
        <v>49.72</v>
      </c>
      <c r="AR592" t="s">
        <v>4476</v>
      </c>
      <c r="AS592" t="s">
        <v>4495</v>
      </c>
      <c r="AT592">
        <v>15000</v>
      </c>
      <c r="AX592" t="s">
        <v>86</v>
      </c>
      <c r="BA592" t="s">
        <v>4625</v>
      </c>
      <c r="BD592" t="s">
        <v>4697</v>
      </c>
    </row>
    <row r="593" spans="1:57">
      <c r="A593" s="1">
        <f>HYPERLINK("https://lsnyc.legalserver.org/matter/dynamic-profile/view/1896274","19-1896274")</f>
        <v>0</v>
      </c>
      <c r="B593" t="s">
        <v>67</v>
      </c>
      <c r="C593" t="s">
        <v>93</v>
      </c>
      <c r="D593" t="s">
        <v>142</v>
      </c>
      <c r="F593" t="s">
        <v>717</v>
      </c>
      <c r="G593" t="s">
        <v>1220</v>
      </c>
      <c r="H593" t="s">
        <v>1801</v>
      </c>
      <c r="J593" t="s">
        <v>2169</v>
      </c>
      <c r="K593" t="s">
        <v>2171</v>
      </c>
      <c r="L593">
        <v>10025</v>
      </c>
      <c r="M593" t="s">
        <v>2172</v>
      </c>
      <c r="N593" t="s">
        <v>2172</v>
      </c>
      <c r="Q593">
        <v>0</v>
      </c>
      <c r="R593" t="s">
        <v>2844</v>
      </c>
      <c r="S593" t="s">
        <v>2856</v>
      </c>
      <c r="U593" t="s">
        <v>2869</v>
      </c>
      <c r="V593" t="s">
        <v>2174</v>
      </c>
      <c r="W593" t="s">
        <v>2174</v>
      </c>
      <c r="Y593" t="s">
        <v>2876</v>
      </c>
      <c r="AB593">
        <v>0</v>
      </c>
      <c r="AC593">
        <v>996</v>
      </c>
      <c r="AD593">
        <v>0</v>
      </c>
      <c r="AE593" t="s">
        <v>2894</v>
      </c>
      <c r="AG593" t="s">
        <v>3471</v>
      </c>
      <c r="AI593" t="s">
        <v>4338</v>
      </c>
      <c r="AJ593">
        <v>0</v>
      </c>
      <c r="AL593">
        <v>1</v>
      </c>
      <c r="AM593">
        <v>0</v>
      </c>
      <c r="AN593">
        <v>400.32</v>
      </c>
      <c r="AS593" t="s">
        <v>4486</v>
      </c>
      <c r="AT593">
        <v>50000</v>
      </c>
      <c r="AX593" t="s">
        <v>86</v>
      </c>
      <c r="BA593" t="s">
        <v>4546</v>
      </c>
    </row>
    <row r="594" spans="1:57">
      <c r="A594" s="1">
        <f>HYPERLINK("https://lsnyc.legalserver.org/matter/dynamic-profile/view/1896475","19-1896475")</f>
        <v>0</v>
      </c>
      <c r="B594" t="s">
        <v>64</v>
      </c>
      <c r="C594" t="s">
        <v>93</v>
      </c>
      <c r="D594" t="s">
        <v>143</v>
      </c>
      <c r="F594" t="s">
        <v>718</v>
      </c>
      <c r="G594" t="s">
        <v>1221</v>
      </c>
      <c r="H594" t="s">
        <v>1802</v>
      </c>
      <c r="I594" t="s">
        <v>1974</v>
      </c>
      <c r="J594" t="s">
        <v>2169</v>
      </c>
      <c r="K594" t="s">
        <v>2171</v>
      </c>
      <c r="L594">
        <v>10025</v>
      </c>
      <c r="M594" t="s">
        <v>2173</v>
      </c>
      <c r="N594" t="s">
        <v>2173</v>
      </c>
      <c r="O594" t="s">
        <v>2175</v>
      </c>
      <c r="P594" t="s">
        <v>2742</v>
      </c>
      <c r="Q594">
        <v>3</v>
      </c>
      <c r="R594" t="s">
        <v>2844</v>
      </c>
      <c r="S594" t="s">
        <v>2856</v>
      </c>
      <c r="U594" t="s">
        <v>2869</v>
      </c>
      <c r="V594" t="s">
        <v>2174</v>
      </c>
      <c r="W594" t="s">
        <v>2174</v>
      </c>
      <c r="Y594" t="s">
        <v>2875</v>
      </c>
      <c r="Z594" t="s">
        <v>2879</v>
      </c>
      <c r="AA594" t="s">
        <v>143</v>
      </c>
      <c r="AB594">
        <v>0</v>
      </c>
      <c r="AC594">
        <v>284</v>
      </c>
      <c r="AD594">
        <v>0.8</v>
      </c>
      <c r="AE594" t="s">
        <v>2894</v>
      </c>
      <c r="AG594" t="s">
        <v>3472</v>
      </c>
      <c r="AH594" t="s">
        <v>3729</v>
      </c>
      <c r="AI594" t="s">
        <v>4339</v>
      </c>
      <c r="AJ594">
        <v>0</v>
      </c>
      <c r="AK594" t="s">
        <v>4459</v>
      </c>
      <c r="AL594">
        <v>1</v>
      </c>
      <c r="AM594">
        <v>2</v>
      </c>
      <c r="AN594">
        <v>14.14</v>
      </c>
      <c r="AR594" t="s">
        <v>4476</v>
      </c>
      <c r="AS594" t="s">
        <v>4486</v>
      </c>
      <c r="AT594">
        <v>3016</v>
      </c>
      <c r="AX594" t="s">
        <v>4504</v>
      </c>
      <c r="BA594" t="s">
        <v>4551</v>
      </c>
      <c r="BD594" t="s">
        <v>143</v>
      </c>
    </row>
    <row r="595" spans="1:57">
      <c r="A595" s="1">
        <f>HYPERLINK("https://lsnyc.legalserver.org/matter/dynamic-profile/view/1896501","19-1896501")</f>
        <v>0</v>
      </c>
      <c r="B595" t="s">
        <v>66</v>
      </c>
      <c r="C595" t="s">
        <v>93</v>
      </c>
      <c r="D595" t="s">
        <v>143</v>
      </c>
      <c r="F595" t="s">
        <v>446</v>
      </c>
      <c r="G595" t="s">
        <v>1222</v>
      </c>
      <c r="H595" t="s">
        <v>1769</v>
      </c>
      <c r="I595" t="s">
        <v>2114</v>
      </c>
      <c r="J595" t="s">
        <v>2169</v>
      </c>
      <c r="K595" t="s">
        <v>2171</v>
      </c>
      <c r="L595">
        <v>10025</v>
      </c>
      <c r="M595" t="s">
        <v>2173</v>
      </c>
      <c r="N595" t="s">
        <v>2172</v>
      </c>
      <c r="O595" t="s">
        <v>2175</v>
      </c>
      <c r="P595" t="s">
        <v>2743</v>
      </c>
      <c r="Q595">
        <v>12</v>
      </c>
      <c r="R595" t="s">
        <v>2844</v>
      </c>
      <c r="S595" t="s">
        <v>2857</v>
      </c>
      <c r="U595" t="s">
        <v>2869</v>
      </c>
      <c r="V595" t="s">
        <v>2174</v>
      </c>
      <c r="W595" t="s">
        <v>2174</v>
      </c>
      <c r="Y595" t="s">
        <v>2875</v>
      </c>
      <c r="AA595" t="s">
        <v>143</v>
      </c>
      <c r="AB595">
        <v>0</v>
      </c>
      <c r="AC595">
        <v>250</v>
      </c>
      <c r="AD595">
        <v>3.9</v>
      </c>
      <c r="AE595" t="s">
        <v>2894</v>
      </c>
      <c r="AG595" t="s">
        <v>3473</v>
      </c>
      <c r="AH595" t="s">
        <v>3730</v>
      </c>
      <c r="AI595" t="s">
        <v>4340</v>
      </c>
      <c r="AJ595">
        <v>0</v>
      </c>
      <c r="AK595" t="s">
        <v>4459</v>
      </c>
      <c r="AL595">
        <v>1</v>
      </c>
      <c r="AM595">
        <v>0</v>
      </c>
      <c r="AN595">
        <v>82.34</v>
      </c>
      <c r="AR595" t="s">
        <v>4476</v>
      </c>
      <c r="AS595" t="s">
        <v>4496</v>
      </c>
      <c r="AT595">
        <v>10284</v>
      </c>
      <c r="AX595" t="s">
        <v>4501</v>
      </c>
      <c r="BA595" t="s">
        <v>4548</v>
      </c>
      <c r="BD595" t="s">
        <v>136</v>
      </c>
    </row>
    <row r="596" spans="1:57">
      <c r="A596" s="1">
        <f>HYPERLINK("https://lsnyc.legalserver.org/matter/dynamic-profile/view/1897086","19-1897086")</f>
        <v>0</v>
      </c>
      <c r="B596" t="s">
        <v>58</v>
      </c>
      <c r="C596" t="s">
        <v>93</v>
      </c>
      <c r="D596" t="s">
        <v>102</v>
      </c>
      <c r="F596" t="s">
        <v>719</v>
      </c>
      <c r="G596" t="s">
        <v>1223</v>
      </c>
      <c r="H596" t="s">
        <v>1803</v>
      </c>
      <c r="I596" t="s">
        <v>2108</v>
      </c>
      <c r="J596" t="s">
        <v>2169</v>
      </c>
      <c r="K596" t="s">
        <v>2171</v>
      </c>
      <c r="L596">
        <v>10025</v>
      </c>
      <c r="M596" t="s">
        <v>2173</v>
      </c>
      <c r="N596" t="s">
        <v>2173</v>
      </c>
      <c r="Q596">
        <v>13</v>
      </c>
      <c r="R596" t="s">
        <v>2844</v>
      </c>
      <c r="S596" t="s">
        <v>2857</v>
      </c>
      <c r="U596" t="s">
        <v>2869</v>
      </c>
      <c r="V596" t="s">
        <v>2174</v>
      </c>
      <c r="W596" t="s">
        <v>2174</v>
      </c>
      <c r="Y596" t="s">
        <v>2875</v>
      </c>
      <c r="AB596">
        <v>0</v>
      </c>
      <c r="AC596">
        <v>621</v>
      </c>
      <c r="AD596">
        <v>43.65</v>
      </c>
      <c r="AE596" t="s">
        <v>2894</v>
      </c>
      <c r="AG596" t="s">
        <v>3474</v>
      </c>
      <c r="AI596" t="s">
        <v>4341</v>
      </c>
      <c r="AJ596">
        <v>1162</v>
      </c>
      <c r="AK596" t="s">
        <v>4459</v>
      </c>
      <c r="AL596">
        <v>3</v>
      </c>
      <c r="AM596">
        <v>0</v>
      </c>
      <c r="AN596">
        <v>42.66</v>
      </c>
      <c r="AT596">
        <v>9100</v>
      </c>
      <c r="AX596" t="s">
        <v>4506</v>
      </c>
      <c r="BA596" t="s">
        <v>4537</v>
      </c>
      <c r="BD596" t="s">
        <v>219</v>
      </c>
    </row>
    <row r="597" spans="1:57">
      <c r="A597" s="1">
        <f>HYPERLINK("https://lsnyc.legalserver.org/matter/dynamic-profile/view/1897126","19-1897126")</f>
        <v>0</v>
      </c>
      <c r="B597" t="s">
        <v>71</v>
      </c>
      <c r="C597" t="s">
        <v>93</v>
      </c>
      <c r="D597" t="s">
        <v>161</v>
      </c>
      <c r="F597" t="s">
        <v>720</v>
      </c>
      <c r="G597" t="s">
        <v>1224</v>
      </c>
      <c r="H597" t="s">
        <v>1804</v>
      </c>
      <c r="I597" t="s">
        <v>2115</v>
      </c>
      <c r="J597" t="s">
        <v>2169</v>
      </c>
      <c r="K597" t="s">
        <v>2171</v>
      </c>
      <c r="L597">
        <v>10025</v>
      </c>
      <c r="M597" t="s">
        <v>2173</v>
      </c>
      <c r="N597" t="s">
        <v>2173</v>
      </c>
      <c r="O597" t="s">
        <v>2175</v>
      </c>
      <c r="P597" t="s">
        <v>2744</v>
      </c>
      <c r="Q597">
        <v>2</v>
      </c>
      <c r="R597" t="s">
        <v>2844</v>
      </c>
      <c r="S597" t="s">
        <v>2857</v>
      </c>
      <c r="U597" t="s">
        <v>2869</v>
      </c>
      <c r="V597" t="s">
        <v>2174</v>
      </c>
      <c r="W597" t="s">
        <v>2174</v>
      </c>
      <c r="Y597" t="s">
        <v>2876</v>
      </c>
      <c r="Z597" t="s">
        <v>2879</v>
      </c>
      <c r="AA597" t="s">
        <v>161</v>
      </c>
      <c r="AB597">
        <v>0</v>
      </c>
      <c r="AC597">
        <v>1044</v>
      </c>
      <c r="AD597">
        <v>14.75</v>
      </c>
      <c r="AE597" t="s">
        <v>2894</v>
      </c>
      <c r="AG597" t="s">
        <v>3475</v>
      </c>
      <c r="AH597" t="s">
        <v>3731</v>
      </c>
      <c r="AI597" t="s">
        <v>4342</v>
      </c>
      <c r="AJ597">
        <v>0</v>
      </c>
      <c r="AK597" t="s">
        <v>4456</v>
      </c>
      <c r="AL597">
        <v>1</v>
      </c>
      <c r="AM597">
        <v>0</v>
      </c>
      <c r="AN597">
        <v>141.91</v>
      </c>
      <c r="AP597" t="s">
        <v>4471</v>
      </c>
      <c r="AR597" t="s">
        <v>4477</v>
      </c>
      <c r="AS597" t="s">
        <v>4486</v>
      </c>
      <c r="AT597">
        <v>17724</v>
      </c>
      <c r="AX597" t="s">
        <v>4504</v>
      </c>
      <c r="BA597" t="s">
        <v>4626</v>
      </c>
      <c r="BD597" t="s">
        <v>116</v>
      </c>
    </row>
    <row r="598" spans="1:57">
      <c r="A598" s="1">
        <f>HYPERLINK("https://lsnyc.legalserver.org/matter/dynamic-profile/view/1897156","19-1897156")</f>
        <v>0</v>
      </c>
      <c r="B598" t="s">
        <v>63</v>
      </c>
      <c r="C598" t="s">
        <v>93</v>
      </c>
      <c r="D598" t="s">
        <v>161</v>
      </c>
      <c r="F598" t="s">
        <v>427</v>
      </c>
      <c r="G598" t="s">
        <v>933</v>
      </c>
      <c r="H598" t="s">
        <v>1805</v>
      </c>
      <c r="I598" t="s">
        <v>2116</v>
      </c>
      <c r="J598" t="s">
        <v>2169</v>
      </c>
      <c r="K598" t="s">
        <v>2171</v>
      </c>
      <c r="L598">
        <v>10025</v>
      </c>
      <c r="M598" t="s">
        <v>2173</v>
      </c>
      <c r="N598" t="s">
        <v>2172</v>
      </c>
      <c r="O598" t="s">
        <v>2175</v>
      </c>
      <c r="P598" t="s">
        <v>2745</v>
      </c>
      <c r="Q598">
        <v>30</v>
      </c>
      <c r="R598" t="s">
        <v>2844</v>
      </c>
      <c r="S598" t="s">
        <v>2857</v>
      </c>
      <c r="U598" t="s">
        <v>2869</v>
      </c>
      <c r="V598" t="s">
        <v>2174</v>
      </c>
      <c r="W598" t="s">
        <v>2174</v>
      </c>
      <c r="Y598" t="s">
        <v>2876</v>
      </c>
      <c r="Z598" t="s">
        <v>2879</v>
      </c>
      <c r="AA598" t="s">
        <v>161</v>
      </c>
      <c r="AB598">
        <v>0</v>
      </c>
      <c r="AC598">
        <v>999</v>
      </c>
      <c r="AD598">
        <v>21.8</v>
      </c>
      <c r="AE598" t="s">
        <v>2894</v>
      </c>
      <c r="AG598" t="s">
        <v>3476</v>
      </c>
      <c r="AH598" t="s">
        <v>3732</v>
      </c>
      <c r="AI598" t="s">
        <v>4343</v>
      </c>
      <c r="AJ598">
        <v>427</v>
      </c>
      <c r="AK598" t="s">
        <v>4456</v>
      </c>
      <c r="AL598">
        <v>1</v>
      </c>
      <c r="AM598">
        <v>0</v>
      </c>
      <c r="AN598">
        <v>82.63</v>
      </c>
      <c r="AR598" t="s">
        <v>4483</v>
      </c>
      <c r="AS598" t="s">
        <v>4486</v>
      </c>
      <c r="AT598">
        <v>10320</v>
      </c>
      <c r="AX598" t="s">
        <v>4504</v>
      </c>
      <c r="BA598" t="s">
        <v>4534</v>
      </c>
      <c r="BD598" t="s">
        <v>174</v>
      </c>
      <c r="BE598" t="s">
        <v>4704</v>
      </c>
    </row>
    <row r="599" spans="1:57">
      <c r="A599" s="1">
        <f>HYPERLINK("https://lsnyc.legalserver.org/matter/dynamic-profile/view/1897169","19-1897169")</f>
        <v>0</v>
      </c>
      <c r="B599" t="s">
        <v>67</v>
      </c>
      <c r="C599" t="s">
        <v>93</v>
      </c>
      <c r="D599" t="s">
        <v>161</v>
      </c>
      <c r="F599" t="s">
        <v>329</v>
      </c>
      <c r="G599" t="s">
        <v>1000</v>
      </c>
      <c r="H599" t="s">
        <v>1796</v>
      </c>
      <c r="I599" t="s">
        <v>2117</v>
      </c>
      <c r="J599" t="s">
        <v>2169</v>
      </c>
      <c r="K599" t="s">
        <v>2171</v>
      </c>
      <c r="L599">
        <v>10025</v>
      </c>
      <c r="M599" t="s">
        <v>2173</v>
      </c>
      <c r="N599" t="s">
        <v>2173</v>
      </c>
      <c r="O599" t="s">
        <v>2179</v>
      </c>
      <c r="P599" t="s">
        <v>2746</v>
      </c>
      <c r="Q599">
        <v>5</v>
      </c>
      <c r="R599" t="s">
        <v>2844</v>
      </c>
      <c r="S599" t="s">
        <v>2857</v>
      </c>
      <c r="U599" t="s">
        <v>2869</v>
      </c>
      <c r="V599" t="s">
        <v>2174</v>
      </c>
      <c r="W599" t="s">
        <v>2174</v>
      </c>
      <c r="Y599" t="s">
        <v>2876</v>
      </c>
      <c r="Z599" t="s">
        <v>2879</v>
      </c>
      <c r="AA599" t="s">
        <v>161</v>
      </c>
      <c r="AB599">
        <v>0</v>
      </c>
      <c r="AC599">
        <v>629</v>
      </c>
      <c r="AD599">
        <v>2.3</v>
      </c>
      <c r="AE599" t="s">
        <v>2894</v>
      </c>
      <c r="AG599" t="s">
        <v>3477</v>
      </c>
      <c r="AI599" t="s">
        <v>4344</v>
      </c>
      <c r="AJ599">
        <v>0</v>
      </c>
      <c r="AK599" t="s">
        <v>4456</v>
      </c>
      <c r="AL599">
        <v>1</v>
      </c>
      <c r="AM599">
        <v>0</v>
      </c>
      <c r="AN599">
        <v>134.89</v>
      </c>
      <c r="AR599" t="s">
        <v>4476</v>
      </c>
      <c r="AT599">
        <v>16848</v>
      </c>
      <c r="AX599" t="s">
        <v>4504</v>
      </c>
      <c r="BA599" t="s">
        <v>4546</v>
      </c>
      <c r="BD599" t="s">
        <v>122</v>
      </c>
    </row>
    <row r="600" spans="1:57">
      <c r="A600" s="1">
        <f>HYPERLINK("https://lsnyc.legalserver.org/matter/dynamic-profile/view/1897832","19-1897832")</f>
        <v>0</v>
      </c>
      <c r="B600" t="s">
        <v>62</v>
      </c>
      <c r="C600" t="s">
        <v>93</v>
      </c>
      <c r="D600" t="s">
        <v>144</v>
      </c>
      <c r="F600" t="s">
        <v>721</v>
      </c>
      <c r="G600" t="s">
        <v>1192</v>
      </c>
      <c r="H600" t="s">
        <v>1806</v>
      </c>
      <c r="I600">
        <v>406</v>
      </c>
      <c r="J600" t="s">
        <v>2169</v>
      </c>
      <c r="K600" t="s">
        <v>2171</v>
      </c>
      <c r="L600">
        <v>10025</v>
      </c>
      <c r="M600" t="s">
        <v>2173</v>
      </c>
      <c r="N600" t="s">
        <v>2173</v>
      </c>
      <c r="O600" t="s">
        <v>2179</v>
      </c>
      <c r="P600" t="s">
        <v>2747</v>
      </c>
      <c r="Q600">
        <v>2</v>
      </c>
      <c r="R600" t="s">
        <v>2844</v>
      </c>
      <c r="S600" t="s">
        <v>2857</v>
      </c>
      <c r="U600" t="s">
        <v>2869</v>
      </c>
      <c r="V600" t="s">
        <v>2174</v>
      </c>
      <c r="W600" t="s">
        <v>2174</v>
      </c>
      <c r="Y600" t="s">
        <v>2876</v>
      </c>
      <c r="AA600" t="s">
        <v>144</v>
      </c>
      <c r="AB600">
        <v>0</v>
      </c>
      <c r="AC600">
        <v>800</v>
      </c>
      <c r="AD600">
        <v>10.65</v>
      </c>
      <c r="AE600" t="s">
        <v>2894</v>
      </c>
      <c r="AG600" t="s">
        <v>3478</v>
      </c>
      <c r="AI600" t="s">
        <v>4345</v>
      </c>
      <c r="AJ600">
        <v>0</v>
      </c>
      <c r="AK600" t="s">
        <v>4458</v>
      </c>
      <c r="AL600">
        <v>1</v>
      </c>
      <c r="AM600">
        <v>0</v>
      </c>
      <c r="AN600">
        <v>166.53</v>
      </c>
      <c r="AR600" t="s">
        <v>4481</v>
      </c>
      <c r="AS600" t="s">
        <v>4486</v>
      </c>
      <c r="AT600">
        <v>20800</v>
      </c>
      <c r="AX600" t="s">
        <v>4501</v>
      </c>
      <c r="BA600" t="s">
        <v>4546</v>
      </c>
      <c r="BD600" t="s">
        <v>208</v>
      </c>
      <c r="BE600" t="s">
        <v>4703</v>
      </c>
    </row>
    <row r="601" spans="1:57">
      <c r="A601" s="1">
        <f>HYPERLINK("https://lsnyc.legalserver.org/matter/dynamic-profile/view/1898204","19-1898204")</f>
        <v>0</v>
      </c>
      <c r="B601" t="s">
        <v>67</v>
      </c>
      <c r="C601" t="s">
        <v>93</v>
      </c>
      <c r="D601" t="s">
        <v>145</v>
      </c>
      <c r="F601" t="s">
        <v>553</v>
      </c>
      <c r="G601" t="s">
        <v>1225</v>
      </c>
      <c r="H601" t="s">
        <v>1778</v>
      </c>
      <c r="I601" t="s">
        <v>2118</v>
      </c>
      <c r="J601" t="s">
        <v>2169</v>
      </c>
      <c r="K601" t="s">
        <v>2171</v>
      </c>
      <c r="L601">
        <v>10025</v>
      </c>
      <c r="M601" t="s">
        <v>2172</v>
      </c>
      <c r="N601" t="s">
        <v>2172</v>
      </c>
      <c r="O601" t="s">
        <v>2175</v>
      </c>
      <c r="P601" t="s">
        <v>2748</v>
      </c>
      <c r="Q601">
        <v>20</v>
      </c>
      <c r="R601" t="s">
        <v>2844</v>
      </c>
      <c r="S601" t="s">
        <v>2857</v>
      </c>
      <c r="U601" t="s">
        <v>2869</v>
      </c>
      <c r="V601" t="s">
        <v>2174</v>
      </c>
      <c r="W601" t="s">
        <v>2174</v>
      </c>
      <c r="Y601" t="s">
        <v>2876</v>
      </c>
      <c r="AA601" t="s">
        <v>145</v>
      </c>
      <c r="AB601">
        <v>0</v>
      </c>
      <c r="AC601">
        <v>380</v>
      </c>
      <c r="AD601">
        <v>8.83</v>
      </c>
      <c r="AE601" t="s">
        <v>2894</v>
      </c>
      <c r="AG601" t="s">
        <v>3479</v>
      </c>
      <c r="AH601" t="s">
        <v>3733</v>
      </c>
      <c r="AI601" t="s">
        <v>4346</v>
      </c>
      <c r="AJ601">
        <v>218</v>
      </c>
      <c r="AK601" t="s">
        <v>4462</v>
      </c>
      <c r="AL601">
        <v>1</v>
      </c>
      <c r="AM601">
        <v>0</v>
      </c>
      <c r="AN601">
        <v>127.69</v>
      </c>
      <c r="AS601" t="s">
        <v>4486</v>
      </c>
      <c r="AT601">
        <v>15948</v>
      </c>
      <c r="AX601" t="s">
        <v>4499</v>
      </c>
      <c r="BA601" t="s">
        <v>4531</v>
      </c>
      <c r="BD601" t="s">
        <v>4692</v>
      </c>
    </row>
    <row r="602" spans="1:57">
      <c r="A602" s="1">
        <f>HYPERLINK("https://lsnyc.legalserver.org/matter/dynamic-profile/view/1898206","19-1898206")</f>
        <v>0</v>
      </c>
      <c r="B602" t="s">
        <v>73</v>
      </c>
      <c r="C602" t="s">
        <v>92</v>
      </c>
      <c r="D602" t="s">
        <v>145</v>
      </c>
      <c r="E602" t="s">
        <v>224</v>
      </c>
      <c r="F602" t="s">
        <v>655</v>
      </c>
      <c r="G602" t="s">
        <v>1226</v>
      </c>
      <c r="H602" t="s">
        <v>1778</v>
      </c>
      <c r="I602" t="s">
        <v>2118</v>
      </c>
      <c r="J602" t="s">
        <v>2169</v>
      </c>
      <c r="K602" t="s">
        <v>2171</v>
      </c>
      <c r="L602">
        <v>10025</v>
      </c>
      <c r="M602" t="s">
        <v>2173</v>
      </c>
      <c r="N602" t="s">
        <v>2173</v>
      </c>
      <c r="O602" t="s">
        <v>2175</v>
      </c>
      <c r="P602" t="s">
        <v>2748</v>
      </c>
      <c r="Q602">
        <v>16</v>
      </c>
      <c r="R602" t="s">
        <v>2844</v>
      </c>
      <c r="S602" t="s">
        <v>2856</v>
      </c>
      <c r="T602" t="s">
        <v>2863</v>
      </c>
      <c r="U602" t="s">
        <v>2869</v>
      </c>
      <c r="V602" t="s">
        <v>2174</v>
      </c>
      <c r="W602" t="s">
        <v>2174</v>
      </c>
      <c r="Y602" t="s">
        <v>2876</v>
      </c>
      <c r="Z602" t="s">
        <v>2879</v>
      </c>
      <c r="AA602" t="s">
        <v>121</v>
      </c>
      <c r="AB602">
        <v>0</v>
      </c>
      <c r="AC602">
        <v>1200</v>
      </c>
      <c r="AD602">
        <v>0.5</v>
      </c>
      <c r="AE602" t="s">
        <v>2894</v>
      </c>
      <c r="AF602" t="s">
        <v>2896</v>
      </c>
      <c r="AG602" t="s">
        <v>3480</v>
      </c>
      <c r="AH602" t="s">
        <v>3733</v>
      </c>
      <c r="AI602" t="s">
        <v>4347</v>
      </c>
      <c r="AJ602">
        <v>0</v>
      </c>
      <c r="AK602" t="s">
        <v>4456</v>
      </c>
      <c r="AL602">
        <v>1</v>
      </c>
      <c r="AM602">
        <v>2</v>
      </c>
      <c r="AN602">
        <v>140.65</v>
      </c>
      <c r="AR602" t="s">
        <v>4476</v>
      </c>
      <c r="AS602" t="s">
        <v>4486</v>
      </c>
      <c r="AT602">
        <v>30000</v>
      </c>
      <c r="AX602" t="s">
        <v>4502</v>
      </c>
      <c r="BA602" t="s">
        <v>4546</v>
      </c>
      <c r="BD602" t="s">
        <v>145</v>
      </c>
    </row>
    <row r="603" spans="1:57">
      <c r="A603" s="1">
        <f>HYPERLINK("https://lsnyc.legalserver.org/matter/dynamic-profile/view/1898213","19-1898213")</f>
        <v>0</v>
      </c>
      <c r="B603" t="s">
        <v>58</v>
      </c>
      <c r="C603" t="s">
        <v>93</v>
      </c>
      <c r="D603" t="s">
        <v>145</v>
      </c>
      <c r="F603" t="s">
        <v>680</v>
      </c>
      <c r="G603" t="s">
        <v>1227</v>
      </c>
      <c r="H603" t="s">
        <v>1807</v>
      </c>
      <c r="I603" t="s">
        <v>2099</v>
      </c>
      <c r="J603" t="s">
        <v>2169</v>
      </c>
      <c r="K603" t="s">
        <v>2171</v>
      </c>
      <c r="L603">
        <v>10025</v>
      </c>
      <c r="M603" t="s">
        <v>2173</v>
      </c>
      <c r="N603" t="s">
        <v>2172</v>
      </c>
      <c r="O603" t="s">
        <v>2179</v>
      </c>
      <c r="P603" t="s">
        <v>2749</v>
      </c>
      <c r="Q603">
        <v>13</v>
      </c>
      <c r="R603" t="s">
        <v>2844</v>
      </c>
      <c r="S603" t="s">
        <v>2857</v>
      </c>
      <c r="U603" t="s">
        <v>2869</v>
      </c>
      <c r="V603" t="s">
        <v>2174</v>
      </c>
      <c r="W603" t="s">
        <v>2174</v>
      </c>
      <c r="Y603" t="s">
        <v>2876</v>
      </c>
      <c r="AA603" t="s">
        <v>145</v>
      </c>
      <c r="AB603">
        <v>0</v>
      </c>
      <c r="AC603">
        <v>469</v>
      </c>
      <c r="AD603">
        <v>6.25</v>
      </c>
      <c r="AE603" t="s">
        <v>2894</v>
      </c>
      <c r="AG603" t="s">
        <v>3481</v>
      </c>
      <c r="AI603" t="s">
        <v>4348</v>
      </c>
      <c r="AJ603">
        <v>0</v>
      </c>
      <c r="AK603" t="s">
        <v>4456</v>
      </c>
      <c r="AL603">
        <v>1</v>
      </c>
      <c r="AM603">
        <v>0</v>
      </c>
      <c r="AN603">
        <v>152.95</v>
      </c>
      <c r="AS603" t="s">
        <v>4486</v>
      </c>
      <c r="AT603">
        <v>19104</v>
      </c>
      <c r="AX603" t="s">
        <v>4499</v>
      </c>
      <c r="BA603" t="s">
        <v>4531</v>
      </c>
      <c r="BD603" t="s">
        <v>136</v>
      </c>
      <c r="BE603" t="s">
        <v>4703</v>
      </c>
    </row>
    <row r="604" spans="1:57">
      <c r="A604" s="1">
        <f>HYPERLINK("https://lsnyc.legalserver.org/matter/dynamic-profile/view/1898231","19-1898231")</f>
        <v>0</v>
      </c>
      <c r="B604" t="s">
        <v>67</v>
      </c>
      <c r="C604" t="s">
        <v>93</v>
      </c>
      <c r="D604" t="s">
        <v>145</v>
      </c>
      <c r="F604" t="s">
        <v>324</v>
      </c>
      <c r="G604" t="s">
        <v>1228</v>
      </c>
      <c r="H604" t="s">
        <v>1776</v>
      </c>
      <c r="I604" t="s">
        <v>1944</v>
      </c>
      <c r="J604" t="s">
        <v>2169</v>
      </c>
      <c r="K604" t="s">
        <v>2171</v>
      </c>
      <c r="L604">
        <v>10025</v>
      </c>
      <c r="M604" t="s">
        <v>2173</v>
      </c>
      <c r="N604" t="s">
        <v>2174</v>
      </c>
      <c r="P604" t="s">
        <v>2750</v>
      </c>
      <c r="Q604">
        <v>34</v>
      </c>
      <c r="R604" t="s">
        <v>2844</v>
      </c>
      <c r="S604" t="s">
        <v>2857</v>
      </c>
      <c r="U604" t="s">
        <v>2869</v>
      </c>
      <c r="V604" t="s">
        <v>2174</v>
      </c>
      <c r="W604" t="s">
        <v>2174</v>
      </c>
      <c r="Y604" t="s">
        <v>2876</v>
      </c>
      <c r="Z604" t="s">
        <v>2879</v>
      </c>
      <c r="AA604" t="s">
        <v>121</v>
      </c>
      <c r="AB604">
        <v>0</v>
      </c>
      <c r="AC604">
        <v>2000</v>
      </c>
      <c r="AD604">
        <v>15.86</v>
      </c>
      <c r="AE604" t="s">
        <v>2894</v>
      </c>
      <c r="AG604" t="s">
        <v>3482</v>
      </c>
      <c r="AI604" t="s">
        <v>4349</v>
      </c>
      <c r="AJ604">
        <v>0</v>
      </c>
      <c r="AK604" t="s">
        <v>4456</v>
      </c>
      <c r="AL604">
        <v>1</v>
      </c>
      <c r="AM604">
        <v>0</v>
      </c>
      <c r="AN604">
        <v>12.01</v>
      </c>
      <c r="AR604" t="s">
        <v>4479</v>
      </c>
      <c r="AS604" t="s">
        <v>4486</v>
      </c>
      <c r="AT604">
        <v>1500</v>
      </c>
      <c r="AX604" t="s">
        <v>4502</v>
      </c>
      <c r="BA604" t="s">
        <v>4531</v>
      </c>
      <c r="BD604" t="s">
        <v>215</v>
      </c>
    </row>
    <row r="605" spans="1:57">
      <c r="A605" s="1">
        <f>HYPERLINK("https://lsnyc.legalserver.org/matter/dynamic-profile/view/1899215","19-1899215")</f>
        <v>0</v>
      </c>
      <c r="B605" t="s">
        <v>73</v>
      </c>
      <c r="C605" t="s">
        <v>92</v>
      </c>
      <c r="D605" t="s">
        <v>113</v>
      </c>
      <c r="E605" t="s">
        <v>176</v>
      </c>
      <c r="F605" t="s">
        <v>722</v>
      </c>
      <c r="G605" t="s">
        <v>240</v>
      </c>
      <c r="H605" t="s">
        <v>1808</v>
      </c>
      <c r="I605" t="s">
        <v>2119</v>
      </c>
      <c r="J605" t="s">
        <v>2169</v>
      </c>
      <c r="K605" t="s">
        <v>2171</v>
      </c>
      <c r="L605">
        <v>10025</v>
      </c>
      <c r="M605" t="s">
        <v>2173</v>
      </c>
      <c r="N605" t="s">
        <v>2172</v>
      </c>
      <c r="O605" t="s">
        <v>2175</v>
      </c>
      <c r="P605" t="s">
        <v>2751</v>
      </c>
      <c r="Q605">
        <v>34</v>
      </c>
      <c r="R605" t="s">
        <v>2844</v>
      </c>
      <c r="S605" t="s">
        <v>2857</v>
      </c>
      <c r="T605" t="s">
        <v>2864</v>
      </c>
      <c r="U605" t="s">
        <v>2869</v>
      </c>
      <c r="V605" t="s">
        <v>2174</v>
      </c>
      <c r="W605" t="s">
        <v>2174</v>
      </c>
      <c r="Y605" t="s">
        <v>2875</v>
      </c>
      <c r="Z605" t="s">
        <v>2879</v>
      </c>
      <c r="AA605" t="s">
        <v>113</v>
      </c>
      <c r="AB605">
        <v>0</v>
      </c>
      <c r="AC605">
        <v>971</v>
      </c>
      <c r="AD605">
        <v>5.6</v>
      </c>
      <c r="AE605" t="s">
        <v>2894</v>
      </c>
      <c r="AF605" t="s">
        <v>2903</v>
      </c>
      <c r="AG605" t="s">
        <v>3483</v>
      </c>
      <c r="AI605" t="s">
        <v>4350</v>
      </c>
      <c r="AJ605">
        <v>0</v>
      </c>
      <c r="AK605" t="s">
        <v>4466</v>
      </c>
      <c r="AL605">
        <v>1</v>
      </c>
      <c r="AM605">
        <v>0</v>
      </c>
      <c r="AN605">
        <v>114.33</v>
      </c>
      <c r="AR605" t="s">
        <v>4476</v>
      </c>
      <c r="AS605" t="s">
        <v>4486</v>
      </c>
      <c r="AT605">
        <v>14280</v>
      </c>
      <c r="AX605" t="s">
        <v>4504</v>
      </c>
      <c r="AZ605" t="s">
        <v>4519</v>
      </c>
      <c r="BA605" t="s">
        <v>4531</v>
      </c>
      <c r="BB605" t="s">
        <v>4632</v>
      </c>
      <c r="BC605" t="s">
        <v>4665</v>
      </c>
      <c r="BD605" t="s">
        <v>4692</v>
      </c>
      <c r="BE605" t="s">
        <v>4703</v>
      </c>
    </row>
    <row r="606" spans="1:57">
      <c r="A606" s="1">
        <f>HYPERLINK("https://lsnyc.legalserver.org/matter/dynamic-profile/view/1900295","19-1900295")</f>
        <v>0</v>
      </c>
      <c r="B606" t="s">
        <v>68</v>
      </c>
      <c r="C606" t="s">
        <v>93</v>
      </c>
      <c r="D606" t="s">
        <v>183</v>
      </c>
      <c r="F606" t="s">
        <v>685</v>
      </c>
      <c r="G606" t="s">
        <v>1229</v>
      </c>
      <c r="H606" t="s">
        <v>1809</v>
      </c>
      <c r="I606" t="s">
        <v>2120</v>
      </c>
      <c r="J606" t="s">
        <v>2169</v>
      </c>
      <c r="K606" t="s">
        <v>2171</v>
      </c>
      <c r="L606">
        <v>10025</v>
      </c>
      <c r="M606" t="s">
        <v>2173</v>
      </c>
      <c r="N606" t="s">
        <v>2172</v>
      </c>
      <c r="O606" t="s">
        <v>2179</v>
      </c>
      <c r="P606" t="s">
        <v>2752</v>
      </c>
      <c r="Q606">
        <v>42</v>
      </c>
      <c r="R606" t="s">
        <v>2844</v>
      </c>
      <c r="S606" t="s">
        <v>2857</v>
      </c>
      <c r="U606" t="s">
        <v>2869</v>
      </c>
      <c r="V606" t="s">
        <v>2174</v>
      </c>
      <c r="W606" t="s">
        <v>2174</v>
      </c>
      <c r="Y606" t="s">
        <v>2875</v>
      </c>
      <c r="AA606" t="s">
        <v>183</v>
      </c>
      <c r="AB606">
        <v>0</v>
      </c>
      <c r="AC606">
        <v>1365</v>
      </c>
      <c r="AD606">
        <v>3.3</v>
      </c>
      <c r="AE606" t="s">
        <v>2894</v>
      </c>
      <c r="AG606" t="s">
        <v>3484</v>
      </c>
      <c r="AI606" t="s">
        <v>4351</v>
      </c>
      <c r="AJ606">
        <v>0</v>
      </c>
      <c r="AK606" t="s">
        <v>4459</v>
      </c>
      <c r="AL606">
        <v>2</v>
      </c>
      <c r="AM606">
        <v>1</v>
      </c>
      <c r="AN606">
        <v>139.3</v>
      </c>
      <c r="AR606" t="s">
        <v>4476</v>
      </c>
      <c r="AS606" t="s">
        <v>4486</v>
      </c>
      <c r="AT606">
        <v>29712</v>
      </c>
      <c r="AX606" t="s">
        <v>4501</v>
      </c>
      <c r="BA606" t="s">
        <v>4586</v>
      </c>
      <c r="BD606" t="s">
        <v>4679</v>
      </c>
      <c r="BE606" t="s">
        <v>4703</v>
      </c>
    </row>
    <row r="607" spans="1:57">
      <c r="A607" s="1">
        <f>HYPERLINK("https://lsnyc.legalserver.org/matter/dynamic-profile/view/1900363","19-1900363")</f>
        <v>0</v>
      </c>
      <c r="B607" t="s">
        <v>68</v>
      </c>
      <c r="C607" t="s">
        <v>93</v>
      </c>
      <c r="D607" t="s">
        <v>183</v>
      </c>
      <c r="F607" t="s">
        <v>723</v>
      </c>
      <c r="G607" t="s">
        <v>1230</v>
      </c>
      <c r="H607" t="s">
        <v>1810</v>
      </c>
      <c r="I607" t="s">
        <v>2121</v>
      </c>
      <c r="J607" t="s">
        <v>2169</v>
      </c>
      <c r="K607" t="s">
        <v>2171</v>
      </c>
      <c r="L607">
        <v>10025</v>
      </c>
      <c r="M607" t="s">
        <v>2173</v>
      </c>
      <c r="N607" t="s">
        <v>2172</v>
      </c>
      <c r="O607" t="s">
        <v>2183</v>
      </c>
      <c r="P607" t="s">
        <v>2753</v>
      </c>
      <c r="Q607">
        <v>5</v>
      </c>
      <c r="R607" t="s">
        <v>2844</v>
      </c>
      <c r="S607" t="s">
        <v>2856</v>
      </c>
      <c r="U607" t="s">
        <v>2869</v>
      </c>
      <c r="V607" t="s">
        <v>2174</v>
      </c>
      <c r="W607" t="s">
        <v>2174</v>
      </c>
      <c r="Y607" t="s">
        <v>2876</v>
      </c>
      <c r="AA607" t="s">
        <v>183</v>
      </c>
      <c r="AB607">
        <v>0</v>
      </c>
      <c r="AC607">
        <v>463</v>
      </c>
      <c r="AD607">
        <v>11.7</v>
      </c>
      <c r="AE607" t="s">
        <v>2894</v>
      </c>
      <c r="AG607" t="s">
        <v>3485</v>
      </c>
      <c r="AI607" t="s">
        <v>4352</v>
      </c>
      <c r="AJ607">
        <v>24</v>
      </c>
      <c r="AK607" t="s">
        <v>4456</v>
      </c>
      <c r="AL607">
        <v>1</v>
      </c>
      <c r="AM607">
        <v>1</v>
      </c>
      <c r="AN607">
        <v>165.13</v>
      </c>
      <c r="AR607" t="s">
        <v>4476</v>
      </c>
      <c r="AS607" t="s">
        <v>4486</v>
      </c>
      <c r="AT607">
        <v>27924</v>
      </c>
      <c r="AX607" t="s">
        <v>4505</v>
      </c>
      <c r="BA607" t="s">
        <v>4537</v>
      </c>
      <c r="BD607" t="s">
        <v>215</v>
      </c>
      <c r="BE607" t="s">
        <v>4703</v>
      </c>
    </row>
    <row r="608" spans="1:57">
      <c r="A608" s="1">
        <f>HYPERLINK("https://lsnyc.legalserver.org/matter/dynamic-profile/view/1900387","19-1900387")</f>
        <v>0</v>
      </c>
      <c r="B608" t="s">
        <v>64</v>
      </c>
      <c r="C608" t="s">
        <v>93</v>
      </c>
      <c r="D608" t="s">
        <v>135</v>
      </c>
      <c r="F608" t="s">
        <v>715</v>
      </c>
      <c r="G608" t="s">
        <v>1231</v>
      </c>
      <c r="H608" t="s">
        <v>1811</v>
      </c>
      <c r="I608" t="s">
        <v>2122</v>
      </c>
      <c r="J608" t="s">
        <v>2169</v>
      </c>
      <c r="K608" t="s">
        <v>2171</v>
      </c>
      <c r="L608">
        <v>10025</v>
      </c>
      <c r="M608" t="s">
        <v>2173</v>
      </c>
      <c r="N608" t="s">
        <v>2172</v>
      </c>
      <c r="O608" t="s">
        <v>2175</v>
      </c>
      <c r="P608" t="s">
        <v>2754</v>
      </c>
      <c r="Q608">
        <v>2</v>
      </c>
      <c r="R608" t="s">
        <v>2844</v>
      </c>
      <c r="S608" t="s">
        <v>2857</v>
      </c>
      <c r="U608" t="s">
        <v>2869</v>
      </c>
      <c r="V608" t="s">
        <v>2174</v>
      </c>
      <c r="W608" t="s">
        <v>2173</v>
      </c>
      <c r="Y608" t="s">
        <v>2876</v>
      </c>
      <c r="Z608" t="s">
        <v>2879</v>
      </c>
      <c r="AA608" t="s">
        <v>135</v>
      </c>
      <c r="AB608">
        <v>0</v>
      </c>
      <c r="AC608">
        <v>1561</v>
      </c>
      <c r="AD608">
        <v>13.2</v>
      </c>
      <c r="AE608" t="s">
        <v>2894</v>
      </c>
      <c r="AG608" t="s">
        <v>3486</v>
      </c>
      <c r="AI608" t="s">
        <v>4353</v>
      </c>
      <c r="AJ608">
        <v>24</v>
      </c>
      <c r="AK608" t="s">
        <v>4466</v>
      </c>
      <c r="AL608">
        <v>1</v>
      </c>
      <c r="AM608">
        <v>2</v>
      </c>
      <c r="AN608">
        <v>0</v>
      </c>
      <c r="AR608" t="s">
        <v>4478</v>
      </c>
      <c r="AS608" t="s">
        <v>4486</v>
      </c>
      <c r="AT608">
        <v>0</v>
      </c>
      <c r="AX608" t="s">
        <v>4507</v>
      </c>
      <c r="BA608" t="s">
        <v>4547</v>
      </c>
      <c r="BD608" t="s">
        <v>215</v>
      </c>
      <c r="BE608" t="s">
        <v>4703</v>
      </c>
    </row>
    <row r="609" spans="1:57">
      <c r="A609" s="1">
        <f>HYPERLINK("https://lsnyc.legalserver.org/matter/dynamic-profile/view/1900399","19-1900399")</f>
        <v>0</v>
      </c>
      <c r="B609" t="s">
        <v>62</v>
      </c>
      <c r="C609" t="s">
        <v>93</v>
      </c>
      <c r="D609" t="s">
        <v>135</v>
      </c>
      <c r="F609" t="s">
        <v>724</v>
      </c>
      <c r="G609" t="s">
        <v>1232</v>
      </c>
      <c r="H609" t="s">
        <v>1812</v>
      </c>
      <c r="I609" t="s">
        <v>2061</v>
      </c>
      <c r="J609" t="s">
        <v>2169</v>
      </c>
      <c r="K609" t="s">
        <v>2171</v>
      </c>
      <c r="L609">
        <v>10025</v>
      </c>
      <c r="M609" t="s">
        <v>2173</v>
      </c>
      <c r="N609" t="s">
        <v>2172</v>
      </c>
      <c r="O609" t="s">
        <v>2175</v>
      </c>
      <c r="P609" t="s">
        <v>2755</v>
      </c>
      <c r="Q609">
        <v>5</v>
      </c>
      <c r="R609" t="s">
        <v>2844</v>
      </c>
      <c r="U609" t="s">
        <v>2869</v>
      </c>
      <c r="V609" t="s">
        <v>2174</v>
      </c>
      <c r="W609" t="s">
        <v>2173</v>
      </c>
      <c r="Y609" t="s">
        <v>2876</v>
      </c>
      <c r="AA609" t="s">
        <v>135</v>
      </c>
      <c r="AB609">
        <v>0</v>
      </c>
      <c r="AC609">
        <v>1190.31</v>
      </c>
      <c r="AD609">
        <v>0</v>
      </c>
      <c r="AE609" t="s">
        <v>2894</v>
      </c>
      <c r="AG609" t="s">
        <v>3487</v>
      </c>
      <c r="AI609" t="s">
        <v>4354</v>
      </c>
      <c r="AJ609">
        <v>0</v>
      </c>
      <c r="AK609" t="s">
        <v>4456</v>
      </c>
      <c r="AL609">
        <v>1</v>
      </c>
      <c r="AM609">
        <v>0</v>
      </c>
      <c r="AN609">
        <v>400.32</v>
      </c>
      <c r="AR609" t="s">
        <v>4476</v>
      </c>
      <c r="AS609" t="s">
        <v>4486</v>
      </c>
      <c r="AT609">
        <v>50000</v>
      </c>
      <c r="AX609" t="s">
        <v>4507</v>
      </c>
      <c r="BA609" t="s">
        <v>4546</v>
      </c>
      <c r="BE609" t="s">
        <v>4703</v>
      </c>
    </row>
    <row r="610" spans="1:57">
      <c r="A610" s="1">
        <f>HYPERLINK("https://lsnyc.legalserver.org/matter/dynamic-profile/view/1900408","19-1900408")</f>
        <v>0</v>
      </c>
      <c r="B610" t="s">
        <v>58</v>
      </c>
      <c r="C610" t="s">
        <v>93</v>
      </c>
      <c r="D610" t="s">
        <v>135</v>
      </c>
      <c r="F610" t="s">
        <v>725</v>
      </c>
      <c r="G610" t="s">
        <v>1233</v>
      </c>
      <c r="H610" t="s">
        <v>1811</v>
      </c>
      <c r="I610" t="s">
        <v>2123</v>
      </c>
      <c r="J610" t="s">
        <v>2169</v>
      </c>
      <c r="K610" t="s">
        <v>2171</v>
      </c>
      <c r="L610">
        <v>10025</v>
      </c>
      <c r="M610" t="s">
        <v>2173</v>
      </c>
      <c r="N610" t="s">
        <v>2172</v>
      </c>
      <c r="O610" t="s">
        <v>2175</v>
      </c>
      <c r="P610" t="s">
        <v>2756</v>
      </c>
      <c r="Q610">
        <v>3</v>
      </c>
      <c r="R610" t="s">
        <v>2844</v>
      </c>
      <c r="S610" t="s">
        <v>2857</v>
      </c>
      <c r="U610" t="s">
        <v>2869</v>
      </c>
      <c r="V610" t="s">
        <v>2174</v>
      </c>
      <c r="W610" t="s">
        <v>2173</v>
      </c>
      <c r="Y610" t="s">
        <v>2876</v>
      </c>
      <c r="AA610" t="s">
        <v>135</v>
      </c>
      <c r="AB610">
        <v>0</v>
      </c>
      <c r="AC610">
        <v>797</v>
      </c>
      <c r="AD610">
        <v>32.75</v>
      </c>
      <c r="AE610" t="s">
        <v>2894</v>
      </c>
      <c r="AG610" t="s">
        <v>3488</v>
      </c>
      <c r="AI610" t="s">
        <v>4355</v>
      </c>
      <c r="AJ610">
        <v>0</v>
      </c>
      <c r="AL610">
        <v>1</v>
      </c>
      <c r="AM610">
        <v>4</v>
      </c>
      <c r="AN610">
        <v>39.77</v>
      </c>
      <c r="AS610" t="s">
        <v>4486</v>
      </c>
      <c r="AT610">
        <v>12000</v>
      </c>
      <c r="AX610" t="s">
        <v>4507</v>
      </c>
      <c r="BA610" t="s">
        <v>4535</v>
      </c>
      <c r="BD610" t="s">
        <v>154</v>
      </c>
      <c r="BE610" t="s">
        <v>4703</v>
      </c>
    </row>
    <row r="611" spans="1:57">
      <c r="A611" s="1">
        <f>HYPERLINK("https://lsnyc.legalserver.org/matter/dynamic-profile/view/1900963","19-1900963")</f>
        <v>0</v>
      </c>
      <c r="B611" t="s">
        <v>68</v>
      </c>
      <c r="C611" t="s">
        <v>93</v>
      </c>
      <c r="D611" t="s">
        <v>146</v>
      </c>
      <c r="F611" t="s">
        <v>726</v>
      </c>
      <c r="G611" t="s">
        <v>547</v>
      </c>
      <c r="H611" t="s">
        <v>1813</v>
      </c>
      <c r="I611" t="s">
        <v>2124</v>
      </c>
      <c r="J611" t="s">
        <v>2169</v>
      </c>
      <c r="K611" t="s">
        <v>2171</v>
      </c>
      <c r="L611">
        <v>10025</v>
      </c>
      <c r="M611" t="s">
        <v>2173</v>
      </c>
      <c r="N611" t="s">
        <v>2172</v>
      </c>
      <c r="O611" t="s">
        <v>2179</v>
      </c>
      <c r="P611" t="s">
        <v>2757</v>
      </c>
      <c r="Q611">
        <v>37</v>
      </c>
      <c r="R611" t="s">
        <v>2844</v>
      </c>
      <c r="S611" t="s">
        <v>2857</v>
      </c>
      <c r="U611" t="s">
        <v>2869</v>
      </c>
      <c r="V611" t="s">
        <v>2174</v>
      </c>
      <c r="W611" t="s">
        <v>2174</v>
      </c>
      <c r="Y611" t="s">
        <v>2876</v>
      </c>
      <c r="AA611" t="s">
        <v>146</v>
      </c>
      <c r="AB611">
        <v>0</v>
      </c>
      <c r="AC611">
        <v>826</v>
      </c>
      <c r="AD611">
        <v>7.5</v>
      </c>
      <c r="AE611" t="s">
        <v>2894</v>
      </c>
      <c r="AG611" t="s">
        <v>3489</v>
      </c>
      <c r="AH611" t="s">
        <v>3734</v>
      </c>
      <c r="AI611" t="s">
        <v>4356</v>
      </c>
      <c r="AJ611">
        <v>0</v>
      </c>
      <c r="AK611" t="s">
        <v>4456</v>
      </c>
      <c r="AL611">
        <v>1</v>
      </c>
      <c r="AM611">
        <v>0</v>
      </c>
      <c r="AN611">
        <v>143.15</v>
      </c>
      <c r="AR611" t="s">
        <v>4478</v>
      </c>
      <c r="AS611" t="s">
        <v>4486</v>
      </c>
      <c r="AT611">
        <v>17880</v>
      </c>
      <c r="AX611" t="s">
        <v>4501</v>
      </c>
      <c r="BA611" t="s">
        <v>4560</v>
      </c>
      <c r="BD611" t="s">
        <v>169</v>
      </c>
      <c r="BE611" t="s">
        <v>4704</v>
      </c>
    </row>
    <row r="612" spans="1:57">
      <c r="A612" s="1">
        <f>HYPERLINK("https://lsnyc.legalserver.org/matter/dynamic-profile/view/1901670","19-1901670")</f>
        <v>0</v>
      </c>
      <c r="B612" t="s">
        <v>72</v>
      </c>
      <c r="C612" t="s">
        <v>93</v>
      </c>
      <c r="D612" t="s">
        <v>147</v>
      </c>
      <c r="F612" t="s">
        <v>727</v>
      </c>
      <c r="G612" t="s">
        <v>1234</v>
      </c>
      <c r="H612" t="s">
        <v>1814</v>
      </c>
      <c r="I612" t="s">
        <v>2125</v>
      </c>
      <c r="J612" t="s">
        <v>2169</v>
      </c>
      <c r="K612" t="s">
        <v>2171</v>
      </c>
      <c r="L612">
        <v>10025</v>
      </c>
      <c r="M612" t="s">
        <v>2173</v>
      </c>
      <c r="N612" t="s">
        <v>2172</v>
      </c>
      <c r="O612" t="s">
        <v>2179</v>
      </c>
      <c r="P612" t="s">
        <v>2758</v>
      </c>
      <c r="Q612">
        <v>5</v>
      </c>
      <c r="R612" t="s">
        <v>2844</v>
      </c>
      <c r="S612" t="s">
        <v>2857</v>
      </c>
      <c r="U612" t="s">
        <v>2869</v>
      </c>
      <c r="V612" t="s">
        <v>2174</v>
      </c>
      <c r="W612" t="s">
        <v>2174</v>
      </c>
      <c r="Y612" t="s">
        <v>2876</v>
      </c>
      <c r="AA612" t="s">
        <v>147</v>
      </c>
      <c r="AB612">
        <v>0</v>
      </c>
      <c r="AC612">
        <v>5750</v>
      </c>
      <c r="AD612">
        <v>57</v>
      </c>
      <c r="AE612" t="s">
        <v>2894</v>
      </c>
      <c r="AG612" t="s">
        <v>3490</v>
      </c>
      <c r="AI612" t="s">
        <v>4357</v>
      </c>
      <c r="AJ612">
        <v>200</v>
      </c>
      <c r="AK612" t="s">
        <v>4456</v>
      </c>
      <c r="AL612">
        <v>4</v>
      </c>
      <c r="AM612">
        <v>2</v>
      </c>
      <c r="AN612">
        <v>86.15000000000001</v>
      </c>
      <c r="AR612" t="s">
        <v>4476</v>
      </c>
      <c r="AS612" t="s">
        <v>4486</v>
      </c>
      <c r="AT612">
        <v>29800</v>
      </c>
      <c r="AX612" t="s">
        <v>4505</v>
      </c>
      <c r="BA612" t="s">
        <v>4543</v>
      </c>
      <c r="BD612" t="s">
        <v>210</v>
      </c>
      <c r="BE612" t="s">
        <v>4703</v>
      </c>
    </row>
    <row r="613" spans="1:57">
      <c r="A613" s="1">
        <f>HYPERLINK("https://lsnyc.legalserver.org/matter/dynamic-profile/view/1901692","19-1901692")</f>
        <v>0</v>
      </c>
      <c r="B613" t="s">
        <v>88</v>
      </c>
      <c r="C613" t="s">
        <v>93</v>
      </c>
      <c r="D613" t="s">
        <v>147</v>
      </c>
      <c r="F613" t="s">
        <v>331</v>
      </c>
      <c r="G613" t="s">
        <v>1235</v>
      </c>
      <c r="H613" t="s">
        <v>1815</v>
      </c>
      <c r="I613" t="s">
        <v>2120</v>
      </c>
      <c r="J613" t="s">
        <v>2169</v>
      </c>
      <c r="K613" t="s">
        <v>2171</v>
      </c>
      <c r="L613">
        <v>10025</v>
      </c>
      <c r="M613" t="s">
        <v>2173</v>
      </c>
      <c r="N613" t="s">
        <v>2172</v>
      </c>
      <c r="O613" t="s">
        <v>2175</v>
      </c>
      <c r="P613" t="s">
        <v>2759</v>
      </c>
      <c r="Q613">
        <v>35</v>
      </c>
      <c r="R613" t="s">
        <v>2844</v>
      </c>
      <c r="S613" t="s">
        <v>2857</v>
      </c>
      <c r="U613" t="s">
        <v>2869</v>
      </c>
      <c r="V613" t="s">
        <v>2174</v>
      </c>
      <c r="W613" t="s">
        <v>2174</v>
      </c>
      <c r="Y613" t="s">
        <v>2875</v>
      </c>
      <c r="AA613" t="s">
        <v>147</v>
      </c>
      <c r="AB613">
        <v>0</v>
      </c>
      <c r="AC613">
        <v>500</v>
      </c>
      <c r="AD613">
        <v>11.3</v>
      </c>
      <c r="AE613" t="s">
        <v>2894</v>
      </c>
      <c r="AG613" t="s">
        <v>3491</v>
      </c>
      <c r="AH613" t="s">
        <v>3735</v>
      </c>
      <c r="AI613" t="s">
        <v>4358</v>
      </c>
      <c r="AJ613">
        <v>0</v>
      </c>
      <c r="AK613" t="s">
        <v>4459</v>
      </c>
      <c r="AL613">
        <v>2</v>
      </c>
      <c r="AM613">
        <v>1</v>
      </c>
      <c r="AN613">
        <v>91.89</v>
      </c>
      <c r="AR613" t="s">
        <v>4476</v>
      </c>
      <c r="AS613" t="s">
        <v>4486</v>
      </c>
      <c r="AT613">
        <v>19600</v>
      </c>
      <c r="AX613" t="s">
        <v>4501</v>
      </c>
      <c r="BA613" t="s">
        <v>4587</v>
      </c>
      <c r="BD613" t="s">
        <v>210</v>
      </c>
      <c r="BE613" t="s">
        <v>4704</v>
      </c>
    </row>
    <row r="614" spans="1:57">
      <c r="A614" s="1">
        <f>HYPERLINK("https://lsnyc.legalserver.org/matter/dynamic-profile/view/1903233","19-1903233")</f>
        <v>0</v>
      </c>
      <c r="B614" t="s">
        <v>63</v>
      </c>
      <c r="C614" t="s">
        <v>93</v>
      </c>
      <c r="D614" t="s">
        <v>184</v>
      </c>
      <c r="F614" t="s">
        <v>305</v>
      </c>
      <c r="G614" t="s">
        <v>1020</v>
      </c>
      <c r="H614" t="s">
        <v>1780</v>
      </c>
      <c r="I614" t="s">
        <v>1952</v>
      </c>
      <c r="J614" t="s">
        <v>2169</v>
      </c>
      <c r="K614" t="s">
        <v>2171</v>
      </c>
      <c r="L614">
        <v>10025</v>
      </c>
      <c r="M614" t="s">
        <v>2173</v>
      </c>
      <c r="N614" t="s">
        <v>2172</v>
      </c>
      <c r="O614" t="s">
        <v>2175</v>
      </c>
      <c r="P614" t="s">
        <v>2760</v>
      </c>
      <c r="Q614">
        <v>10</v>
      </c>
      <c r="R614" t="s">
        <v>2844</v>
      </c>
      <c r="S614" t="s">
        <v>2857</v>
      </c>
      <c r="U614" t="s">
        <v>2869</v>
      </c>
      <c r="V614" t="s">
        <v>2174</v>
      </c>
      <c r="W614" t="s">
        <v>2174</v>
      </c>
      <c r="Y614" t="s">
        <v>2875</v>
      </c>
      <c r="AA614" t="s">
        <v>184</v>
      </c>
      <c r="AB614">
        <v>0</v>
      </c>
      <c r="AC614">
        <v>291</v>
      </c>
      <c r="AD614">
        <v>3.3</v>
      </c>
      <c r="AE614" t="s">
        <v>2894</v>
      </c>
      <c r="AG614" t="s">
        <v>3492</v>
      </c>
      <c r="AI614" t="s">
        <v>4359</v>
      </c>
      <c r="AJ614">
        <v>159</v>
      </c>
      <c r="AK614" t="s">
        <v>4459</v>
      </c>
      <c r="AL614">
        <v>1</v>
      </c>
      <c r="AM614">
        <v>1</v>
      </c>
      <c r="AN614">
        <v>17.96</v>
      </c>
      <c r="AT614">
        <v>3036.8</v>
      </c>
      <c r="AX614" t="s">
        <v>4506</v>
      </c>
      <c r="BA614" t="s">
        <v>4627</v>
      </c>
      <c r="BD614" t="s">
        <v>105</v>
      </c>
      <c r="BE614" t="s">
        <v>4703</v>
      </c>
    </row>
    <row r="615" spans="1:57">
      <c r="A615" s="1">
        <f>HYPERLINK("https://lsnyc.legalserver.org/matter/dynamic-profile/view/1903316","19-1903316")</f>
        <v>0</v>
      </c>
      <c r="B615" t="s">
        <v>71</v>
      </c>
      <c r="C615" t="s">
        <v>93</v>
      </c>
      <c r="D615" t="s">
        <v>184</v>
      </c>
      <c r="F615" t="s">
        <v>728</v>
      </c>
      <c r="G615" t="s">
        <v>894</v>
      </c>
      <c r="H615" t="s">
        <v>1797</v>
      </c>
      <c r="I615" t="s">
        <v>2126</v>
      </c>
      <c r="J615" t="s">
        <v>2169</v>
      </c>
      <c r="K615" t="s">
        <v>2171</v>
      </c>
      <c r="L615">
        <v>10025</v>
      </c>
      <c r="M615" t="s">
        <v>2173</v>
      </c>
      <c r="N615" t="s">
        <v>2172</v>
      </c>
      <c r="O615" t="s">
        <v>2176</v>
      </c>
      <c r="P615" t="s">
        <v>2761</v>
      </c>
      <c r="Q615">
        <v>3</v>
      </c>
      <c r="R615" t="s">
        <v>2844</v>
      </c>
      <c r="S615" t="s">
        <v>2857</v>
      </c>
      <c r="U615" t="s">
        <v>2869</v>
      </c>
      <c r="V615" t="s">
        <v>2174</v>
      </c>
      <c r="W615" t="s">
        <v>2173</v>
      </c>
      <c r="Y615" t="s">
        <v>2875</v>
      </c>
      <c r="AA615" t="s">
        <v>184</v>
      </c>
      <c r="AB615">
        <v>0</v>
      </c>
      <c r="AC615">
        <v>1450</v>
      </c>
      <c r="AD615">
        <v>14.75</v>
      </c>
      <c r="AE615" t="s">
        <v>2894</v>
      </c>
      <c r="AG615" t="s">
        <v>3493</v>
      </c>
      <c r="AI615" t="s">
        <v>4360</v>
      </c>
      <c r="AJ615">
        <v>0</v>
      </c>
      <c r="AK615" t="s">
        <v>4457</v>
      </c>
      <c r="AL615">
        <v>1</v>
      </c>
      <c r="AM615">
        <v>3</v>
      </c>
      <c r="AN615">
        <v>83.40000000000001</v>
      </c>
      <c r="AS615" t="s">
        <v>4486</v>
      </c>
      <c r="AT615">
        <v>21476</v>
      </c>
      <c r="AX615" t="s">
        <v>4507</v>
      </c>
      <c r="BA615" t="s">
        <v>4562</v>
      </c>
      <c r="BD615" t="s">
        <v>154</v>
      </c>
      <c r="BE615" t="s">
        <v>4703</v>
      </c>
    </row>
    <row r="616" spans="1:57">
      <c r="A616" s="1">
        <f>HYPERLINK("https://lsnyc.legalserver.org/matter/dynamic-profile/view/1903360","19-1903360")</f>
        <v>0</v>
      </c>
      <c r="B616" t="s">
        <v>62</v>
      </c>
      <c r="C616" t="s">
        <v>93</v>
      </c>
      <c r="D616" t="s">
        <v>148</v>
      </c>
      <c r="F616" t="s">
        <v>729</v>
      </c>
      <c r="G616" t="s">
        <v>1236</v>
      </c>
      <c r="H616" t="s">
        <v>1816</v>
      </c>
      <c r="I616" t="s">
        <v>2010</v>
      </c>
      <c r="J616" t="s">
        <v>2169</v>
      </c>
      <c r="K616" t="s">
        <v>2171</v>
      </c>
      <c r="L616">
        <v>10025</v>
      </c>
      <c r="M616" t="s">
        <v>2173</v>
      </c>
      <c r="N616" t="s">
        <v>2172</v>
      </c>
      <c r="O616" t="s">
        <v>2179</v>
      </c>
      <c r="P616" t="s">
        <v>2762</v>
      </c>
      <c r="Q616">
        <v>42</v>
      </c>
      <c r="R616" t="s">
        <v>2844</v>
      </c>
      <c r="S616" t="s">
        <v>2856</v>
      </c>
      <c r="U616" t="s">
        <v>2868</v>
      </c>
      <c r="V616" t="s">
        <v>2174</v>
      </c>
      <c r="W616" t="s">
        <v>2174</v>
      </c>
      <c r="Y616" t="s">
        <v>2876</v>
      </c>
      <c r="Z616" t="s">
        <v>2879</v>
      </c>
      <c r="AA616" t="s">
        <v>148</v>
      </c>
      <c r="AB616">
        <v>0</v>
      </c>
      <c r="AC616">
        <v>1900</v>
      </c>
      <c r="AD616">
        <v>0</v>
      </c>
      <c r="AE616" t="s">
        <v>2894</v>
      </c>
      <c r="AG616" t="s">
        <v>3494</v>
      </c>
      <c r="AI616" t="s">
        <v>4361</v>
      </c>
      <c r="AJ616">
        <v>0</v>
      </c>
      <c r="AK616" t="s">
        <v>4458</v>
      </c>
      <c r="AL616">
        <v>1</v>
      </c>
      <c r="AM616">
        <v>0</v>
      </c>
      <c r="AN616">
        <v>307.45</v>
      </c>
      <c r="AR616" t="s">
        <v>4476</v>
      </c>
      <c r="AS616" t="s">
        <v>4486</v>
      </c>
      <c r="AT616">
        <v>38400</v>
      </c>
      <c r="AX616" t="s">
        <v>4504</v>
      </c>
      <c r="BA616" t="s">
        <v>4586</v>
      </c>
      <c r="BE616" t="s">
        <v>4703</v>
      </c>
    </row>
    <row r="617" spans="1:57">
      <c r="A617" s="1">
        <f>HYPERLINK("https://lsnyc.legalserver.org/matter/dynamic-profile/view/1903989","19-1903989")</f>
        <v>0</v>
      </c>
      <c r="B617" t="s">
        <v>71</v>
      </c>
      <c r="C617" t="s">
        <v>93</v>
      </c>
      <c r="D617" t="s">
        <v>164</v>
      </c>
      <c r="F617" t="s">
        <v>730</v>
      </c>
      <c r="G617" t="s">
        <v>1237</v>
      </c>
      <c r="H617" t="s">
        <v>1817</v>
      </c>
      <c r="I617" t="s">
        <v>1950</v>
      </c>
      <c r="J617" t="s">
        <v>2169</v>
      </c>
      <c r="K617" t="s">
        <v>2171</v>
      </c>
      <c r="L617">
        <v>10025</v>
      </c>
      <c r="M617" t="s">
        <v>2172</v>
      </c>
      <c r="N617" t="s">
        <v>2172</v>
      </c>
      <c r="O617" t="s">
        <v>2179</v>
      </c>
      <c r="P617" t="s">
        <v>2763</v>
      </c>
      <c r="Q617">
        <v>20</v>
      </c>
      <c r="R617" t="s">
        <v>2844</v>
      </c>
      <c r="S617" t="s">
        <v>2857</v>
      </c>
      <c r="U617" t="s">
        <v>2868</v>
      </c>
      <c r="V617" t="s">
        <v>2174</v>
      </c>
      <c r="W617" t="s">
        <v>2174</v>
      </c>
      <c r="Y617" t="s">
        <v>2876</v>
      </c>
      <c r="AB617">
        <v>0</v>
      </c>
      <c r="AC617">
        <v>2045.07</v>
      </c>
      <c r="AD617">
        <v>7.55</v>
      </c>
      <c r="AE617" t="s">
        <v>2894</v>
      </c>
      <c r="AG617" t="s">
        <v>3495</v>
      </c>
      <c r="AI617" t="s">
        <v>4362</v>
      </c>
      <c r="AJ617">
        <v>181</v>
      </c>
      <c r="AK617" t="s">
        <v>4456</v>
      </c>
      <c r="AL617">
        <v>1</v>
      </c>
      <c r="AM617">
        <v>0</v>
      </c>
      <c r="AN617">
        <v>149.88</v>
      </c>
      <c r="AS617" t="s">
        <v>4486</v>
      </c>
      <c r="AT617">
        <v>18720</v>
      </c>
      <c r="AX617" t="s">
        <v>4499</v>
      </c>
      <c r="BA617" t="s">
        <v>4546</v>
      </c>
      <c r="BD617" t="s">
        <v>197</v>
      </c>
    </row>
    <row r="618" spans="1:57">
      <c r="A618" s="1">
        <f>HYPERLINK("https://lsnyc.legalserver.org/matter/dynamic-profile/view/1904371","19-1904371")</f>
        <v>0</v>
      </c>
      <c r="B618" t="s">
        <v>66</v>
      </c>
      <c r="C618" t="s">
        <v>93</v>
      </c>
      <c r="D618" t="s">
        <v>155</v>
      </c>
      <c r="F618" t="s">
        <v>691</v>
      </c>
      <c r="G618" t="s">
        <v>1238</v>
      </c>
      <c r="H618" t="s">
        <v>1818</v>
      </c>
      <c r="I618" t="s">
        <v>2127</v>
      </c>
      <c r="J618" t="s">
        <v>2169</v>
      </c>
      <c r="K618" t="s">
        <v>2171</v>
      </c>
      <c r="L618">
        <v>10025</v>
      </c>
      <c r="M618" t="s">
        <v>2173</v>
      </c>
      <c r="N618" t="s">
        <v>2172</v>
      </c>
      <c r="O618" t="s">
        <v>2179</v>
      </c>
      <c r="P618" t="s">
        <v>2764</v>
      </c>
      <c r="Q618">
        <v>35</v>
      </c>
      <c r="R618" t="s">
        <v>2844</v>
      </c>
      <c r="S618" t="s">
        <v>2857</v>
      </c>
      <c r="U618" t="s">
        <v>2869</v>
      </c>
      <c r="V618" t="s">
        <v>2174</v>
      </c>
      <c r="W618" t="s">
        <v>2174</v>
      </c>
      <c r="Y618" t="s">
        <v>2876</v>
      </c>
      <c r="Z618" t="s">
        <v>2879</v>
      </c>
      <c r="AA618" t="s">
        <v>155</v>
      </c>
      <c r="AB618">
        <v>0</v>
      </c>
      <c r="AC618">
        <v>2450</v>
      </c>
      <c r="AD618">
        <v>13.3</v>
      </c>
      <c r="AE618" t="s">
        <v>2894</v>
      </c>
      <c r="AG618" t="s">
        <v>3496</v>
      </c>
      <c r="AI618" t="s">
        <v>4363</v>
      </c>
      <c r="AJ618">
        <v>30</v>
      </c>
      <c r="AK618" t="s">
        <v>4456</v>
      </c>
      <c r="AL618">
        <v>1</v>
      </c>
      <c r="AM618">
        <v>0</v>
      </c>
      <c r="AN618">
        <v>128.1</v>
      </c>
      <c r="AR618" t="s">
        <v>4476</v>
      </c>
      <c r="AS618" t="s">
        <v>4486</v>
      </c>
      <c r="AT618">
        <v>16000</v>
      </c>
      <c r="AX618" t="s">
        <v>4504</v>
      </c>
      <c r="BA618" t="s">
        <v>4546</v>
      </c>
      <c r="BD618" t="s">
        <v>4670</v>
      </c>
      <c r="BE618" t="s">
        <v>4703</v>
      </c>
    </row>
    <row r="619" spans="1:57">
      <c r="A619" s="1">
        <f>HYPERLINK("https://lsnyc.legalserver.org/matter/dynamic-profile/view/1904457","19-1904457")</f>
        <v>0</v>
      </c>
      <c r="B619" t="s">
        <v>63</v>
      </c>
      <c r="C619" t="s">
        <v>93</v>
      </c>
      <c r="D619" t="s">
        <v>155</v>
      </c>
      <c r="F619" t="s">
        <v>466</v>
      </c>
      <c r="G619" t="s">
        <v>1239</v>
      </c>
      <c r="H619" t="s">
        <v>1819</v>
      </c>
      <c r="I619" t="s">
        <v>2128</v>
      </c>
      <c r="J619" t="s">
        <v>2169</v>
      </c>
      <c r="K619" t="s">
        <v>2171</v>
      </c>
      <c r="L619">
        <v>10025</v>
      </c>
      <c r="M619" t="s">
        <v>2173</v>
      </c>
      <c r="N619" t="s">
        <v>2172</v>
      </c>
      <c r="O619" t="s">
        <v>2175</v>
      </c>
      <c r="P619" t="s">
        <v>2765</v>
      </c>
      <c r="Q619">
        <v>35</v>
      </c>
      <c r="R619" t="s">
        <v>2844</v>
      </c>
      <c r="S619" t="s">
        <v>2858</v>
      </c>
      <c r="U619" t="s">
        <v>2869</v>
      </c>
      <c r="V619" t="s">
        <v>2174</v>
      </c>
      <c r="W619" t="s">
        <v>2174</v>
      </c>
      <c r="Y619" t="s">
        <v>2876</v>
      </c>
      <c r="AA619" t="s">
        <v>155</v>
      </c>
      <c r="AB619">
        <v>0</v>
      </c>
      <c r="AC619">
        <v>0</v>
      </c>
      <c r="AD619">
        <v>1.2</v>
      </c>
      <c r="AE619" t="s">
        <v>2894</v>
      </c>
      <c r="AG619" t="s">
        <v>3497</v>
      </c>
      <c r="AH619" t="s">
        <v>3736</v>
      </c>
      <c r="AI619" t="s">
        <v>4364</v>
      </c>
      <c r="AJ619">
        <v>1</v>
      </c>
      <c r="AK619" t="s">
        <v>4458</v>
      </c>
      <c r="AL619">
        <v>1</v>
      </c>
      <c r="AM619">
        <v>0</v>
      </c>
      <c r="AN619">
        <v>84.06999999999999</v>
      </c>
      <c r="AR619" t="s">
        <v>4476</v>
      </c>
      <c r="AS619" t="s">
        <v>4486</v>
      </c>
      <c r="AT619">
        <v>10500</v>
      </c>
      <c r="AX619" t="s">
        <v>4504</v>
      </c>
      <c r="BA619" t="s">
        <v>4548</v>
      </c>
      <c r="BD619" t="s">
        <v>155</v>
      </c>
      <c r="BE619" t="s">
        <v>4704</v>
      </c>
    </row>
    <row r="620" spans="1:57">
      <c r="A620" s="1">
        <f>HYPERLINK("https://lsnyc.legalserver.org/matter/dynamic-profile/view/1905069","19-1905069")</f>
        <v>0</v>
      </c>
      <c r="B620" t="s">
        <v>62</v>
      </c>
      <c r="C620" t="s">
        <v>93</v>
      </c>
      <c r="D620" t="s">
        <v>150</v>
      </c>
      <c r="F620" t="s">
        <v>475</v>
      </c>
      <c r="G620" t="s">
        <v>1240</v>
      </c>
      <c r="H620" t="s">
        <v>1820</v>
      </c>
      <c r="I620" t="s">
        <v>2094</v>
      </c>
      <c r="J620" t="s">
        <v>2169</v>
      </c>
      <c r="K620" t="s">
        <v>2171</v>
      </c>
      <c r="L620">
        <v>10025</v>
      </c>
      <c r="M620" t="s">
        <v>2173</v>
      </c>
      <c r="N620" t="s">
        <v>2172</v>
      </c>
      <c r="O620" t="s">
        <v>2175</v>
      </c>
      <c r="P620" t="s">
        <v>2766</v>
      </c>
      <c r="Q620">
        <v>4</v>
      </c>
      <c r="R620" t="s">
        <v>2844</v>
      </c>
      <c r="S620" t="s">
        <v>2857</v>
      </c>
      <c r="U620" t="s">
        <v>2869</v>
      </c>
      <c r="V620" t="s">
        <v>2174</v>
      </c>
      <c r="W620" t="s">
        <v>2174</v>
      </c>
      <c r="Y620" t="s">
        <v>2875</v>
      </c>
      <c r="AA620" t="s">
        <v>150</v>
      </c>
      <c r="AB620">
        <v>0</v>
      </c>
      <c r="AC620">
        <v>283</v>
      </c>
      <c r="AD620">
        <v>2.5</v>
      </c>
      <c r="AE620" t="s">
        <v>2894</v>
      </c>
      <c r="AG620" t="s">
        <v>3498</v>
      </c>
      <c r="AI620" t="s">
        <v>4365</v>
      </c>
      <c r="AJ620">
        <v>0</v>
      </c>
      <c r="AK620" t="s">
        <v>4459</v>
      </c>
      <c r="AL620">
        <v>1</v>
      </c>
      <c r="AM620">
        <v>1</v>
      </c>
      <c r="AN620">
        <v>141.93</v>
      </c>
      <c r="AR620" t="s">
        <v>4476</v>
      </c>
      <c r="AS620" t="s">
        <v>4486</v>
      </c>
      <c r="AT620">
        <v>24000</v>
      </c>
      <c r="AX620" t="s">
        <v>4501</v>
      </c>
      <c r="BA620" t="s">
        <v>4546</v>
      </c>
      <c r="BD620" t="s">
        <v>4689</v>
      </c>
      <c r="BE620" t="s">
        <v>4703</v>
      </c>
    </row>
    <row r="621" spans="1:57">
      <c r="A621" s="1">
        <f>HYPERLINK("https://lsnyc.legalserver.org/matter/dynamic-profile/view/1906814","19-1906814")</f>
        <v>0</v>
      </c>
      <c r="B621" t="s">
        <v>69</v>
      </c>
      <c r="C621" t="s">
        <v>93</v>
      </c>
      <c r="D621" t="s">
        <v>152</v>
      </c>
      <c r="F621" t="s">
        <v>355</v>
      </c>
      <c r="G621" t="s">
        <v>821</v>
      </c>
      <c r="H621" t="s">
        <v>1796</v>
      </c>
      <c r="I621" t="s">
        <v>2129</v>
      </c>
      <c r="J621" t="s">
        <v>2169</v>
      </c>
      <c r="K621" t="s">
        <v>2171</v>
      </c>
      <c r="L621">
        <v>10025</v>
      </c>
      <c r="M621" t="s">
        <v>2173</v>
      </c>
      <c r="N621" t="s">
        <v>2172</v>
      </c>
      <c r="O621" t="s">
        <v>2179</v>
      </c>
      <c r="P621" t="s">
        <v>2767</v>
      </c>
      <c r="Q621">
        <v>30</v>
      </c>
      <c r="R621" t="s">
        <v>2844</v>
      </c>
      <c r="S621" t="s">
        <v>2857</v>
      </c>
      <c r="U621" t="s">
        <v>2869</v>
      </c>
      <c r="V621" t="s">
        <v>2174</v>
      </c>
      <c r="W621" t="s">
        <v>2174</v>
      </c>
      <c r="Y621" t="s">
        <v>2876</v>
      </c>
      <c r="AA621" t="s">
        <v>152</v>
      </c>
      <c r="AB621">
        <v>0</v>
      </c>
      <c r="AC621">
        <v>241</v>
      </c>
      <c r="AD621">
        <v>4.1</v>
      </c>
      <c r="AE621" t="s">
        <v>2894</v>
      </c>
      <c r="AG621" t="s">
        <v>3499</v>
      </c>
      <c r="AI621" t="s">
        <v>4366</v>
      </c>
      <c r="AJ621">
        <v>4</v>
      </c>
      <c r="AK621" t="s">
        <v>4465</v>
      </c>
      <c r="AL621">
        <v>1</v>
      </c>
      <c r="AM621">
        <v>0</v>
      </c>
      <c r="AN621">
        <v>82.45999999999999</v>
      </c>
      <c r="AR621" t="s">
        <v>4478</v>
      </c>
      <c r="AS621" t="s">
        <v>4486</v>
      </c>
      <c r="AT621">
        <v>10299</v>
      </c>
      <c r="AX621" t="s">
        <v>4504</v>
      </c>
      <c r="BA621" t="s">
        <v>4560</v>
      </c>
      <c r="BD621" t="s">
        <v>123</v>
      </c>
      <c r="BE621" t="s">
        <v>4703</v>
      </c>
    </row>
    <row r="622" spans="1:57">
      <c r="A622" s="1">
        <f>HYPERLINK("https://lsnyc.legalserver.org/matter/dynamic-profile/view/1907898","19-1907898")</f>
        <v>0</v>
      </c>
      <c r="B622" t="s">
        <v>66</v>
      </c>
      <c r="C622" t="s">
        <v>93</v>
      </c>
      <c r="D622" t="s">
        <v>105</v>
      </c>
      <c r="F622" t="s">
        <v>731</v>
      </c>
      <c r="G622" t="s">
        <v>1241</v>
      </c>
      <c r="H622" t="s">
        <v>1814</v>
      </c>
      <c r="I622" t="s">
        <v>2130</v>
      </c>
      <c r="J622" t="s">
        <v>2169</v>
      </c>
      <c r="K622" t="s">
        <v>2171</v>
      </c>
      <c r="L622">
        <v>10025</v>
      </c>
      <c r="M622" t="s">
        <v>2173</v>
      </c>
      <c r="N622" t="s">
        <v>2172</v>
      </c>
      <c r="O622" t="s">
        <v>2175</v>
      </c>
      <c r="P622" t="s">
        <v>2768</v>
      </c>
      <c r="Q622">
        <v>4</v>
      </c>
      <c r="R622" t="s">
        <v>2844</v>
      </c>
      <c r="S622" t="s">
        <v>2856</v>
      </c>
      <c r="U622" t="s">
        <v>2869</v>
      </c>
      <c r="V622" t="s">
        <v>2174</v>
      </c>
      <c r="W622" t="s">
        <v>2174</v>
      </c>
      <c r="Y622" t="s">
        <v>2876</v>
      </c>
      <c r="AA622" t="s">
        <v>105</v>
      </c>
      <c r="AB622">
        <v>0</v>
      </c>
      <c r="AC622">
        <v>998</v>
      </c>
      <c r="AD622">
        <v>4.5</v>
      </c>
      <c r="AE622" t="s">
        <v>2894</v>
      </c>
      <c r="AG622" t="s">
        <v>3500</v>
      </c>
      <c r="AI622" t="s">
        <v>4367</v>
      </c>
      <c r="AJ622">
        <v>287</v>
      </c>
      <c r="AK622" t="s">
        <v>4458</v>
      </c>
      <c r="AL622">
        <v>3</v>
      </c>
      <c r="AM622">
        <v>1</v>
      </c>
      <c r="AN622">
        <v>41.94</v>
      </c>
      <c r="AR622" t="s">
        <v>4476</v>
      </c>
      <c r="AS622" t="s">
        <v>4486</v>
      </c>
      <c r="AT622">
        <v>10800</v>
      </c>
      <c r="AX622" t="s">
        <v>4501</v>
      </c>
      <c r="BA622" t="s">
        <v>4531</v>
      </c>
      <c r="BD622" t="s">
        <v>4696</v>
      </c>
      <c r="BE622" t="s">
        <v>4703</v>
      </c>
    </row>
    <row r="623" spans="1:57">
      <c r="A623" s="1">
        <f>HYPERLINK("https://lsnyc.legalserver.org/matter/dynamic-profile/view/1908386","19-1908386")</f>
        <v>0</v>
      </c>
      <c r="B623" t="s">
        <v>72</v>
      </c>
      <c r="C623" t="s">
        <v>93</v>
      </c>
      <c r="D623" t="s">
        <v>194</v>
      </c>
      <c r="F623" t="s">
        <v>732</v>
      </c>
      <c r="G623" t="s">
        <v>1242</v>
      </c>
      <c r="H623" t="s">
        <v>1821</v>
      </c>
      <c r="I623" t="s">
        <v>1932</v>
      </c>
      <c r="J623" t="s">
        <v>2169</v>
      </c>
      <c r="K623" t="s">
        <v>2171</v>
      </c>
      <c r="L623">
        <v>10025</v>
      </c>
      <c r="M623" t="s">
        <v>2173</v>
      </c>
      <c r="N623" t="s">
        <v>2172</v>
      </c>
      <c r="O623" t="s">
        <v>2175</v>
      </c>
      <c r="P623" t="s">
        <v>2769</v>
      </c>
      <c r="Q623">
        <v>50</v>
      </c>
      <c r="R623" t="s">
        <v>2844</v>
      </c>
      <c r="S623" t="s">
        <v>2857</v>
      </c>
      <c r="U623" t="s">
        <v>2869</v>
      </c>
      <c r="V623" t="s">
        <v>2174</v>
      </c>
      <c r="W623" t="s">
        <v>2174</v>
      </c>
      <c r="Y623" t="s">
        <v>2876</v>
      </c>
      <c r="AA623" t="s">
        <v>194</v>
      </c>
      <c r="AB623">
        <v>0</v>
      </c>
      <c r="AC623">
        <v>1300</v>
      </c>
      <c r="AD623">
        <v>8.75</v>
      </c>
      <c r="AE623" t="s">
        <v>2894</v>
      </c>
      <c r="AG623" t="s">
        <v>3501</v>
      </c>
      <c r="AI623" t="s">
        <v>4368</v>
      </c>
      <c r="AJ623">
        <v>0</v>
      </c>
      <c r="AK623" t="s">
        <v>4461</v>
      </c>
      <c r="AL623">
        <v>5</v>
      </c>
      <c r="AM623">
        <v>1</v>
      </c>
      <c r="AN623">
        <v>41.63</v>
      </c>
      <c r="AR623" t="s">
        <v>4476</v>
      </c>
      <c r="AS623" t="s">
        <v>4486</v>
      </c>
      <c r="AT623">
        <v>14400</v>
      </c>
      <c r="AX623" t="s">
        <v>4501</v>
      </c>
      <c r="BA623" t="s">
        <v>4605</v>
      </c>
      <c r="BD623" t="s">
        <v>116</v>
      </c>
      <c r="BE623" t="s">
        <v>4703</v>
      </c>
    </row>
    <row r="624" spans="1:57">
      <c r="A624" s="1">
        <f>HYPERLINK("https://lsnyc.legalserver.org/matter/dynamic-profile/view/1908809","19-1908809")</f>
        <v>0</v>
      </c>
      <c r="B624" t="s">
        <v>81</v>
      </c>
      <c r="C624" t="s">
        <v>93</v>
      </c>
      <c r="D624" t="s">
        <v>153</v>
      </c>
      <c r="F624" t="s">
        <v>514</v>
      </c>
      <c r="G624" t="s">
        <v>1243</v>
      </c>
      <c r="H624" t="s">
        <v>1822</v>
      </c>
      <c r="I624">
        <v>507</v>
      </c>
      <c r="J624" t="s">
        <v>2169</v>
      </c>
      <c r="K624" t="s">
        <v>2171</v>
      </c>
      <c r="L624">
        <v>10025</v>
      </c>
      <c r="M624" t="s">
        <v>2173</v>
      </c>
      <c r="N624" t="s">
        <v>2172</v>
      </c>
      <c r="O624" t="s">
        <v>2179</v>
      </c>
      <c r="P624" t="s">
        <v>2770</v>
      </c>
      <c r="Q624">
        <v>-1</v>
      </c>
      <c r="R624" t="s">
        <v>2844</v>
      </c>
      <c r="S624" t="s">
        <v>2857</v>
      </c>
      <c r="U624" t="s">
        <v>2869</v>
      </c>
      <c r="V624" t="s">
        <v>2174</v>
      </c>
      <c r="W624" t="s">
        <v>2174</v>
      </c>
      <c r="Y624" t="s">
        <v>2876</v>
      </c>
      <c r="AA624" t="s">
        <v>153</v>
      </c>
      <c r="AB624">
        <v>0</v>
      </c>
      <c r="AC624">
        <v>1040</v>
      </c>
      <c r="AD624">
        <v>5.2</v>
      </c>
      <c r="AE624" t="s">
        <v>2894</v>
      </c>
      <c r="AG624" t="s">
        <v>3502</v>
      </c>
      <c r="AH624" t="s">
        <v>3737</v>
      </c>
      <c r="AI624" t="s">
        <v>4369</v>
      </c>
      <c r="AJ624">
        <v>430</v>
      </c>
      <c r="AK624" t="s">
        <v>4463</v>
      </c>
      <c r="AL624">
        <v>1</v>
      </c>
      <c r="AM624">
        <v>0</v>
      </c>
      <c r="AN624">
        <v>8.789999999999999</v>
      </c>
      <c r="AR624" t="s">
        <v>2176</v>
      </c>
      <c r="AS624" t="s">
        <v>4486</v>
      </c>
      <c r="AT624">
        <v>1098</v>
      </c>
      <c r="AX624" t="s">
        <v>4501</v>
      </c>
      <c r="BA624" t="s">
        <v>4551</v>
      </c>
      <c r="BD624" t="s">
        <v>117</v>
      </c>
      <c r="BE624" t="s">
        <v>4704</v>
      </c>
    </row>
    <row r="625" spans="1:57">
      <c r="A625" s="1">
        <f>HYPERLINK("https://lsnyc.legalserver.org/matter/dynamic-profile/view/1908815","19-1908815")</f>
        <v>0</v>
      </c>
      <c r="B625" t="s">
        <v>80</v>
      </c>
      <c r="C625" t="s">
        <v>93</v>
      </c>
      <c r="D625" t="s">
        <v>153</v>
      </c>
      <c r="F625" t="s">
        <v>733</v>
      </c>
      <c r="G625" t="s">
        <v>906</v>
      </c>
      <c r="H625" t="s">
        <v>1811</v>
      </c>
      <c r="I625">
        <v>51</v>
      </c>
      <c r="J625" t="s">
        <v>2169</v>
      </c>
      <c r="K625" t="s">
        <v>2171</v>
      </c>
      <c r="L625">
        <v>10025</v>
      </c>
      <c r="M625" t="s">
        <v>2173</v>
      </c>
      <c r="N625" t="s">
        <v>2172</v>
      </c>
      <c r="O625" t="s">
        <v>2179</v>
      </c>
      <c r="P625" t="s">
        <v>2771</v>
      </c>
      <c r="Q625">
        <v>1</v>
      </c>
      <c r="R625" t="s">
        <v>2844</v>
      </c>
      <c r="S625" t="s">
        <v>2857</v>
      </c>
      <c r="U625" t="s">
        <v>2869</v>
      </c>
      <c r="V625" t="s">
        <v>2174</v>
      </c>
      <c r="W625" t="s">
        <v>2174</v>
      </c>
      <c r="Y625" t="s">
        <v>2876</v>
      </c>
      <c r="AB625">
        <v>0</v>
      </c>
      <c r="AC625">
        <v>1518</v>
      </c>
      <c r="AD625">
        <v>15.2</v>
      </c>
      <c r="AE625" t="s">
        <v>2894</v>
      </c>
      <c r="AG625" t="s">
        <v>3503</v>
      </c>
      <c r="AI625" t="s">
        <v>4370</v>
      </c>
      <c r="AJ625">
        <v>0</v>
      </c>
      <c r="AK625" t="s">
        <v>4466</v>
      </c>
      <c r="AL625">
        <v>1</v>
      </c>
      <c r="AM625">
        <v>2</v>
      </c>
      <c r="AN625">
        <v>26.33</v>
      </c>
      <c r="AR625" t="s">
        <v>4478</v>
      </c>
      <c r="AS625" t="s">
        <v>4486</v>
      </c>
      <c r="AT625">
        <v>5616</v>
      </c>
      <c r="AX625" t="s">
        <v>4504</v>
      </c>
      <c r="BA625" t="s">
        <v>4531</v>
      </c>
      <c r="BD625" t="s">
        <v>210</v>
      </c>
      <c r="BE625" t="s">
        <v>4703</v>
      </c>
    </row>
    <row r="626" spans="1:57">
      <c r="A626" s="1">
        <f>HYPERLINK("https://lsnyc.legalserver.org/matter/dynamic-profile/view/1908850","19-1908850")</f>
        <v>0</v>
      </c>
      <c r="B626" t="s">
        <v>64</v>
      </c>
      <c r="C626" t="s">
        <v>93</v>
      </c>
      <c r="D626" t="s">
        <v>153</v>
      </c>
      <c r="F626" t="s">
        <v>734</v>
      </c>
      <c r="G626" t="s">
        <v>840</v>
      </c>
      <c r="H626" t="s">
        <v>1823</v>
      </c>
      <c r="I626" t="s">
        <v>2131</v>
      </c>
      <c r="J626" t="s">
        <v>2169</v>
      </c>
      <c r="K626" t="s">
        <v>2171</v>
      </c>
      <c r="L626">
        <v>10025</v>
      </c>
      <c r="M626" t="s">
        <v>2173</v>
      </c>
      <c r="N626" t="s">
        <v>2172</v>
      </c>
      <c r="O626" t="s">
        <v>2175</v>
      </c>
      <c r="P626" t="s">
        <v>2772</v>
      </c>
      <c r="Q626">
        <v>40</v>
      </c>
      <c r="R626" t="s">
        <v>2844</v>
      </c>
      <c r="S626" t="s">
        <v>2857</v>
      </c>
      <c r="U626" t="s">
        <v>2869</v>
      </c>
      <c r="V626" t="s">
        <v>2174</v>
      </c>
      <c r="W626" t="s">
        <v>2174</v>
      </c>
      <c r="Y626" t="s">
        <v>2876</v>
      </c>
      <c r="Z626" t="s">
        <v>2879</v>
      </c>
      <c r="AA626" t="s">
        <v>153</v>
      </c>
      <c r="AB626">
        <v>0</v>
      </c>
      <c r="AC626">
        <v>697</v>
      </c>
      <c r="AD626">
        <v>3</v>
      </c>
      <c r="AE626" t="s">
        <v>2894</v>
      </c>
      <c r="AG626" t="s">
        <v>3504</v>
      </c>
      <c r="AH626" t="s">
        <v>3738</v>
      </c>
      <c r="AI626" t="s">
        <v>4371</v>
      </c>
      <c r="AJ626">
        <v>15</v>
      </c>
      <c r="AK626" t="s">
        <v>4461</v>
      </c>
      <c r="AL626">
        <v>2</v>
      </c>
      <c r="AM626">
        <v>0</v>
      </c>
      <c r="AN626">
        <v>118.51</v>
      </c>
      <c r="AR626" t="s">
        <v>2176</v>
      </c>
      <c r="AS626" t="s">
        <v>4487</v>
      </c>
      <c r="AT626">
        <v>20040</v>
      </c>
      <c r="AX626" t="s">
        <v>4504</v>
      </c>
      <c r="BA626" t="s">
        <v>4560</v>
      </c>
      <c r="BD626" t="s">
        <v>4677</v>
      </c>
      <c r="BE626" t="s">
        <v>4704</v>
      </c>
    </row>
    <row r="627" spans="1:57">
      <c r="A627" s="1">
        <f>HYPERLINK("https://lsnyc.legalserver.org/matter/dynamic-profile/view/1909380","19-1909380")</f>
        <v>0</v>
      </c>
      <c r="B627" t="s">
        <v>72</v>
      </c>
      <c r="C627" t="s">
        <v>93</v>
      </c>
      <c r="D627" t="s">
        <v>166</v>
      </c>
      <c r="F627" t="s">
        <v>735</v>
      </c>
      <c r="G627" t="s">
        <v>1244</v>
      </c>
      <c r="H627" t="s">
        <v>1824</v>
      </c>
      <c r="I627" t="s">
        <v>2115</v>
      </c>
      <c r="J627" t="s">
        <v>2169</v>
      </c>
      <c r="K627" t="s">
        <v>2171</v>
      </c>
      <c r="L627">
        <v>10025</v>
      </c>
      <c r="M627" t="s">
        <v>2173</v>
      </c>
      <c r="N627" t="s">
        <v>2172</v>
      </c>
      <c r="O627" t="s">
        <v>2179</v>
      </c>
      <c r="P627" t="s">
        <v>2773</v>
      </c>
      <c r="Q627">
        <v>10</v>
      </c>
      <c r="R627" t="s">
        <v>2844</v>
      </c>
      <c r="S627" t="s">
        <v>2857</v>
      </c>
      <c r="U627" t="s">
        <v>2869</v>
      </c>
      <c r="V627" t="s">
        <v>2174</v>
      </c>
      <c r="W627" t="s">
        <v>2174</v>
      </c>
      <c r="Y627" t="s">
        <v>2876</v>
      </c>
      <c r="AA627" t="s">
        <v>166</v>
      </c>
      <c r="AB627">
        <v>0</v>
      </c>
      <c r="AC627">
        <v>1125.16</v>
      </c>
      <c r="AD627">
        <v>1.75</v>
      </c>
      <c r="AE627" t="s">
        <v>2894</v>
      </c>
      <c r="AG627" t="s">
        <v>3505</v>
      </c>
      <c r="AI627" t="s">
        <v>4372</v>
      </c>
      <c r="AJ627">
        <v>0</v>
      </c>
      <c r="AK627" t="s">
        <v>4456</v>
      </c>
      <c r="AL627">
        <v>1</v>
      </c>
      <c r="AM627">
        <v>0</v>
      </c>
      <c r="AN627">
        <v>104.08</v>
      </c>
      <c r="AR627" t="s">
        <v>4479</v>
      </c>
      <c r="AS627" t="s">
        <v>4486</v>
      </c>
      <c r="AT627">
        <v>13000</v>
      </c>
      <c r="AX627" t="s">
        <v>4501</v>
      </c>
      <c r="BA627" t="s">
        <v>4537</v>
      </c>
      <c r="BD627" t="s">
        <v>187</v>
      </c>
      <c r="BE627" t="s">
        <v>4703</v>
      </c>
    </row>
    <row r="628" spans="1:57">
      <c r="A628" s="1">
        <f>HYPERLINK("https://lsnyc.legalserver.org/matter/dynamic-profile/view/1909985","19-1909985")</f>
        <v>0</v>
      </c>
      <c r="B628" t="s">
        <v>82</v>
      </c>
      <c r="C628" t="s">
        <v>93</v>
      </c>
      <c r="D628" t="s">
        <v>167</v>
      </c>
      <c r="F628" t="s">
        <v>370</v>
      </c>
      <c r="G628" t="s">
        <v>1245</v>
      </c>
      <c r="H628" t="s">
        <v>1825</v>
      </c>
      <c r="I628" t="s">
        <v>2132</v>
      </c>
      <c r="J628" t="s">
        <v>2169</v>
      </c>
      <c r="K628" t="s">
        <v>2171</v>
      </c>
      <c r="L628">
        <v>10025</v>
      </c>
      <c r="M628" t="s">
        <v>2173</v>
      </c>
      <c r="N628" t="s">
        <v>2172</v>
      </c>
      <c r="O628" t="s">
        <v>2179</v>
      </c>
      <c r="P628" t="s">
        <v>2774</v>
      </c>
      <c r="Q628">
        <v>15</v>
      </c>
      <c r="R628" t="s">
        <v>2844</v>
      </c>
      <c r="S628" t="s">
        <v>2857</v>
      </c>
      <c r="U628" t="s">
        <v>2869</v>
      </c>
      <c r="V628" t="s">
        <v>2174</v>
      </c>
      <c r="W628" t="s">
        <v>2174</v>
      </c>
      <c r="Y628" t="s">
        <v>2876</v>
      </c>
      <c r="Z628" t="s">
        <v>2880</v>
      </c>
      <c r="AA628" t="s">
        <v>167</v>
      </c>
      <c r="AB628">
        <v>0</v>
      </c>
      <c r="AC628">
        <v>117</v>
      </c>
      <c r="AD628">
        <v>3.5</v>
      </c>
      <c r="AE628" t="s">
        <v>2894</v>
      </c>
      <c r="AG628" t="s">
        <v>3096</v>
      </c>
      <c r="AH628" t="s">
        <v>3739</v>
      </c>
      <c r="AI628" t="s">
        <v>4373</v>
      </c>
      <c r="AJ628">
        <v>143</v>
      </c>
      <c r="AK628" t="s">
        <v>4466</v>
      </c>
      <c r="AL628">
        <v>1</v>
      </c>
      <c r="AM628">
        <v>2</v>
      </c>
      <c r="AN628">
        <v>40.59</v>
      </c>
      <c r="AR628" t="s">
        <v>4478</v>
      </c>
      <c r="AS628" t="s">
        <v>4486</v>
      </c>
      <c r="AT628">
        <v>8658</v>
      </c>
      <c r="AX628" t="s">
        <v>4501</v>
      </c>
      <c r="BA628" t="s">
        <v>4567</v>
      </c>
      <c r="BD628" t="s">
        <v>217</v>
      </c>
      <c r="BE628" t="s">
        <v>4704</v>
      </c>
    </row>
    <row r="629" spans="1:57">
      <c r="A629" s="1">
        <f>HYPERLINK("https://lsnyc.legalserver.org/matter/dynamic-profile/view/1910570","19-1910570")</f>
        <v>0</v>
      </c>
      <c r="B629" t="s">
        <v>68</v>
      </c>
      <c r="C629" t="s">
        <v>93</v>
      </c>
      <c r="D629" t="s">
        <v>187</v>
      </c>
      <c r="F629" t="s">
        <v>680</v>
      </c>
      <c r="G629" t="s">
        <v>1246</v>
      </c>
      <c r="H629" t="s">
        <v>1826</v>
      </c>
      <c r="I629" t="s">
        <v>2091</v>
      </c>
      <c r="J629" t="s">
        <v>2169</v>
      </c>
      <c r="K629" t="s">
        <v>2171</v>
      </c>
      <c r="L629">
        <v>10025</v>
      </c>
      <c r="M629" t="s">
        <v>2173</v>
      </c>
      <c r="N629" t="s">
        <v>2172</v>
      </c>
      <c r="O629" t="s">
        <v>2175</v>
      </c>
      <c r="P629" t="s">
        <v>2775</v>
      </c>
      <c r="Q629">
        <v>35</v>
      </c>
      <c r="R629" t="s">
        <v>2844</v>
      </c>
      <c r="S629" t="s">
        <v>2857</v>
      </c>
      <c r="U629" t="s">
        <v>2869</v>
      </c>
      <c r="V629" t="s">
        <v>2174</v>
      </c>
      <c r="W629" t="s">
        <v>2174</v>
      </c>
      <c r="Y629" t="s">
        <v>2876</v>
      </c>
      <c r="AA629" t="s">
        <v>187</v>
      </c>
      <c r="AB629">
        <v>0</v>
      </c>
      <c r="AC629">
        <v>375</v>
      </c>
      <c r="AD629">
        <v>3</v>
      </c>
      <c r="AE629" t="s">
        <v>2894</v>
      </c>
      <c r="AG629" t="s">
        <v>3506</v>
      </c>
      <c r="AH629" t="s">
        <v>3740</v>
      </c>
      <c r="AI629" t="s">
        <v>4374</v>
      </c>
      <c r="AJ629">
        <v>0</v>
      </c>
      <c r="AK629" t="s">
        <v>4466</v>
      </c>
      <c r="AL629">
        <v>1</v>
      </c>
      <c r="AM629">
        <v>0</v>
      </c>
      <c r="AN629">
        <v>14.9</v>
      </c>
      <c r="AR629" t="s">
        <v>4478</v>
      </c>
      <c r="AS629" t="s">
        <v>4486</v>
      </c>
      <c r="AT629">
        <v>1861.6</v>
      </c>
      <c r="AX629" t="s">
        <v>4501</v>
      </c>
      <c r="BA629" t="s">
        <v>4564</v>
      </c>
      <c r="BD629" t="s">
        <v>4678</v>
      </c>
      <c r="BE629" t="s">
        <v>4704</v>
      </c>
    </row>
    <row r="630" spans="1:57">
      <c r="A630" s="1">
        <f>HYPERLINK("https://lsnyc.legalserver.org/matter/dynamic-profile/view/1911406","19-1911406")</f>
        <v>0</v>
      </c>
      <c r="B630" t="s">
        <v>83</v>
      </c>
      <c r="C630" t="s">
        <v>93</v>
      </c>
      <c r="D630" t="s">
        <v>197</v>
      </c>
      <c r="F630" t="s">
        <v>324</v>
      </c>
      <c r="G630" t="s">
        <v>1228</v>
      </c>
      <c r="H630" t="s">
        <v>1776</v>
      </c>
      <c r="I630" t="s">
        <v>1944</v>
      </c>
      <c r="J630" t="s">
        <v>2169</v>
      </c>
      <c r="K630" t="s">
        <v>2171</v>
      </c>
      <c r="L630">
        <v>10025</v>
      </c>
      <c r="M630" t="s">
        <v>2172</v>
      </c>
      <c r="N630" t="s">
        <v>2172</v>
      </c>
      <c r="O630" t="s">
        <v>2180</v>
      </c>
      <c r="P630" t="s">
        <v>2776</v>
      </c>
      <c r="Q630">
        <v>34</v>
      </c>
      <c r="R630" t="s">
        <v>2844</v>
      </c>
      <c r="S630" t="s">
        <v>2857</v>
      </c>
      <c r="U630" t="s">
        <v>2869</v>
      </c>
      <c r="V630" t="s">
        <v>2174</v>
      </c>
      <c r="W630" t="s">
        <v>2174</v>
      </c>
      <c r="Y630" t="s">
        <v>2876</v>
      </c>
      <c r="Z630" t="s">
        <v>2879</v>
      </c>
      <c r="AB630">
        <v>0</v>
      </c>
      <c r="AC630">
        <v>2000</v>
      </c>
      <c r="AD630">
        <v>8.5</v>
      </c>
      <c r="AE630" t="s">
        <v>2894</v>
      </c>
      <c r="AG630" t="s">
        <v>3482</v>
      </c>
      <c r="AI630" t="s">
        <v>4349</v>
      </c>
      <c r="AJ630">
        <v>0</v>
      </c>
      <c r="AK630" t="s">
        <v>4456</v>
      </c>
      <c r="AL630">
        <v>1</v>
      </c>
      <c r="AM630">
        <v>0</v>
      </c>
      <c r="AN630">
        <v>12.01</v>
      </c>
      <c r="AR630" t="s">
        <v>4479</v>
      </c>
      <c r="AS630" t="s">
        <v>4486</v>
      </c>
      <c r="AT630">
        <v>1500</v>
      </c>
      <c r="AX630" t="s">
        <v>4500</v>
      </c>
      <c r="BA630" t="s">
        <v>4531</v>
      </c>
      <c r="BD630" t="s">
        <v>117</v>
      </c>
    </row>
    <row r="631" spans="1:57">
      <c r="A631" s="1">
        <f>HYPERLINK("https://lsnyc.legalserver.org/matter/dynamic-profile/view/1911570","19-1911570")</f>
        <v>0</v>
      </c>
      <c r="B631" t="s">
        <v>62</v>
      </c>
      <c r="C631" t="s">
        <v>93</v>
      </c>
      <c r="D631" t="s">
        <v>169</v>
      </c>
      <c r="F631" t="s">
        <v>382</v>
      </c>
      <c r="G631" t="s">
        <v>1247</v>
      </c>
      <c r="H631" t="s">
        <v>1827</v>
      </c>
      <c r="I631" t="s">
        <v>1976</v>
      </c>
      <c r="J631" t="s">
        <v>2169</v>
      </c>
      <c r="K631" t="s">
        <v>2171</v>
      </c>
      <c r="L631">
        <v>10025</v>
      </c>
      <c r="M631" t="s">
        <v>2173</v>
      </c>
      <c r="N631" t="s">
        <v>2172</v>
      </c>
      <c r="O631" t="s">
        <v>2179</v>
      </c>
      <c r="P631" t="s">
        <v>2777</v>
      </c>
      <c r="Q631">
        <v>22</v>
      </c>
      <c r="R631" t="s">
        <v>2844</v>
      </c>
      <c r="S631" t="s">
        <v>2857</v>
      </c>
      <c r="U631" t="s">
        <v>2869</v>
      </c>
      <c r="V631" t="s">
        <v>2174</v>
      </c>
      <c r="W631" t="s">
        <v>2174</v>
      </c>
      <c r="Y631" t="s">
        <v>2876</v>
      </c>
      <c r="AA631" t="s">
        <v>169</v>
      </c>
      <c r="AB631">
        <v>0</v>
      </c>
      <c r="AC631">
        <v>1514</v>
      </c>
      <c r="AD631">
        <v>0</v>
      </c>
      <c r="AE631" t="s">
        <v>2894</v>
      </c>
      <c r="AG631" t="s">
        <v>3507</v>
      </c>
      <c r="AI631" t="s">
        <v>4375</v>
      </c>
      <c r="AJ631">
        <v>0</v>
      </c>
      <c r="AK631" t="s">
        <v>4458</v>
      </c>
      <c r="AL631">
        <v>4</v>
      </c>
      <c r="AM631">
        <v>2</v>
      </c>
      <c r="AN631">
        <v>121.42</v>
      </c>
      <c r="AR631" t="s">
        <v>4476</v>
      </c>
      <c r="AS631" t="s">
        <v>4487</v>
      </c>
      <c r="AT631">
        <v>42000</v>
      </c>
      <c r="AX631" t="s">
        <v>4501</v>
      </c>
      <c r="BA631" t="s">
        <v>4546</v>
      </c>
      <c r="BE631" t="s">
        <v>4703</v>
      </c>
    </row>
    <row r="632" spans="1:57">
      <c r="A632" s="1">
        <f>HYPERLINK("https://lsnyc.legalserver.org/matter/dynamic-profile/view/1911627","19-1911627")</f>
        <v>0</v>
      </c>
      <c r="B632" t="s">
        <v>64</v>
      </c>
      <c r="C632" t="s">
        <v>93</v>
      </c>
      <c r="D632" t="s">
        <v>169</v>
      </c>
      <c r="F632" t="s">
        <v>736</v>
      </c>
      <c r="G632" t="s">
        <v>1248</v>
      </c>
      <c r="H632" t="s">
        <v>1828</v>
      </c>
      <c r="J632" t="s">
        <v>2169</v>
      </c>
      <c r="K632" t="s">
        <v>2171</v>
      </c>
      <c r="L632">
        <v>10025</v>
      </c>
      <c r="M632" t="s">
        <v>2173</v>
      </c>
      <c r="N632" t="s">
        <v>2172</v>
      </c>
      <c r="O632" t="s">
        <v>2179</v>
      </c>
      <c r="P632" t="s">
        <v>2778</v>
      </c>
      <c r="Q632">
        <v>16</v>
      </c>
      <c r="R632" t="s">
        <v>2844</v>
      </c>
      <c r="S632" t="s">
        <v>2857</v>
      </c>
      <c r="U632" t="s">
        <v>2869</v>
      </c>
      <c r="V632" t="s">
        <v>2174</v>
      </c>
      <c r="W632" t="s">
        <v>2174</v>
      </c>
      <c r="Y632" t="s">
        <v>2876</v>
      </c>
      <c r="AA632" t="s">
        <v>169</v>
      </c>
      <c r="AB632">
        <v>0</v>
      </c>
      <c r="AC632">
        <v>1043.92</v>
      </c>
      <c r="AD632">
        <v>3.2</v>
      </c>
      <c r="AE632" t="s">
        <v>2894</v>
      </c>
      <c r="AG632" t="s">
        <v>3508</v>
      </c>
      <c r="AI632" t="s">
        <v>4376</v>
      </c>
      <c r="AJ632">
        <v>0</v>
      </c>
      <c r="AK632" t="s">
        <v>4456</v>
      </c>
      <c r="AL632">
        <v>1</v>
      </c>
      <c r="AM632">
        <v>0</v>
      </c>
      <c r="AN632">
        <v>38.43</v>
      </c>
      <c r="AR632" t="s">
        <v>4476</v>
      </c>
      <c r="AS632" t="s">
        <v>4486</v>
      </c>
      <c r="AT632">
        <v>4800</v>
      </c>
      <c r="AX632" t="s">
        <v>4501</v>
      </c>
      <c r="BA632" t="s">
        <v>2176</v>
      </c>
      <c r="BD632" t="s">
        <v>117</v>
      </c>
      <c r="BE632" t="s">
        <v>4703</v>
      </c>
    </row>
    <row r="633" spans="1:57">
      <c r="A633" s="1">
        <f>HYPERLINK("https://lsnyc.legalserver.org/matter/dynamic-profile/view/1897976","19-1897976")</f>
        <v>0</v>
      </c>
      <c r="B633" t="s">
        <v>72</v>
      </c>
      <c r="C633" t="s">
        <v>93</v>
      </c>
      <c r="D633" t="s">
        <v>198</v>
      </c>
      <c r="F633" t="s">
        <v>690</v>
      </c>
      <c r="G633" t="s">
        <v>1194</v>
      </c>
      <c r="H633" t="s">
        <v>1769</v>
      </c>
      <c r="I633" t="s">
        <v>2010</v>
      </c>
      <c r="J633" t="s">
        <v>2169</v>
      </c>
      <c r="K633" t="s">
        <v>2171</v>
      </c>
      <c r="L633">
        <v>10025</v>
      </c>
      <c r="M633" t="s">
        <v>2174</v>
      </c>
      <c r="N633" t="s">
        <v>2174</v>
      </c>
      <c r="O633" t="s">
        <v>2177</v>
      </c>
      <c r="Q633">
        <v>46</v>
      </c>
      <c r="R633" t="s">
        <v>2852</v>
      </c>
      <c r="S633" t="s">
        <v>2860</v>
      </c>
      <c r="U633" t="s">
        <v>2868</v>
      </c>
      <c r="V633" t="s">
        <v>2174</v>
      </c>
      <c r="W633" t="s">
        <v>2174</v>
      </c>
      <c r="Y633" t="s">
        <v>2875</v>
      </c>
      <c r="Z633" t="s">
        <v>2879</v>
      </c>
      <c r="AB633">
        <v>0</v>
      </c>
      <c r="AC633">
        <v>383</v>
      </c>
      <c r="AD633">
        <v>50.25</v>
      </c>
      <c r="AE633" t="s">
        <v>2894</v>
      </c>
      <c r="AG633" t="s">
        <v>3433</v>
      </c>
      <c r="AI633" t="s">
        <v>4302</v>
      </c>
      <c r="AJ633">
        <v>0</v>
      </c>
      <c r="AK633" t="s">
        <v>4457</v>
      </c>
      <c r="AL633">
        <v>1</v>
      </c>
      <c r="AM633">
        <v>0</v>
      </c>
      <c r="AN633">
        <v>41.63</v>
      </c>
      <c r="AR633" t="s">
        <v>4476</v>
      </c>
      <c r="AS633" t="s">
        <v>4486</v>
      </c>
      <c r="AT633">
        <v>5200</v>
      </c>
      <c r="AX633" t="s">
        <v>4504</v>
      </c>
      <c r="BA633" t="s">
        <v>4546</v>
      </c>
      <c r="BD633" t="s">
        <v>210</v>
      </c>
    </row>
    <row r="634" spans="1:57">
      <c r="A634" s="1">
        <f>HYPERLINK("https://lsnyc.legalserver.org/matter/dynamic-profile/view/1907452","19-1907452")</f>
        <v>0</v>
      </c>
      <c r="B634" t="s">
        <v>59</v>
      </c>
      <c r="C634" t="s">
        <v>93</v>
      </c>
      <c r="D634" t="s">
        <v>199</v>
      </c>
      <c r="F634" t="s">
        <v>737</v>
      </c>
      <c r="G634" t="s">
        <v>1249</v>
      </c>
      <c r="H634" t="s">
        <v>1829</v>
      </c>
      <c r="J634" t="s">
        <v>2169</v>
      </c>
      <c r="K634" t="s">
        <v>2171</v>
      </c>
      <c r="L634">
        <v>10025</v>
      </c>
      <c r="M634" t="s">
        <v>2173</v>
      </c>
      <c r="N634" t="s">
        <v>2172</v>
      </c>
      <c r="O634" t="s">
        <v>2175</v>
      </c>
      <c r="P634" t="s">
        <v>2779</v>
      </c>
      <c r="Q634">
        <v>40</v>
      </c>
      <c r="R634" t="s">
        <v>2847</v>
      </c>
      <c r="S634" t="s">
        <v>2860</v>
      </c>
      <c r="U634" t="s">
        <v>2869</v>
      </c>
      <c r="V634" t="s">
        <v>2174</v>
      </c>
      <c r="W634" t="s">
        <v>2174</v>
      </c>
      <c r="Y634" t="s">
        <v>2877</v>
      </c>
      <c r="Z634" t="s">
        <v>2879</v>
      </c>
      <c r="AA634" t="s">
        <v>199</v>
      </c>
      <c r="AB634">
        <v>0</v>
      </c>
      <c r="AC634">
        <v>239</v>
      </c>
      <c r="AD634">
        <v>16.6</v>
      </c>
      <c r="AE634" t="s">
        <v>2894</v>
      </c>
      <c r="AG634" t="s">
        <v>3509</v>
      </c>
      <c r="AH634" t="s">
        <v>3741</v>
      </c>
      <c r="AI634" t="s">
        <v>4377</v>
      </c>
      <c r="AJ634">
        <v>0</v>
      </c>
      <c r="AK634" t="s">
        <v>4459</v>
      </c>
      <c r="AL634">
        <v>2</v>
      </c>
      <c r="AM634">
        <v>3</v>
      </c>
      <c r="AN634">
        <v>30.67</v>
      </c>
      <c r="AS634" t="s">
        <v>4486</v>
      </c>
      <c r="AT634">
        <v>9252</v>
      </c>
      <c r="AX634" t="s">
        <v>4511</v>
      </c>
      <c r="BA634" t="s">
        <v>4538</v>
      </c>
      <c r="BD634" t="s">
        <v>4678</v>
      </c>
      <c r="BE634" t="s">
        <v>4703</v>
      </c>
    </row>
    <row r="635" spans="1:57">
      <c r="A635" s="1">
        <f>HYPERLINK("https://lsnyc.legalserver.org/matter/dynamic-profile/view/1909033","19-1909033")</f>
        <v>0</v>
      </c>
      <c r="B635" t="s">
        <v>68</v>
      </c>
      <c r="C635" t="s">
        <v>93</v>
      </c>
      <c r="D635" t="s">
        <v>98</v>
      </c>
      <c r="F635" t="s">
        <v>738</v>
      </c>
      <c r="G635" t="s">
        <v>1250</v>
      </c>
      <c r="H635" t="s">
        <v>1830</v>
      </c>
      <c r="I635" t="s">
        <v>2086</v>
      </c>
      <c r="J635" t="s">
        <v>2169</v>
      </c>
      <c r="K635" t="s">
        <v>2171</v>
      </c>
      <c r="L635">
        <v>10024</v>
      </c>
      <c r="M635" t="s">
        <v>2173</v>
      </c>
      <c r="N635" t="s">
        <v>2172</v>
      </c>
      <c r="O635" t="s">
        <v>2175</v>
      </c>
      <c r="P635" t="s">
        <v>2780</v>
      </c>
      <c r="Q635">
        <v>42</v>
      </c>
      <c r="R635" t="s">
        <v>2843</v>
      </c>
      <c r="S635" t="s">
        <v>2858</v>
      </c>
      <c r="U635" t="s">
        <v>2868</v>
      </c>
      <c r="V635" t="s">
        <v>2174</v>
      </c>
      <c r="W635" t="s">
        <v>2174</v>
      </c>
      <c r="Y635" t="s">
        <v>2876</v>
      </c>
      <c r="Z635" t="s">
        <v>2879</v>
      </c>
      <c r="AA635" t="s">
        <v>98</v>
      </c>
      <c r="AB635">
        <v>0</v>
      </c>
      <c r="AC635">
        <v>1207</v>
      </c>
      <c r="AD635">
        <v>0</v>
      </c>
      <c r="AE635" t="s">
        <v>2894</v>
      </c>
      <c r="AG635" t="s">
        <v>3510</v>
      </c>
      <c r="AI635" t="s">
        <v>4378</v>
      </c>
      <c r="AJ635">
        <v>60</v>
      </c>
      <c r="AK635" t="s">
        <v>4456</v>
      </c>
      <c r="AL635">
        <v>1</v>
      </c>
      <c r="AM635">
        <v>0</v>
      </c>
      <c r="AN635">
        <v>160.13</v>
      </c>
      <c r="AR635" t="s">
        <v>4476</v>
      </c>
      <c r="AS635" t="s">
        <v>4486</v>
      </c>
      <c r="AT635">
        <v>20000</v>
      </c>
      <c r="AX635" t="s">
        <v>4502</v>
      </c>
      <c r="BA635" t="s">
        <v>4545</v>
      </c>
      <c r="BE635" t="s">
        <v>4703</v>
      </c>
    </row>
    <row r="636" spans="1:57">
      <c r="A636" s="1">
        <f>HYPERLINK("https://lsnyc.legalserver.org/matter/dynamic-profile/view/1897095","19-1897095")</f>
        <v>0</v>
      </c>
      <c r="B636" t="s">
        <v>58</v>
      </c>
      <c r="C636" t="s">
        <v>93</v>
      </c>
      <c r="D636" t="s">
        <v>102</v>
      </c>
      <c r="F636" t="s">
        <v>739</v>
      </c>
      <c r="G636" t="s">
        <v>1108</v>
      </c>
      <c r="H636" t="s">
        <v>1831</v>
      </c>
      <c r="I636" t="s">
        <v>2016</v>
      </c>
      <c r="J636" t="s">
        <v>2169</v>
      </c>
      <c r="K636" t="s">
        <v>2171</v>
      </c>
      <c r="L636">
        <v>10024</v>
      </c>
      <c r="M636" t="s">
        <v>2173</v>
      </c>
      <c r="N636" t="s">
        <v>2173</v>
      </c>
      <c r="Q636">
        <v>7</v>
      </c>
      <c r="R636" t="s">
        <v>2844</v>
      </c>
      <c r="S636" t="s">
        <v>2857</v>
      </c>
      <c r="U636" t="s">
        <v>2869</v>
      </c>
      <c r="V636" t="s">
        <v>2174</v>
      </c>
      <c r="W636" t="s">
        <v>2174</v>
      </c>
      <c r="Y636" t="s">
        <v>2875</v>
      </c>
      <c r="AB636">
        <v>0</v>
      </c>
      <c r="AC636">
        <v>858</v>
      </c>
      <c r="AD636">
        <v>86.75</v>
      </c>
      <c r="AE636" t="s">
        <v>2894</v>
      </c>
      <c r="AG636" t="s">
        <v>3511</v>
      </c>
      <c r="AI636" t="s">
        <v>4379</v>
      </c>
      <c r="AJ636">
        <v>1610</v>
      </c>
      <c r="AK636" t="s">
        <v>4459</v>
      </c>
      <c r="AL636">
        <v>1</v>
      </c>
      <c r="AM636">
        <v>1</v>
      </c>
      <c r="AN636">
        <v>276.76</v>
      </c>
      <c r="AO636" t="s">
        <v>4469</v>
      </c>
      <c r="AP636" t="s">
        <v>4472</v>
      </c>
      <c r="AS636" t="s">
        <v>4486</v>
      </c>
      <c r="AT636">
        <v>46800</v>
      </c>
      <c r="AX636" t="s">
        <v>4508</v>
      </c>
      <c r="BA636" t="s">
        <v>4546</v>
      </c>
      <c r="BD636" t="s">
        <v>213</v>
      </c>
    </row>
    <row r="637" spans="1:57">
      <c r="A637" s="1">
        <f>HYPERLINK("https://lsnyc.legalserver.org/matter/dynamic-profile/view/1897857","19-1897857")</f>
        <v>0</v>
      </c>
      <c r="B637" t="s">
        <v>75</v>
      </c>
      <c r="C637" t="s">
        <v>93</v>
      </c>
      <c r="D637" t="s">
        <v>144</v>
      </c>
      <c r="F637" t="s">
        <v>740</v>
      </c>
      <c r="G637" t="s">
        <v>1251</v>
      </c>
      <c r="H637" t="s">
        <v>1832</v>
      </c>
      <c r="I637">
        <v>21</v>
      </c>
      <c r="J637" t="s">
        <v>2169</v>
      </c>
      <c r="K637" t="s">
        <v>2171</v>
      </c>
      <c r="L637">
        <v>10024</v>
      </c>
      <c r="M637" t="s">
        <v>2173</v>
      </c>
      <c r="N637" t="s">
        <v>2173</v>
      </c>
      <c r="O637" t="s">
        <v>2175</v>
      </c>
      <c r="P637" t="s">
        <v>2781</v>
      </c>
      <c r="Q637">
        <v>5</v>
      </c>
      <c r="R637" t="s">
        <v>2844</v>
      </c>
      <c r="S637" t="s">
        <v>2856</v>
      </c>
      <c r="U637" t="s">
        <v>2868</v>
      </c>
      <c r="V637" t="s">
        <v>2174</v>
      </c>
      <c r="W637" t="s">
        <v>2174</v>
      </c>
      <c r="Y637" t="s">
        <v>2876</v>
      </c>
      <c r="Z637" t="s">
        <v>2879</v>
      </c>
      <c r="AA637" t="s">
        <v>144</v>
      </c>
      <c r="AB637">
        <v>0</v>
      </c>
      <c r="AC637">
        <v>248</v>
      </c>
      <c r="AD637">
        <v>3</v>
      </c>
      <c r="AE637" t="s">
        <v>2894</v>
      </c>
      <c r="AG637" t="s">
        <v>3512</v>
      </c>
      <c r="AH637" t="s">
        <v>3742</v>
      </c>
      <c r="AI637" t="s">
        <v>4380</v>
      </c>
      <c r="AJ637">
        <v>0</v>
      </c>
      <c r="AK637" t="s">
        <v>4466</v>
      </c>
      <c r="AL637">
        <v>1</v>
      </c>
      <c r="AM637">
        <v>0</v>
      </c>
      <c r="AN637">
        <v>82.63</v>
      </c>
      <c r="AR637" t="s">
        <v>4478</v>
      </c>
      <c r="AS637" t="s">
        <v>4486</v>
      </c>
      <c r="AT637">
        <v>10320</v>
      </c>
      <c r="AX637" t="s">
        <v>4504</v>
      </c>
      <c r="BA637" t="s">
        <v>4569</v>
      </c>
      <c r="BD637" t="s">
        <v>194</v>
      </c>
    </row>
    <row r="638" spans="1:57">
      <c r="A638" s="1">
        <f>HYPERLINK("https://lsnyc.legalserver.org/matter/dynamic-profile/view/1910223","19-1910223")</f>
        <v>0</v>
      </c>
      <c r="B638" t="s">
        <v>62</v>
      </c>
      <c r="C638" t="s">
        <v>92</v>
      </c>
      <c r="D638" t="s">
        <v>114</v>
      </c>
      <c r="E638" t="s">
        <v>213</v>
      </c>
      <c r="F638" t="s">
        <v>497</v>
      </c>
      <c r="G638" t="s">
        <v>934</v>
      </c>
      <c r="H638" t="s">
        <v>1833</v>
      </c>
      <c r="I638" t="s">
        <v>1925</v>
      </c>
      <c r="J638" t="s">
        <v>2169</v>
      </c>
      <c r="K638" t="s">
        <v>2171</v>
      </c>
      <c r="L638">
        <v>10023</v>
      </c>
      <c r="M638" t="s">
        <v>2173</v>
      </c>
      <c r="N638" t="s">
        <v>2172</v>
      </c>
      <c r="O638" t="s">
        <v>2178</v>
      </c>
      <c r="P638" t="s">
        <v>2782</v>
      </c>
      <c r="Q638">
        <v>50</v>
      </c>
      <c r="R638" t="s">
        <v>2845</v>
      </c>
      <c r="S638" t="s">
        <v>2856</v>
      </c>
      <c r="T638" t="s">
        <v>2863</v>
      </c>
      <c r="U638" t="s">
        <v>2868</v>
      </c>
      <c r="V638" t="s">
        <v>2174</v>
      </c>
      <c r="W638" t="s">
        <v>2174</v>
      </c>
      <c r="Y638" t="s">
        <v>2876</v>
      </c>
      <c r="AA638" t="s">
        <v>114</v>
      </c>
      <c r="AB638">
        <v>0</v>
      </c>
      <c r="AC638">
        <v>545.5599999999999</v>
      </c>
      <c r="AD638">
        <v>0</v>
      </c>
      <c r="AE638" t="s">
        <v>2894</v>
      </c>
      <c r="AF638" t="s">
        <v>2896</v>
      </c>
      <c r="AG638" t="s">
        <v>3513</v>
      </c>
      <c r="AI638" t="s">
        <v>4381</v>
      </c>
      <c r="AJ638">
        <v>30</v>
      </c>
      <c r="AK638" t="s">
        <v>4456</v>
      </c>
      <c r="AL638">
        <v>1</v>
      </c>
      <c r="AM638">
        <v>0</v>
      </c>
      <c r="AN638">
        <v>103.67</v>
      </c>
      <c r="AR638" t="s">
        <v>4476</v>
      </c>
      <c r="AS638" t="s">
        <v>4486</v>
      </c>
      <c r="AT638">
        <v>12948</v>
      </c>
      <c r="AX638" t="s">
        <v>4501</v>
      </c>
      <c r="BA638" t="s">
        <v>4548</v>
      </c>
      <c r="BD638" t="s">
        <v>4670</v>
      </c>
      <c r="BE638" t="s">
        <v>4703</v>
      </c>
    </row>
    <row r="639" spans="1:57">
      <c r="A639" s="1">
        <f>HYPERLINK("https://lsnyc.legalserver.org/matter/dynamic-profile/view/1889343","19-1889343")</f>
        <v>0</v>
      </c>
      <c r="B639" t="s">
        <v>68</v>
      </c>
      <c r="C639" t="s">
        <v>92</v>
      </c>
      <c r="D639" t="s">
        <v>200</v>
      </c>
      <c r="E639" t="s">
        <v>197</v>
      </c>
      <c r="F639" t="s">
        <v>497</v>
      </c>
      <c r="G639" t="s">
        <v>1252</v>
      </c>
      <c r="H639" t="s">
        <v>1834</v>
      </c>
      <c r="I639" t="s">
        <v>2066</v>
      </c>
      <c r="J639" t="s">
        <v>2169</v>
      </c>
      <c r="K639" t="s">
        <v>2171</v>
      </c>
      <c r="L639">
        <v>10023</v>
      </c>
      <c r="M639" t="s">
        <v>2173</v>
      </c>
      <c r="N639" t="s">
        <v>2173</v>
      </c>
      <c r="O639" t="s">
        <v>2180</v>
      </c>
      <c r="P639" t="s">
        <v>2783</v>
      </c>
      <c r="Q639">
        <v>16</v>
      </c>
      <c r="R639" t="s">
        <v>2844</v>
      </c>
      <c r="S639" t="s">
        <v>2856</v>
      </c>
      <c r="T639" t="s">
        <v>2863</v>
      </c>
      <c r="U639" t="s">
        <v>2868</v>
      </c>
      <c r="V639" t="s">
        <v>2174</v>
      </c>
      <c r="W639" t="s">
        <v>2174</v>
      </c>
      <c r="Y639" t="s">
        <v>2876</v>
      </c>
      <c r="AA639" t="s">
        <v>133</v>
      </c>
      <c r="AB639">
        <v>0</v>
      </c>
      <c r="AC639">
        <v>585</v>
      </c>
      <c r="AD639">
        <v>1.9</v>
      </c>
      <c r="AE639" t="s">
        <v>2894</v>
      </c>
      <c r="AF639" t="s">
        <v>2896</v>
      </c>
      <c r="AG639" t="s">
        <v>3514</v>
      </c>
      <c r="AH639" t="s">
        <v>3743</v>
      </c>
      <c r="AI639" t="s">
        <v>4382</v>
      </c>
      <c r="AJ639">
        <v>80</v>
      </c>
      <c r="AK639" t="s">
        <v>4461</v>
      </c>
      <c r="AL639">
        <v>2</v>
      </c>
      <c r="AM639">
        <v>0</v>
      </c>
      <c r="AN639">
        <v>20.3</v>
      </c>
      <c r="AQ639" t="s">
        <v>4473</v>
      </c>
      <c r="AR639" t="s">
        <v>4476</v>
      </c>
      <c r="AS639" t="s">
        <v>4486</v>
      </c>
      <c r="AT639">
        <v>3432</v>
      </c>
      <c r="AX639" t="s">
        <v>4512</v>
      </c>
      <c r="BA639" t="s">
        <v>4567</v>
      </c>
      <c r="BD639" t="s">
        <v>133</v>
      </c>
      <c r="BE639" t="s">
        <v>4703</v>
      </c>
    </row>
    <row r="640" spans="1:57">
      <c r="A640" s="1">
        <f>HYPERLINK("https://lsnyc.legalserver.org/matter/dynamic-profile/view/1904447","19-1904447")</f>
        <v>0</v>
      </c>
      <c r="B640" t="s">
        <v>66</v>
      </c>
      <c r="C640" t="s">
        <v>93</v>
      </c>
      <c r="D640" t="s">
        <v>155</v>
      </c>
      <c r="F640" t="s">
        <v>741</v>
      </c>
      <c r="G640" t="s">
        <v>1253</v>
      </c>
      <c r="H640" t="s">
        <v>1835</v>
      </c>
      <c r="I640" t="s">
        <v>2133</v>
      </c>
      <c r="J640" t="s">
        <v>2169</v>
      </c>
      <c r="K640" t="s">
        <v>2171</v>
      </c>
      <c r="L640">
        <v>10023</v>
      </c>
      <c r="M640" t="s">
        <v>2173</v>
      </c>
      <c r="N640" t="s">
        <v>2172</v>
      </c>
      <c r="O640" t="s">
        <v>2175</v>
      </c>
      <c r="P640" t="s">
        <v>2784</v>
      </c>
      <c r="Q640">
        <v>4</v>
      </c>
      <c r="R640" t="s">
        <v>2844</v>
      </c>
      <c r="S640" t="s">
        <v>2857</v>
      </c>
      <c r="U640" t="s">
        <v>2868</v>
      </c>
      <c r="V640" t="s">
        <v>2174</v>
      </c>
      <c r="W640" t="s">
        <v>2174</v>
      </c>
      <c r="Y640" t="s">
        <v>2876</v>
      </c>
      <c r="AA640" t="s">
        <v>155</v>
      </c>
      <c r="AB640">
        <v>0</v>
      </c>
      <c r="AC640">
        <v>750</v>
      </c>
      <c r="AD640">
        <v>10.6</v>
      </c>
      <c r="AE640" t="s">
        <v>2894</v>
      </c>
      <c r="AG640" t="s">
        <v>3515</v>
      </c>
      <c r="AI640" t="s">
        <v>4383</v>
      </c>
      <c r="AJ640">
        <v>998</v>
      </c>
      <c r="AK640" t="s">
        <v>4456</v>
      </c>
      <c r="AL640">
        <v>1</v>
      </c>
      <c r="AM640">
        <v>1</v>
      </c>
      <c r="AN640">
        <v>153.76</v>
      </c>
      <c r="AR640" t="s">
        <v>4476</v>
      </c>
      <c r="AS640" t="s">
        <v>4486</v>
      </c>
      <c r="AT640">
        <v>26000</v>
      </c>
      <c r="AX640" t="s">
        <v>4501</v>
      </c>
      <c r="BA640" t="s">
        <v>4546</v>
      </c>
      <c r="BD640" t="s">
        <v>4679</v>
      </c>
      <c r="BE640" t="s">
        <v>4703</v>
      </c>
    </row>
    <row r="641" spans="1:57">
      <c r="A641" s="1">
        <f>HYPERLINK("https://lsnyc.legalserver.org/matter/dynamic-profile/view/1896316","19-1896316")</f>
        <v>0</v>
      </c>
      <c r="B641" t="s">
        <v>63</v>
      </c>
      <c r="C641" t="s">
        <v>93</v>
      </c>
      <c r="D641" t="s">
        <v>201</v>
      </c>
      <c r="F641" t="s">
        <v>742</v>
      </c>
      <c r="G641" t="s">
        <v>1117</v>
      </c>
      <c r="H641" t="s">
        <v>1836</v>
      </c>
      <c r="I641" t="s">
        <v>2134</v>
      </c>
      <c r="J641" t="s">
        <v>2169</v>
      </c>
      <c r="K641" t="s">
        <v>2171</v>
      </c>
      <c r="L641">
        <v>10021</v>
      </c>
      <c r="M641" t="s">
        <v>2173</v>
      </c>
      <c r="N641" t="s">
        <v>2174</v>
      </c>
      <c r="O641" t="s">
        <v>2177</v>
      </c>
      <c r="Q641">
        <v>5</v>
      </c>
      <c r="R641" t="s">
        <v>2853</v>
      </c>
      <c r="S641" t="s">
        <v>2857</v>
      </c>
      <c r="U641" t="s">
        <v>2868</v>
      </c>
      <c r="V641" t="s">
        <v>2174</v>
      </c>
      <c r="W641" t="s">
        <v>2174</v>
      </c>
      <c r="Y641" t="s">
        <v>2876</v>
      </c>
      <c r="AA641" t="s">
        <v>113</v>
      </c>
      <c r="AB641">
        <v>0</v>
      </c>
      <c r="AC641">
        <v>711.11</v>
      </c>
      <c r="AD641">
        <v>39.95</v>
      </c>
      <c r="AE641" t="s">
        <v>2894</v>
      </c>
      <c r="AG641" t="s">
        <v>3516</v>
      </c>
      <c r="AI641" t="s">
        <v>4384</v>
      </c>
      <c r="AJ641">
        <v>0</v>
      </c>
      <c r="AL641">
        <v>1</v>
      </c>
      <c r="AM641">
        <v>0</v>
      </c>
      <c r="AN641">
        <v>88.06999999999999</v>
      </c>
      <c r="AR641" t="s">
        <v>4476</v>
      </c>
      <c r="AS641" t="s">
        <v>4486</v>
      </c>
      <c r="AT641">
        <v>11000</v>
      </c>
      <c r="AX641" t="s">
        <v>4504</v>
      </c>
      <c r="BA641" t="s">
        <v>4531</v>
      </c>
      <c r="BD641" t="s">
        <v>96</v>
      </c>
      <c r="BE641" t="s">
        <v>4703</v>
      </c>
    </row>
    <row r="642" spans="1:57">
      <c r="A642" s="1">
        <f>HYPERLINK("https://lsnyc.legalserver.org/matter/dynamic-profile/view/1907010","19-1907010")</f>
        <v>0</v>
      </c>
      <c r="B642" t="s">
        <v>68</v>
      </c>
      <c r="C642" t="s">
        <v>93</v>
      </c>
      <c r="D642" t="s">
        <v>128</v>
      </c>
      <c r="F642" t="s">
        <v>743</v>
      </c>
      <c r="G642" t="s">
        <v>1254</v>
      </c>
      <c r="H642" t="s">
        <v>1837</v>
      </c>
      <c r="I642" t="s">
        <v>1982</v>
      </c>
      <c r="J642" t="s">
        <v>2169</v>
      </c>
      <c r="K642" t="s">
        <v>2171</v>
      </c>
      <c r="L642">
        <v>10021</v>
      </c>
      <c r="M642" t="s">
        <v>2173</v>
      </c>
      <c r="N642" t="s">
        <v>2172</v>
      </c>
      <c r="O642" t="s">
        <v>2178</v>
      </c>
      <c r="P642" t="s">
        <v>2785</v>
      </c>
      <c r="Q642">
        <v>3</v>
      </c>
      <c r="R642" t="s">
        <v>2843</v>
      </c>
      <c r="S642" t="s">
        <v>2856</v>
      </c>
      <c r="U642" t="s">
        <v>2868</v>
      </c>
      <c r="V642" t="s">
        <v>2174</v>
      </c>
      <c r="W642" t="s">
        <v>2174</v>
      </c>
      <c r="Y642" t="s">
        <v>2876</v>
      </c>
      <c r="AA642" t="s">
        <v>128</v>
      </c>
      <c r="AB642">
        <v>0</v>
      </c>
      <c r="AC642">
        <v>1950</v>
      </c>
      <c r="AD642">
        <v>3</v>
      </c>
      <c r="AE642" t="s">
        <v>2894</v>
      </c>
      <c r="AG642" t="s">
        <v>3517</v>
      </c>
      <c r="AI642" t="s">
        <v>4385</v>
      </c>
      <c r="AJ642">
        <v>0</v>
      </c>
      <c r="AK642" t="s">
        <v>4456</v>
      </c>
      <c r="AL642">
        <v>1</v>
      </c>
      <c r="AM642">
        <v>0</v>
      </c>
      <c r="AN642">
        <v>0</v>
      </c>
      <c r="AR642" t="s">
        <v>4476</v>
      </c>
      <c r="AS642" t="s">
        <v>4486</v>
      </c>
      <c r="AT642">
        <v>0</v>
      </c>
      <c r="AX642" t="s">
        <v>4501</v>
      </c>
      <c r="BA642" t="s">
        <v>4547</v>
      </c>
      <c r="BD642" t="s">
        <v>4670</v>
      </c>
      <c r="BE642" t="s">
        <v>4703</v>
      </c>
    </row>
    <row r="643" spans="1:57">
      <c r="A643" s="1">
        <f>HYPERLINK("https://lsnyc.legalserver.org/matter/dynamic-profile/view/1911059","19-1911059")</f>
        <v>0</v>
      </c>
      <c r="B643" t="s">
        <v>57</v>
      </c>
      <c r="C643" t="s">
        <v>93</v>
      </c>
      <c r="D643" t="s">
        <v>168</v>
      </c>
      <c r="F643" t="s">
        <v>500</v>
      </c>
      <c r="G643" t="s">
        <v>1255</v>
      </c>
      <c r="H643" t="s">
        <v>1838</v>
      </c>
      <c r="I643" t="s">
        <v>1994</v>
      </c>
      <c r="J643" t="s">
        <v>2169</v>
      </c>
      <c r="K643" t="s">
        <v>2171</v>
      </c>
      <c r="L643">
        <v>10021</v>
      </c>
      <c r="M643" t="s">
        <v>2173</v>
      </c>
      <c r="N643" t="s">
        <v>2172</v>
      </c>
      <c r="O643" t="s">
        <v>2180</v>
      </c>
      <c r="P643" t="s">
        <v>2786</v>
      </c>
      <c r="Q643">
        <v>36</v>
      </c>
      <c r="R643" t="s">
        <v>2843</v>
      </c>
      <c r="S643" t="s">
        <v>2858</v>
      </c>
      <c r="U643" t="s">
        <v>2868</v>
      </c>
      <c r="V643" t="s">
        <v>2174</v>
      </c>
      <c r="W643" t="s">
        <v>2174</v>
      </c>
      <c r="Y643" t="s">
        <v>2876</v>
      </c>
      <c r="AA643" t="s">
        <v>168</v>
      </c>
      <c r="AB643">
        <v>0</v>
      </c>
      <c r="AC643">
        <v>958.16</v>
      </c>
      <c r="AD643">
        <v>1.75</v>
      </c>
      <c r="AE643" t="s">
        <v>2894</v>
      </c>
      <c r="AG643" t="s">
        <v>3518</v>
      </c>
      <c r="AI643" t="s">
        <v>4386</v>
      </c>
      <c r="AJ643">
        <v>0</v>
      </c>
      <c r="AK643" t="s">
        <v>4456</v>
      </c>
      <c r="AL643">
        <v>1</v>
      </c>
      <c r="AM643">
        <v>0</v>
      </c>
      <c r="AN643">
        <v>19.05</v>
      </c>
      <c r="AR643" t="s">
        <v>2176</v>
      </c>
      <c r="AS643" t="s">
        <v>4486</v>
      </c>
      <c r="AT643">
        <v>2379</v>
      </c>
      <c r="AX643" t="s">
        <v>4501</v>
      </c>
      <c r="BA643" t="s">
        <v>4551</v>
      </c>
      <c r="BD643" t="s">
        <v>154</v>
      </c>
      <c r="BE643" t="s">
        <v>4703</v>
      </c>
    </row>
    <row r="644" spans="1:57">
      <c r="A644" s="1">
        <f>HYPERLINK("https://lsnyc.legalserver.org/matter/dynamic-profile/view/1899805","19-1899805")</f>
        <v>0</v>
      </c>
      <c r="B644" t="s">
        <v>61</v>
      </c>
      <c r="C644" t="s">
        <v>92</v>
      </c>
      <c r="D644" t="s">
        <v>95</v>
      </c>
      <c r="E644" t="s">
        <v>116</v>
      </c>
      <c r="F644" t="s">
        <v>441</v>
      </c>
      <c r="G644" t="s">
        <v>1256</v>
      </c>
      <c r="H644" t="s">
        <v>1839</v>
      </c>
      <c r="I644" t="s">
        <v>2135</v>
      </c>
      <c r="J644" t="s">
        <v>2169</v>
      </c>
      <c r="K644" t="s">
        <v>2171</v>
      </c>
      <c r="L644">
        <v>10021</v>
      </c>
      <c r="M644" t="s">
        <v>2173</v>
      </c>
      <c r="N644" t="s">
        <v>2172</v>
      </c>
      <c r="P644" t="s">
        <v>2787</v>
      </c>
      <c r="Q644">
        <v>40</v>
      </c>
      <c r="R644" t="s">
        <v>2844</v>
      </c>
      <c r="S644" t="s">
        <v>2857</v>
      </c>
      <c r="T644" t="s">
        <v>2864</v>
      </c>
      <c r="U644" t="s">
        <v>2868</v>
      </c>
      <c r="V644" t="s">
        <v>2174</v>
      </c>
      <c r="W644" t="s">
        <v>2174</v>
      </c>
      <c r="Y644" t="s">
        <v>2876</v>
      </c>
      <c r="Z644" t="s">
        <v>2881</v>
      </c>
      <c r="AA644" t="s">
        <v>95</v>
      </c>
      <c r="AB644">
        <v>0</v>
      </c>
      <c r="AC644">
        <v>836.52</v>
      </c>
      <c r="AD644">
        <v>62.4</v>
      </c>
      <c r="AE644" t="s">
        <v>2894</v>
      </c>
      <c r="AF644" t="s">
        <v>2898</v>
      </c>
      <c r="AG644" t="s">
        <v>3519</v>
      </c>
      <c r="AH644" t="s">
        <v>3744</v>
      </c>
      <c r="AI644" t="s">
        <v>4387</v>
      </c>
      <c r="AJ644">
        <v>0</v>
      </c>
      <c r="AK644" t="s">
        <v>4461</v>
      </c>
      <c r="AL644">
        <v>2</v>
      </c>
      <c r="AM644">
        <v>1</v>
      </c>
      <c r="AN644">
        <v>51.2</v>
      </c>
      <c r="AS644" t="s">
        <v>4486</v>
      </c>
      <c r="AT644">
        <v>10920</v>
      </c>
      <c r="AX644" t="s">
        <v>4499</v>
      </c>
      <c r="AY644" t="s">
        <v>4516</v>
      </c>
      <c r="BA644" t="s">
        <v>4600</v>
      </c>
      <c r="BD644" t="s">
        <v>4689</v>
      </c>
      <c r="BE644" t="s">
        <v>4704</v>
      </c>
    </row>
    <row r="645" spans="1:57">
      <c r="A645" s="1">
        <f>HYPERLINK("https://lsnyc.legalserver.org/matter/dynamic-profile/view/1908994","19-1908994")</f>
        <v>0</v>
      </c>
      <c r="B645" t="s">
        <v>71</v>
      </c>
      <c r="C645" t="s">
        <v>93</v>
      </c>
      <c r="D645" t="s">
        <v>98</v>
      </c>
      <c r="F645" t="s">
        <v>744</v>
      </c>
      <c r="G645" t="s">
        <v>1257</v>
      </c>
      <c r="H645" t="s">
        <v>1840</v>
      </c>
      <c r="I645">
        <v>2</v>
      </c>
      <c r="J645" t="s">
        <v>2169</v>
      </c>
      <c r="K645" t="s">
        <v>2171</v>
      </c>
      <c r="L645">
        <v>10019</v>
      </c>
      <c r="M645" t="s">
        <v>2173</v>
      </c>
      <c r="N645" t="s">
        <v>2172</v>
      </c>
      <c r="O645" t="s">
        <v>2175</v>
      </c>
      <c r="P645" t="s">
        <v>2788</v>
      </c>
      <c r="Q645">
        <v>2</v>
      </c>
      <c r="R645" t="s">
        <v>2843</v>
      </c>
      <c r="S645" t="s">
        <v>2858</v>
      </c>
      <c r="U645" t="s">
        <v>2868</v>
      </c>
      <c r="V645" t="s">
        <v>2174</v>
      </c>
      <c r="W645" t="s">
        <v>2174</v>
      </c>
      <c r="Y645" t="s">
        <v>2876</v>
      </c>
      <c r="Z645" t="s">
        <v>2879</v>
      </c>
      <c r="AA645" t="s">
        <v>98</v>
      </c>
      <c r="AB645">
        <v>0</v>
      </c>
      <c r="AC645">
        <v>980</v>
      </c>
      <c r="AD645">
        <v>0</v>
      </c>
      <c r="AE645" t="s">
        <v>2894</v>
      </c>
      <c r="AG645" t="s">
        <v>3520</v>
      </c>
      <c r="AI645" t="s">
        <v>4388</v>
      </c>
      <c r="AJ645">
        <v>4</v>
      </c>
      <c r="AK645" t="s">
        <v>4458</v>
      </c>
      <c r="AL645">
        <v>1</v>
      </c>
      <c r="AM645">
        <v>0</v>
      </c>
      <c r="AN645">
        <v>64.05</v>
      </c>
      <c r="AR645" t="s">
        <v>4476</v>
      </c>
      <c r="AS645" t="s">
        <v>4486</v>
      </c>
      <c r="AT645">
        <v>8000</v>
      </c>
      <c r="AX645" t="s">
        <v>4502</v>
      </c>
      <c r="BA645" t="s">
        <v>4546</v>
      </c>
      <c r="BE645" t="s">
        <v>4703</v>
      </c>
    </row>
    <row r="646" spans="1:57">
      <c r="A646" s="1">
        <f>HYPERLINK("https://lsnyc.legalserver.org/matter/dynamic-profile/view/1893096","19-1893096")</f>
        <v>0</v>
      </c>
      <c r="B646" t="s">
        <v>71</v>
      </c>
      <c r="C646" t="s">
        <v>93</v>
      </c>
      <c r="D646" t="s">
        <v>140</v>
      </c>
      <c r="F646" t="s">
        <v>745</v>
      </c>
      <c r="G646" t="s">
        <v>1258</v>
      </c>
      <c r="H646" t="s">
        <v>1841</v>
      </c>
      <c r="I646" t="s">
        <v>2136</v>
      </c>
      <c r="J646" t="s">
        <v>2169</v>
      </c>
      <c r="K646" t="s">
        <v>2171</v>
      </c>
      <c r="L646">
        <v>10019</v>
      </c>
      <c r="M646" t="s">
        <v>2173</v>
      </c>
      <c r="N646" t="s">
        <v>2173</v>
      </c>
      <c r="O646" t="s">
        <v>2180</v>
      </c>
      <c r="P646" t="s">
        <v>2789</v>
      </c>
      <c r="Q646">
        <v>2</v>
      </c>
      <c r="R646" t="s">
        <v>2844</v>
      </c>
      <c r="S646" t="s">
        <v>2856</v>
      </c>
      <c r="U646" t="s">
        <v>2868</v>
      </c>
      <c r="V646" t="s">
        <v>2174</v>
      </c>
      <c r="W646" t="s">
        <v>2174</v>
      </c>
      <c r="Y646" t="s">
        <v>2876</v>
      </c>
      <c r="Z646" t="s">
        <v>2884</v>
      </c>
      <c r="AA646" t="s">
        <v>100</v>
      </c>
      <c r="AB646">
        <v>0</v>
      </c>
      <c r="AC646">
        <v>1166</v>
      </c>
      <c r="AD646">
        <v>1</v>
      </c>
      <c r="AE646" t="s">
        <v>2894</v>
      </c>
      <c r="AG646" t="s">
        <v>2950</v>
      </c>
      <c r="AJ646">
        <v>0</v>
      </c>
      <c r="AK646" t="s">
        <v>4456</v>
      </c>
      <c r="AL646">
        <v>1</v>
      </c>
      <c r="AM646">
        <v>0</v>
      </c>
      <c r="AN646">
        <v>99.92</v>
      </c>
      <c r="AQ646" t="s">
        <v>4474</v>
      </c>
      <c r="AR646" t="s">
        <v>4478</v>
      </c>
      <c r="AS646" t="s">
        <v>4486</v>
      </c>
      <c r="AT646">
        <v>12480</v>
      </c>
      <c r="AX646" t="s">
        <v>4499</v>
      </c>
      <c r="BA646" t="s">
        <v>4546</v>
      </c>
      <c r="BD646" t="s">
        <v>140</v>
      </c>
    </row>
    <row r="647" spans="1:57">
      <c r="A647" s="1">
        <f>HYPERLINK("https://lsnyc.legalserver.org/matter/dynamic-profile/view/1909066","19-1909066")</f>
        <v>0</v>
      </c>
      <c r="B647" t="s">
        <v>71</v>
      </c>
      <c r="C647" t="s">
        <v>93</v>
      </c>
      <c r="D647" t="s">
        <v>98</v>
      </c>
      <c r="F647" t="s">
        <v>746</v>
      </c>
      <c r="G647" t="s">
        <v>1259</v>
      </c>
      <c r="H647" t="s">
        <v>1842</v>
      </c>
      <c r="I647" t="s">
        <v>2137</v>
      </c>
      <c r="J647" t="s">
        <v>2169</v>
      </c>
      <c r="K647" t="s">
        <v>2171</v>
      </c>
      <c r="L647">
        <v>10019</v>
      </c>
      <c r="M647" t="s">
        <v>2173</v>
      </c>
      <c r="N647" t="s">
        <v>2172</v>
      </c>
      <c r="O647" t="s">
        <v>2178</v>
      </c>
      <c r="P647" t="s">
        <v>2790</v>
      </c>
      <c r="Q647">
        <v>23</v>
      </c>
      <c r="R647" t="s">
        <v>2844</v>
      </c>
      <c r="S647" t="s">
        <v>2858</v>
      </c>
      <c r="U647" t="s">
        <v>2868</v>
      </c>
      <c r="V647" t="s">
        <v>2174</v>
      </c>
      <c r="W647" t="s">
        <v>2174</v>
      </c>
      <c r="Y647" t="s">
        <v>2876</v>
      </c>
      <c r="AA647" t="s">
        <v>98</v>
      </c>
      <c r="AB647">
        <v>0</v>
      </c>
      <c r="AC647">
        <v>715</v>
      </c>
      <c r="AD647">
        <v>0</v>
      </c>
      <c r="AE647" t="s">
        <v>2894</v>
      </c>
      <c r="AG647" t="s">
        <v>3521</v>
      </c>
      <c r="AH647" t="s">
        <v>3745</v>
      </c>
      <c r="AI647" t="s">
        <v>4389</v>
      </c>
      <c r="AJ647">
        <v>0</v>
      </c>
      <c r="AK647" t="s">
        <v>4456</v>
      </c>
      <c r="AL647">
        <v>1</v>
      </c>
      <c r="AM647">
        <v>0</v>
      </c>
      <c r="AN647">
        <v>176.14</v>
      </c>
      <c r="AR647" t="s">
        <v>4476</v>
      </c>
      <c r="AS647" t="s">
        <v>4486</v>
      </c>
      <c r="AT647">
        <v>22000</v>
      </c>
      <c r="AX647" t="s">
        <v>4501</v>
      </c>
      <c r="BA647" t="s">
        <v>4617</v>
      </c>
      <c r="BE647" t="s">
        <v>4704</v>
      </c>
    </row>
    <row r="648" spans="1:57">
      <c r="A648" s="1">
        <f>HYPERLINK("https://lsnyc.legalserver.org/matter/dynamic-profile/view/1910171","19-1910171")</f>
        <v>0</v>
      </c>
      <c r="B648" t="s">
        <v>62</v>
      </c>
      <c r="C648" t="s">
        <v>92</v>
      </c>
      <c r="D648" t="s">
        <v>114</v>
      </c>
      <c r="E648" t="s">
        <v>213</v>
      </c>
      <c r="F648" t="s">
        <v>747</v>
      </c>
      <c r="G648" t="s">
        <v>1260</v>
      </c>
      <c r="H648" t="s">
        <v>1842</v>
      </c>
      <c r="I648" t="s">
        <v>2138</v>
      </c>
      <c r="J648" t="s">
        <v>2169</v>
      </c>
      <c r="K648" t="s">
        <v>2171</v>
      </c>
      <c r="L648">
        <v>10019</v>
      </c>
      <c r="M648" t="s">
        <v>2173</v>
      </c>
      <c r="N648" t="s">
        <v>2172</v>
      </c>
      <c r="O648" t="s">
        <v>2175</v>
      </c>
      <c r="P648" t="s">
        <v>2791</v>
      </c>
      <c r="Q648">
        <v>6</v>
      </c>
      <c r="R648" t="s">
        <v>2844</v>
      </c>
      <c r="S648" t="s">
        <v>2856</v>
      </c>
      <c r="T648" t="s">
        <v>2863</v>
      </c>
      <c r="U648" t="s">
        <v>2868</v>
      </c>
      <c r="V648" t="s">
        <v>2174</v>
      </c>
      <c r="W648" t="s">
        <v>2174</v>
      </c>
      <c r="Y648" t="s">
        <v>2876</v>
      </c>
      <c r="AA648" t="s">
        <v>114</v>
      </c>
      <c r="AB648">
        <v>0</v>
      </c>
      <c r="AC648">
        <v>627</v>
      </c>
      <c r="AD648">
        <v>0</v>
      </c>
      <c r="AE648" t="s">
        <v>2894</v>
      </c>
      <c r="AF648" t="s">
        <v>2896</v>
      </c>
      <c r="AG648" t="s">
        <v>3522</v>
      </c>
      <c r="AH648" t="s">
        <v>3746</v>
      </c>
      <c r="AI648" t="s">
        <v>4390</v>
      </c>
      <c r="AJ648">
        <v>736</v>
      </c>
      <c r="AK648" t="s">
        <v>4456</v>
      </c>
      <c r="AL648">
        <v>1</v>
      </c>
      <c r="AM648">
        <v>0</v>
      </c>
      <c r="AN648">
        <v>24.98</v>
      </c>
      <c r="AR648" t="s">
        <v>4476</v>
      </c>
      <c r="AS648" t="s">
        <v>4486</v>
      </c>
      <c r="AT648">
        <v>3120</v>
      </c>
      <c r="AX648" t="s">
        <v>4504</v>
      </c>
      <c r="BA648" t="s">
        <v>4537</v>
      </c>
      <c r="BD648" t="s">
        <v>4670</v>
      </c>
      <c r="BE648" t="s">
        <v>4704</v>
      </c>
    </row>
    <row r="649" spans="1:57">
      <c r="A649" s="1">
        <f>HYPERLINK("https://lsnyc.legalserver.org/matter/dynamic-profile/view/1890435","19-1890435")</f>
        <v>0</v>
      </c>
      <c r="B649" t="s">
        <v>71</v>
      </c>
      <c r="C649" t="s">
        <v>93</v>
      </c>
      <c r="D649" t="s">
        <v>101</v>
      </c>
      <c r="F649" t="s">
        <v>503</v>
      </c>
      <c r="G649" t="s">
        <v>1261</v>
      </c>
      <c r="H649" t="s">
        <v>1843</v>
      </c>
      <c r="I649">
        <v>1228</v>
      </c>
      <c r="J649" t="s">
        <v>2169</v>
      </c>
      <c r="K649" t="s">
        <v>2171</v>
      </c>
      <c r="L649">
        <v>10018</v>
      </c>
      <c r="M649" t="s">
        <v>2173</v>
      </c>
      <c r="N649" t="s">
        <v>2173</v>
      </c>
      <c r="O649" t="s">
        <v>2175</v>
      </c>
      <c r="P649" t="s">
        <v>2792</v>
      </c>
      <c r="Q649">
        <v>4</v>
      </c>
      <c r="R649" t="s">
        <v>2843</v>
      </c>
      <c r="S649" t="s">
        <v>2856</v>
      </c>
      <c r="U649" t="s">
        <v>2868</v>
      </c>
      <c r="V649" t="s">
        <v>2174</v>
      </c>
      <c r="W649" t="s">
        <v>2174</v>
      </c>
      <c r="Y649" t="s">
        <v>2876</v>
      </c>
      <c r="AA649" t="s">
        <v>101</v>
      </c>
      <c r="AB649">
        <v>0</v>
      </c>
      <c r="AC649">
        <v>5619.32</v>
      </c>
      <c r="AD649">
        <v>1</v>
      </c>
      <c r="AE649" t="s">
        <v>2894</v>
      </c>
      <c r="AG649" t="s">
        <v>3523</v>
      </c>
      <c r="AH649" t="s">
        <v>3747</v>
      </c>
      <c r="AI649" t="s">
        <v>4391</v>
      </c>
      <c r="AJ649">
        <v>0</v>
      </c>
      <c r="AL649">
        <v>1</v>
      </c>
      <c r="AM649">
        <v>0</v>
      </c>
      <c r="AN649">
        <v>19.05</v>
      </c>
      <c r="AQ649" t="s">
        <v>4473</v>
      </c>
      <c r="AR649" t="s">
        <v>2176</v>
      </c>
      <c r="AS649" t="s">
        <v>4486</v>
      </c>
      <c r="AT649">
        <v>2379</v>
      </c>
      <c r="AX649" t="s">
        <v>4501</v>
      </c>
      <c r="BA649" t="s">
        <v>4564</v>
      </c>
      <c r="BD649" t="s">
        <v>220</v>
      </c>
    </row>
    <row r="650" spans="1:57">
      <c r="A650" s="1">
        <f>HYPERLINK("https://lsnyc.legalserver.org/matter/dynamic-profile/view/1900154","19-1900154")</f>
        <v>0</v>
      </c>
      <c r="B650" t="s">
        <v>58</v>
      </c>
      <c r="C650" t="s">
        <v>92</v>
      </c>
      <c r="D650" t="s">
        <v>202</v>
      </c>
      <c r="E650" t="s">
        <v>212</v>
      </c>
      <c r="F650" t="s">
        <v>748</v>
      </c>
      <c r="G650" t="s">
        <v>929</v>
      </c>
      <c r="H650" t="s">
        <v>1844</v>
      </c>
      <c r="I650" t="s">
        <v>2139</v>
      </c>
      <c r="J650" t="s">
        <v>2169</v>
      </c>
      <c r="K650" t="s">
        <v>2171</v>
      </c>
      <c r="L650">
        <v>10017</v>
      </c>
      <c r="M650" t="s">
        <v>2172</v>
      </c>
      <c r="N650" t="s">
        <v>2172</v>
      </c>
      <c r="Q650">
        <v>33</v>
      </c>
      <c r="R650" t="s">
        <v>2841</v>
      </c>
      <c r="S650" t="s">
        <v>2856</v>
      </c>
      <c r="T650" t="s">
        <v>2863</v>
      </c>
      <c r="U650" t="s">
        <v>2868</v>
      </c>
      <c r="V650" t="s">
        <v>2174</v>
      </c>
      <c r="Y650" t="s">
        <v>2875</v>
      </c>
      <c r="AB650">
        <v>0</v>
      </c>
      <c r="AC650">
        <v>1440.6</v>
      </c>
      <c r="AD650">
        <v>1</v>
      </c>
      <c r="AE650" t="s">
        <v>2894</v>
      </c>
      <c r="AF650" t="s">
        <v>2896</v>
      </c>
      <c r="AG650" t="s">
        <v>3524</v>
      </c>
      <c r="AJ650">
        <v>0</v>
      </c>
      <c r="AL650">
        <v>3</v>
      </c>
      <c r="AM650">
        <v>1</v>
      </c>
      <c r="AN650">
        <v>0</v>
      </c>
      <c r="AS650" t="s">
        <v>4486</v>
      </c>
      <c r="AT650">
        <v>0</v>
      </c>
      <c r="AX650" t="s">
        <v>4499</v>
      </c>
      <c r="BA650" t="s">
        <v>4547</v>
      </c>
      <c r="BD650" t="s">
        <v>95</v>
      </c>
    </row>
    <row r="651" spans="1:57">
      <c r="A651" s="1">
        <f>HYPERLINK("https://lsnyc.legalserver.org/matter/dynamic-profile/view/1897481","19-1897481")</f>
        <v>0</v>
      </c>
      <c r="B651" t="s">
        <v>64</v>
      </c>
      <c r="C651" t="s">
        <v>92</v>
      </c>
      <c r="D651" t="s">
        <v>112</v>
      </c>
      <c r="E651" t="s">
        <v>197</v>
      </c>
      <c r="F651" t="s">
        <v>749</v>
      </c>
      <c r="G651" t="s">
        <v>1262</v>
      </c>
      <c r="H651" t="s">
        <v>1845</v>
      </c>
      <c r="I651" t="s">
        <v>2115</v>
      </c>
      <c r="J651" t="s">
        <v>2169</v>
      </c>
      <c r="K651" t="s">
        <v>2171</v>
      </c>
      <c r="L651">
        <v>10017</v>
      </c>
      <c r="M651" t="s">
        <v>2173</v>
      </c>
      <c r="N651" t="s">
        <v>2173</v>
      </c>
      <c r="O651" t="s">
        <v>2178</v>
      </c>
      <c r="P651" t="s">
        <v>2793</v>
      </c>
      <c r="Q651">
        <v>18</v>
      </c>
      <c r="R651" t="s">
        <v>2844</v>
      </c>
      <c r="S651" t="s">
        <v>2856</v>
      </c>
      <c r="T651" t="s">
        <v>2863</v>
      </c>
      <c r="U651" t="s">
        <v>2868</v>
      </c>
      <c r="V651" t="s">
        <v>2174</v>
      </c>
      <c r="W651" t="s">
        <v>2174</v>
      </c>
      <c r="Y651" t="s">
        <v>2876</v>
      </c>
      <c r="AA651" t="s">
        <v>112</v>
      </c>
      <c r="AB651">
        <v>0</v>
      </c>
      <c r="AC651">
        <v>548.53</v>
      </c>
      <c r="AD651">
        <v>1</v>
      </c>
      <c r="AE651" t="s">
        <v>2894</v>
      </c>
      <c r="AF651" t="s">
        <v>2896</v>
      </c>
      <c r="AG651" t="s">
        <v>3525</v>
      </c>
      <c r="AH651" t="s">
        <v>3748</v>
      </c>
      <c r="AI651" t="s">
        <v>4392</v>
      </c>
      <c r="AJ651">
        <v>362</v>
      </c>
      <c r="AK651" t="s">
        <v>4456</v>
      </c>
      <c r="AL651">
        <v>1</v>
      </c>
      <c r="AM651">
        <v>1</v>
      </c>
      <c r="AN651">
        <v>132.49</v>
      </c>
      <c r="AR651" t="s">
        <v>4477</v>
      </c>
      <c r="AS651" t="s">
        <v>4486</v>
      </c>
      <c r="AT651">
        <v>22404</v>
      </c>
      <c r="AX651" t="s">
        <v>4501</v>
      </c>
      <c r="BA651" t="s">
        <v>4628</v>
      </c>
      <c r="BD651" t="s">
        <v>112</v>
      </c>
      <c r="BE651" t="s">
        <v>4704</v>
      </c>
    </row>
    <row r="652" spans="1:57">
      <c r="A652" s="1">
        <f>HYPERLINK("https://lsnyc.legalserver.org/matter/dynamic-profile/view/1910190","19-1910190")</f>
        <v>0</v>
      </c>
      <c r="B652" t="s">
        <v>62</v>
      </c>
      <c r="C652" t="s">
        <v>92</v>
      </c>
      <c r="D652" t="s">
        <v>114</v>
      </c>
      <c r="E652" t="s">
        <v>213</v>
      </c>
      <c r="F652" t="s">
        <v>750</v>
      </c>
      <c r="G652" t="s">
        <v>1263</v>
      </c>
      <c r="H652" t="s">
        <v>1846</v>
      </c>
      <c r="I652" t="s">
        <v>2116</v>
      </c>
      <c r="J652" t="s">
        <v>2169</v>
      </c>
      <c r="K652" t="s">
        <v>2171</v>
      </c>
      <c r="L652">
        <v>10017</v>
      </c>
      <c r="M652" t="s">
        <v>2173</v>
      </c>
      <c r="N652" t="s">
        <v>2172</v>
      </c>
      <c r="O652" t="s">
        <v>2178</v>
      </c>
      <c r="P652" t="s">
        <v>2794</v>
      </c>
      <c r="Q652">
        <v>24</v>
      </c>
      <c r="R652" t="s">
        <v>2844</v>
      </c>
      <c r="S652" t="s">
        <v>2856</v>
      </c>
      <c r="T652" t="s">
        <v>2863</v>
      </c>
      <c r="U652" t="s">
        <v>2868</v>
      </c>
      <c r="V652" t="s">
        <v>2174</v>
      </c>
      <c r="W652" t="s">
        <v>2174</v>
      </c>
      <c r="Y652" t="s">
        <v>2876</v>
      </c>
      <c r="AA652" t="s">
        <v>114</v>
      </c>
      <c r="AB652">
        <v>0</v>
      </c>
      <c r="AC652">
        <v>1375</v>
      </c>
      <c r="AD652">
        <v>0</v>
      </c>
      <c r="AE652" t="s">
        <v>2894</v>
      </c>
      <c r="AF652" t="s">
        <v>2896</v>
      </c>
      <c r="AG652" t="s">
        <v>3526</v>
      </c>
      <c r="AI652" t="s">
        <v>4393</v>
      </c>
      <c r="AJ652">
        <v>310</v>
      </c>
      <c r="AK652" t="s">
        <v>4456</v>
      </c>
      <c r="AL652">
        <v>1</v>
      </c>
      <c r="AM652">
        <v>0</v>
      </c>
      <c r="AN652">
        <v>118.49</v>
      </c>
      <c r="AR652" t="s">
        <v>4476</v>
      </c>
      <c r="AS652" t="s">
        <v>4486</v>
      </c>
      <c r="AT652">
        <v>14800</v>
      </c>
      <c r="AX652" t="s">
        <v>4501</v>
      </c>
      <c r="BA652" t="s">
        <v>4614</v>
      </c>
      <c r="BD652" t="s">
        <v>4670</v>
      </c>
      <c r="BE652" t="s">
        <v>4703</v>
      </c>
    </row>
    <row r="653" spans="1:57">
      <c r="A653" s="1">
        <f>HYPERLINK("https://lsnyc.legalserver.org/matter/dynamic-profile/view/1904671","19-1904671")</f>
        <v>0</v>
      </c>
      <c r="B653" t="s">
        <v>57</v>
      </c>
      <c r="C653" t="s">
        <v>93</v>
      </c>
      <c r="D653" t="s">
        <v>131</v>
      </c>
      <c r="F653" t="s">
        <v>751</v>
      </c>
      <c r="G653" t="s">
        <v>933</v>
      </c>
      <c r="H653" t="s">
        <v>1847</v>
      </c>
      <c r="I653" t="s">
        <v>2140</v>
      </c>
      <c r="J653" t="s">
        <v>2169</v>
      </c>
      <c r="K653" t="s">
        <v>2171</v>
      </c>
      <c r="L653">
        <v>10016</v>
      </c>
      <c r="M653" t="s">
        <v>2173</v>
      </c>
      <c r="N653" t="s">
        <v>2172</v>
      </c>
      <c r="O653" t="s">
        <v>2176</v>
      </c>
      <c r="Q653">
        <v>29</v>
      </c>
      <c r="R653" t="s">
        <v>2841</v>
      </c>
      <c r="S653" t="s">
        <v>2856</v>
      </c>
      <c r="U653" t="s">
        <v>2868</v>
      </c>
      <c r="V653" t="s">
        <v>2174</v>
      </c>
      <c r="Y653" t="s">
        <v>2875</v>
      </c>
      <c r="AA653" t="s">
        <v>131</v>
      </c>
      <c r="AB653">
        <v>0</v>
      </c>
      <c r="AC653">
        <v>215</v>
      </c>
      <c r="AD653">
        <v>0.5</v>
      </c>
      <c r="AE653" t="s">
        <v>2894</v>
      </c>
      <c r="AG653" t="s">
        <v>3527</v>
      </c>
      <c r="AH653" t="s">
        <v>3749</v>
      </c>
      <c r="AI653" t="s">
        <v>4394</v>
      </c>
      <c r="AJ653">
        <v>0</v>
      </c>
      <c r="AK653" t="s">
        <v>4459</v>
      </c>
      <c r="AL653">
        <v>1</v>
      </c>
      <c r="AM653">
        <v>0</v>
      </c>
      <c r="AN653">
        <v>20.4</v>
      </c>
      <c r="AR653" t="s">
        <v>4476</v>
      </c>
      <c r="AS653" t="s">
        <v>4486</v>
      </c>
      <c r="AT653">
        <v>2548</v>
      </c>
      <c r="AX653" t="s">
        <v>4501</v>
      </c>
      <c r="BA653" t="s">
        <v>4564</v>
      </c>
      <c r="BD653" t="s">
        <v>131</v>
      </c>
      <c r="BE653" t="s">
        <v>4704</v>
      </c>
    </row>
    <row r="654" spans="1:57">
      <c r="A654" s="1">
        <f>HYPERLINK("https://lsnyc.legalserver.org/matter/dynamic-profile/view/1888411","19-1888411")</f>
        <v>0</v>
      </c>
      <c r="B654" t="s">
        <v>57</v>
      </c>
      <c r="C654" t="s">
        <v>92</v>
      </c>
      <c r="D654" t="s">
        <v>103</v>
      </c>
      <c r="E654" t="s">
        <v>216</v>
      </c>
      <c r="F654" t="s">
        <v>244</v>
      </c>
      <c r="G654" t="s">
        <v>1264</v>
      </c>
      <c r="H654" t="s">
        <v>1848</v>
      </c>
      <c r="I654" t="s">
        <v>1952</v>
      </c>
      <c r="J654" t="s">
        <v>2169</v>
      </c>
      <c r="K654" t="s">
        <v>2171</v>
      </c>
      <c r="L654">
        <v>10016</v>
      </c>
      <c r="M654" t="s">
        <v>2173</v>
      </c>
      <c r="N654" t="s">
        <v>2173</v>
      </c>
      <c r="O654" t="s">
        <v>2175</v>
      </c>
      <c r="P654" t="s">
        <v>2795</v>
      </c>
      <c r="Q654">
        <v>11</v>
      </c>
      <c r="R654" t="s">
        <v>2844</v>
      </c>
      <c r="S654" t="s">
        <v>2856</v>
      </c>
      <c r="T654" t="s">
        <v>2863</v>
      </c>
      <c r="U654" t="s">
        <v>2868</v>
      </c>
      <c r="V654" t="s">
        <v>2174</v>
      </c>
      <c r="W654" t="s">
        <v>2174</v>
      </c>
      <c r="Y654" t="s">
        <v>2876</v>
      </c>
      <c r="AA654" t="s">
        <v>103</v>
      </c>
      <c r="AB654">
        <v>0</v>
      </c>
      <c r="AC654">
        <v>2417</v>
      </c>
      <c r="AD654">
        <v>0.1</v>
      </c>
      <c r="AE654" t="s">
        <v>2894</v>
      </c>
      <c r="AF654" t="s">
        <v>2896</v>
      </c>
      <c r="AG654" t="s">
        <v>3528</v>
      </c>
      <c r="AH654" t="s">
        <v>3750</v>
      </c>
      <c r="AI654" t="s">
        <v>4395</v>
      </c>
      <c r="AJ654">
        <v>902</v>
      </c>
      <c r="AK654" t="s">
        <v>4458</v>
      </c>
      <c r="AL654">
        <v>1</v>
      </c>
      <c r="AM654">
        <v>0</v>
      </c>
      <c r="AN654">
        <v>76.20999999999999</v>
      </c>
      <c r="AQ654" t="s">
        <v>4473</v>
      </c>
      <c r="AR654" t="s">
        <v>2176</v>
      </c>
      <c r="AS654" t="s">
        <v>4486</v>
      </c>
      <c r="AT654">
        <v>9252</v>
      </c>
      <c r="AX654" t="s">
        <v>4501</v>
      </c>
      <c r="BA654" t="s">
        <v>4548</v>
      </c>
      <c r="BD654" t="s">
        <v>4671</v>
      </c>
    </row>
    <row r="655" spans="1:57">
      <c r="A655" s="1">
        <f>HYPERLINK("https://lsnyc.legalserver.org/matter/dynamic-profile/view/1898864","19-1898864")</f>
        <v>0</v>
      </c>
      <c r="B655" t="s">
        <v>81</v>
      </c>
      <c r="C655" t="s">
        <v>93</v>
      </c>
      <c r="D655" t="s">
        <v>109</v>
      </c>
      <c r="F655" t="s">
        <v>362</v>
      </c>
      <c r="G655" t="s">
        <v>1074</v>
      </c>
      <c r="H655" t="s">
        <v>1849</v>
      </c>
      <c r="I655" t="s">
        <v>1922</v>
      </c>
      <c r="J655" t="s">
        <v>2169</v>
      </c>
      <c r="K655" t="s">
        <v>2171</v>
      </c>
      <c r="L655">
        <v>10016</v>
      </c>
      <c r="M655" t="s">
        <v>2173</v>
      </c>
      <c r="N655" t="s">
        <v>2173</v>
      </c>
      <c r="O655" t="s">
        <v>2175</v>
      </c>
      <c r="P655" t="s">
        <v>2796</v>
      </c>
      <c r="Q655">
        <v>2</v>
      </c>
      <c r="R655" t="s">
        <v>2844</v>
      </c>
      <c r="S655" t="s">
        <v>2857</v>
      </c>
      <c r="U655" t="s">
        <v>2868</v>
      </c>
      <c r="V655" t="s">
        <v>2174</v>
      </c>
      <c r="W655" t="s">
        <v>2174</v>
      </c>
      <c r="Y655" t="s">
        <v>2876</v>
      </c>
      <c r="AA655" t="s">
        <v>109</v>
      </c>
      <c r="AB655">
        <v>0</v>
      </c>
      <c r="AC655">
        <v>1182</v>
      </c>
      <c r="AD655">
        <v>20.2</v>
      </c>
      <c r="AE655" t="s">
        <v>2894</v>
      </c>
      <c r="AG655" t="s">
        <v>3529</v>
      </c>
      <c r="AI655" t="s">
        <v>4396</v>
      </c>
      <c r="AJ655">
        <v>372</v>
      </c>
      <c r="AK655" t="s">
        <v>4456</v>
      </c>
      <c r="AL655">
        <v>2</v>
      </c>
      <c r="AM655">
        <v>0</v>
      </c>
      <c r="AN655">
        <v>111.91</v>
      </c>
      <c r="AR655" t="s">
        <v>4483</v>
      </c>
      <c r="AS655" t="s">
        <v>4486</v>
      </c>
      <c r="AT655">
        <v>18924</v>
      </c>
      <c r="AX655" t="s">
        <v>4504</v>
      </c>
      <c r="BA655" t="s">
        <v>4586</v>
      </c>
      <c r="BD655" t="s">
        <v>4684</v>
      </c>
    </row>
    <row r="656" spans="1:57">
      <c r="A656" s="1">
        <f>HYPERLINK("https://lsnyc.legalserver.org/matter/dynamic-profile/view/1904928","19-1904928")</f>
        <v>0</v>
      </c>
      <c r="B656" t="s">
        <v>75</v>
      </c>
      <c r="C656" t="s">
        <v>93</v>
      </c>
      <c r="D656" t="s">
        <v>122</v>
      </c>
      <c r="F656" t="s">
        <v>752</v>
      </c>
      <c r="G656" t="s">
        <v>1265</v>
      </c>
      <c r="H656" t="s">
        <v>1850</v>
      </c>
      <c r="I656" t="s">
        <v>1985</v>
      </c>
      <c r="J656" t="s">
        <v>2169</v>
      </c>
      <c r="K656" t="s">
        <v>2171</v>
      </c>
      <c r="L656">
        <v>10014</v>
      </c>
      <c r="M656" t="s">
        <v>2172</v>
      </c>
      <c r="N656" t="s">
        <v>2172</v>
      </c>
      <c r="O656" t="s">
        <v>2179</v>
      </c>
      <c r="P656" t="s">
        <v>2797</v>
      </c>
      <c r="Q656">
        <v>3</v>
      </c>
      <c r="R656" t="s">
        <v>2843</v>
      </c>
      <c r="S656" t="s">
        <v>2857</v>
      </c>
      <c r="U656" t="s">
        <v>2869</v>
      </c>
      <c r="V656" t="s">
        <v>2174</v>
      </c>
      <c r="W656" t="s">
        <v>2174</v>
      </c>
      <c r="Y656" t="s">
        <v>2875</v>
      </c>
      <c r="AB656">
        <v>0</v>
      </c>
      <c r="AC656">
        <v>1000</v>
      </c>
      <c r="AD656">
        <v>3</v>
      </c>
      <c r="AE656" t="s">
        <v>2894</v>
      </c>
      <c r="AG656" t="s">
        <v>3530</v>
      </c>
      <c r="AI656" t="s">
        <v>4397</v>
      </c>
      <c r="AJ656">
        <v>0</v>
      </c>
      <c r="AK656" t="s">
        <v>4460</v>
      </c>
      <c r="AL656">
        <v>1</v>
      </c>
      <c r="AM656">
        <v>0</v>
      </c>
      <c r="AN656">
        <v>155.64</v>
      </c>
      <c r="AR656" t="s">
        <v>4476</v>
      </c>
      <c r="AS656" t="s">
        <v>4486</v>
      </c>
      <c r="AT656">
        <v>19440</v>
      </c>
      <c r="AX656" t="s">
        <v>86</v>
      </c>
      <c r="BA656" t="s">
        <v>4552</v>
      </c>
      <c r="BD656" t="s">
        <v>4673</v>
      </c>
    </row>
    <row r="657" spans="1:57">
      <c r="A657" s="1">
        <f>HYPERLINK("https://lsnyc.legalserver.org/matter/dynamic-profile/view/1896066","19-1896066")</f>
        <v>0</v>
      </c>
      <c r="B657" t="s">
        <v>63</v>
      </c>
      <c r="C657" t="s">
        <v>93</v>
      </c>
      <c r="D657" t="s">
        <v>100</v>
      </c>
      <c r="F657" t="s">
        <v>753</v>
      </c>
      <c r="G657" t="s">
        <v>1266</v>
      </c>
      <c r="H657" t="s">
        <v>1851</v>
      </c>
      <c r="I657" t="s">
        <v>1920</v>
      </c>
      <c r="J657" t="s">
        <v>2169</v>
      </c>
      <c r="K657" t="s">
        <v>2171</v>
      </c>
      <c r="L657">
        <v>10013</v>
      </c>
      <c r="M657" t="s">
        <v>2173</v>
      </c>
      <c r="N657" t="s">
        <v>2173</v>
      </c>
      <c r="O657" t="s">
        <v>2175</v>
      </c>
      <c r="P657" t="s">
        <v>2798</v>
      </c>
      <c r="Q657">
        <v>5</v>
      </c>
      <c r="R657" t="s">
        <v>2844</v>
      </c>
      <c r="S657" t="s">
        <v>2856</v>
      </c>
      <c r="U657" t="s">
        <v>2868</v>
      </c>
      <c r="V657" t="s">
        <v>2174</v>
      </c>
      <c r="W657" t="s">
        <v>2174</v>
      </c>
      <c r="Y657" t="s">
        <v>2876</v>
      </c>
      <c r="Z657" t="s">
        <v>2880</v>
      </c>
      <c r="AA657" t="s">
        <v>100</v>
      </c>
      <c r="AB657">
        <v>0</v>
      </c>
      <c r="AC657">
        <v>2850</v>
      </c>
      <c r="AD657">
        <v>0.25</v>
      </c>
      <c r="AE657" t="s">
        <v>2894</v>
      </c>
      <c r="AG657" t="s">
        <v>3531</v>
      </c>
      <c r="AI657" t="s">
        <v>4398</v>
      </c>
      <c r="AJ657">
        <v>0</v>
      </c>
      <c r="AK657" t="s">
        <v>4458</v>
      </c>
      <c r="AL657">
        <v>1</v>
      </c>
      <c r="AM657">
        <v>0</v>
      </c>
      <c r="AN657">
        <v>0</v>
      </c>
      <c r="AQ657" t="s">
        <v>4473</v>
      </c>
      <c r="AR657" t="s">
        <v>4476</v>
      </c>
      <c r="AS657" t="s">
        <v>4486</v>
      </c>
      <c r="AT657">
        <v>0</v>
      </c>
      <c r="AX657" t="s">
        <v>4501</v>
      </c>
      <c r="BA657" t="s">
        <v>4539</v>
      </c>
      <c r="BD657" t="s">
        <v>145</v>
      </c>
    </row>
    <row r="658" spans="1:57">
      <c r="A658" s="1">
        <f>HYPERLINK("https://lsnyc.legalserver.org/matter/dynamic-profile/view/1896094","19-1896094")</f>
        <v>0</v>
      </c>
      <c r="B658" t="s">
        <v>71</v>
      </c>
      <c r="C658" t="s">
        <v>93</v>
      </c>
      <c r="D658" t="s">
        <v>100</v>
      </c>
      <c r="F658" t="s">
        <v>754</v>
      </c>
      <c r="G658" t="s">
        <v>1267</v>
      </c>
      <c r="H658" t="s">
        <v>1852</v>
      </c>
      <c r="I658">
        <v>316</v>
      </c>
      <c r="J658" t="s">
        <v>2169</v>
      </c>
      <c r="K658" t="s">
        <v>2171</v>
      </c>
      <c r="L658">
        <v>10011</v>
      </c>
      <c r="M658" t="s">
        <v>2173</v>
      </c>
      <c r="N658" t="s">
        <v>2172</v>
      </c>
      <c r="O658" t="s">
        <v>2175</v>
      </c>
      <c r="P658" t="s">
        <v>2799</v>
      </c>
      <c r="Q658">
        <v>10</v>
      </c>
      <c r="R658" t="s">
        <v>2843</v>
      </c>
      <c r="S658" t="s">
        <v>2857</v>
      </c>
      <c r="U658" t="s">
        <v>2868</v>
      </c>
      <c r="V658" t="s">
        <v>2174</v>
      </c>
      <c r="W658" t="s">
        <v>2174</v>
      </c>
      <c r="Y658" t="s">
        <v>2876</v>
      </c>
      <c r="Z658" t="s">
        <v>2879</v>
      </c>
      <c r="AA658" t="s">
        <v>100</v>
      </c>
      <c r="AB658">
        <v>0</v>
      </c>
      <c r="AC658">
        <v>709.48</v>
      </c>
      <c r="AD658">
        <v>70.7</v>
      </c>
      <c r="AE658" t="s">
        <v>2894</v>
      </c>
      <c r="AG658" t="s">
        <v>3532</v>
      </c>
      <c r="AI658" t="s">
        <v>4399</v>
      </c>
      <c r="AJ658">
        <v>0</v>
      </c>
      <c r="AK658" t="s">
        <v>4456</v>
      </c>
      <c r="AL658">
        <v>1</v>
      </c>
      <c r="AM658">
        <v>0</v>
      </c>
      <c r="AN658">
        <v>153.72</v>
      </c>
      <c r="AQ658" t="s">
        <v>4473</v>
      </c>
      <c r="AR658" t="s">
        <v>4477</v>
      </c>
      <c r="AS658" t="s">
        <v>4486</v>
      </c>
      <c r="AT658">
        <v>19200</v>
      </c>
      <c r="AX658" t="s">
        <v>4502</v>
      </c>
      <c r="BA658" t="s">
        <v>4534</v>
      </c>
      <c r="BD658" t="s">
        <v>4672</v>
      </c>
    </row>
    <row r="659" spans="1:57">
      <c r="A659" s="1">
        <f>HYPERLINK("https://lsnyc.legalserver.org/matter/dynamic-profile/view/1898860","19-1898860")</f>
        <v>0</v>
      </c>
      <c r="B659" t="s">
        <v>57</v>
      </c>
      <c r="C659" t="s">
        <v>92</v>
      </c>
      <c r="D659" t="s">
        <v>109</v>
      </c>
      <c r="E659" t="s">
        <v>216</v>
      </c>
      <c r="F659" t="s">
        <v>346</v>
      </c>
      <c r="G659" t="s">
        <v>1268</v>
      </c>
      <c r="H659" t="s">
        <v>1853</v>
      </c>
      <c r="I659" t="s">
        <v>2052</v>
      </c>
      <c r="J659" t="s">
        <v>2169</v>
      </c>
      <c r="K659" t="s">
        <v>2171</v>
      </c>
      <c r="L659">
        <v>10011</v>
      </c>
      <c r="M659" t="s">
        <v>2173</v>
      </c>
      <c r="N659" t="s">
        <v>2173</v>
      </c>
      <c r="O659" t="s">
        <v>2175</v>
      </c>
      <c r="P659" t="s">
        <v>2800</v>
      </c>
      <c r="Q659">
        <v>10</v>
      </c>
      <c r="R659" t="s">
        <v>2843</v>
      </c>
      <c r="S659" t="s">
        <v>2856</v>
      </c>
      <c r="T659" t="s">
        <v>2863</v>
      </c>
      <c r="U659" t="s">
        <v>2868</v>
      </c>
      <c r="V659" t="s">
        <v>2174</v>
      </c>
      <c r="W659" t="s">
        <v>2174</v>
      </c>
      <c r="Y659" t="s">
        <v>2876</v>
      </c>
      <c r="AA659" t="s">
        <v>109</v>
      </c>
      <c r="AB659">
        <v>0</v>
      </c>
      <c r="AC659">
        <v>500</v>
      </c>
      <c r="AD659">
        <v>0.6</v>
      </c>
      <c r="AE659" t="s">
        <v>2894</v>
      </c>
      <c r="AF659" t="s">
        <v>2896</v>
      </c>
      <c r="AG659" t="s">
        <v>3533</v>
      </c>
      <c r="AH659" t="s">
        <v>3751</v>
      </c>
      <c r="AI659" t="s">
        <v>4400</v>
      </c>
      <c r="AJ659">
        <v>113</v>
      </c>
      <c r="AK659" t="s">
        <v>4461</v>
      </c>
      <c r="AL659">
        <v>1</v>
      </c>
      <c r="AM659">
        <v>0</v>
      </c>
      <c r="AN659">
        <v>89.45</v>
      </c>
      <c r="AR659" t="s">
        <v>4476</v>
      </c>
      <c r="AS659" t="s">
        <v>4486</v>
      </c>
      <c r="AT659">
        <v>11172</v>
      </c>
      <c r="AX659" t="s">
        <v>4501</v>
      </c>
      <c r="BA659" t="s">
        <v>4559</v>
      </c>
      <c r="BD659" t="s">
        <v>156</v>
      </c>
    </row>
    <row r="660" spans="1:57">
      <c r="A660" s="1">
        <f>HYPERLINK("https://lsnyc.legalserver.org/matter/dynamic-profile/view/1890417","19-1890417")</f>
        <v>0</v>
      </c>
      <c r="B660" t="s">
        <v>64</v>
      </c>
      <c r="C660" t="s">
        <v>93</v>
      </c>
      <c r="D660" t="s">
        <v>101</v>
      </c>
      <c r="F660" t="s">
        <v>755</v>
      </c>
      <c r="G660" t="s">
        <v>972</v>
      </c>
      <c r="H660" t="s">
        <v>1854</v>
      </c>
      <c r="I660" t="s">
        <v>2007</v>
      </c>
      <c r="J660" t="s">
        <v>2169</v>
      </c>
      <c r="K660" t="s">
        <v>2171</v>
      </c>
      <c r="L660">
        <v>10011</v>
      </c>
      <c r="M660" t="s">
        <v>2173</v>
      </c>
      <c r="N660" t="s">
        <v>2173</v>
      </c>
      <c r="O660" t="s">
        <v>2175</v>
      </c>
      <c r="P660" t="s">
        <v>2801</v>
      </c>
      <c r="Q660">
        <v>11</v>
      </c>
      <c r="R660" t="s">
        <v>2844</v>
      </c>
      <c r="S660" t="s">
        <v>2856</v>
      </c>
      <c r="U660" t="s">
        <v>2868</v>
      </c>
      <c r="V660" t="s">
        <v>2174</v>
      </c>
      <c r="W660" t="s">
        <v>2174</v>
      </c>
      <c r="Y660" t="s">
        <v>2875</v>
      </c>
      <c r="Z660" t="s">
        <v>2880</v>
      </c>
      <c r="AA660" t="s">
        <v>101</v>
      </c>
      <c r="AB660">
        <v>0</v>
      </c>
      <c r="AC660">
        <v>1391</v>
      </c>
      <c r="AD660">
        <v>0.5</v>
      </c>
      <c r="AE660" t="s">
        <v>2894</v>
      </c>
      <c r="AG660" t="s">
        <v>3534</v>
      </c>
      <c r="AI660" t="s">
        <v>4401</v>
      </c>
      <c r="AJ660">
        <v>0</v>
      </c>
      <c r="AK660" t="s">
        <v>4457</v>
      </c>
      <c r="AL660">
        <v>1</v>
      </c>
      <c r="AM660">
        <v>0</v>
      </c>
      <c r="AN660">
        <v>120.1</v>
      </c>
      <c r="AQ660" t="s">
        <v>4473</v>
      </c>
      <c r="AR660" t="s">
        <v>4476</v>
      </c>
      <c r="AS660" t="s">
        <v>4486</v>
      </c>
      <c r="AT660">
        <v>15000</v>
      </c>
      <c r="AX660" t="s">
        <v>4502</v>
      </c>
      <c r="BA660" t="s">
        <v>4531</v>
      </c>
      <c r="BD660" t="s">
        <v>101</v>
      </c>
    </row>
    <row r="661" spans="1:57">
      <c r="A661" s="1">
        <f>HYPERLINK("https://lsnyc.legalserver.org/matter/dynamic-profile/view/1897488","19-1897488")</f>
        <v>0</v>
      </c>
      <c r="B661" t="s">
        <v>62</v>
      </c>
      <c r="C661" t="s">
        <v>93</v>
      </c>
      <c r="D661" t="s">
        <v>112</v>
      </c>
      <c r="F661" t="s">
        <v>756</v>
      </c>
      <c r="G661" t="s">
        <v>927</v>
      </c>
      <c r="H661" t="s">
        <v>1855</v>
      </c>
      <c r="I661" t="s">
        <v>2141</v>
      </c>
      <c r="J661" t="s">
        <v>2169</v>
      </c>
      <c r="K661" t="s">
        <v>2171</v>
      </c>
      <c r="L661">
        <v>10011</v>
      </c>
      <c r="M661" t="s">
        <v>2173</v>
      </c>
      <c r="N661" t="s">
        <v>2173</v>
      </c>
      <c r="O661" t="s">
        <v>2175</v>
      </c>
      <c r="P661" t="s">
        <v>2802</v>
      </c>
      <c r="Q661">
        <v>15</v>
      </c>
      <c r="R661" t="s">
        <v>2844</v>
      </c>
      <c r="S661" t="s">
        <v>2856</v>
      </c>
      <c r="U661" t="s">
        <v>2868</v>
      </c>
      <c r="V661" t="s">
        <v>2174</v>
      </c>
      <c r="W661" t="s">
        <v>2174</v>
      </c>
      <c r="Y661" t="s">
        <v>2876</v>
      </c>
      <c r="AA661" t="s">
        <v>112</v>
      </c>
      <c r="AB661">
        <v>0</v>
      </c>
      <c r="AC661">
        <v>1100</v>
      </c>
      <c r="AD661">
        <v>0</v>
      </c>
      <c r="AE661" t="s">
        <v>2894</v>
      </c>
      <c r="AG661" t="s">
        <v>3535</v>
      </c>
      <c r="AH661" t="s">
        <v>3752</v>
      </c>
      <c r="AI661" t="s">
        <v>4402</v>
      </c>
      <c r="AJ661">
        <v>159</v>
      </c>
      <c r="AK661" t="s">
        <v>4458</v>
      </c>
      <c r="AL661">
        <v>1</v>
      </c>
      <c r="AM661">
        <v>0</v>
      </c>
      <c r="AN661">
        <v>0</v>
      </c>
      <c r="AR661" t="s">
        <v>4476</v>
      </c>
      <c r="AS661" t="s">
        <v>4486</v>
      </c>
      <c r="AT661">
        <v>0</v>
      </c>
      <c r="AX661" t="s">
        <v>4501</v>
      </c>
      <c r="BA661" t="s">
        <v>4547</v>
      </c>
      <c r="BE661" t="s">
        <v>4703</v>
      </c>
    </row>
    <row r="662" spans="1:57">
      <c r="A662" s="1">
        <f>HYPERLINK("https://lsnyc.legalserver.org/matter/dynamic-profile/view/1898806","19-1898806")</f>
        <v>0</v>
      </c>
      <c r="B662" t="s">
        <v>67</v>
      </c>
      <c r="C662" t="s">
        <v>92</v>
      </c>
      <c r="D662" t="s">
        <v>109</v>
      </c>
      <c r="E662" t="s">
        <v>208</v>
      </c>
      <c r="F662" t="s">
        <v>757</v>
      </c>
      <c r="G662" t="s">
        <v>1269</v>
      </c>
      <c r="H662" t="s">
        <v>1856</v>
      </c>
      <c r="I662" t="s">
        <v>2034</v>
      </c>
      <c r="J662" t="s">
        <v>2169</v>
      </c>
      <c r="K662" t="s">
        <v>2171</v>
      </c>
      <c r="L662">
        <v>10011</v>
      </c>
      <c r="M662" t="s">
        <v>2173</v>
      </c>
      <c r="N662" t="s">
        <v>2173</v>
      </c>
      <c r="O662" t="s">
        <v>2175</v>
      </c>
      <c r="P662" t="s">
        <v>2803</v>
      </c>
      <c r="Q662">
        <v>26</v>
      </c>
      <c r="R662" t="s">
        <v>2844</v>
      </c>
      <c r="S662" t="s">
        <v>2856</v>
      </c>
      <c r="T662" t="s">
        <v>2863</v>
      </c>
      <c r="U662" t="s">
        <v>2868</v>
      </c>
      <c r="V662" t="s">
        <v>2174</v>
      </c>
      <c r="W662" t="s">
        <v>2174</v>
      </c>
      <c r="Y662" t="s">
        <v>2876</v>
      </c>
      <c r="AA662" t="s">
        <v>109</v>
      </c>
      <c r="AB662">
        <v>0</v>
      </c>
      <c r="AC662">
        <v>1305.1</v>
      </c>
      <c r="AD662">
        <v>2</v>
      </c>
      <c r="AE662" t="s">
        <v>2894</v>
      </c>
      <c r="AF662" t="s">
        <v>2896</v>
      </c>
      <c r="AG662" t="s">
        <v>3536</v>
      </c>
      <c r="AH662" t="s">
        <v>3753</v>
      </c>
      <c r="AI662" t="s">
        <v>4403</v>
      </c>
      <c r="AJ662">
        <v>61</v>
      </c>
      <c r="AK662" t="s">
        <v>4456</v>
      </c>
      <c r="AL662">
        <v>1</v>
      </c>
      <c r="AM662">
        <v>0</v>
      </c>
      <c r="AN662">
        <v>111.26</v>
      </c>
      <c r="AR662" t="s">
        <v>4477</v>
      </c>
      <c r="AS662" t="s">
        <v>4486</v>
      </c>
      <c r="AT662">
        <v>13896</v>
      </c>
      <c r="AX662" t="s">
        <v>4504</v>
      </c>
      <c r="BA662" t="s">
        <v>4534</v>
      </c>
      <c r="BD662" t="s">
        <v>136</v>
      </c>
      <c r="BE662" t="s">
        <v>4704</v>
      </c>
    </row>
    <row r="663" spans="1:57">
      <c r="A663" s="1">
        <f>HYPERLINK("https://lsnyc.legalserver.org/matter/dynamic-profile/view/1900887","19-1900887")</f>
        <v>0</v>
      </c>
      <c r="B663" t="s">
        <v>63</v>
      </c>
      <c r="C663" t="s">
        <v>93</v>
      </c>
      <c r="D663" t="s">
        <v>203</v>
      </c>
      <c r="F663" t="s">
        <v>731</v>
      </c>
      <c r="G663" t="s">
        <v>1270</v>
      </c>
      <c r="H663" t="s">
        <v>1857</v>
      </c>
      <c r="I663" t="s">
        <v>1932</v>
      </c>
      <c r="J663" t="s">
        <v>2169</v>
      </c>
      <c r="K663" t="s">
        <v>2171</v>
      </c>
      <c r="L663">
        <v>10011</v>
      </c>
      <c r="M663" t="s">
        <v>2173</v>
      </c>
      <c r="N663" t="s">
        <v>2172</v>
      </c>
      <c r="O663" t="s">
        <v>2175</v>
      </c>
      <c r="P663" t="s">
        <v>2804</v>
      </c>
      <c r="Q663">
        <v>2</v>
      </c>
      <c r="R663" t="s">
        <v>2844</v>
      </c>
      <c r="S663" t="s">
        <v>2857</v>
      </c>
      <c r="U663" t="s">
        <v>2868</v>
      </c>
      <c r="V663" t="s">
        <v>2174</v>
      </c>
      <c r="W663" t="s">
        <v>2174</v>
      </c>
      <c r="Y663" t="s">
        <v>2875</v>
      </c>
      <c r="AA663" t="s">
        <v>203</v>
      </c>
      <c r="AB663">
        <v>0</v>
      </c>
      <c r="AC663">
        <v>458</v>
      </c>
      <c r="AD663">
        <v>0.5</v>
      </c>
      <c r="AE663" t="s">
        <v>2894</v>
      </c>
      <c r="AG663" t="s">
        <v>3537</v>
      </c>
      <c r="AI663" t="s">
        <v>4404</v>
      </c>
      <c r="AJ663">
        <v>375</v>
      </c>
      <c r="AK663" t="s">
        <v>4459</v>
      </c>
      <c r="AL663">
        <v>3</v>
      </c>
      <c r="AM663">
        <v>1</v>
      </c>
      <c r="AN663">
        <v>57.65</v>
      </c>
      <c r="AR663" t="s">
        <v>2176</v>
      </c>
      <c r="AS663" t="s">
        <v>4486</v>
      </c>
      <c r="AT663">
        <v>14844</v>
      </c>
      <c r="AX663" t="s">
        <v>4501</v>
      </c>
      <c r="BA663" t="s">
        <v>4538</v>
      </c>
      <c r="BD663" t="s">
        <v>104</v>
      </c>
      <c r="BE663" t="s">
        <v>4703</v>
      </c>
    </row>
    <row r="664" spans="1:57">
      <c r="A664" s="1">
        <f>HYPERLINK("https://lsnyc.legalserver.org/matter/dynamic-profile/view/1902424","19-1902424")</f>
        <v>0</v>
      </c>
      <c r="B664" t="s">
        <v>71</v>
      </c>
      <c r="C664" t="s">
        <v>93</v>
      </c>
      <c r="D664" t="s">
        <v>173</v>
      </c>
      <c r="F664" t="s">
        <v>758</v>
      </c>
      <c r="G664" t="s">
        <v>1271</v>
      </c>
      <c r="H664" t="s">
        <v>1858</v>
      </c>
      <c r="I664" t="s">
        <v>2142</v>
      </c>
      <c r="J664" t="s">
        <v>2169</v>
      </c>
      <c r="K664" t="s">
        <v>2171</v>
      </c>
      <c r="L664">
        <v>10011</v>
      </c>
      <c r="M664" t="s">
        <v>2173</v>
      </c>
      <c r="N664" t="s">
        <v>2172</v>
      </c>
      <c r="O664" t="s">
        <v>2175</v>
      </c>
      <c r="P664" t="s">
        <v>2805</v>
      </c>
      <c r="Q664">
        <v>18</v>
      </c>
      <c r="R664" t="s">
        <v>2844</v>
      </c>
      <c r="S664" t="s">
        <v>2857</v>
      </c>
      <c r="U664" t="s">
        <v>2868</v>
      </c>
      <c r="V664" t="s">
        <v>2174</v>
      </c>
      <c r="W664" t="s">
        <v>2173</v>
      </c>
      <c r="Y664" t="s">
        <v>2875</v>
      </c>
      <c r="AA664" t="s">
        <v>173</v>
      </c>
      <c r="AB664">
        <v>0</v>
      </c>
      <c r="AC664">
        <v>591</v>
      </c>
      <c r="AD664">
        <v>14.6</v>
      </c>
      <c r="AE664" t="s">
        <v>2894</v>
      </c>
      <c r="AG664" t="s">
        <v>3538</v>
      </c>
      <c r="AH664" t="s">
        <v>3754</v>
      </c>
      <c r="AI664" t="s">
        <v>4405</v>
      </c>
      <c r="AJ664">
        <v>0</v>
      </c>
      <c r="AK664" t="s">
        <v>4459</v>
      </c>
      <c r="AL664">
        <v>1</v>
      </c>
      <c r="AM664">
        <v>1</v>
      </c>
      <c r="AN664">
        <v>0</v>
      </c>
      <c r="AR664" t="s">
        <v>4476</v>
      </c>
      <c r="AS664" t="s">
        <v>4486</v>
      </c>
      <c r="AT664">
        <v>0</v>
      </c>
      <c r="AX664" t="s">
        <v>4504</v>
      </c>
      <c r="BA664" t="s">
        <v>4547</v>
      </c>
      <c r="BD664" t="s">
        <v>168</v>
      </c>
      <c r="BE664" t="s">
        <v>4704</v>
      </c>
    </row>
    <row r="665" spans="1:57">
      <c r="A665" s="1">
        <f>HYPERLINK("https://lsnyc.legalserver.org/matter/dynamic-profile/view/1910217","19-1910217")</f>
        <v>0</v>
      </c>
      <c r="B665" t="s">
        <v>72</v>
      </c>
      <c r="C665" t="s">
        <v>93</v>
      </c>
      <c r="D665" t="s">
        <v>114</v>
      </c>
      <c r="F665" t="s">
        <v>759</v>
      </c>
      <c r="G665" t="s">
        <v>1272</v>
      </c>
      <c r="H665" t="s">
        <v>1859</v>
      </c>
      <c r="I665" t="s">
        <v>2143</v>
      </c>
      <c r="J665" t="s">
        <v>2169</v>
      </c>
      <c r="K665" t="s">
        <v>2171</v>
      </c>
      <c r="L665">
        <v>10011</v>
      </c>
      <c r="M665" t="s">
        <v>2173</v>
      </c>
      <c r="N665" t="s">
        <v>2172</v>
      </c>
      <c r="O665" t="s">
        <v>2178</v>
      </c>
      <c r="P665" t="s">
        <v>2806</v>
      </c>
      <c r="Q665">
        <v>2</v>
      </c>
      <c r="R665" t="s">
        <v>2844</v>
      </c>
      <c r="S665" t="s">
        <v>2856</v>
      </c>
      <c r="U665" t="s">
        <v>2868</v>
      </c>
      <c r="V665" t="s">
        <v>2174</v>
      </c>
      <c r="W665" t="s">
        <v>2174</v>
      </c>
      <c r="Y665" t="s">
        <v>2875</v>
      </c>
      <c r="AA665" t="s">
        <v>114</v>
      </c>
      <c r="AB665">
        <v>0</v>
      </c>
      <c r="AC665">
        <v>802</v>
      </c>
      <c r="AD665">
        <v>0.75</v>
      </c>
      <c r="AE665" t="s">
        <v>2894</v>
      </c>
      <c r="AG665" t="s">
        <v>3539</v>
      </c>
      <c r="AH665" t="s">
        <v>3755</v>
      </c>
      <c r="AI665" t="s">
        <v>4406</v>
      </c>
      <c r="AJ665">
        <v>0</v>
      </c>
      <c r="AK665" t="s">
        <v>4459</v>
      </c>
      <c r="AL665">
        <v>1</v>
      </c>
      <c r="AM665">
        <v>1</v>
      </c>
      <c r="AN665">
        <v>123</v>
      </c>
      <c r="AR665" t="s">
        <v>4476</v>
      </c>
      <c r="AS665" t="s">
        <v>4486</v>
      </c>
      <c r="AT665">
        <v>20800</v>
      </c>
      <c r="AX665" t="s">
        <v>4501</v>
      </c>
      <c r="BA665" t="s">
        <v>4537</v>
      </c>
      <c r="BD665" t="s">
        <v>114</v>
      </c>
      <c r="BE665" t="s">
        <v>4704</v>
      </c>
    </row>
    <row r="666" spans="1:57">
      <c r="A666" s="1">
        <f>HYPERLINK("https://lsnyc.legalserver.org/matter/dynamic-profile/view/1898807","19-1898807")</f>
        <v>0</v>
      </c>
      <c r="B666" t="s">
        <v>57</v>
      </c>
      <c r="C666" t="s">
        <v>92</v>
      </c>
      <c r="D666" t="s">
        <v>109</v>
      </c>
      <c r="E666" t="s">
        <v>216</v>
      </c>
      <c r="F666" t="s">
        <v>696</v>
      </c>
      <c r="G666" t="s">
        <v>866</v>
      </c>
      <c r="H666" t="s">
        <v>1860</v>
      </c>
      <c r="I666" t="s">
        <v>2144</v>
      </c>
      <c r="J666" t="s">
        <v>2169</v>
      </c>
      <c r="K666" t="s">
        <v>2171</v>
      </c>
      <c r="L666">
        <v>10010</v>
      </c>
      <c r="M666" t="s">
        <v>2173</v>
      </c>
      <c r="N666" t="s">
        <v>2173</v>
      </c>
      <c r="O666" t="s">
        <v>2175</v>
      </c>
      <c r="P666" t="s">
        <v>2807</v>
      </c>
      <c r="Q666">
        <v>14</v>
      </c>
      <c r="R666" t="s">
        <v>2844</v>
      </c>
      <c r="S666" t="s">
        <v>2856</v>
      </c>
      <c r="T666" t="s">
        <v>2863</v>
      </c>
      <c r="U666" t="s">
        <v>2868</v>
      </c>
      <c r="V666" t="s">
        <v>2174</v>
      </c>
      <c r="W666" t="s">
        <v>2174</v>
      </c>
      <c r="Y666" t="s">
        <v>2876</v>
      </c>
      <c r="AA666" t="s">
        <v>109</v>
      </c>
      <c r="AB666">
        <v>0</v>
      </c>
      <c r="AC666">
        <v>1322</v>
      </c>
      <c r="AD666">
        <v>1</v>
      </c>
      <c r="AE666" t="s">
        <v>2894</v>
      </c>
      <c r="AF666" t="s">
        <v>2896</v>
      </c>
      <c r="AG666" t="s">
        <v>3540</v>
      </c>
      <c r="AI666" t="s">
        <v>4407</v>
      </c>
      <c r="AJ666">
        <v>408</v>
      </c>
      <c r="AK666" t="s">
        <v>4456</v>
      </c>
      <c r="AL666">
        <v>3</v>
      </c>
      <c r="AM666">
        <v>0</v>
      </c>
      <c r="AN666">
        <v>164.13</v>
      </c>
      <c r="AR666" t="s">
        <v>4478</v>
      </c>
      <c r="AS666" t="s">
        <v>4486</v>
      </c>
      <c r="AT666">
        <v>35008</v>
      </c>
      <c r="AX666" t="s">
        <v>4501</v>
      </c>
      <c r="BA666" t="s">
        <v>4629</v>
      </c>
      <c r="BD666" t="s">
        <v>109</v>
      </c>
    </row>
    <row r="667" spans="1:57">
      <c r="A667" s="1">
        <f>HYPERLINK("https://lsnyc.legalserver.org/matter/dynamic-profile/view/1890398","19-1890398")</f>
        <v>0</v>
      </c>
      <c r="B667" t="s">
        <v>64</v>
      </c>
      <c r="C667" t="s">
        <v>92</v>
      </c>
      <c r="D667" t="s">
        <v>101</v>
      </c>
      <c r="E667" t="s">
        <v>101</v>
      </c>
      <c r="F667" t="s">
        <v>254</v>
      </c>
      <c r="G667" t="s">
        <v>861</v>
      </c>
      <c r="H667" t="s">
        <v>1861</v>
      </c>
      <c r="I667">
        <v>26</v>
      </c>
      <c r="J667" t="s">
        <v>2169</v>
      </c>
      <c r="K667" t="s">
        <v>2171</v>
      </c>
      <c r="L667">
        <v>10009</v>
      </c>
      <c r="M667" t="s">
        <v>2173</v>
      </c>
      <c r="N667" t="s">
        <v>2173</v>
      </c>
      <c r="O667" t="s">
        <v>2175</v>
      </c>
      <c r="P667" t="s">
        <v>2808</v>
      </c>
      <c r="Q667">
        <v>35</v>
      </c>
      <c r="R667" t="s">
        <v>2843</v>
      </c>
      <c r="S667" t="s">
        <v>2856</v>
      </c>
      <c r="T667" t="s">
        <v>2863</v>
      </c>
      <c r="U667" t="s">
        <v>2868</v>
      </c>
      <c r="V667" t="s">
        <v>2174</v>
      </c>
      <c r="W667" t="s">
        <v>2174</v>
      </c>
      <c r="Y667" t="s">
        <v>2876</v>
      </c>
      <c r="AA667" t="s">
        <v>220</v>
      </c>
      <c r="AB667">
        <v>0</v>
      </c>
      <c r="AC667">
        <v>1133.58</v>
      </c>
      <c r="AD667">
        <v>1</v>
      </c>
      <c r="AE667" t="s">
        <v>2894</v>
      </c>
      <c r="AF667" t="s">
        <v>2896</v>
      </c>
      <c r="AG667" t="s">
        <v>3541</v>
      </c>
      <c r="AH667" t="s">
        <v>3756</v>
      </c>
      <c r="AI667" t="s">
        <v>4408</v>
      </c>
      <c r="AJ667">
        <v>0</v>
      </c>
      <c r="AK667" t="s">
        <v>4458</v>
      </c>
      <c r="AL667">
        <v>1</v>
      </c>
      <c r="AM667">
        <v>0</v>
      </c>
      <c r="AN667">
        <v>0</v>
      </c>
      <c r="AQ667" t="s">
        <v>4473</v>
      </c>
      <c r="AR667" t="s">
        <v>4476</v>
      </c>
      <c r="AS667" t="s">
        <v>4486</v>
      </c>
      <c r="AT667">
        <v>0</v>
      </c>
      <c r="AX667" t="s">
        <v>4501</v>
      </c>
      <c r="BA667" t="s">
        <v>4547</v>
      </c>
      <c r="BD667" t="s">
        <v>101</v>
      </c>
    </row>
    <row r="668" spans="1:57">
      <c r="A668" s="1">
        <f>HYPERLINK("https://lsnyc.legalserver.org/matter/dynamic-profile/view/1892937","19-1892937")</f>
        <v>0</v>
      </c>
      <c r="B668" t="s">
        <v>75</v>
      </c>
      <c r="C668" t="s">
        <v>93</v>
      </c>
      <c r="D668" t="s">
        <v>140</v>
      </c>
      <c r="F668" t="s">
        <v>594</v>
      </c>
      <c r="G668" t="s">
        <v>933</v>
      </c>
      <c r="H668" t="s">
        <v>1862</v>
      </c>
      <c r="I668" t="s">
        <v>2064</v>
      </c>
      <c r="J668" t="s">
        <v>2169</v>
      </c>
      <c r="K668" t="s">
        <v>2171</v>
      </c>
      <c r="L668">
        <v>10009</v>
      </c>
      <c r="M668" t="s">
        <v>2173</v>
      </c>
      <c r="N668" t="s">
        <v>2173</v>
      </c>
      <c r="O668" t="s">
        <v>2175</v>
      </c>
      <c r="P668" t="s">
        <v>2809</v>
      </c>
      <c r="Q668">
        <v>4</v>
      </c>
      <c r="R668" t="s">
        <v>2843</v>
      </c>
      <c r="S668" t="s">
        <v>2857</v>
      </c>
      <c r="U668" t="s">
        <v>2868</v>
      </c>
      <c r="V668" t="s">
        <v>2174</v>
      </c>
      <c r="W668" t="s">
        <v>2174</v>
      </c>
      <c r="Y668" t="s">
        <v>2875</v>
      </c>
      <c r="Z668" t="s">
        <v>2881</v>
      </c>
      <c r="AA668" t="s">
        <v>140</v>
      </c>
      <c r="AB668">
        <v>0</v>
      </c>
      <c r="AC668">
        <v>924</v>
      </c>
      <c r="AD668">
        <v>24.1</v>
      </c>
      <c r="AE668" t="s">
        <v>2894</v>
      </c>
      <c r="AG668" t="s">
        <v>3542</v>
      </c>
      <c r="AH668" t="s">
        <v>3757</v>
      </c>
      <c r="AI668" t="s">
        <v>4409</v>
      </c>
      <c r="AJ668">
        <v>0</v>
      </c>
      <c r="AK668" t="s">
        <v>4459</v>
      </c>
      <c r="AL668">
        <v>1</v>
      </c>
      <c r="AM668">
        <v>2</v>
      </c>
      <c r="AN668">
        <v>85.33</v>
      </c>
      <c r="AQ668" t="s">
        <v>4474</v>
      </c>
      <c r="AR668" t="s">
        <v>2176</v>
      </c>
      <c r="AS668" t="s">
        <v>4486</v>
      </c>
      <c r="AT668">
        <v>18200</v>
      </c>
      <c r="AX668" t="s">
        <v>4501</v>
      </c>
      <c r="BA668" t="s">
        <v>4537</v>
      </c>
      <c r="BD668" t="s">
        <v>4686</v>
      </c>
    </row>
    <row r="669" spans="1:57">
      <c r="A669" s="1">
        <f>HYPERLINK("https://lsnyc.legalserver.org/matter/dynamic-profile/view/1897495","19-1897495")</f>
        <v>0</v>
      </c>
      <c r="B669" t="s">
        <v>64</v>
      </c>
      <c r="C669" t="s">
        <v>93</v>
      </c>
      <c r="D669" t="s">
        <v>112</v>
      </c>
      <c r="F669" t="s">
        <v>525</v>
      </c>
      <c r="G669" t="s">
        <v>1273</v>
      </c>
      <c r="H669" t="s">
        <v>1863</v>
      </c>
      <c r="I669" t="s">
        <v>2145</v>
      </c>
      <c r="J669" t="s">
        <v>2169</v>
      </c>
      <c r="K669" t="s">
        <v>2171</v>
      </c>
      <c r="L669">
        <v>10009</v>
      </c>
      <c r="M669" t="s">
        <v>2173</v>
      </c>
      <c r="N669" t="s">
        <v>2173</v>
      </c>
      <c r="O669" t="s">
        <v>2183</v>
      </c>
      <c r="P669" t="s">
        <v>2810</v>
      </c>
      <c r="Q669">
        <v>30</v>
      </c>
      <c r="R669" t="s">
        <v>2843</v>
      </c>
      <c r="S669" t="s">
        <v>2856</v>
      </c>
      <c r="U669" t="s">
        <v>2868</v>
      </c>
      <c r="V669" t="s">
        <v>2174</v>
      </c>
      <c r="W669" t="s">
        <v>2174</v>
      </c>
      <c r="Y669" t="s">
        <v>2876</v>
      </c>
      <c r="AA669" t="s">
        <v>112</v>
      </c>
      <c r="AB669">
        <v>0</v>
      </c>
      <c r="AC669">
        <v>415</v>
      </c>
      <c r="AD669">
        <v>0</v>
      </c>
      <c r="AE669" t="s">
        <v>2894</v>
      </c>
      <c r="AG669" t="s">
        <v>3543</v>
      </c>
      <c r="AI669" t="s">
        <v>4410</v>
      </c>
      <c r="AJ669">
        <v>0</v>
      </c>
      <c r="AK669" t="s">
        <v>4456</v>
      </c>
      <c r="AL669">
        <v>3</v>
      </c>
      <c r="AM669">
        <v>0</v>
      </c>
      <c r="AN669">
        <v>121.97</v>
      </c>
      <c r="AR669" t="s">
        <v>4476</v>
      </c>
      <c r="AS669" t="s">
        <v>4486</v>
      </c>
      <c r="AT669">
        <v>26016</v>
      </c>
      <c r="AX669" t="s">
        <v>4505</v>
      </c>
      <c r="BA669" t="s">
        <v>4550</v>
      </c>
    </row>
    <row r="670" spans="1:57">
      <c r="A670" s="1">
        <f>HYPERLINK("https://lsnyc.legalserver.org/matter/dynamic-profile/view/1898829","19-1898829")</f>
        <v>0</v>
      </c>
      <c r="B670" t="s">
        <v>57</v>
      </c>
      <c r="C670" t="s">
        <v>93</v>
      </c>
      <c r="D670" t="s">
        <v>109</v>
      </c>
      <c r="F670" t="s">
        <v>333</v>
      </c>
      <c r="G670" t="s">
        <v>1274</v>
      </c>
      <c r="H670" t="s">
        <v>1864</v>
      </c>
      <c r="I670" t="s">
        <v>2091</v>
      </c>
      <c r="J670" t="s">
        <v>2169</v>
      </c>
      <c r="K670" t="s">
        <v>2171</v>
      </c>
      <c r="L670">
        <v>10009</v>
      </c>
      <c r="M670" t="s">
        <v>2173</v>
      </c>
      <c r="N670" t="s">
        <v>2173</v>
      </c>
      <c r="O670" t="s">
        <v>2175</v>
      </c>
      <c r="P670" t="s">
        <v>2811</v>
      </c>
      <c r="Q670">
        <v>3</v>
      </c>
      <c r="R670" t="s">
        <v>2843</v>
      </c>
      <c r="S670" t="s">
        <v>2857</v>
      </c>
      <c r="U670" t="s">
        <v>2868</v>
      </c>
      <c r="V670" t="s">
        <v>2174</v>
      </c>
      <c r="W670" t="s">
        <v>2174</v>
      </c>
      <c r="Y670" t="s">
        <v>2876</v>
      </c>
      <c r="AA670" t="s">
        <v>109</v>
      </c>
      <c r="AB670">
        <v>0</v>
      </c>
      <c r="AC670">
        <v>151</v>
      </c>
      <c r="AD670">
        <v>37.75</v>
      </c>
      <c r="AE670" t="s">
        <v>2894</v>
      </c>
      <c r="AG670" t="s">
        <v>3544</v>
      </c>
      <c r="AH670" t="s">
        <v>3758</v>
      </c>
      <c r="AI670" t="s">
        <v>4411</v>
      </c>
      <c r="AJ670">
        <v>40</v>
      </c>
      <c r="AK670" t="s">
        <v>4456</v>
      </c>
      <c r="AL670">
        <v>1</v>
      </c>
      <c r="AM670">
        <v>0</v>
      </c>
      <c r="AN670">
        <v>74.65000000000001</v>
      </c>
      <c r="AR670" t="s">
        <v>4478</v>
      </c>
      <c r="AS670" t="s">
        <v>4486</v>
      </c>
      <c r="AT670">
        <v>9324</v>
      </c>
      <c r="AX670" t="s">
        <v>4504</v>
      </c>
      <c r="BA670" t="s">
        <v>4548</v>
      </c>
      <c r="BD670" t="s">
        <v>208</v>
      </c>
      <c r="BE670" t="s">
        <v>4704</v>
      </c>
    </row>
    <row r="671" spans="1:57">
      <c r="A671" s="1">
        <f>HYPERLINK("https://lsnyc.legalserver.org/matter/dynamic-profile/view/1909062","19-1909062")</f>
        <v>0</v>
      </c>
      <c r="B671" t="s">
        <v>62</v>
      </c>
      <c r="C671" t="s">
        <v>93</v>
      </c>
      <c r="D671" t="s">
        <v>98</v>
      </c>
      <c r="F671" t="s">
        <v>324</v>
      </c>
      <c r="G671" t="s">
        <v>1275</v>
      </c>
      <c r="H671" t="s">
        <v>1865</v>
      </c>
      <c r="I671" t="s">
        <v>2146</v>
      </c>
      <c r="J671" t="s">
        <v>2169</v>
      </c>
      <c r="K671" t="s">
        <v>2171</v>
      </c>
      <c r="L671">
        <v>10009</v>
      </c>
      <c r="M671" t="s">
        <v>2173</v>
      </c>
      <c r="N671" t="s">
        <v>2172</v>
      </c>
      <c r="O671" t="s">
        <v>2175</v>
      </c>
      <c r="P671" t="s">
        <v>2812</v>
      </c>
      <c r="Q671">
        <v>56</v>
      </c>
      <c r="R671" t="s">
        <v>2843</v>
      </c>
      <c r="S671" t="s">
        <v>2858</v>
      </c>
      <c r="U671" t="s">
        <v>2868</v>
      </c>
      <c r="V671" t="s">
        <v>2174</v>
      </c>
      <c r="W671" t="s">
        <v>2174</v>
      </c>
      <c r="Y671" t="s">
        <v>2876</v>
      </c>
      <c r="Z671" t="s">
        <v>2879</v>
      </c>
      <c r="AA671" t="s">
        <v>98</v>
      </c>
      <c r="AB671">
        <v>0</v>
      </c>
      <c r="AC671">
        <v>450</v>
      </c>
      <c r="AD671">
        <v>0.5</v>
      </c>
      <c r="AE671" t="s">
        <v>2894</v>
      </c>
      <c r="AG671" t="s">
        <v>3545</v>
      </c>
      <c r="AI671" t="s">
        <v>4412</v>
      </c>
      <c r="AJ671">
        <v>16</v>
      </c>
      <c r="AK671" t="s">
        <v>4461</v>
      </c>
      <c r="AL671">
        <v>1</v>
      </c>
      <c r="AM671">
        <v>0</v>
      </c>
      <c r="AN671">
        <v>115.29</v>
      </c>
      <c r="AR671" t="s">
        <v>4478</v>
      </c>
      <c r="AS671" t="s">
        <v>4486</v>
      </c>
      <c r="AT671">
        <v>14400</v>
      </c>
      <c r="AX671" t="s">
        <v>4502</v>
      </c>
      <c r="BA671" t="s">
        <v>4536</v>
      </c>
      <c r="BD671" t="s">
        <v>168</v>
      </c>
      <c r="BE671" t="s">
        <v>4703</v>
      </c>
    </row>
    <row r="672" spans="1:57">
      <c r="A672" s="1">
        <f>HYPERLINK("https://lsnyc.legalserver.org/matter/dynamic-profile/view/1894867","19-1894867")</f>
        <v>0</v>
      </c>
      <c r="B672" t="s">
        <v>57</v>
      </c>
      <c r="C672" t="s">
        <v>92</v>
      </c>
      <c r="D672" t="s">
        <v>94</v>
      </c>
      <c r="E672" t="s">
        <v>216</v>
      </c>
      <c r="F672" t="s">
        <v>346</v>
      </c>
      <c r="G672" t="s">
        <v>926</v>
      </c>
      <c r="H672" t="s">
        <v>1866</v>
      </c>
      <c r="I672" t="s">
        <v>1924</v>
      </c>
      <c r="J672" t="s">
        <v>2169</v>
      </c>
      <c r="K672" t="s">
        <v>2171</v>
      </c>
      <c r="L672">
        <v>10009</v>
      </c>
      <c r="M672" t="s">
        <v>2173</v>
      </c>
      <c r="N672" t="s">
        <v>2172</v>
      </c>
      <c r="Q672">
        <v>27</v>
      </c>
      <c r="R672" t="s">
        <v>2841</v>
      </c>
      <c r="S672" t="s">
        <v>2856</v>
      </c>
      <c r="T672" t="s">
        <v>2863</v>
      </c>
      <c r="U672" t="s">
        <v>2868</v>
      </c>
      <c r="V672" t="s">
        <v>2174</v>
      </c>
      <c r="W672" t="s">
        <v>2174</v>
      </c>
      <c r="Y672" t="s">
        <v>2876</v>
      </c>
      <c r="AA672" t="s">
        <v>94</v>
      </c>
      <c r="AB672">
        <v>0</v>
      </c>
      <c r="AC672">
        <v>986</v>
      </c>
      <c r="AD672">
        <v>0.5</v>
      </c>
      <c r="AE672" t="s">
        <v>2894</v>
      </c>
      <c r="AF672" t="s">
        <v>2896</v>
      </c>
      <c r="AG672" t="s">
        <v>3546</v>
      </c>
      <c r="AJ672">
        <v>30</v>
      </c>
      <c r="AK672" t="s">
        <v>4456</v>
      </c>
      <c r="AL672">
        <v>2</v>
      </c>
      <c r="AM672">
        <v>0</v>
      </c>
      <c r="AN672">
        <v>95.94</v>
      </c>
      <c r="AS672" t="s">
        <v>4486</v>
      </c>
      <c r="AT672">
        <v>16224</v>
      </c>
      <c r="AX672" t="s">
        <v>4499</v>
      </c>
      <c r="BA672" t="s">
        <v>4536</v>
      </c>
      <c r="BD672" t="s">
        <v>212</v>
      </c>
      <c r="BE672" t="s">
        <v>4703</v>
      </c>
    </row>
    <row r="673" spans="1:57">
      <c r="A673" s="1">
        <f>HYPERLINK("https://lsnyc.legalserver.org/matter/dynamic-profile/view/1897650","19-1897650")</f>
        <v>0</v>
      </c>
      <c r="B673" t="s">
        <v>67</v>
      </c>
      <c r="C673" t="s">
        <v>93</v>
      </c>
      <c r="D673" t="s">
        <v>112</v>
      </c>
      <c r="F673" t="s">
        <v>270</v>
      </c>
      <c r="G673" t="s">
        <v>1276</v>
      </c>
      <c r="H673" t="s">
        <v>1867</v>
      </c>
      <c r="I673" t="s">
        <v>1932</v>
      </c>
      <c r="J673" t="s">
        <v>2169</v>
      </c>
      <c r="K673" t="s">
        <v>2171</v>
      </c>
      <c r="L673">
        <v>10009</v>
      </c>
      <c r="M673" t="s">
        <v>2172</v>
      </c>
      <c r="N673" t="s">
        <v>2172</v>
      </c>
      <c r="Q673">
        <v>17</v>
      </c>
      <c r="R673" t="s">
        <v>2841</v>
      </c>
      <c r="U673" t="s">
        <v>2868</v>
      </c>
      <c r="V673" t="s">
        <v>2174</v>
      </c>
      <c r="Y673" t="s">
        <v>2875</v>
      </c>
      <c r="AB673">
        <v>0</v>
      </c>
      <c r="AC673">
        <v>0</v>
      </c>
      <c r="AD673">
        <v>0</v>
      </c>
      <c r="AE673" t="s">
        <v>2894</v>
      </c>
      <c r="AG673" t="s">
        <v>3547</v>
      </c>
      <c r="AI673" t="s">
        <v>4413</v>
      </c>
      <c r="AJ673">
        <v>0</v>
      </c>
      <c r="AL673">
        <v>3</v>
      </c>
      <c r="AM673">
        <v>1</v>
      </c>
      <c r="AN673">
        <v>71.86</v>
      </c>
      <c r="AS673" t="s">
        <v>4487</v>
      </c>
      <c r="AT673">
        <v>18504</v>
      </c>
      <c r="AX673" t="s">
        <v>4499</v>
      </c>
      <c r="BA673" t="s">
        <v>4538</v>
      </c>
    </row>
    <row r="674" spans="1:57">
      <c r="A674" s="1">
        <f>HYPERLINK("https://lsnyc.legalserver.org/matter/dynamic-profile/view/1911801","19-1911801")</f>
        <v>0</v>
      </c>
      <c r="B674" t="s">
        <v>76</v>
      </c>
      <c r="C674" t="s">
        <v>93</v>
      </c>
      <c r="D674" t="s">
        <v>117</v>
      </c>
      <c r="F674" t="s">
        <v>596</v>
      </c>
      <c r="G674" t="s">
        <v>809</v>
      </c>
      <c r="H674" t="s">
        <v>1868</v>
      </c>
      <c r="I674" t="s">
        <v>1943</v>
      </c>
      <c r="J674" t="s">
        <v>2169</v>
      </c>
      <c r="K674" t="s">
        <v>2171</v>
      </c>
      <c r="L674">
        <v>10009</v>
      </c>
      <c r="M674" t="s">
        <v>2173</v>
      </c>
      <c r="N674" t="s">
        <v>2172</v>
      </c>
      <c r="O674" t="s">
        <v>2178</v>
      </c>
      <c r="Q674">
        <v>19</v>
      </c>
      <c r="R674" t="s">
        <v>2841</v>
      </c>
      <c r="S674" t="s">
        <v>2858</v>
      </c>
      <c r="U674" t="s">
        <v>2868</v>
      </c>
      <c r="V674" t="s">
        <v>2174</v>
      </c>
      <c r="W674" t="s">
        <v>2174</v>
      </c>
      <c r="Y674" t="s">
        <v>2876</v>
      </c>
      <c r="AA674" t="s">
        <v>117</v>
      </c>
      <c r="AB674">
        <v>0</v>
      </c>
      <c r="AC674">
        <v>1287.51</v>
      </c>
      <c r="AD674">
        <v>0</v>
      </c>
      <c r="AE674" t="s">
        <v>2894</v>
      </c>
      <c r="AG674" t="s">
        <v>3548</v>
      </c>
      <c r="AI674" t="s">
        <v>4414</v>
      </c>
      <c r="AJ674">
        <v>0</v>
      </c>
      <c r="AK674" t="s">
        <v>4458</v>
      </c>
      <c r="AL674">
        <v>1</v>
      </c>
      <c r="AM674">
        <v>0</v>
      </c>
      <c r="AN674">
        <v>218.57</v>
      </c>
      <c r="AS674" t="s">
        <v>4486</v>
      </c>
      <c r="AT674">
        <v>27300</v>
      </c>
      <c r="AX674" t="s">
        <v>4500</v>
      </c>
      <c r="BA674" t="s">
        <v>4546</v>
      </c>
    </row>
    <row r="675" spans="1:57">
      <c r="A675" s="1">
        <f>HYPERLINK("https://lsnyc.legalserver.org/matter/dynamic-profile/view/1888459","19-1888459")</f>
        <v>0</v>
      </c>
      <c r="B675" t="s">
        <v>66</v>
      </c>
      <c r="C675" t="s">
        <v>92</v>
      </c>
      <c r="D675" t="s">
        <v>103</v>
      </c>
      <c r="E675" t="s">
        <v>217</v>
      </c>
      <c r="F675" t="s">
        <v>760</v>
      </c>
      <c r="G675" t="s">
        <v>1277</v>
      </c>
      <c r="H675" t="s">
        <v>1869</v>
      </c>
      <c r="I675">
        <v>28</v>
      </c>
      <c r="J675" t="s">
        <v>2169</v>
      </c>
      <c r="K675" t="s">
        <v>2171</v>
      </c>
      <c r="L675">
        <v>10009</v>
      </c>
      <c r="M675" t="s">
        <v>2173</v>
      </c>
      <c r="N675" t="s">
        <v>2173</v>
      </c>
      <c r="O675" t="s">
        <v>2175</v>
      </c>
      <c r="P675" t="s">
        <v>2813</v>
      </c>
      <c r="Q675">
        <v>53</v>
      </c>
      <c r="R675" t="s">
        <v>2844</v>
      </c>
      <c r="S675" t="s">
        <v>2856</v>
      </c>
      <c r="T675" t="s">
        <v>2863</v>
      </c>
      <c r="U675" t="s">
        <v>2868</v>
      </c>
      <c r="V675" t="s">
        <v>2174</v>
      </c>
      <c r="W675" t="s">
        <v>2174</v>
      </c>
      <c r="Y675" t="s">
        <v>2876</v>
      </c>
      <c r="AA675" t="s">
        <v>103</v>
      </c>
      <c r="AB675">
        <v>0</v>
      </c>
      <c r="AC675">
        <v>314.72</v>
      </c>
      <c r="AD675">
        <v>0.5</v>
      </c>
      <c r="AE675" t="s">
        <v>2894</v>
      </c>
      <c r="AF675" t="s">
        <v>2896</v>
      </c>
      <c r="AG675" t="s">
        <v>3549</v>
      </c>
      <c r="AH675" t="s">
        <v>3759</v>
      </c>
      <c r="AI675" t="s">
        <v>4415</v>
      </c>
      <c r="AJ675">
        <v>0</v>
      </c>
      <c r="AK675" t="s">
        <v>4461</v>
      </c>
      <c r="AL675">
        <v>2</v>
      </c>
      <c r="AM675">
        <v>0</v>
      </c>
      <c r="AN675">
        <v>0</v>
      </c>
      <c r="AQ675" t="s">
        <v>4473</v>
      </c>
      <c r="AR675" t="s">
        <v>4476</v>
      </c>
      <c r="AS675" t="s">
        <v>4486</v>
      </c>
      <c r="AT675">
        <v>0</v>
      </c>
      <c r="AX675" t="s">
        <v>4501</v>
      </c>
      <c r="BA675" t="s">
        <v>4547</v>
      </c>
      <c r="BD675" t="s">
        <v>4701</v>
      </c>
      <c r="BE675" t="s">
        <v>4704</v>
      </c>
    </row>
    <row r="676" spans="1:57">
      <c r="A676" s="1">
        <f>HYPERLINK("https://lsnyc.legalserver.org/matter/dynamic-profile/view/1890464","19-1890464")</f>
        <v>0</v>
      </c>
      <c r="B676" t="s">
        <v>71</v>
      </c>
      <c r="C676" t="s">
        <v>92</v>
      </c>
      <c r="D676" t="s">
        <v>101</v>
      </c>
      <c r="E676" t="s">
        <v>236</v>
      </c>
      <c r="F676" t="s">
        <v>761</v>
      </c>
      <c r="G676" t="s">
        <v>1278</v>
      </c>
      <c r="H676" t="s">
        <v>1863</v>
      </c>
      <c r="I676" t="s">
        <v>2147</v>
      </c>
      <c r="J676" t="s">
        <v>2169</v>
      </c>
      <c r="K676" t="s">
        <v>2171</v>
      </c>
      <c r="L676">
        <v>10009</v>
      </c>
      <c r="M676" t="s">
        <v>2173</v>
      </c>
      <c r="N676" t="s">
        <v>2173</v>
      </c>
      <c r="O676" t="s">
        <v>2175</v>
      </c>
      <c r="P676" t="s">
        <v>2814</v>
      </c>
      <c r="Q676">
        <v>14</v>
      </c>
      <c r="R676" t="s">
        <v>2844</v>
      </c>
      <c r="S676" t="s">
        <v>2856</v>
      </c>
      <c r="T676" t="s">
        <v>2863</v>
      </c>
      <c r="U676" t="s">
        <v>2868</v>
      </c>
      <c r="V676" t="s">
        <v>2174</v>
      </c>
      <c r="W676" t="s">
        <v>2174</v>
      </c>
      <c r="Y676" t="s">
        <v>2875</v>
      </c>
      <c r="AA676" t="s">
        <v>220</v>
      </c>
      <c r="AB676">
        <v>0</v>
      </c>
      <c r="AC676">
        <v>736</v>
      </c>
      <c r="AD676">
        <v>0.25</v>
      </c>
      <c r="AE676" t="s">
        <v>2894</v>
      </c>
      <c r="AF676" t="s">
        <v>2896</v>
      </c>
      <c r="AG676" t="s">
        <v>3550</v>
      </c>
      <c r="AH676" t="s">
        <v>3760</v>
      </c>
      <c r="AI676" t="s">
        <v>4416</v>
      </c>
      <c r="AJ676">
        <v>0</v>
      </c>
      <c r="AK676" t="s">
        <v>4459</v>
      </c>
      <c r="AL676">
        <v>2</v>
      </c>
      <c r="AM676">
        <v>0</v>
      </c>
      <c r="AN676">
        <v>61.38</v>
      </c>
      <c r="AQ676" t="s">
        <v>4473</v>
      </c>
      <c r="AR676" t="s">
        <v>4476</v>
      </c>
      <c r="AS676" t="s">
        <v>2176</v>
      </c>
      <c r="AT676">
        <v>10380</v>
      </c>
      <c r="AX676" t="s">
        <v>4501</v>
      </c>
      <c r="BA676" t="s">
        <v>4534</v>
      </c>
      <c r="BD676" t="s">
        <v>206</v>
      </c>
    </row>
    <row r="677" spans="1:57">
      <c r="A677" s="1">
        <f>HYPERLINK("https://lsnyc.legalserver.org/matter/dynamic-profile/view/1894344","19-1894344")</f>
        <v>0</v>
      </c>
      <c r="B677" t="s">
        <v>61</v>
      </c>
      <c r="C677" t="s">
        <v>92</v>
      </c>
      <c r="D677" t="s">
        <v>94</v>
      </c>
      <c r="E677" t="s">
        <v>203</v>
      </c>
      <c r="F677" t="s">
        <v>762</v>
      </c>
      <c r="G677" t="s">
        <v>1279</v>
      </c>
      <c r="H677" t="s">
        <v>1870</v>
      </c>
      <c r="I677" t="s">
        <v>2148</v>
      </c>
      <c r="J677" t="s">
        <v>2169</v>
      </c>
      <c r="K677" t="s">
        <v>2171</v>
      </c>
      <c r="L677">
        <v>10009</v>
      </c>
      <c r="M677" t="s">
        <v>2173</v>
      </c>
      <c r="N677" t="s">
        <v>2173</v>
      </c>
      <c r="O677" t="s">
        <v>2175</v>
      </c>
      <c r="P677" t="s">
        <v>2815</v>
      </c>
      <c r="Q677">
        <v>11</v>
      </c>
      <c r="R677" t="s">
        <v>2844</v>
      </c>
      <c r="S677" t="s">
        <v>2857</v>
      </c>
      <c r="T677" t="s">
        <v>2864</v>
      </c>
      <c r="U677" t="s">
        <v>2868</v>
      </c>
      <c r="V677" t="s">
        <v>2174</v>
      </c>
      <c r="W677" t="s">
        <v>2174</v>
      </c>
      <c r="Y677" t="s">
        <v>2876</v>
      </c>
      <c r="AA677" t="s">
        <v>94</v>
      </c>
      <c r="AB677">
        <v>0</v>
      </c>
      <c r="AC677">
        <v>122</v>
      </c>
      <c r="AD677">
        <v>11.8</v>
      </c>
      <c r="AE677" t="s">
        <v>2894</v>
      </c>
      <c r="AF677" t="s">
        <v>2898</v>
      </c>
      <c r="AG677" t="s">
        <v>3551</v>
      </c>
      <c r="AI677" t="s">
        <v>4417</v>
      </c>
      <c r="AJ677">
        <v>0</v>
      </c>
      <c r="AK677" t="s">
        <v>4466</v>
      </c>
      <c r="AL677">
        <v>1</v>
      </c>
      <c r="AM677">
        <v>0</v>
      </c>
      <c r="AN677">
        <v>83.59</v>
      </c>
      <c r="AQ677" t="s">
        <v>4473</v>
      </c>
      <c r="AR677" t="s">
        <v>4478</v>
      </c>
      <c r="AS677" t="s">
        <v>4486</v>
      </c>
      <c r="AT677">
        <v>10440</v>
      </c>
      <c r="AX677" t="s">
        <v>4504</v>
      </c>
      <c r="AY677" t="s">
        <v>4516</v>
      </c>
      <c r="AZ677" t="s">
        <v>4519</v>
      </c>
      <c r="BA677" t="s">
        <v>4548</v>
      </c>
      <c r="BB677" t="s">
        <v>4632</v>
      </c>
      <c r="BC677" t="s">
        <v>4669</v>
      </c>
      <c r="BD677" t="s">
        <v>121</v>
      </c>
    </row>
    <row r="678" spans="1:57">
      <c r="A678" s="1">
        <f>HYPERLINK("https://lsnyc.legalserver.org/matter/dynamic-profile/view/1902478","19-1902478")</f>
        <v>0</v>
      </c>
      <c r="B678" t="s">
        <v>64</v>
      </c>
      <c r="C678" t="s">
        <v>92</v>
      </c>
      <c r="D678" t="s">
        <v>173</v>
      </c>
      <c r="E678" t="s">
        <v>214</v>
      </c>
      <c r="F678" t="s">
        <v>763</v>
      </c>
      <c r="G678" t="s">
        <v>808</v>
      </c>
      <c r="H678" t="s">
        <v>1871</v>
      </c>
      <c r="I678" t="s">
        <v>2099</v>
      </c>
      <c r="J678" t="s">
        <v>2169</v>
      </c>
      <c r="K678" t="s">
        <v>2171</v>
      </c>
      <c r="L678">
        <v>10009</v>
      </c>
      <c r="M678" t="s">
        <v>2173</v>
      </c>
      <c r="N678" t="s">
        <v>2172</v>
      </c>
      <c r="O678" t="s">
        <v>2175</v>
      </c>
      <c r="P678" t="s">
        <v>2816</v>
      </c>
      <c r="Q678">
        <v>30</v>
      </c>
      <c r="R678" t="s">
        <v>2844</v>
      </c>
      <c r="S678" t="s">
        <v>2856</v>
      </c>
      <c r="T678" t="s">
        <v>2863</v>
      </c>
      <c r="U678" t="s">
        <v>2868</v>
      </c>
      <c r="V678" t="s">
        <v>2174</v>
      </c>
      <c r="W678" t="s">
        <v>2174</v>
      </c>
      <c r="Y678" t="s">
        <v>2875</v>
      </c>
      <c r="Z678" t="s">
        <v>2884</v>
      </c>
      <c r="AA678" t="s">
        <v>173</v>
      </c>
      <c r="AB678">
        <v>0</v>
      </c>
      <c r="AC678">
        <v>400</v>
      </c>
      <c r="AD678">
        <v>1</v>
      </c>
      <c r="AE678" t="s">
        <v>2894</v>
      </c>
      <c r="AF678" t="s">
        <v>2896</v>
      </c>
      <c r="AG678" t="s">
        <v>3552</v>
      </c>
      <c r="AH678" t="s">
        <v>3761</v>
      </c>
      <c r="AI678" t="s">
        <v>4418</v>
      </c>
      <c r="AJ678">
        <v>461</v>
      </c>
      <c r="AK678" t="s">
        <v>4459</v>
      </c>
      <c r="AL678">
        <v>1</v>
      </c>
      <c r="AM678">
        <v>1</v>
      </c>
      <c r="AN678">
        <v>70.12</v>
      </c>
      <c r="AR678" t="s">
        <v>2176</v>
      </c>
      <c r="AS678" t="s">
        <v>4486</v>
      </c>
      <c r="AT678">
        <v>11858</v>
      </c>
      <c r="AX678" t="s">
        <v>4504</v>
      </c>
      <c r="BA678" t="s">
        <v>4630</v>
      </c>
      <c r="BD678" t="s">
        <v>173</v>
      </c>
      <c r="BE678" t="s">
        <v>4704</v>
      </c>
    </row>
    <row r="679" spans="1:57">
      <c r="A679" s="1">
        <f>HYPERLINK("https://lsnyc.legalserver.org/matter/dynamic-profile/view/1904544","19-1904544")</f>
        <v>0</v>
      </c>
      <c r="B679" t="s">
        <v>71</v>
      </c>
      <c r="C679" t="s">
        <v>93</v>
      </c>
      <c r="D679" t="s">
        <v>204</v>
      </c>
      <c r="F679" t="s">
        <v>570</v>
      </c>
      <c r="G679" t="s">
        <v>933</v>
      </c>
      <c r="H679" t="s">
        <v>1872</v>
      </c>
      <c r="I679" t="s">
        <v>1944</v>
      </c>
      <c r="J679" t="s">
        <v>2169</v>
      </c>
      <c r="K679" t="s">
        <v>2171</v>
      </c>
      <c r="L679">
        <v>10009</v>
      </c>
      <c r="M679" t="s">
        <v>2173</v>
      </c>
      <c r="N679" t="s">
        <v>2172</v>
      </c>
      <c r="O679" t="s">
        <v>2181</v>
      </c>
      <c r="P679" t="s">
        <v>2817</v>
      </c>
      <c r="Q679">
        <v>0</v>
      </c>
      <c r="R679" t="s">
        <v>2844</v>
      </c>
      <c r="S679" t="s">
        <v>2857</v>
      </c>
      <c r="U679" t="s">
        <v>2868</v>
      </c>
      <c r="V679" t="s">
        <v>2174</v>
      </c>
      <c r="W679" t="s">
        <v>2174</v>
      </c>
      <c r="Y679" t="s">
        <v>2875</v>
      </c>
      <c r="Z679" t="s">
        <v>2879</v>
      </c>
      <c r="AA679" t="s">
        <v>2890</v>
      </c>
      <c r="AB679">
        <v>0</v>
      </c>
      <c r="AC679">
        <v>0</v>
      </c>
      <c r="AD679">
        <v>4.25</v>
      </c>
      <c r="AE679" t="s">
        <v>2894</v>
      </c>
      <c r="AG679" t="s">
        <v>3553</v>
      </c>
      <c r="AI679" t="s">
        <v>4419</v>
      </c>
      <c r="AJ679">
        <v>590</v>
      </c>
      <c r="AK679" t="s">
        <v>4459</v>
      </c>
      <c r="AL679">
        <v>1</v>
      </c>
      <c r="AM679">
        <v>0</v>
      </c>
      <c r="AN679">
        <v>224.18</v>
      </c>
      <c r="AO679" t="s">
        <v>4470</v>
      </c>
      <c r="AP679" t="s">
        <v>4472</v>
      </c>
      <c r="AR679" t="s">
        <v>4476</v>
      </c>
      <c r="AS679" t="s">
        <v>4486</v>
      </c>
      <c r="AT679">
        <v>28000</v>
      </c>
      <c r="AX679" t="s">
        <v>4504</v>
      </c>
      <c r="BA679" t="s">
        <v>4546</v>
      </c>
      <c r="BD679" t="s">
        <v>4674</v>
      </c>
      <c r="BE679" t="s">
        <v>4703</v>
      </c>
    </row>
    <row r="680" spans="1:57">
      <c r="A680" s="1">
        <f>HYPERLINK("https://lsnyc.legalserver.org/matter/dynamic-profile/view/1907032","19-1907032")</f>
        <v>0</v>
      </c>
      <c r="B680" t="s">
        <v>64</v>
      </c>
      <c r="C680" t="s">
        <v>92</v>
      </c>
      <c r="D680" t="s">
        <v>128</v>
      </c>
      <c r="E680" t="s">
        <v>217</v>
      </c>
      <c r="F680" t="s">
        <v>764</v>
      </c>
      <c r="G680" t="s">
        <v>1121</v>
      </c>
      <c r="H680" t="s">
        <v>1873</v>
      </c>
      <c r="I680" t="s">
        <v>1951</v>
      </c>
      <c r="J680" t="s">
        <v>2169</v>
      </c>
      <c r="K680" t="s">
        <v>2171</v>
      </c>
      <c r="L680">
        <v>10009</v>
      </c>
      <c r="M680" t="s">
        <v>2173</v>
      </c>
      <c r="N680" t="s">
        <v>2172</v>
      </c>
      <c r="O680" t="s">
        <v>2175</v>
      </c>
      <c r="P680" t="s">
        <v>2818</v>
      </c>
      <c r="Q680">
        <v>1</v>
      </c>
      <c r="R680" t="s">
        <v>2844</v>
      </c>
      <c r="S680" t="s">
        <v>2856</v>
      </c>
      <c r="T680" t="s">
        <v>2863</v>
      </c>
      <c r="U680" t="s">
        <v>2868</v>
      </c>
      <c r="V680" t="s">
        <v>2174</v>
      </c>
      <c r="W680" t="s">
        <v>2174</v>
      </c>
      <c r="Y680" t="s">
        <v>2875</v>
      </c>
      <c r="Z680" t="s">
        <v>2879</v>
      </c>
      <c r="AA680" t="s">
        <v>128</v>
      </c>
      <c r="AB680">
        <v>0</v>
      </c>
      <c r="AC680">
        <v>342</v>
      </c>
      <c r="AD680">
        <v>0.1</v>
      </c>
      <c r="AE680" t="s">
        <v>2894</v>
      </c>
      <c r="AF680" t="s">
        <v>2896</v>
      </c>
      <c r="AG680" t="s">
        <v>3554</v>
      </c>
      <c r="AH680" t="s">
        <v>3762</v>
      </c>
      <c r="AI680" t="s">
        <v>4420</v>
      </c>
      <c r="AJ680">
        <v>33</v>
      </c>
      <c r="AK680" t="s">
        <v>4457</v>
      </c>
      <c r="AL680">
        <v>1</v>
      </c>
      <c r="AM680">
        <v>2</v>
      </c>
      <c r="AN680">
        <v>19.14</v>
      </c>
      <c r="AR680" t="s">
        <v>4476</v>
      </c>
      <c r="AS680" t="s">
        <v>4486</v>
      </c>
      <c r="AT680">
        <v>4082</v>
      </c>
      <c r="AX680" t="s">
        <v>4502</v>
      </c>
      <c r="BA680" t="s">
        <v>4535</v>
      </c>
      <c r="BD680" t="s">
        <v>217</v>
      </c>
      <c r="BE680" t="s">
        <v>4704</v>
      </c>
    </row>
    <row r="681" spans="1:57">
      <c r="A681" s="1">
        <f>HYPERLINK("https://lsnyc.legalserver.org/matter/dynamic-profile/view/1908041","19-1908041")</f>
        <v>0</v>
      </c>
      <c r="B681" t="s">
        <v>64</v>
      </c>
      <c r="C681" t="s">
        <v>93</v>
      </c>
      <c r="D681" t="s">
        <v>115</v>
      </c>
      <c r="F681" t="s">
        <v>470</v>
      </c>
      <c r="G681" t="s">
        <v>1280</v>
      </c>
      <c r="H681" t="s">
        <v>1874</v>
      </c>
      <c r="I681">
        <v>6</v>
      </c>
      <c r="J681" t="s">
        <v>2169</v>
      </c>
      <c r="K681" t="s">
        <v>2171</v>
      </c>
      <c r="L681">
        <v>10009</v>
      </c>
      <c r="M681" t="s">
        <v>2173</v>
      </c>
      <c r="N681" t="s">
        <v>2172</v>
      </c>
      <c r="O681" t="s">
        <v>2175</v>
      </c>
      <c r="P681" t="s">
        <v>2819</v>
      </c>
      <c r="Q681">
        <v>30</v>
      </c>
      <c r="R681" t="s">
        <v>2844</v>
      </c>
      <c r="S681" t="s">
        <v>2856</v>
      </c>
      <c r="U681" t="s">
        <v>2868</v>
      </c>
      <c r="V681" t="s">
        <v>2174</v>
      </c>
      <c r="W681" t="s">
        <v>2174</v>
      </c>
      <c r="Y681" t="s">
        <v>2876</v>
      </c>
      <c r="Z681" t="s">
        <v>2880</v>
      </c>
      <c r="AB681">
        <v>0</v>
      </c>
      <c r="AC681">
        <v>0</v>
      </c>
      <c r="AD681">
        <v>1</v>
      </c>
      <c r="AE681" t="s">
        <v>2894</v>
      </c>
      <c r="AG681" t="s">
        <v>3555</v>
      </c>
      <c r="AI681" t="s">
        <v>4421</v>
      </c>
      <c r="AJ681">
        <v>19</v>
      </c>
      <c r="AK681" t="s">
        <v>4464</v>
      </c>
      <c r="AL681">
        <v>3</v>
      </c>
      <c r="AM681">
        <v>0</v>
      </c>
      <c r="AN681">
        <v>129.92</v>
      </c>
      <c r="AR681" t="s">
        <v>4476</v>
      </c>
      <c r="AS681" t="s">
        <v>4486</v>
      </c>
      <c r="AT681">
        <v>27711</v>
      </c>
      <c r="AX681" t="s">
        <v>4504</v>
      </c>
      <c r="BA681" t="s">
        <v>4546</v>
      </c>
      <c r="BD681" t="s">
        <v>115</v>
      </c>
      <c r="BE681" t="s">
        <v>4703</v>
      </c>
    </row>
    <row r="682" spans="1:57">
      <c r="A682" s="1">
        <f>HYPERLINK("https://lsnyc.legalserver.org/matter/dynamic-profile/view/1909020","19-1909020")</f>
        <v>0</v>
      </c>
      <c r="B682" t="s">
        <v>89</v>
      </c>
      <c r="C682" t="s">
        <v>93</v>
      </c>
      <c r="D682" t="s">
        <v>98</v>
      </c>
      <c r="F682" t="s">
        <v>355</v>
      </c>
      <c r="G682" t="s">
        <v>1281</v>
      </c>
      <c r="H682" t="s">
        <v>1875</v>
      </c>
      <c r="I682" t="s">
        <v>2149</v>
      </c>
      <c r="J682" t="s">
        <v>2169</v>
      </c>
      <c r="K682" t="s">
        <v>2171</v>
      </c>
      <c r="L682">
        <v>10009</v>
      </c>
      <c r="M682" t="s">
        <v>2172</v>
      </c>
      <c r="N682" t="s">
        <v>2172</v>
      </c>
      <c r="O682" t="s">
        <v>2176</v>
      </c>
      <c r="Q682">
        <v>10</v>
      </c>
      <c r="U682" t="s">
        <v>2869</v>
      </c>
      <c r="V682" t="s">
        <v>2174</v>
      </c>
      <c r="Y682" t="s">
        <v>2875</v>
      </c>
      <c r="AB682">
        <v>0</v>
      </c>
      <c r="AC682">
        <v>0</v>
      </c>
      <c r="AD682">
        <v>2.25</v>
      </c>
      <c r="AE682" t="s">
        <v>2894</v>
      </c>
      <c r="AG682" t="s">
        <v>3556</v>
      </c>
      <c r="AI682" t="s">
        <v>4422</v>
      </c>
      <c r="AJ682">
        <v>0</v>
      </c>
      <c r="AK682" t="s">
        <v>4459</v>
      </c>
      <c r="AL682">
        <v>2</v>
      </c>
      <c r="AM682">
        <v>3</v>
      </c>
      <c r="AN682">
        <v>9.94</v>
      </c>
      <c r="AS682" t="s">
        <v>4486</v>
      </c>
      <c r="AT682">
        <v>3000</v>
      </c>
      <c r="AX682" t="s">
        <v>4507</v>
      </c>
      <c r="BA682" t="s">
        <v>4589</v>
      </c>
      <c r="BD682" t="s">
        <v>4673</v>
      </c>
      <c r="BE682" t="s">
        <v>4703</v>
      </c>
    </row>
    <row r="683" spans="1:57">
      <c r="A683" s="1">
        <f>HYPERLINK("https://lsnyc.legalserver.org/matter/dynamic-profile/view/1911873","19-1911873")</f>
        <v>0</v>
      </c>
      <c r="B683" t="s">
        <v>61</v>
      </c>
      <c r="C683" t="s">
        <v>93</v>
      </c>
      <c r="D683" t="s">
        <v>117</v>
      </c>
      <c r="F683" t="s">
        <v>765</v>
      </c>
      <c r="G683" t="s">
        <v>1282</v>
      </c>
      <c r="H683" t="s">
        <v>1876</v>
      </c>
      <c r="I683" t="s">
        <v>2150</v>
      </c>
      <c r="J683" t="s">
        <v>2169</v>
      </c>
      <c r="K683" t="s">
        <v>2171</v>
      </c>
      <c r="L683">
        <v>10007</v>
      </c>
      <c r="M683" t="s">
        <v>2172</v>
      </c>
      <c r="N683" t="s">
        <v>2172</v>
      </c>
      <c r="O683" t="s">
        <v>2177</v>
      </c>
      <c r="Q683">
        <v>16</v>
      </c>
      <c r="S683" t="s">
        <v>2858</v>
      </c>
      <c r="U683" t="s">
        <v>2868</v>
      </c>
      <c r="V683" t="s">
        <v>2174</v>
      </c>
      <c r="W683" t="s">
        <v>2174</v>
      </c>
      <c r="Y683" t="s">
        <v>2876</v>
      </c>
      <c r="AB683">
        <v>0</v>
      </c>
      <c r="AC683">
        <v>0</v>
      </c>
      <c r="AD683">
        <v>0</v>
      </c>
      <c r="AE683" t="s">
        <v>2894</v>
      </c>
      <c r="AG683" t="s">
        <v>3557</v>
      </c>
      <c r="AH683" t="s">
        <v>3763</v>
      </c>
      <c r="AI683" t="s">
        <v>4423</v>
      </c>
      <c r="AJ683">
        <v>0</v>
      </c>
      <c r="AL683">
        <v>1</v>
      </c>
      <c r="AM683">
        <v>0</v>
      </c>
      <c r="AN683">
        <v>11.53</v>
      </c>
      <c r="AS683" t="s">
        <v>4486</v>
      </c>
      <c r="AT683">
        <v>1440</v>
      </c>
      <c r="AX683" t="s">
        <v>4504</v>
      </c>
      <c r="BA683" t="s">
        <v>4551</v>
      </c>
    </row>
    <row r="684" spans="1:57">
      <c r="A684" s="1">
        <f>HYPERLINK("https://lsnyc.legalserver.org/matter/dynamic-profile/view/1887608","19-1887608")</f>
        <v>0</v>
      </c>
      <c r="B684" t="s">
        <v>71</v>
      </c>
      <c r="C684" t="s">
        <v>93</v>
      </c>
      <c r="D684" t="s">
        <v>205</v>
      </c>
      <c r="F684" t="s">
        <v>766</v>
      </c>
      <c r="G684" t="s">
        <v>1283</v>
      </c>
      <c r="H684" t="s">
        <v>1877</v>
      </c>
      <c r="I684" t="s">
        <v>2151</v>
      </c>
      <c r="J684" t="s">
        <v>2169</v>
      </c>
      <c r="K684" t="s">
        <v>2171</v>
      </c>
      <c r="L684">
        <v>10003</v>
      </c>
      <c r="M684" t="s">
        <v>2173</v>
      </c>
      <c r="N684" t="s">
        <v>2173</v>
      </c>
      <c r="P684" t="s">
        <v>2820</v>
      </c>
      <c r="Q684">
        <v>30</v>
      </c>
      <c r="R684" t="s">
        <v>2843</v>
      </c>
      <c r="S684" t="s">
        <v>2857</v>
      </c>
      <c r="U684" t="s">
        <v>2868</v>
      </c>
      <c r="V684" t="s">
        <v>2174</v>
      </c>
      <c r="W684" t="s">
        <v>2174</v>
      </c>
      <c r="Y684" t="s">
        <v>2876</v>
      </c>
      <c r="AA684" t="s">
        <v>2893</v>
      </c>
      <c r="AB684">
        <v>0</v>
      </c>
      <c r="AC684">
        <v>1400</v>
      </c>
      <c r="AD684">
        <v>24.25</v>
      </c>
      <c r="AE684" t="s">
        <v>2894</v>
      </c>
      <c r="AG684" t="s">
        <v>3526</v>
      </c>
      <c r="AI684" t="s">
        <v>4424</v>
      </c>
      <c r="AJ684">
        <v>0</v>
      </c>
      <c r="AK684" t="s">
        <v>4456</v>
      </c>
      <c r="AL684">
        <v>1</v>
      </c>
      <c r="AM684">
        <v>0</v>
      </c>
      <c r="AN684">
        <v>197.69</v>
      </c>
      <c r="AQ684" t="s">
        <v>4473</v>
      </c>
      <c r="AR684" t="s">
        <v>4476</v>
      </c>
      <c r="AS684" t="s">
        <v>4486</v>
      </c>
      <c r="AT684">
        <v>24000</v>
      </c>
      <c r="AX684" t="s">
        <v>4504</v>
      </c>
      <c r="BA684" t="s">
        <v>4624</v>
      </c>
      <c r="BD684" t="s">
        <v>114</v>
      </c>
    </row>
    <row r="685" spans="1:57">
      <c r="A685" s="1">
        <f>HYPERLINK("https://lsnyc.legalserver.org/matter/dynamic-profile/view/1897669","19-1897669")</f>
        <v>0</v>
      </c>
      <c r="B685" t="s">
        <v>67</v>
      </c>
      <c r="C685" t="s">
        <v>93</v>
      </c>
      <c r="D685" t="s">
        <v>161</v>
      </c>
      <c r="F685" t="s">
        <v>268</v>
      </c>
      <c r="G685" t="s">
        <v>1000</v>
      </c>
      <c r="H685" t="s">
        <v>1878</v>
      </c>
      <c r="I685" t="s">
        <v>1912</v>
      </c>
      <c r="J685" t="s">
        <v>2169</v>
      </c>
      <c r="K685" t="s">
        <v>2171</v>
      </c>
      <c r="L685">
        <v>10003</v>
      </c>
      <c r="M685" t="s">
        <v>2172</v>
      </c>
      <c r="N685" t="s">
        <v>2172</v>
      </c>
      <c r="Q685">
        <v>10</v>
      </c>
      <c r="R685" t="s">
        <v>2844</v>
      </c>
      <c r="U685" t="s">
        <v>2868</v>
      </c>
      <c r="V685" t="s">
        <v>2174</v>
      </c>
      <c r="Y685" t="s">
        <v>2876</v>
      </c>
      <c r="AB685">
        <v>0</v>
      </c>
      <c r="AC685">
        <v>900</v>
      </c>
      <c r="AD685">
        <v>0</v>
      </c>
      <c r="AE685" t="s">
        <v>2894</v>
      </c>
      <c r="AG685" t="s">
        <v>3558</v>
      </c>
      <c r="AI685" t="s">
        <v>4425</v>
      </c>
      <c r="AJ685">
        <v>0</v>
      </c>
      <c r="AL685">
        <v>1</v>
      </c>
      <c r="AM685">
        <v>0</v>
      </c>
      <c r="AN685">
        <v>82.43000000000001</v>
      </c>
      <c r="AS685" t="s">
        <v>4486</v>
      </c>
      <c r="AT685">
        <v>10296</v>
      </c>
      <c r="AX685" t="s">
        <v>4499</v>
      </c>
      <c r="BA685" t="s">
        <v>4538</v>
      </c>
    </row>
    <row r="686" spans="1:57">
      <c r="A686" s="1">
        <f>HYPERLINK("https://lsnyc.legalserver.org/matter/dynamic-profile/view/1894594","19-1894594")</f>
        <v>0</v>
      </c>
      <c r="B686" t="s">
        <v>58</v>
      </c>
      <c r="C686" t="s">
        <v>93</v>
      </c>
      <c r="D686" t="s">
        <v>206</v>
      </c>
      <c r="F686" t="s">
        <v>767</v>
      </c>
      <c r="G686" t="s">
        <v>1284</v>
      </c>
      <c r="H686" t="s">
        <v>1879</v>
      </c>
      <c r="I686" t="s">
        <v>1967</v>
      </c>
      <c r="J686" t="s">
        <v>2169</v>
      </c>
      <c r="K686" t="s">
        <v>2171</v>
      </c>
      <c r="L686">
        <v>10002</v>
      </c>
      <c r="M686" t="s">
        <v>2173</v>
      </c>
      <c r="N686" t="s">
        <v>2173</v>
      </c>
      <c r="O686" t="s">
        <v>2177</v>
      </c>
      <c r="P686" t="s">
        <v>2821</v>
      </c>
      <c r="Q686">
        <v>9</v>
      </c>
      <c r="R686" t="s">
        <v>2854</v>
      </c>
      <c r="S686" t="s">
        <v>2861</v>
      </c>
      <c r="U686" t="s">
        <v>2868</v>
      </c>
      <c r="V686" t="s">
        <v>2174</v>
      </c>
      <c r="W686" t="s">
        <v>2174</v>
      </c>
      <c r="Y686" t="s">
        <v>2876</v>
      </c>
      <c r="AA686" t="s">
        <v>206</v>
      </c>
      <c r="AB686">
        <v>0</v>
      </c>
      <c r="AC686">
        <v>1140</v>
      </c>
      <c r="AD686">
        <v>15.25</v>
      </c>
      <c r="AE686" t="s">
        <v>2894</v>
      </c>
      <c r="AG686" t="s">
        <v>3559</v>
      </c>
      <c r="AI686" t="s">
        <v>4426</v>
      </c>
      <c r="AJ686">
        <v>4</v>
      </c>
      <c r="AK686" t="s">
        <v>4456</v>
      </c>
      <c r="AL686">
        <v>2</v>
      </c>
      <c r="AM686">
        <v>0</v>
      </c>
      <c r="AN686">
        <v>100.53</v>
      </c>
      <c r="AQ686" t="s">
        <v>4473</v>
      </c>
      <c r="AR686" t="s">
        <v>4476</v>
      </c>
      <c r="AS686" t="s">
        <v>4497</v>
      </c>
      <c r="AT686">
        <v>17000</v>
      </c>
      <c r="AX686" t="s">
        <v>4501</v>
      </c>
      <c r="BA686" t="s">
        <v>4546</v>
      </c>
      <c r="BD686" t="s">
        <v>98</v>
      </c>
    </row>
    <row r="687" spans="1:57">
      <c r="A687" s="1">
        <f>HYPERLINK("https://lsnyc.legalserver.org/matter/dynamic-profile/view/1897494","19-1897494")</f>
        <v>0</v>
      </c>
      <c r="B687" t="s">
        <v>62</v>
      </c>
      <c r="C687" t="s">
        <v>92</v>
      </c>
      <c r="D687" t="s">
        <v>112</v>
      </c>
      <c r="E687" t="s">
        <v>217</v>
      </c>
      <c r="F687" t="s">
        <v>564</v>
      </c>
      <c r="G687" t="s">
        <v>1285</v>
      </c>
      <c r="H687" t="s">
        <v>1880</v>
      </c>
      <c r="I687" t="s">
        <v>2152</v>
      </c>
      <c r="J687" t="s">
        <v>2169</v>
      </c>
      <c r="K687" t="s">
        <v>2171</v>
      </c>
      <c r="L687">
        <v>10002</v>
      </c>
      <c r="M687" t="s">
        <v>2173</v>
      </c>
      <c r="N687" t="s">
        <v>2173</v>
      </c>
      <c r="O687" t="s">
        <v>2175</v>
      </c>
      <c r="P687" t="s">
        <v>2822</v>
      </c>
      <c r="Q687">
        <v>30</v>
      </c>
      <c r="R687" t="s">
        <v>2843</v>
      </c>
      <c r="S687" t="s">
        <v>2856</v>
      </c>
      <c r="T687" t="s">
        <v>2863</v>
      </c>
      <c r="U687" t="s">
        <v>2868</v>
      </c>
      <c r="V687" t="s">
        <v>2174</v>
      </c>
      <c r="W687" t="s">
        <v>2174</v>
      </c>
      <c r="Y687" t="s">
        <v>2876</v>
      </c>
      <c r="AA687" t="s">
        <v>112</v>
      </c>
      <c r="AB687">
        <v>0</v>
      </c>
      <c r="AC687">
        <v>248</v>
      </c>
      <c r="AD687">
        <v>1.5</v>
      </c>
      <c r="AE687" t="s">
        <v>2894</v>
      </c>
      <c r="AF687" t="s">
        <v>2896</v>
      </c>
      <c r="AG687" t="s">
        <v>3560</v>
      </c>
      <c r="AH687" t="s">
        <v>3764</v>
      </c>
      <c r="AI687" t="s">
        <v>4427</v>
      </c>
      <c r="AJ687">
        <v>0</v>
      </c>
      <c r="AK687" t="s">
        <v>4456</v>
      </c>
      <c r="AL687">
        <v>1</v>
      </c>
      <c r="AM687">
        <v>0</v>
      </c>
      <c r="AN687">
        <v>19.05</v>
      </c>
      <c r="AR687" t="s">
        <v>4476</v>
      </c>
      <c r="AS687" t="s">
        <v>4486</v>
      </c>
      <c r="AT687">
        <v>2379</v>
      </c>
      <c r="AX687" t="s">
        <v>4505</v>
      </c>
      <c r="BA687" t="s">
        <v>4535</v>
      </c>
      <c r="BD687" t="s">
        <v>162</v>
      </c>
      <c r="BE687" t="s">
        <v>4704</v>
      </c>
    </row>
    <row r="688" spans="1:57">
      <c r="A688" s="1">
        <f>HYPERLINK("https://lsnyc.legalserver.org/matter/dynamic-profile/view/1909041","19-1909041")</f>
        <v>0</v>
      </c>
      <c r="B688" t="s">
        <v>62</v>
      </c>
      <c r="C688" t="s">
        <v>93</v>
      </c>
      <c r="D688" t="s">
        <v>98</v>
      </c>
      <c r="F688" t="s">
        <v>768</v>
      </c>
      <c r="G688" t="s">
        <v>795</v>
      </c>
      <c r="H688" t="s">
        <v>1881</v>
      </c>
      <c r="I688">
        <v>6</v>
      </c>
      <c r="J688" t="s">
        <v>2169</v>
      </c>
      <c r="K688" t="s">
        <v>2171</v>
      </c>
      <c r="L688">
        <v>10002</v>
      </c>
      <c r="M688" t="s">
        <v>2173</v>
      </c>
      <c r="N688" t="s">
        <v>2172</v>
      </c>
      <c r="O688" t="s">
        <v>2175</v>
      </c>
      <c r="P688" t="s">
        <v>2823</v>
      </c>
      <c r="Q688">
        <v>43</v>
      </c>
      <c r="R688" t="s">
        <v>2843</v>
      </c>
      <c r="S688" t="s">
        <v>2857</v>
      </c>
      <c r="U688" t="s">
        <v>2868</v>
      </c>
      <c r="V688" t="s">
        <v>2174</v>
      </c>
      <c r="W688" t="s">
        <v>2174</v>
      </c>
      <c r="Y688" t="s">
        <v>2876</v>
      </c>
      <c r="AA688" t="s">
        <v>98</v>
      </c>
      <c r="AB688">
        <v>0</v>
      </c>
      <c r="AC688">
        <v>677.33</v>
      </c>
      <c r="AD688">
        <v>2</v>
      </c>
      <c r="AE688" t="s">
        <v>2894</v>
      </c>
      <c r="AG688" t="s">
        <v>3561</v>
      </c>
      <c r="AI688" t="s">
        <v>4428</v>
      </c>
      <c r="AJ688">
        <v>0</v>
      </c>
      <c r="AK688" t="s">
        <v>4456</v>
      </c>
      <c r="AL688">
        <v>1</v>
      </c>
      <c r="AM688">
        <v>0</v>
      </c>
      <c r="AN688">
        <v>175.92</v>
      </c>
      <c r="AR688" t="s">
        <v>4476</v>
      </c>
      <c r="AS688" t="s">
        <v>4486</v>
      </c>
      <c r="AT688">
        <v>21972</v>
      </c>
      <c r="AX688" t="s">
        <v>4501</v>
      </c>
      <c r="BA688" t="s">
        <v>4552</v>
      </c>
      <c r="BD688" t="s">
        <v>96</v>
      </c>
      <c r="BE688" t="s">
        <v>4703</v>
      </c>
    </row>
    <row r="689" spans="1:57">
      <c r="A689" s="1">
        <f>HYPERLINK("https://lsnyc.legalserver.org/matter/dynamic-profile/view/1910212","19-1910212")</f>
        <v>0</v>
      </c>
      <c r="B689" t="s">
        <v>72</v>
      </c>
      <c r="C689" t="s">
        <v>93</v>
      </c>
      <c r="D689" t="s">
        <v>114</v>
      </c>
      <c r="F689" t="s">
        <v>769</v>
      </c>
      <c r="G689" t="s">
        <v>1286</v>
      </c>
      <c r="H689" t="s">
        <v>1882</v>
      </c>
      <c r="I689">
        <v>19</v>
      </c>
      <c r="J689" t="s">
        <v>2169</v>
      </c>
      <c r="K689" t="s">
        <v>2171</v>
      </c>
      <c r="L689">
        <v>10002</v>
      </c>
      <c r="M689" t="s">
        <v>2173</v>
      </c>
      <c r="N689" t="s">
        <v>2172</v>
      </c>
      <c r="O689" t="s">
        <v>2175</v>
      </c>
      <c r="P689" t="s">
        <v>2824</v>
      </c>
      <c r="Q689">
        <v>29</v>
      </c>
      <c r="R689" t="s">
        <v>2843</v>
      </c>
      <c r="S689" t="s">
        <v>2858</v>
      </c>
      <c r="U689" t="s">
        <v>2868</v>
      </c>
      <c r="V689" t="s">
        <v>2174</v>
      </c>
      <c r="W689" t="s">
        <v>2174</v>
      </c>
      <c r="Y689" t="s">
        <v>2876</v>
      </c>
      <c r="AB689">
        <v>0</v>
      </c>
      <c r="AC689">
        <v>760.42</v>
      </c>
      <c r="AD689">
        <v>1</v>
      </c>
      <c r="AE689" t="s">
        <v>2894</v>
      </c>
      <c r="AG689" t="s">
        <v>3562</v>
      </c>
      <c r="AH689" t="s">
        <v>3765</v>
      </c>
      <c r="AI689" t="s">
        <v>4429</v>
      </c>
      <c r="AJ689">
        <v>0</v>
      </c>
      <c r="AK689" t="s">
        <v>4456</v>
      </c>
      <c r="AL689">
        <v>2</v>
      </c>
      <c r="AM689">
        <v>0</v>
      </c>
      <c r="AN689">
        <v>38.32</v>
      </c>
      <c r="AR689" t="s">
        <v>4476</v>
      </c>
      <c r="AS689" t="s">
        <v>4498</v>
      </c>
      <c r="AT689">
        <v>6480</v>
      </c>
      <c r="AX689" t="s">
        <v>4504</v>
      </c>
      <c r="BA689" t="s">
        <v>4560</v>
      </c>
      <c r="BD689" t="s">
        <v>213</v>
      </c>
      <c r="BE689" t="s">
        <v>4704</v>
      </c>
    </row>
    <row r="690" spans="1:57">
      <c r="A690" s="1">
        <f>HYPERLINK("https://lsnyc.legalserver.org/matter/dynamic-profile/view/1910252","19-1910252")</f>
        <v>0</v>
      </c>
      <c r="B690" t="s">
        <v>62</v>
      </c>
      <c r="C690" t="s">
        <v>92</v>
      </c>
      <c r="D690" t="s">
        <v>114</v>
      </c>
      <c r="E690" t="s">
        <v>213</v>
      </c>
      <c r="F690" t="s">
        <v>770</v>
      </c>
      <c r="G690" t="s">
        <v>1287</v>
      </c>
      <c r="H690" t="s">
        <v>1883</v>
      </c>
      <c r="I690" t="s">
        <v>2092</v>
      </c>
      <c r="J690" t="s">
        <v>2169</v>
      </c>
      <c r="K690" t="s">
        <v>2171</v>
      </c>
      <c r="L690">
        <v>10002</v>
      </c>
      <c r="M690" t="s">
        <v>2173</v>
      </c>
      <c r="N690" t="s">
        <v>2172</v>
      </c>
      <c r="O690" t="s">
        <v>2178</v>
      </c>
      <c r="P690" t="s">
        <v>2825</v>
      </c>
      <c r="Q690">
        <v>11</v>
      </c>
      <c r="R690" t="s">
        <v>2843</v>
      </c>
      <c r="S690" t="s">
        <v>2856</v>
      </c>
      <c r="T690" t="s">
        <v>2863</v>
      </c>
      <c r="U690" t="s">
        <v>2868</v>
      </c>
      <c r="V690" t="s">
        <v>2174</v>
      </c>
      <c r="W690" t="s">
        <v>2174</v>
      </c>
      <c r="Y690" t="s">
        <v>2876</v>
      </c>
      <c r="AA690" t="s">
        <v>114</v>
      </c>
      <c r="AB690">
        <v>0</v>
      </c>
      <c r="AC690">
        <v>611</v>
      </c>
      <c r="AD690">
        <v>0</v>
      </c>
      <c r="AE690" t="s">
        <v>2894</v>
      </c>
      <c r="AF690" t="s">
        <v>2896</v>
      </c>
      <c r="AG690" t="s">
        <v>3563</v>
      </c>
      <c r="AI690" t="s">
        <v>4430</v>
      </c>
      <c r="AJ690">
        <v>806</v>
      </c>
      <c r="AK690" t="s">
        <v>4462</v>
      </c>
      <c r="AL690">
        <v>3</v>
      </c>
      <c r="AM690">
        <v>0</v>
      </c>
      <c r="AN690">
        <v>57.44</v>
      </c>
      <c r="AR690" t="s">
        <v>4476</v>
      </c>
      <c r="AS690" t="s">
        <v>4487</v>
      </c>
      <c r="AT690">
        <v>12251</v>
      </c>
      <c r="AX690" t="s">
        <v>4501</v>
      </c>
      <c r="BA690" t="s">
        <v>4546</v>
      </c>
      <c r="BD690" t="s">
        <v>4670</v>
      </c>
      <c r="BE690" t="s">
        <v>4703</v>
      </c>
    </row>
    <row r="691" spans="1:57">
      <c r="A691" s="1">
        <f>HYPERLINK("https://lsnyc.legalserver.org/matter/dynamic-profile/view/1911788","19-1911788")</f>
        <v>0</v>
      </c>
      <c r="B691" t="s">
        <v>90</v>
      </c>
      <c r="C691" t="s">
        <v>93</v>
      </c>
      <c r="D691" t="s">
        <v>117</v>
      </c>
      <c r="F691" t="s">
        <v>771</v>
      </c>
      <c r="G691" t="s">
        <v>1288</v>
      </c>
      <c r="H691" t="s">
        <v>1884</v>
      </c>
      <c r="I691" t="s">
        <v>2153</v>
      </c>
      <c r="J691" t="s">
        <v>2169</v>
      </c>
      <c r="K691" t="s">
        <v>2171</v>
      </c>
      <c r="L691">
        <v>10002</v>
      </c>
      <c r="M691" t="s">
        <v>2173</v>
      </c>
      <c r="N691" t="s">
        <v>2172</v>
      </c>
      <c r="O691" t="s">
        <v>2178</v>
      </c>
      <c r="P691" t="s">
        <v>2826</v>
      </c>
      <c r="Q691">
        <v>9</v>
      </c>
      <c r="R691" t="s">
        <v>2843</v>
      </c>
      <c r="S691" t="s">
        <v>2858</v>
      </c>
      <c r="U691" t="s">
        <v>2868</v>
      </c>
      <c r="V691" t="s">
        <v>2174</v>
      </c>
      <c r="W691" t="s">
        <v>2174</v>
      </c>
      <c r="Y691" t="s">
        <v>2876</v>
      </c>
      <c r="AA691" t="s">
        <v>117</v>
      </c>
      <c r="AB691">
        <v>0</v>
      </c>
      <c r="AC691">
        <v>269</v>
      </c>
      <c r="AD691">
        <v>0</v>
      </c>
      <c r="AE691" t="s">
        <v>2894</v>
      </c>
      <c r="AG691" t="s">
        <v>3564</v>
      </c>
      <c r="AH691" t="s">
        <v>3766</v>
      </c>
      <c r="AI691" t="s">
        <v>4431</v>
      </c>
      <c r="AJ691">
        <v>0</v>
      </c>
      <c r="AK691" t="s">
        <v>4456</v>
      </c>
      <c r="AL691">
        <v>2</v>
      </c>
      <c r="AM691">
        <v>1</v>
      </c>
      <c r="AN691">
        <v>150.02</v>
      </c>
      <c r="AR691" t="s">
        <v>4478</v>
      </c>
      <c r="AS691" t="s">
        <v>4486</v>
      </c>
      <c r="AT691">
        <v>32000</v>
      </c>
      <c r="AX691" t="s">
        <v>4501</v>
      </c>
      <c r="BA691" t="s">
        <v>4617</v>
      </c>
      <c r="BE691" t="s">
        <v>4704</v>
      </c>
    </row>
    <row r="692" spans="1:57">
      <c r="A692" s="1">
        <f>HYPERLINK("https://lsnyc.legalserver.org/matter/dynamic-profile/view/1896044","19-1896044")</f>
        <v>0</v>
      </c>
      <c r="B692" t="s">
        <v>66</v>
      </c>
      <c r="C692" t="s">
        <v>92</v>
      </c>
      <c r="D692" t="s">
        <v>100</v>
      </c>
      <c r="E692" t="s">
        <v>217</v>
      </c>
      <c r="F692" t="s">
        <v>329</v>
      </c>
      <c r="G692" t="s">
        <v>1289</v>
      </c>
      <c r="H692" t="s">
        <v>1885</v>
      </c>
      <c r="I692" t="s">
        <v>1934</v>
      </c>
      <c r="J692" t="s">
        <v>2169</v>
      </c>
      <c r="K692" t="s">
        <v>2171</v>
      </c>
      <c r="L692">
        <v>10002</v>
      </c>
      <c r="M692" t="s">
        <v>2173</v>
      </c>
      <c r="N692" t="s">
        <v>2173</v>
      </c>
      <c r="O692" t="s">
        <v>2178</v>
      </c>
      <c r="P692" t="s">
        <v>2827</v>
      </c>
      <c r="Q692">
        <v>32</v>
      </c>
      <c r="R692" t="s">
        <v>2845</v>
      </c>
      <c r="S692" t="s">
        <v>2856</v>
      </c>
      <c r="T692" t="s">
        <v>2863</v>
      </c>
      <c r="U692" t="s">
        <v>2868</v>
      </c>
      <c r="V692" t="s">
        <v>2174</v>
      </c>
      <c r="W692" t="s">
        <v>2174</v>
      </c>
      <c r="Y692" t="s">
        <v>2875</v>
      </c>
      <c r="AA692" t="s">
        <v>100</v>
      </c>
      <c r="AB692">
        <v>0</v>
      </c>
      <c r="AC692">
        <v>192.6</v>
      </c>
      <c r="AD692">
        <v>0.1</v>
      </c>
      <c r="AE692" t="s">
        <v>2894</v>
      </c>
      <c r="AF692" t="s">
        <v>2896</v>
      </c>
      <c r="AG692" t="s">
        <v>3565</v>
      </c>
      <c r="AI692" t="s">
        <v>4432</v>
      </c>
      <c r="AJ692">
        <v>0</v>
      </c>
      <c r="AK692" t="s">
        <v>4459</v>
      </c>
      <c r="AL692">
        <v>1</v>
      </c>
      <c r="AM692">
        <v>0</v>
      </c>
      <c r="AN692">
        <v>72.06</v>
      </c>
      <c r="AQ692" t="s">
        <v>4473</v>
      </c>
      <c r="AR692" t="s">
        <v>4476</v>
      </c>
      <c r="AS692" t="s">
        <v>4486</v>
      </c>
      <c r="AT692">
        <v>9000</v>
      </c>
      <c r="AX692" t="s">
        <v>4501</v>
      </c>
      <c r="BA692" t="s">
        <v>4548</v>
      </c>
      <c r="BD692" t="s">
        <v>217</v>
      </c>
      <c r="BE692" t="s">
        <v>4703</v>
      </c>
    </row>
    <row r="693" spans="1:57">
      <c r="A693" s="1">
        <f>HYPERLINK("https://lsnyc.legalserver.org/matter/dynamic-profile/view/1904482","19-1904482")</f>
        <v>0</v>
      </c>
      <c r="B693" t="s">
        <v>84</v>
      </c>
      <c r="C693" t="s">
        <v>93</v>
      </c>
      <c r="D693" t="s">
        <v>204</v>
      </c>
      <c r="F693" t="s">
        <v>772</v>
      </c>
      <c r="G693" t="s">
        <v>917</v>
      </c>
      <c r="H693" t="s">
        <v>1886</v>
      </c>
      <c r="I693" t="s">
        <v>1977</v>
      </c>
      <c r="J693" t="s">
        <v>2169</v>
      </c>
      <c r="K693" t="s">
        <v>2171</v>
      </c>
      <c r="L693">
        <v>10002</v>
      </c>
      <c r="M693" t="s">
        <v>2172</v>
      </c>
      <c r="N693" t="s">
        <v>2172</v>
      </c>
      <c r="O693" t="s">
        <v>2178</v>
      </c>
      <c r="Q693">
        <v>51</v>
      </c>
      <c r="R693" t="s">
        <v>2845</v>
      </c>
      <c r="S693" t="s">
        <v>2858</v>
      </c>
      <c r="U693" t="s">
        <v>2868</v>
      </c>
      <c r="V693" t="s">
        <v>2174</v>
      </c>
      <c r="W693" t="s">
        <v>2174</v>
      </c>
      <c r="Y693" t="s">
        <v>2875</v>
      </c>
      <c r="AB693">
        <v>0</v>
      </c>
      <c r="AC693">
        <v>197.3</v>
      </c>
      <c r="AD693">
        <v>1.75</v>
      </c>
      <c r="AE693" t="s">
        <v>2894</v>
      </c>
      <c r="AG693" t="s">
        <v>3566</v>
      </c>
      <c r="AI693" t="s">
        <v>4433</v>
      </c>
      <c r="AJ693">
        <v>2391</v>
      </c>
      <c r="AL693">
        <v>1</v>
      </c>
      <c r="AM693">
        <v>0</v>
      </c>
      <c r="AN693">
        <v>74.08</v>
      </c>
      <c r="AS693" t="s">
        <v>4487</v>
      </c>
      <c r="AT693">
        <v>9252</v>
      </c>
      <c r="AX693" t="s">
        <v>4513</v>
      </c>
      <c r="BA693" t="s">
        <v>4625</v>
      </c>
      <c r="BD693" t="s">
        <v>199</v>
      </c>
    </row>
    <row r="694" spans="1:57">
      <c r="A694" s="1">
        <f>HYPERLINK("https://lsnyc.legalserver.org/matter/dynamic-profile/view/1894890","19-1894890")</f>
        <v>0</v>
      </c>
      <c r="B694" t="s">
        <v>57</v>
      </c>
      <c r="C694" t="s">
        <v>92</v>
      </c>
      <c r="D694" t="s">
        <v>94</v>
      </c>
      <c r="E694" t="s">
        <v>202</v>
      </c>
      <c r="F694" t="s">
        <v>346</v>
      </c>
      <c r="G694" t="s">
        <v>364</v>
      </c>
      <c r="H694" t="s">
        <v>1887</v>
      </c>
      <c r="I694" t="s">
        <v>1982</v>
      </c>
      <c r="J694" t="s">
        <v>2169</v>
      </c>
      <c r="K694" t="s">
        <v>2171</v>
      </c>
      <c r="L694">
        <v>10002</v>
      </c>
      <c r="M694" t="s">
        <v>2172</v>
      </c>
      <c r="N694" t="s">
        <v>2172</v>
      </c>
      <c r="Q694">
        <v>0</v>
      </c>
      <c r="R694" t="s">
        <v>2841</v>
      </c>
      <c r="S694" t="s">
        <v>2856</v>
      </c>
      <c r="T694" t="s">
        <v>2863</v>
      </c>
      <c r="U694" t="s">
        <v>2868</v>
      </c>
      <c r="V694" t="s">
        <v>2174</v>
      </c>
      <c r="Y694" t="s">
        <v>2875</v>
      </c>
      <c r="AB694">
        <v>0</v>
      </c>
      <c r="AC694">
        <v>586.6</v>
      </c>
      <c r="AD694">
        <v>0.1</v>
      </c>
      <c r="AE694" t="s">
        <v>2894</v>
      </c>
      <c r="AF694" t="s">
        <v>2896</v>
      </c>
      <c r="AG694" t="s">
        <v>3567</v>
      </c>
      <c r="AI694" t="s">
        <v>4434</v>
      </c>
      <c r="AJ694">
        <v>0</v>
      </c>
      <c r="AK694" t="s">
        <v>4464</v>
      </c>
      <c r="AL694">
        <v>1</v>
      </c>
      <c r="AM694">
        <v>0</v>
      </c>
      <c r="AN694">
        <v>176.14</v>
      </c>
      <c r="AS694" t="s">
        <v>4486</v>
      </c>
      <c r="AT694">
        <v>22000</v>
      </c>
      <c r="AX694" t="s">
        <v>4499</v>
      </c>
      <c r="BA694" t="s">
        <v>4546</v>
      </c>
      <c r="BD694" t="s">
        <v>144</v>
      </c>
    </row>
    <row r="695" spans="1:57">
      <c r="A695" s="1">
        <f>HYPERLINK("https://lsnyc.legalserver.org/matter/dynamic-profile/view/1894913","19-1894913")</f>
        <v>0</v>
      </c>
      <c r="B695" t="s">
        <v>57</v>
      </c>
      <c r="C695" t="s">
        <v>92</v>
      </c>
      <c r="D695" t="s">
        <v>94</v>
      </c>
      <c r="E695" t="s">
        <v>162</v>
      </c>
      <c r="F695" t="s">
        <v>755</v>
      </c>
      <c r="G695" t="s">
        <v>1290</v>
      </c>
      <c r="H695" t="s">
        <v>1888</v>
      </c>
      <c r="I695" t="s">
        <v>1927</v>
      </c>
      <c r="J695" t="s">
        <v>2169</v>
      </c>
      <c r="K695" t="s">
        <v>2171</v>
      </c>
      <c r="L695">
        <v>10002</v>
      </c>
      <c r="M695" t="s">
        <v>2172</v>
      </c>
      <c r="N695" t="s">
        <v>2172</v>
      </c>
      <c r="Q695">
        <v>8</v>
      </c>
      <c r="R695" t="s">
        <v>2841</v>
      </c>
      <c r="T695" t="s">
        <v>2863</v>
      </c>
      <c r="U695" t="s">
        <v>2868</v>
      </c>
      <c r="V695" t="s">
        <v>2174</v>
      </c>
      <c r="Y695" t="s">
        <v>2876</v>
      </c>
      <c r="AB695">
        <v>0</v>
      </c>
      <c r="AC695">
        <v>1700</v>
      </c>
      <c r="AD695">
        <v>0.1</v>
      </c>
      <c r="AE695" t="s">
        <v>2894</v>
      </c>
      <c r="AF695" t="s">
        <v>2896</v>
      </c>
      <c r="AG695" t="s">
        <v>3568</v>
      </c>
      <c r="AI695" t="s">
        <v>4435</v>
      </c>
      <c r="AJ695">
        <v>0</v>
      </c>
      <c r="AL695">
        <v>2</v>
      </c>
      <c r="AM695">
        <v>0</v>
      </c>
      <c r="AN695">
        <v>76.88</v>
      </c>
      <c r="AS695" t="s">
        <v>4486</v>
      </c>
      <c r="AT695">
        <v>13000</v>
      </c>
      <c r="AX695" t="s">
        <v>4499</v>
      </c>
      <c r="BA695" t="s">
        <v>4546</v>
      </c>
      <c r="BD695" t="s">
        <v>144</v>
      </c>
    </row>
    <row r="696" spans="1:57">
      <c r="A696" s="1">
        <f>HYPERLINK("https://lsnyc.legalserver.org/matter/dynamic-profile/view/1897703","19-1897703")</f>
        <v>0</v>
      </c>
      <c r="B696" t="s">
        <v>67</v>
      </c>
      <c r="C696" t="s">
        <v>93</v>
      </c>
      <c r="D696" t="s">
        <v>161</v>
      </c>
      <c r="F696" t="s">
        <v>773</v>
      </c>
      <c r="G696" t="s">
        <v>1280</v>
      </c>
      <c r="H696" t="s">
        <v>1889</v>
      </c>
      <c r="I696" t="s">
        <v>2154</v>
      </c>
      <c r="J696" t="s">
        <v>2169</v>
      </c>
      <c r="K696" t="s">
        <v>2171</v>
      </c>
      <c r="L696">
        <v>10002</v>
      </c>
      <c r="M696" t="s">
        <v>2172</v>
      </c>
      <c r="N696" t="s">
        <v>2172</v>
      </c>
      <c r="Q696">
        <v>29</v>
      </c>
      <c r="R696" t="s">
        <v>2841</v>
      </c>
      <c r="U696" t="s">
        <v>2868</v>
      </c>
      <c r="V696" t="s">
        <v>2174</v>
      </c>
      <c r="Y696" t="s">
        <v>2876</v>
      </c>
      <c r="AB696">
        <v>0</v>
      </c>
      <c r="AC696">
        <v>809</v>
      </c>
      <c r="AD696">
        <v>0</v>
      </c>
      <c r="AE696" t="s">
        <v>2894</v>
      </c>
      <c r="AG696" t="s">
        <v>3569</v>
      </c>
      <c r="AI696" t="s">
        <v>4436</v>
      </c>
      <c r="AJ696">
        <v>0</v>
      </c>
      <c r="AL696">
        <v>1</v>
      </c>
      <c r="AM696">
        <v>0</v>
      </c>
      <c r="AN696">
        <v>101.17</v>
      </c>
      <c r="AS696" t="s">
        <v>4486</v>
      </c>
      <c r="AT696">
        <v>12636</v>
      </c>
      <c r="AX696" t="s">
        <v>4499</v>
      </c>
      <c r="BA696" t="s">
        <v>4586</v>
      </c>
    </row>
    <row r="697" spans="1:57">
      <c r="A697" s="1">
        <f>HYPERLINK("https://lsnyc.legalserver.org/matter/dynamic-profile/view/1900123","19-1900123")</f>
        <v>0</v>
      </c>
      <c r="B697" t="s">
        <v>58</v>
      </c>
      <c r="C697" t="s">
        <v>92</v>
      </c>
      <c r="D697" t="s">
        <v>202</v>
      </c>
      <c r="E697" t="s">
        <v>212</v>
      </c>
      <c r="F697" t="s">
        <v>774</v>
      </c>
      <c r="G697" t="s">
        <v>1291</v>
      </c>
      <c r="H697" t="s">
        <v>1890</v>
      </c>
      <c r="I697" t="s">
        <v>2155</v>
      </c>
      <c r="J697" t="s">
        <v>2170</v>
      </c>
      <c r="K697" t="s">
        <v>2171</v>
      </c>
      <c r="L697">
        <v>10002</v>
      </c>
      <c r="M697" t="s">
        <v>2173</v>
      </c>
      <c r="N697" t="s">
        <v>2172</v>
      </c>
      <c r="O697" t="s">
        <v>2185</v>
      </c>
      <c r="Q697">
        <v>35</v>
      </c>
      <c r="R697" t="s">
        <v>2841</v>
      </c>
      <c r="S697" t="s">
        <v>2856</v>
      </c>
      <c r="T697" t="s">
        <v>2863</v>
      </c>
      <c r="U697" t="s">
        <v>2868</v>
      </c>
      <c r="V697" t="s">
        <v>2174</v>
      </c>
      <c r="Y697" t="s">
        <v>2876</v>
      </c>
      <c r="AA697" t="s">
        <v>202</v>
      </c>
      <c r="AB697">
        <v>0</v>
      </c>
      <c r="AC697">
        <v>559.8</v>
      </c>
      <c r="AD697">
        <v>1</v>
      </c>
      <c r="AE697" t="s">
        <v>2894</v>
      </c>
      <c r="AF697" t="s">
        <v>2896</v>
      </c>
      <c r="AG697" t="s">
        <v>3570</v>
      </c>
      <c r="AI697" t="s">
        <v>4437</v>
      </c>
      <c r="AJ697">
        <v>492</v>
      </c>
      <c r="AK697" t="s">
        <v>4459</v>
      </c>
      <c r="AL697">
        <v>2</v>
      </c>
      <c r="AM697">
        <v>1</v>
      </c>
      <c r="AN697">
        <v>95.64</v>
      </c>
      <c r="AS697" t="s">
        <v>4487</v>
      </c>
      <c r="AT697">
        <v>20400</v>
      </c>
      <c r="AX697" t="s">
        <v>4499</v>
      </c>
      <c r="BA697" t="s">
        <v>4543</v>
      </c>
      <c r="BD697" t="s">
        <v>95</v>
      </c>
      <c r="BE697" t="s">
        <v>4703</v>
      </c>
    </row>
    <row r="698" spans="1:57">
      <c r="A698" s="1">
        <f>HYPERLINK("https://lsnyc.legalserver.org/matter/dynamic-profile/view/1900128","19-1900128")</f>
        <v>0</v>
      </c>
      <c r="B698" t="s">
        <v>58</v>
      </c>
      <c r="C698" t="s">
        <v>92</v>
      </c>
      <c r="D698" t="s">
        <v>95</v>
      </c>
      <c r="E698" t="s">
        <v>212</v>
      </c>
      <c r="F698" t="s">
        <v>775</v>
      </c>
      <c r="G698" t="s">
        <v>916</v>
      </c>
      <c r="H698" t="s">
        <v>1891</v>
      </c>
      <c r="I698" t="s">
        <v>2156</v>
      </c>
      <c r="J698" t="s">
        <v>2169</v>
      </c>
      <c r="K698" t="s">
        <v>2171</v>
      </c>
      <c r="L698">
        <v>10002</v>
      </c>
      <c r="M698" t="s">
        <v>2173</v>
      </c>
      <c r="N698" t="s">
        <v>2172</v>
      </c>
      <c r="Q698">
        <v>38</v>
      </c>
      <c r="R698" t="s">
        <v>2841</v>
      </c>
      <c r="S698" t="s">
        <v>2856</v>
      </c>
      <c r="T698" t="s">
        <v>2863</v>
      </c>
      <c r="U698" t="s">
        <v>2868</v>
      </c>
      <c r="V698" t="s">
        <v>2174</v>
      </c>
      <c r="W698" t="s">
        <v>2174</v>
      </c>
      <c r="Y698" t="s">
        <v>2876</v>
      </c>
      <c r="AA698" t="s">
        <v>95</v>
      </c>
      <c r="AB698">
        <v>0</v>
      </c>
      <c r="AC698">
        <v>0</v>
      </c>
      <c r="AD698">
        <v>1</v>
      </c>
      <c r="AE698" t="s">
        <v>2894</v>
      </c>
      <c r="AF698" t="s">
        <v>2896</v>
      </c>
      <c r="AG698" t="s">
        <v>3571</v>
      </c>
      <c r="AI698" t="s">
        <v>4438</v>
      </c>
      <c r="AJ698">
        <v>21</v>
      </c>
      <c r="AK698" t="s">
        <v>4466</v>
      </c>
      <c r="AL698">
        <v>2</v>
      </c>
      <c r="AM698">
        <v>0</v>
      </c>
      <c r="AN698">
        <v>114.11</v>
      </c>
      <c r="AS698" t="s">
        <v>4486</v>
      </c>
      <c r="AT698">
        <v>19296</v>
      </c>
      <c r="AX698" t="s">
        <v>4499</v>
      </c>
      <c r="BA698" t="s">
        <v>4631</v>
      </c>
      <c r="BD698" t="s">
        <v>95</v>
      </c>
      <c r="BE698" t="s">
        <v>4703</v>
      </c>
    </row>
    <row r="699" spans="1:57">
      <c r="A699" s="1">
        <f>HYPERLINK("https://lsnyc.legalserver.org/matter/dynamic-profile/view/1900179","19-1900179")</f>
        <v>0</v>
      </c>
      <c r="B699" t="s">
        <v>58</v>
      </c>
      <c r="C699" t="s">
        <v>92</v>
      </c>
      <c r="D699" t="s">
        <v>207</v>
      </c>
      <c r="E699" t="s">
        <v>212</v>
      </c>
      <c r="F699" t="s">
        <v>478</v>
      </c>
      <c r="G699" t="s">
        <v>1292</v>
      </c>
      <c r="H699" t="s">
        <v>1892</v>
      </c>
      <c r="I699" t="s">
        <v>1987</v>
      </c>
      <c r="J699" t="s">
        <v>2169</v>
      </c>
      <c r="K699" t="s">
        <v>2171</v>
      </c>
      <c r="L699">
        <v>10002</v>
      </c>
      <c r="M699" t="s">
        <v>2172</v>
      </c>
      <c r="N699" t="s">
        <v>2172</v>
      </c>
      <c r="Q699">
        <v>43</v>
      </c>
      <c r="R699" t="s">
        <v>2841</v>
      </c>
      <c r="S699" t="s">
        <v>2856</v>
      </c>
      <c r="T699" t="s">
        <v>2863</v>
      </c>
      <c r="U699" t="s">
        <v>2868</v>
      </c>
      <c r="V699" t="s">
        <v>2174</v>
      </c>
      <c r="W699" t="s">
        <v>2174</v>
      </c>
      <c r="Y699" t="s">
        <v>2875</v>
      </c>
      <c r="AB699">
        <v>0</v>
      </c>
      <c r="AC699">
        <v>366</v>
      </c>
      <c r="AD699">
        <v>1</v>
      </c>
      <c r="AE699" t="s">
        <v>2894</v>
      </c>
      <c r="AF699" t="s">
        <v>2896</v>
      </c>
      <c r="AG699" t="s">
        <v>3572</v>
      </c>
      <c r="AJ699">
        <v>484</v>
      </c>
      <c r="AK699" t="s">
        <v>4459</v>
      </c>
      <c r="AL699">
        <v>2</v>
      </c>
      <c r="AM699">
        <v>0</v>
      </c>
      <c r="AN699">
        <v>79.41</v>
      </c>
      <c r="AS699" t="s">
        <v>4498</v>
      </c>
      <c r="AT699">
        <v>13428</v>
      </c>
      <c r="AX699" t="s">
        <v>4499</v>
      </c>
      <c r="BA699" t="s">
        <v>4531</v>
      </c>
      <c r="BD699" t="s">
        <v>95</v>
      </c>
    </row>
    <row r="700" spans="1:57">
      <c r="A700" s="1">
        <f>HYPERLINK("https://lsnyc.legalserver.org/matter/dynamic-profile/view/1910383","19-1910383")</f>
        <v>0</v>
      </c>
      <c r="B700" t="s">
        <v>75</v>
      </c>
      <c r="C700" t="s">
        <v>93</v>
      </c>
      <c r="D700" t="s">
        <v>208</v>
      </c>
      <c r="F700" t="s">
        <v>554</v>
      </c>
      <c r="G700" t="s">
        <v>916</v>
      </c>
      <c r="H700" t="s">
        <v>1893</v>
      </c>
      <c r="I700" t="s">
        <v>2157</v>
      </c>
      <c r="J700" t="s">
        <v>2169</v>
      </c>
      <c r="K700" t="s">
        <v>2171</v>
      </c>
      <c r="L700">
        <v>10002</v>
      </c>
      <c r="M700" t="s">
        <v>2173</v>
      </c>
      <c r="N700" t="s">
        <v>2172</v>
      </c>
      <c r="O700" t="s">
        <v>2181</v>
      </c>
      <c r="Q700">
        <v>24</v>
      </c>
      <c r="R700" t="s">
        <v>2841</v>
      </c>
      <c r="S700" t="s">
        <v>2858</v>
      </c>
      <c r="U700" t="s">
        <v>2868</v>
      </c>
      <c r="V700" t="s">
        <v>2174</v>
      </c>
      <c r="W700" t="s">
        <v>2174</v>
      </c>
      <c r="Y700" t="s">
        <v>2875</v>
      </c>
      <c r="AA700" t="s">
        <v>208</v>
      </c>
      <c r="AB700">
        <v>0</v>
      </c>
      <c r="AC700">
        <v>2500</v>
      </c>
      <c r="AD700">
        <v>0</v>
      </c>
      <c r="AE700" t="s">
        <v>2894</v>
      </c>
      <c r="AG700" t="s">
        <v>3573</v>
      </c>
      <c r="AI700" t="s">
        <v>4439</v>
      </c>
      <c r="AJ700">
        <v>0</v>
      </c>
      <c r="AK700" t="s">
        <v>4460</v>
      </c>
      <c r="AL700">
        <v>3</v>
      </c>
      <c r="AM700">
        <v>0</v>
      </c>
      <c r="AN700">
        <v>0</v>
      </c>
      <c r="AR700" t="s">
        <v>4480</v>
      </c>
      <c r="AS700" t="s">
        <v>4486</v>
      </c>
      <c r="AT700">
        <v>0</v>
      </c>
      <c r="AX700" t="s">
        <v>4504</v>
      </c>
      <c r="BA700" t="s">
        <v>4539</v>
      </c>
      <c r="BE700" t="s">
        <v>4703</v>
      </c>
    </row>
    <row r="701" spans="1:57">
      <c r="A701" s="1">
        <f>HYPERLINK("https://lsnyc.legalserver.org/matter/dynamic-profile/view/1910543","19-1910543")</f>
        <v>0</v>
      </c>
      <c r="B701" t="s">
        <v>78</v>
      </c>
      <c r="C701" t="s">
        <v>93</v>
      </c>
      <c r="D701" t="s">
        <v>167</v>
      </c>
      <c r="F701" t="s">
        <v>334</v>
      </c>
      <c r="G701" t="s">
        <v>889</v>
      </c>
      <c r="H701" t="s">
        <v>1891</v>
      </c>
      <c r="I701" t="s">
        <v>2158</v>
      </c>
      <c r="J701" t="s">
        <v>2169</v>
      </c>
      <c r="K701" t="s">
        <v>2171</v>
      </c>
      <c r="L701">
        <v>10002</v>
      </c>
      <c r="M701" t="s">
        <v>2172</v>
      </c>
      <c r="N701" t="s">
        <v>2172</v>
      </c>
      <c r="Q701">
        <v>0</v>
      </c>
      <c r="R701" t="s">
        <v>2841</v>
      </c>
      <c r="U701" t="s">
        <v>2869</v>
      </c>
      <c r="V701" t="s">
        <v>2174</v>
      </c>
      <c r="X701" t="s">
        <v>2874</v>
      </c>
      <c r="Y701" t="s">
        <v>2875</v>
      </c>
      <c r="AB701">
        <v>0</v>
      </c>
      <c r="AC701">
        <v>0</v>
      </c>
      <c r="AD701">
        <v>3.1</v>
      </c>
      <c r="AE701" t="s">
        <v>2894</v>
      </c>
      <c r="AG701" t="s">
        <v>3574</v>
      </c>
      <c r="AJ701">
        <v>0</v>
      </c>
      <c r="AL701">
        <v>2</v>
      </c>
      <c r="AM701">
        <v>1</v>
      </c>
      <c r="AN701">
        <v>115.72</v>
      </c>
      <c r="AS701" t="s">
        <v>4486</v>
      </c>
      <c r="AT701">
        <v>24684</v>
      </c>
      <c r="AX701" t="s">
        <v>4499</v>
      </c>
      <c r="BA701" t="s">
        <v>4546</v>
      </c>
      <c r="BD701" t="s">
        <v>225</v>
      </c>
    </row>
    <row r="702" spans="1:57">
      <c r="A702" s="1">
        <f>HYPERLINK("https://lsnyc.legalserver.org/matter/dynamic-profile/view/1887757","19-1887757")</f>
        <v>0</v>
      </c>
      <c r="B702" t="s">
        <v>62</v>
      </c>
      <c r="C702" t="s">
        <v>93</v>
      </c>
      <c r="D702" t="s">
        <v>99</v>
      </c>
      <c r="F702" t="s">
        <v>776</v>
      </c>
      <c r="G702" t="s">
        <v>1002</v>
      </c>
      <c r="H702" t="s">
        <v>1894</v>
      </c>
      <c r="I702">
        <v>521</v>
      </c>
      <c r="J702" t="s">
        <v>2169</v>
      </c>
      <c r="K702" t="s">
        <v>2171</v>
      </c>
      <c r="L702">
        <v>10002</v>
      </c>
      <c r="M702" t="s">
        <v>2173</v>
      </c>
      <c r="N702" t="s">
        <v>2173</v>
      </c>
      <c r="O702" t="s">
        <v>2175</v>
      </c>
      <c r="P702" t="s">
        <v>2828</v>
      </c>
      <c r="Q702">
        <v>8</v>
      </c>
      <c r="R702" t="s">
        <v>2844</v>
      </c>
      <c r="S702" t="s">
        <v>2856</v>
      </c>
      <c r="U702" t="s">
        <v>2868</v>
      </c>
      <c r="V702" t="s">
        <v>2174</v>
      </c>
      <c r="W702" t="s">
        <v>2174</v>
      </c>
      <c r="Y702" t="s">
        <v>2876</v>
      </c>
      <c r="Z702" t="s">
        <v>2879</v>
      </c>
      <c r="AA702" t="s">
        <v>99</v>
      </c>
      <c r="AB702">
        <v>0</v>
      </c>
      <c r="AC702">
        <v>1300</v>
      </c>
      <c r="AD702">
        <v>0</v>
      </c>
      <c r="AE702" t="s">
        <v>2894</v>
      </c>
      <c r="AG702" t="s">
        <v>3575</v>
      </c>
      <c r="AI702" t="s">
        <v>4440</v>
      </c>
      <c r="AJ702">
        <v>263</v>
      </c>
      <c r="AK702" t="s">
        <v>4456</v>
      </c>
      <c r="AL702">
        <v>1</v>
      </c>
      <c r="AM702">
        <v>0</v>
      </c>
      <c r="AN702">
        <v>84.02</v>
      </c>
      <c r="AQ702" t="s">
        <v>4473</v>
      </c>
      <c r="AR702" t="s">
        <v>4478</v>
      </c>
      <c r="AS702" t="s">
        <v>4486</v>
      </c>
      <c r="AT702">
        <v>10200</v>
      </c>
      <c r="AX702" t="s">
        <v>4502</v>
      </c>
      <c r="BA702" t="s">
        <v>4609</v>
      </c>
    </row>
    <row r="703" spans="1:57">
      <c r="A703" s="1">
        <f>HYPERLINK("https://lsnyc.legalserver.org/matter/dynamic-profile/view/1888338","19-1888338")</f>
        <v>0</v>
      </c>
      <c r="B703" t="s">
        <v>69</v>
      </c>
      <c r="C703" t="s">
        <v>92</v>
      </c>
      <c r="D703" t="s">
        <v>110</v>
      </c>
      <c r="E703" t="s">
        <v>198</v>
      </c>
      <c r="F703" t="s">
        <v>351</v>
      </c>
      <c r="G703" t="s">
        <v>1293</v>
      </c>
      <c r="H703" t="s">
        <v>1895</v>
      </c>
      <c r="J703" t="s">
        <v>2169</v>
      </c>
      <c r="K703" t="s">
        <v>2171</v>
      </c>
      <c r="L703">
        <v>10002</v>
      </c>
      <c r="M703" t="s">
        <v>2173</v>
      </c>
      <c r="N703" t="s">
        <v>2173</v>
      </c>
      <c r="O703" t="s">
        <v>2181</v>
      </c>
      <c r="P703" t="s">
        <v>2829</v>
      </c>
      <c r="Q703">
        <v>11</v>
      </c>
      <c r="R703" t="s">
        <v>2844</v>
      </c>
      <c r="S703" t="s">
        <v>2856</v>
      </c>
      <c r="T703" t="s">
        <v>2863</v>
      </c>
      <c r="U703" t="s">
        <v>2868</v>
      </c>
      <c r="V703" t="s">
        <v>2174</v>
      </c>
      <c r="Y703" t="s">
        <v>2875</v>
      </c>
      <c r="AA703" t="s">
        <v>110</v>
      </c>
      <c r="AB703">
        <v>0</v>
      </c>
      <c r="AC703">
        <v>1844</v>
      </c>
      <c r="AD703">
        <v>1.6</v>
      </c>
      <c r="AE703" t="s">
        <v>2894</v>
      </c>
      <c r="AF703" t="s">
        <v>2896</v>
      </c>
      <c r="AG703" t="s">
        <v>3576</v>
      </c>
      <c r="AI703" t="s">
        <v>4441</v>
      </c>
      <c r="AJ703">
        <v>0</v>
      </c>
      <c r="AK703" t="s">
        <v>4459</v>
      </c>
      <c r="AL703">
        <v>3</v>
      </c>
      <c r="AM703">
        <v>0</v>
      </c>
      <c r="AN703">
        <v>283.17</v>
      </c>
      <c r="AQ703" t="s">
        <v>4473</v>
      </c>
      <c r="AS703" t="s">
        <v>4486</v>
      </c>
      <c r="AT703">
        <v>60400</v>
      </c>
      <c r="AX703" t="s">
        <v>4499</v>
      </c>
      <c r="BA703" t="s">
        <v>4546</v>
      </c>
      <c r="BD703" t="s">
        <v>177</v>
      </c>
    </row>
    <row r="704" spans="1:57">
      <c r="A704" s="1">
        <f>HYPERLINK("https://lsnyc.legalserver.org/matter/dynamic-profile/view/1888712","19-1888712")</f>
        <v>0</v>
      </c>
      <c r="B704" t="s">
        <v>75</v>
      </c>
      <c r="C704" t="s">
        <v>93</v>
      </c>
      <c r="D704" t="s">
        <v>179</v>
      </c>
      <c r="F704" t="s">
        <v>243</v>
      </c>
      <c r="G704" t="s">
        <v>1294</v>
      </c>
      <c r="H704" t="s">
        <v>1896</v>
      </c>
      <c r="I704" t="s">
        <v>2159</v>
      </c>
      <c r="J704" t="s">
        <v>2169</v>
      </c>
      <c r="K704" t="s">
        <v>2171</v>
      </c>
      <c r="L704">
        <v>10002</v>
      </c>
      <c r="M704" t="s">
        <v>2173</v>
      </c>
      <c r="N704" t="s">
        <v>2173</v>
      </c>
      <c r="O704" t="s">
        <v>2175</v>
      </c>
      <c r="Q704">
        <v>-1</v>
      </c>
      <c r="R704" t="s">
        <v>2844</v>
      </c>
      <c r="S704" t="s">
        <v>2857</v>
      </c>
      <c r="U704" t="s">
        <v>2868</v>
      </c>
      <c r="V704" t="s">
        <v>2174</v>
      </c>
      <c r="W704" t="s">
        <v>2174</v>
      </c>
      <c r="Y704" t="s">
        <v>2875</v>
      </c>
      <c r="AA704" t="s">
        <v>220</v>
      </c>
      <c r="AB704">
        <v>0</v>
      </c>
      <c r="AC704">
        <v>450</v>
      </c>
      <c r="AD704">
        <v>13</v>
      </c>
      <c r="AE704" t="s">
        <v>2894</v>
      </c>
      <c r="AG704" t="s">
        <v>3577</v>
      </c>
      <c r="AH704" t="s">
        <v>3767</v>
      </c>
      <c r="AI704" t="s">
        <v>4442</v>
      </c>
      <c r="AJ704">
        <v>0</v>
      </c>
      <c r="AK704" t="s">
        <v>4459</v>
      </c>
      <c r="AL704">
        <v>2</v>
      </c>
      <c r="AM704">
        <v>0</v>
      </c>
      <c r="AN704">
        <v>153.76</v>
      </c>
      <c r="AQ704" t="s">
        <v>4473</v>
      </c>
      <c r="AR704" t="s">
        <v>4476</v>
      </c>
      <c r="AS704" t="s">
        <v>4486</v>
      </c>
      <c r="AT704">
        <v>26000</v>
      </c>
      <c r="AX704" t="s">
        <v>4504</v>
      </c>
      <c r="BA704" t="s">
        <v>4546</v>
      </c>
      <c r="BD704" t="s">
        <v>105</v>
      </c>
    </row>
    <row r="705" spans="1:57">
      <c r="A705" s="1">
        <f>HYPERLINK("https://lsnyc.legalserver.org/matter/dynamic-profile/view/1897504","19-1897504")</f>
        <v>0</v>
      </c>
      <c r="B705" t="s">
        <v>64</v>
      </c>
      <c r="C705" t="s">
        <v>92</v>
      </c>
      <c r="D705" t="s">
        <v>112</v>
      </c>
      <c r="E705" t="s">
        <v>112</v>
      </c>
      <c r="F705" t="s">
        <v>777</v>
      </c>
      <c r="G705" t="s">
        <v>1295</v>
      </c>
      <c r="H705" t="s">
        <v>1887</v>
      </c>
      <c r="I705" t="s">
        <v>1931</v>
      </c>
      <c r="J705" t="s">
        <v>2169</v>
      </c>
      <c r="K705" t="s">
        <v>2171</v>
      </c>
      <c r="L705">
        <v>10002</v>
      </c>
      <c r="M705" t="s">
        <v>2173</v>
      </c>
      <c r="N705" t="s">
        <v>2173</v>
      </c>
      <c r="O705" t="s">
        <v>2175</v>
      </c>
      <c r="P705" t="s">
        <v>2830</v>
      </c>
      <c r="Q705">
        <v>-1</v>
      </c>
      <c r="R705" t="s">
        <v>2844</v>
      </c>
      <c r="S705" t="s">
        <v>2855</v>
      </c>
      <c r="T705" t="s">
        <v>2862</v>
      </c>
      <c r="U705" t="s">
        <v>2868</v>
      </c>
      <c r="V705" t="s">
        <v>2174</v>
      </c>
      <c r="W705" t="s">
        <v>2174</v>
      </c>
      <c r="Y705" t="s">
        <v>2875</v>
      </c>
      <c r="AA705" t="s">
        <v>112</v>
      </c>
      <c r="AB705">
        <v>0</v>
      </c>
      <c r="AC705">
        <v>277</v>
      </c>
      <c r="AD705">
        <v>0.1</v>
      </c>
      <c r="AE705" t="s">
        <v>2894</v>
      </c>
      <c r="AF705" t="s">
        <v>2896</v>
      </c>
      <c r="AG705" t="s">
        <v>3578</v>
      </c>
      <c r="AH705" t="s">
        <v>3768</v>
      </c>
      <c r="AI705" t="s">
        <v>4443</v>
      </c>
      <c r="AJ705">
        <v>0</v>
      </c>
      <c r="AK705" t="s">
        <v>4466</v>
      </c>
      <c r="AL705">
        <v>1</v>
      </c>
      <c r="AM705">
        <v>1</v>
      </c>
      <c r="AN705">
        <v>22.29</v>
      </c>
      <c r="AR705" t="s">
        <v>4476</v>
      </c>
      <c r="AS705" t="s">
        <v>4486</v>
      </c>
      <c r="AT705">
        <v>3770</v>
      </c>
      <c r="AX705" t="s">
        <v>4504</v>
      </c>
      <c r="BA705" t="s">
        <v>4551</v>
      </c>
      <c r="BD705" t="s">
        <v>112</v>
      </c>
    </row>
    <row r="706" spans="1:57">
      <c r="A706" s="1">
        <f>HYPERLINK("https://lsnyc.legalserver.org/matter/dynamic-profile/view/1906883","19-1906883")</f>
        <v>0</v>
      </c>
      <c r="B706" t="s">
        <v>62</v>
      </c>
      <c r="C706" t="s">
        <v>93</v>
      </c>
      <c r="D706" t="s">
        <v>152</v>
      </c>
      <c r="F706" t="s">
        <v>626</v>
      </c>
      <c r="G706" t="s">
        <v>1296</v>
      </c>
      <c r="H706" t="s">
        <v>1897</v>
      </c>
      <c r="I706" t="s">
        <v>2160</v>
      </c>
      <c r="J706" t="s">
        <v>2169</v>
      </c>
      <c r="K706" t="s">
        <v>2171</v>
      </c>
      <c r="L706">
        <v>10002</v>
      </c>
      <c r="M706" t="s">
        <v>2173</v>
      </c>
      <c r="N706" t="s">
        <v>2172</v>
      </c>
      <c r="O706" t="s">
        <v>2175</v>
      </c>
      <c r="P706" t="s">
        <v>2831</v>
      </c>
      <c r="Q706">
        <v>4</v>
      </c>
      <c r="R706" t="s">
        <v>2844</v>
      </c>
      <c r="S706" t="s">
        <v>2857</v>
      </c>
      <c r="U706" t="s">
        <v>2868</v>
      </c>
      <c r="V706" t="s">
        <v>2174</v>
      </c>
      <c r="W706" t="s">
        <v>2174</v>
      </c>
      <c r="Y706" t="s">
        <v>2875</v>
      </c>
      <c r="Z706" t="s">
        <v>2881</v>
      </c>
      <c r="AA706" t="s">
        <v>2886</v>
      </c>
      <c r="AB706">
        <v>0</v>
      </c>
      <c r="AC706">
        <v>634</v>
      </c>
      <c r="AD706">
        <v>10</v>
      </c>
      <c r="AE706" t="s">
        <v>2894</v>
      </c>
      <c r="AG706" t="s">
        <v>3579</v>
      </c>
      <c r="AH706" t="s">
        <v>3769</v>
      </c>
      <c r="AI706" t="s">
        <v>4444</v>
      </c>
      <c r="AJ706">
        <v>0</v>
      </c>
      <c r="AK706" t="s">
        <v>4459</v>
      </c>
      <c r="AL706">
        <v>1</v>
      </c>
      <c r="AM706">
        <v>0</v>
      </c>
      <c r="AN706">
        <v>9.369999999999999</v>
      </c>
      <c r="AR706" t="s">
        <v>4476</v>
      </c>
      <c r="AS706" t="s">
        <v>4486</v>
      </c>
      <c r="AT706">
        <v>1170</v>
      </c>
      <c r="AX706" t="s">
        <v>4504</v>
      </c>
      <c r="BA706" t="s">
        <v>4551</v>
      </c>
      <c r="BD706" t="s">
        <v>4699</v>
      </c>
      <c r="BE706" t="s">
        <v>4704</v>
      </c>
    </row>
    <row r="707" spans="1:57">
      <c r="A707" s="1">
        <f>HYPERLINK("https://lsnyc.legalserver.org/matter/dynamic-profile/view/1908995","19-1908995")</f>
        <v>0</v>
      </c>
      <c r="B707" t="s">
        <v>68</v>
      </c>
      <c r="C707" t="s">
        <v>93</v>
      </c>
      <c r="D707" t="s">
        <v>98</v>
      </c>
      <c r="F707" t="s">
        <v>650</v>
      </c>
      <c r="G707" t="s">
        <v>1297</v>
      </c>
      <c r="H707" t="s">
        <v>1880</v>
      </c>
      <c r="I707" t="s">
        <v>2161</v>
      </c>
      <c r="J707" t="s">
        <v>2169</v>
      </c>
      <c r="K707" t="s">
        <v>2171</v>
      </c>
      <c r="L707">
        <v>10002</v>
      </c>
      <c r="M707" t="s">
        <v>2173</v>
      </c>
      <c r="N707" t="s">
        <v>2172</v>
      </c>
      <c r="O707" t="s">
        <v>2175</v>
      </c>
      <c r="P707" t="s">
        <v>2832</v>
      </c>
      <c r="Q707">
        <v>41</v>
      </c>
      <c r="R707" t="s">
        <v>2844</v>
      </c>
      <c r="S707" t="s">
        <v>2856</v>
      </c>
      <c r="U707" t="s">
        <v>2868</v>
      </c>
      <c r="V707" t="s">
        <v>2174</v>
      </c>
      <c r="W707" t="s">
        <v>2174</v>
      </c>
      <c r="Y707" t="s">
        <v>2875</v>
      </c>
      <c r="AA707" t="s">
        <v>98</v>
      </c>
      <c r="AB707">
        <v>0</v>
      </c>
      <c r="AC707">
        <v>1516</v>
      </c>
      <c r="AD707">
        <v>0.1</v>
      </c>
      <c r="AE707" t="s">
        <v>2894</v>
      </c>
      <c r="AG707" t="s">
        <v>3580</v>
      </c>
      <c r="AH707" t="s">
        <v>3770</v>
      </c>
      <c r="AI707" t="s">
        <v>4445</v>
      </c>
      <c r="AJ707">
        <v>0</v>
      </c>
      <c r="AK707" t="s">
        <v>4459</v>
      </c>
      <c r="AL707">
        <v>5</v>
      </c>
      <c r="AM707">
        <v>0</v>
      </c>
      <c r="AN707">
        <v>172.36</v>
      </c>
      <c r="AR707" t="s">
        <v>4476</v>
      </c>
      <c r="AS707" t="s">
        <v>4486</v>
      </c>
      <c r="AT707">
        <v>52000</v>
      </c>
      <c r="AX707" t="s">
        <v>4501</v>
      </c>
      <c r="BA707" t="s">
        <v>4617</v>
      </c>
      <c r="BD707" t="s">
        <v>98</v>
      </c>
      <c r="BE707" t="s">
        <v>4704</v>
      </c>
    </row>
    <row r="708" spans="1:57">
      <c r="A708" s="1">
        <f>HYPERLINK("https://lsnyc.legalserver.org/matter/dynamic-profile/view/1909979","19-1909979")</f>
        <v>0</v>
      </c>
      <c r="B708" t="s">
        <v>62</v>
      </c>
      <c r="C708" t="s">
        <v>93</v>
      </c>
      <c r="D708" t="s">
        <v>167</v>
      </c>
      <c r="F708" t="s">
        <v>778</v>
      </c>
      <c r="G708" t="s">
        <v>1298</v>
      </c>
      <c r="H708" t="s">
        <v>1898</v>
      </c>
      <c r="I708" t="s">
        <v>2162</v>
      </c>
      <c r="J708" t="s">
        <v>2169</v>
      </c>
      <c r="K708" t="s">
        <v>2171</v>
      </c>
      <c r="L708">
        <v>10002</v>
      </c>
      <c r="M708" t="s">
        <v>2173</v>
      </c>
      <c r="N708" t="s">
        <v>2172</v>
      </c>
      <c r="O708" t="s">
        <v>2175</v>
      </c>
      <c r="P708" t="s">
        <v>2833</v>
      </c>
      <c r="Q708">
        <v>32</v>
      </c>
      <c r="R708" t="s">
        <v>2844</v>
      </c>
      <c r="S708" t="s">
        <v>2857</v>
      </c>
      <c r="U708" t="s">
        <v>2868</v>
      </c>
      <c r="V708" t="s">
        <v>2174</v>
      </c>
      <c r="W708" t="s">
        <v>2174</v>
      </c>
      <c r="Y708" t="s">
        <v>2876</v>
      </c>
      <c r="AA708" t="s">
        <v>167</v>
      </c>
      <c r="AB708">
        <v>0</v>
      </c>
      <c r="AC708">
        <v>238</v>
      </c>
      <c r="AD708">
        <v>13</v>
      </c>
      <c r="AE708" t="s">
        <v>2894</v>
      </c>
      <c r="AG708" t="s">
        <v>3581</v>
      </c>
      <c r="AI708" t="s">
        <v>4446</v>
      </c>
      <c r="AJ708">
        <v>0</v>
      </c>
      <c r="AK708" t="s">
        <v>4458</v>
      </c>
      <c r="AL708">
        <v>1</v>
      </c>
      <c r="AM708">
        <v>0</v>
      </c>
      <c r="AN708">
        <v>74.08</v>
      </c>
      <c r="AR708" t="s">
        <v>4478</v>
      </c>
      <c r="AS708" t="s">
        <v>4486</v>
      </c>
      <c r="AT708">
        <v>9252</v>
      </c>
      <c r="AX708" t="s">
        <v>4501</v>
      </c>
      <c r="BA708" t="s">
        <v>4538</v>
      </c>
      <c r="BD708" t="s">
        <v>213</v>
      </c>
      <c r="BE708" t="s">
        <v>4703</v>
      </c>
    </row>
    <row r="709" spans="1:57">
      <c r="A709" s="1">
        <f>HYPERLINK("https://lsnyc.legalserver.org/matter/dynamic-profile/view/1897677","19-1897677")</f>
        <v>0</v>
      </c>
      <c r="B709" t="s">
        <v>67</v>
      </c>
      <c r="C709" t="s">
        <v>93</v>
      </c>
      <c r="D709" t="s">
        <v>209</v>
      </c>
      <c r="F709" t="s">
        <v>779</v>
      </c>
      <c r="G709" t="s">
        <v>1299</v>
      </c>
      <c r="H709" t="s">
        <v>1899</v>
      </c>
      <c r="I709">
        <v>37</v>
      </c>
      <c r="J709" t="s">
        <v>2169</v>
      </c>
      <c r="K709" t="s">
        <v>2171</v>
      </c>
      <c r="L709">
        <v>10002</v>
      </c>
      <c r="M709" t="s">
        <v>2172</v>
      </c>
      <c r="N709" t="s">
        <v>2172</v>
      </c>
      <c r="Q709">
        <v>16</v>
      </c>
      <c r="U709" t="s">
        <v>2868</v>
      </c>
      <c r="V709" t="s">
        <v>2174</v>
      </c>
      <c r="Y709" t="s">
        <v>2876</v>
      </c>
      <c r="AB709">
        <v>0</v>
      </c>
      <c r="AC709">
        <v>693</v>
      </c>
      <c r="AD709">
        <v>0</v>
      </c>
      <c r="AE709" t="s">
        <v>2894</v>
      </c>
      <c r="AG709" t="s">
        <v>3582</v>
      </c>
      <c r="AI709" t="s">
        <v>4447</v>
      </c>
      <c r="AJ709">
        <v>0</v>
      </c>
      <c r="AL709">
        <v>2</v>
      </c>
      <c r="AM709">
        <v>0</v>
      </c>
      <c r="AN709">
        <v>154.72</v>
      </c>
      <c r="AS709" t="s">
        <v>4486</v>
      </c>
      <c r="AT709">
        <v>26163.96</v>
      </c>
      <c r="AX709" t="s">
        <v>4499</v>
      </c>
      <c r="BA709" t="s">
        <v>4586</v>
      </c>
    </row>
    <row r="710" spans="1:57">
      <c r="A710" s="1">
        <f>HYPERLINK("https://lsnyc.legalserver.org/matter/dynamic-profile/view/1897716","19-1897716")</f>
        <v>0</v>
      </c>
      <c r="B710" t="s">
        <v>67</v>
      </c>
      <c r="C710" t="s">
        <v>93</v>
      </c>
      <c r="D710" t="s">
        <v>161</v>
      </c>
      <c r="F710" t="s">
        <v>780</v>
      </c>
      <c r="G710" t="s">
        <v>1300</v>
      </c>
      <c r="H710" t="s">
        <v>1900</v>
      </c>
      <c r="I710" t="s">
        <v>1994</v>
      </c>
      <c r="J710" t="s">
        <v>2169</v>
      </c>
      <c r="K710" t="s">
        <v>2171</v>
      </c>
      <c r="L710">
        <v>10002</v>
      </c>
      <c r="M710" t="s">
        <v>2172</v>
      </c>
      <c r="N710" t="s">
        <v>2172</v>
      </c>
      <c r="Q710">
        <v>2</v>
      </c>
      <c r="U710" t="s">
        <v>2868</v>
      </c>
      <c r="V710" t="s">
        <v>2174</v>
      </c>
      <c r="Y710" t="s">
        <v>2876</v>
      </c>
      <c r="AB710">
        <v>0</v>
      </c>
      <c r="AC710">
        <v>0</v>
      </c>
      <c r="AD710">
        <v>2</v>
      </c>
      <c r="AE710" t="s">
        <v>2894</v>
      </c>
      <c r="AG710" t="s">
        <v>3583</v>
      </c>
      <c r="AJ710">
        <v>0</v>
      </c>
      <c r="AL710">
        <v>2</v>
      </c>
      <c r="AM710">
        <v>2</v>
      </c>
      <c r="AN710">
        <v>85.44</v>
      </c>
      <c r="AT710">
        <v>22000</v>
      </c>
      <c r="AX710" t="s">
        <v>4499</v>
      </c>
      <c r="BA710" t="s">
        <v>4546</v>
      </c>
      <c r="BD710" t="s">
        <v>121</v>
      </c>
    </row>
    <row r="711" spans="1:57">
      <c r="A711" s="1">
        <f>HYPERLINK("https://lsnyc.legalserver.org/matter/dynamic-profile/view/1912227","19-1912227")</f>
        <v>0</v>
      </c>
      <c r="B711" t="s">
        <v>91</v>
      </c>
      <c r="C711" t="s">
        <v>92</v>
      </c>
      <c r="D711" t="s">
        <v>210</v>
      </c>
      <c r="E711" t="s">
        <v>210</v>
      </c>
      <c r="F711" t="s">
        <v>615</v>
      </c>
      <c r="G711" t="s">
        <v>889</v>
      </c>
      <c r="H711" t="s">
        <v>1901</v>
      </c>
      <c r="I711" t="s">
        <v>2163</v>
      </c>
      <c r="J711" t="s">
        <v>2169</v>
      </c>
      <c r="K711" t="s">
        <v>2171</v>
      </c>
      <c r="L711">
        <v>10002</v>
      </c>
      <c r="M711" t="s">
        <v>2173</v>
      </c>
      <c r="N711" t="s">
        <v>2172</v>
      </c>
      <c r="O711" t="s">
        <v>2181</v>
      </c>
      <c r="Q711">
        <v>35</v>
      </c>
      <c r="S711" t="s">
        <v>2856</v>
      </c>
      <c r="T711" t="s">
        <v>2863</v>
      </c>
      <c r="U711" t="s">
        <v>2868</v>
      </c>
      <c r="V711" t="s">
        <v>2174</v>
      </c>
      <c r="W711" t="s">
        <v>2174</v>
      </c>
      <c r="Y711" t="s">
        <v>2876</v>
      </c>
      <c r="AA711" t="s">
        <v>210</v>
      </c>
      <c r="AB711">
        <v>0</v>
      </c>
      <c r="AC711">
        <v>553</v>
      </c>
      <c r="AD711">
        <v>1</v>
      </c>
      <c r="AE711" t="s">
        <v>2894</v>
      </c>
      <c r="AF711" t="s">
        <v>2896</v>
      </c>
      <c r="AG711" t="s">
        <v>3584</v>
      </c>
      <c r="AI711" t="s">
        <v>4448</v>
      </c>
      <c r="AJ711">
        <v>0</v>
      </c>
      <c r="AK711" t="s">
        <v>4456</v>
      </c>
      <c r="AL711">
        <v>3</v>
      </c>
      <c r="AM711">
        <v>0</v>
      </c>
      <c r="AN711">
        <v>255.23</v>
      </c>
      <c r="AR711" t="s">
        <v>2176</v>
      </c>
      <c r="AS711" t="s">
        <v>4486</v>
      </c>
      <c r="AT711">
        <v>54440</v>
      </c>
      <c r="AX711" t="s">
        <v>4505</v>
      </c>
      <c r="BA711" t="s">
        <v>4543</v>
      </c>
      <c r="BD711" t="s">
        <v>154</v>
      </c>
      <c r="BE711" t="s">
        <v>4703</v>
      </c>
    </row>
    <row r="712" spans="1:57">
      <c r="A712" s="1">
        <f>HYPERLINK("https://lsnyc.legalserver.org/matter/dynamic-profile/view/1893141","19-1893141")</f>
        <v>0</v>
      </c>
      <c r="B712" t="s">
        <v>77</v>
      </c>
      <c r="C712" t="s">
        <v>92</v>
      </c>
      <c r="D712" t="s">
        <v>108</v>
      </c>
      <c r="E712" t="s">
        <v>222</v>
      </c>
      <c r="F712" t="s">
        <v>781</v>
      </c>
      <c r="G712" t="s">
        <v>857</v>
      </c>
      <c r="H712" t="s">
        <v>1902</v>
      </c>
      <c r="I712" t="s">
        <v>1955</v>
      </c>
      <c r="J712" t="s">
        <v>2169</v>
      </c>
      <c r="K712" t="s">
        <v>2171</v>
      </c>
      <c r="L712">
        <v>10001</v>
      </c>
      <c r="M712" t="s">
        <v>2173</v>
      </c>
      <c r="N712" t="s">
        <v>2173</v>
      </c>
      <c r="O712" t="s">
        <v>2175</v>
      </c>
      <c r="P712" t="s">
        <v>2834</v>
      </c>
      <c r="Q712">
        <v>1</v>
      </c>
      <c r="R712" t="s">
        <v>2843</v>
      </c>
      <c r="S712" t="s">
        <v>2856</v>
      </c>
      <c r="T712" t="s">
        <v>2863</v>
      </c>
      <c r="U712" t="s">
        <v>2868</v>
      </c>
      <c r="V712" t="s">
        <v>2174</v>
      </c>
      <c r="W712" t="s">
        <v>2174</v>
      </c>
      <c r="Y712" t="s">
        <v>2877</v>
      </c>
      <c r="Z712" t="s">
        <v>2879</v>
      </c>
      <c r="AA712" t="s">
        <v>220</v>
      </c>
      <c r="AB712">
        <v>0</v>
      </c>
      <c r="AC712">
        <v>1515</v>
      </c>
      <c r="AD712">
        <v>1.8</v>
      </c>
      <c r="AE712" t="s">
        <v>2894</v>
      </c>
      <c r="AF712" t="s">
        <v>2896</v>
      </c>
      <c r="AG712" t="s">
        <v>3585</v>
      </c>
      <c r="AH712" t="s">
        <v>3771</v>
      </c>
      <c r="AI712" t="s">
        <v>4449</v>
      </c>
      <c r="AJ712">
        <v>845</v>
      </c>
      <c r="AK712" t="s">
        <v>4463</v>
      </c>
      <c r="AL712">
        <v>2</v>
      </c>
      <c r="AM712">
        <v>2</v>
      </c>
      <c r="AN712">
        <v>38.45</v>
      </c>
      <c r="AQ712" t="s">
        <v>4474</v>
      </c>
      <c r="AR712" t="s">
        <v>4481</v>
      </c>
      <c r="AS712" t="s">
        <v>4486</v>
      </c>
      <c r="AT712">
        <v>9900</v>
      </c>
      <c r="AX712" t="s">
        <v>4504</v>
      </c>
      <c r="BA712" t="s">
        <v>4560</v>
      </c>
      <c r="BD712" t="s">
        <v>183</v>
      </c>
      <c r="BE712" t="s">
        <v>4704</v>
      </c>
    </row>
    <row r="713" spans="1:57">
      <c r="A713" s="1">
        <f>HYPERLINK("https://lsnyc.legalserver.org/matter/dynamic-profile/view/1907013","19-1907013")</f>
        <v>0</v>
      </c>
      <c r="B713" t="s">
        <v>68</v>
      </c>
      <c r="C713" t="s">
        <v>92</v>
      </c>
      <c r="D713" t="s">
        <v>128</v>
      </c>
      <c r="E713" t="s">
        <v>197</v>
      </c>
      <c r="F713" t="s">
        <v>782</v>
      </c>
      <c r="G713" t="s">
        <v>1301</v>
      </c>
      <c r="H713" t="s">
        <v>1903</v>
      </c>
      <c r="I713" t="s">
        <v>2164</v>
      </c>
      <c r="J713" t="s">
        <v>2169</v>
      </c>
      <c r="K713" t="s">
        <v>2171</v>
      </c>
      <c r="L713">
        <v>10001</v>
      </c>
      <c r="M713" t="s">
        <v>2173</v>
      </c>
      <c r="N713" t="s">
        <v>2172</v>
      </c>
      <c r="O713" t="s">
        <v>2175</v>
      </c>
      <c r="P713" t="s">
        <v>2835</v>
      </c>
      <c r="Q713">
        <v>4</v>
      </c>
      <c r="R713" t="s">
        <v>2843</v>
      </c>
      <c r="S713" t="s">
        <v>2856</v>
      </c>
      <c r="T713" t="s">
        <v>2863</v>
      </c>
      <c r="U713" t="s">
        <v>2868</v>
      </c>
      <c r="V713" t="s">
        <v>2174</v>
      </c>
      <c r="W713" t="s">
        <v>2174</v>
      </c>
      <c r="Y713" t="s">
        <v>2875</v>
      </c>
      <c r="Z713" t="s">
        <v>2879</v>
      </c>
      <c r="AA713" t="s">
        <v>128</v>
      </c>
      <c r="AB713">
        <v>0</v>
      </c>
      <c r="AC713">
        <v>356</v>
      </c>
      <c r="AD713">
        <v>1.4</v>
      </c>
      <c r="AE713" t="s">
        <v>2894</v>
      </c>
      <c r="AF713" t="s">
        <v>2896</v>
      </c>
      <c r="AG713" t="s">
        <v>3586</v>
      </c>
      <c r="AI713" t="s">
        <v>4450</v>
      </c>
      <c r="AJ713">
        <v>0</v>
      </c>
      <c r="AK713" t="s">
        <v>4457</v>
      </c>
      <c r="AL713">
        <v>1</v>
      </c>
      <c r="AM713">
        <v>0</v>
      </c>
      <c r="AN713">
        <v>18.73</v>
      </c>
      <c r="AR713" t="s">
        <v>4476</v>
      </c>
      <c r="AS713" t="s">
        <v>4486</v>
      </c>
      <c r="AT713">
        <v>2340</v>
      </c>
      <c r="AX713" t="s">
        <v>4502</v>
      </c>
      <c r="BA713" t="s">
        <v>4564</v>
      </c>
      <c r="BD713" t="s">
        <v>194</v>
      </c>
      <c r="BE713" t="s">
        <v>4703</v>
      </c>
    </row>
    <row r="714" spans="1:57">
      <c r="A714" s="1">
        <f>HYPERLINK("https://lsnyc.legalserver.org/matter/dynamic-profile/view/1907062","19-1907062")</f>
        <v>0</v>
      </c>
      <c r="B714" t="s">
        <v>67</v>
      </c>
      <c r="C714" t="s">
        <v>93</v>
      </c>
      <c r="D714" t="s">
        <v>128</v>
      </c>
      <c r="F714" t="s">
        <v>783</v>
      </c>
      <c r="G714" t="s">
        <v>964</v>
      </c>
      <c r="H714" t="s">
        <v>1904</v>
      </c>
      <c r="I714">
        <v>1024</v>
      </c>
      <c r="J714" t="s">
        <v>2169</v>
      </c>
      <c r="K714" t="s">
        <v>2171</v>
      </c>
      <c r="L714">
        <v>10001</v>
      </c>
      <c r="M714" t="s">
        <v>2173</v>
      </c>
      <c r="N714" t="s">
        <v>2172</v>
      </c>
      <c r="O714" t="s">
        <v>2178</v>
      </c>
      <c r="P714" t="s">
        <v>2836</v>
      </c>
      <c r="Q714">
        <v>1</v>
      </c>
      <c r="R714" t="s">
        <v>2843</v>
      </c>
      <c r="S714" t="s">
        <v>2856</v>
      </c>
      <c r="U714" t="s">
        <v>2868</v>
      </c>
      <c r="V714" t="s">
        <v>2174</v>
      </c>
      <c r="W714" t="s">
        <v>2174</v>
      </c>
      <c r="Y714" t="s">
        <v>2876</v>
      </c>
      <c r="AA714" t="s">
        <v>128</v>
      </c>
      <c r="AB714">
        <v>0</v>
      </c>
      <c r="AC714">
        <v>1200</v>
      </c>
      <c r="AD714">
        <v>0</v>
      </c>
      <c r="AE714" t="s">
        <v>2894</v>
      </c>
      <c r="AG714" t="s">
        <v>3587</v>
      </c>
      <c r="AI714" t="s">
        <v>4451</v>
      </c>
      <c r="AJ714">
        <v>390</v>
      </c>
      <c r="AK714" t="s">
        <v>4458</v>
      </c>
      <c r="AL714">
        <v>1</v>
      </c>
      <c r="AM714">
        <v>0</v>
      </c>
      <c r="AN714">
        <v>280.22</v>
      </c>
      <c r="AR714" t="s">
        <v>4476</v>
      </c>
      <c r="AS714" t="s">
        <v>4486</v>
      </c>
      <c r="AT714">
        <v>35000</v>
      </c>
      <c r="AX714" t="s">
        <v>4502</v>
      </c>
      <c r="BA714" t="s">
        <v>4546</v>
      </c>
      <c r="BE714" t="s">
        <v>4703</v>
      </c>
    </row>
    <row r="715" spans="1:57">
      <c r="A715" s="1">
        <f>HYPERLINK("https://lsnyc.legalserver.org/matter/dynamic-profile/view/1886834","19-1886834")</f>
        <v>0</v>
      </c>
      <c r="B715" t="s">
        <v>61</v>
      </c>
      <c r="C715" t="s">
        <v>93</v>
      </c>
      <c r="D715" t="s">
        <v>157</v>
      </c>
      <c r="F715" t="s">
        <v>784</v>
      </c>
      <c r="G715" t="s">
        <v>1284</v>
      </c>
      <c r="H715" t="s">
        <v>1905</v>
      </c>
      <c r="I715">
        <v>601</v>
      </c>
      <c r="J715" t="s">
        <v>2169</v>
      </c>
      <c r="K715" t="s">
        <v>2171</v>
      </c>
      <c r="L715">
        <v>10001</v>
      </c>
      <c r="M715" t="s">
        <v>2173</v>
      </c>
      <c r="N715" t="s">
        <v>2173</v>
      </c>
      <c r="O715" t="s">
        <v>2175</v>
      </c>
      <c r="P715" t="s">
        <v>2837</v>
      </c>
      <c r="Q715">
        <v>10</v>
      </c>
      <c r="R715" t="s">
        <v>2849</v>
      </c>
      <c r="S715" t="s">
        <v>2857</v>
      </c>
      <c r="U715" t="s">
        <v>2868</v>
      </c>
      <c r="V715" t="s">
        <v>2174</v>
      </c>
      <c r="W715" t="s">
        <v>2174</v>
      </c>
      <c r="Y715" t="s">
        <v>2876</v>
      </c>
      <c r="AA715" t="s">
        <v>157</v>
      </c>
      <c r="AB715">
        <v>0</v>
      </c>
      <c r="AC715">
        <v>526.13</v>
      </c>
      <c r="AD715">
        <v>50.7</v>
      </c>
      <c r="AE715" t="s">
        <v>2894</v>
      </c>
      <c r="AG715" t="s">
        <v>3588</v>
      </c>
      <c r="AI715" t="s">
        <v>4452</v>
      </c>
      <c r="AJ715">
        <v>0</v>
      </c>
      <c r="AK715" t="s">
        <v>4461</v>
      </c>
      <c r="AL715">
        <v>3</v>
      </c>
      <c r="AM715">
        <v>0</v>
      </c>
      <c r="AN715">
        <v>131.71</v>
      </c>
      <c r="AQ715" t="s">
        <v>4473</v>
      </c>
      <c r="AR715" t="s">
        <v>4476</v>
      </c>
      <c r="AS715" t="s">
        <v>4497</v>
      </c>
      <c r="AT715">
        <v>27368.64</v>
      </c>
      <c r="AX715" t="s">
        <v>4501</v>
      </c>
      <c r="AY715" t="s">
        <v>4515</v>
      </c>
      <c r="BA715" t="s">
        <v>4546</v>
      </c>
      <c r="BD715" t="s">
        <v>203</v>
      </c>
    </row>
    <row r="716" spans="1:57">
      <c r="A716" s="1">
        <f>HYPERLINK("https://lsnyc.legalserver.org/matter/dynamic-profile/view/1891473","19-1891473")</f>
        <v>0</v>
      </c>
      <c r="B716" t="s">
        <v>66</v>
      </c>
      <c r="C716" t="s">
        <v>93</v>
      </c>
      <c r="D716" t="s">
        <v>211</v>
      </c>
      <c r="F716" t="s">
        <v>784</v>
      </c>
      <c r="G716" t="s">
        <v>1284</v>
      </c>
      <c r="H716" t="s">
        <v>1905</v>
      </c>
      <c r="I716">
        <v>601</v>
      </c>
      <c r="J716" t="s">
        <v>2169</v>
      </c>
      <c r="K716" t="s">
        <v>2171</v>
      </c>
      <c r="L716">
        <v>10001</v>
      </c>
      <c r="M716" t="s">
        <v>2173</v>
      </c>
      <c r="N716" t="s">
        <v>2173</v>
      </c>
      <c r="O716" t="s">
        <v>2177</v>
      </c>
      <c r="P716" t="s">
        <v>2838</v>
      </c>
      <c r="Q716">
        <v>10</v>
      </c>
      <c r="R716" t="s">
        <v>2849</v>
      </c>
      <c r="S716" t="s">
        <v>2857</v>
      </c>
      <c r="U716" t="s">
        <v>2868</v>
      </c>
      <c r="V716" t="s">
        <v>2174</v>
      </c>
      <c r="W716" t="s">
        <v>2174</v>
      </c>
      <c r="Y716" t="s">
        <v>2876</v>
      </c>
      <c r="AB716">
        <v>0</v>
      </c>
      <c r="AC716">
        <v>526.13</v>
      </c>
      <c r="AD716">
        <v>59.9</v>
      </c>
      <c r="AE716" t="s">
        <v>2894</v>
      </c>
      <c r="AG716" t="s">
        <v>3588</v>
      </c>
      <c r="AI716" t="s">
        <v>4452</v>
      </c>
      <c r="AJ716">
        <v>0</v>
      </c>
      <c r="AK716" t="s">
        <v>4461</v>
      </c>
      <c r="AL716">
        <v>3</v>
      </c>
      <c r="AM716">
        <v>0</v>
      </c>
      <c r="AN716">
        <v>29.61</v>
      </c>
      <c r="AQ716" t="s">
        <v>4473</v>
      </c>
      <c r="AR716" t="s">
        <v>4476</v>
      </c>
      <c r="AS716" t="s">
        <v>4497</v>
      </c>
      <c r="AT716">
        <v>6315.84</v>
      </c>
      <c r="AX716" t="s">
        <v>4504</v>
      </c>
      <c r="BA716" t="s">
        <v>4546</v>
      </c>
      <c r="BD716" t="s">
        <v>189</v>
      </c>
    </row>
    <row r="717" spans="1:57">
      <c r="A717" s="1">
        <f>HYPERLINK("https://lsnyc.legalserver.org/matter/dynamic-profile/view/1891575","19-1891575")</f>
        <v>0</v>
      </c>
      <c r="B717" t="s">
        <v>63</v>
      </c>
      <c r="C717" t="s">
        <v>93</v>
      </c>
      <c r="D717" t="s">
        <v>107</v>
      </c>
      <c r="F717" t="s">
        <v>785</v>
      </c>
      <c r="G717" t="s">
        <v>1302</v>
      </c>
      <c r="H717" t="s">
        <v>1906</v>
      </c>
      <c r="I717">
        <v>902</v>
      </c>
      <c r="J717" t="s">
        <v>2169</v>
      </c>
      <c r="K717" t="s">
        <v>2171</v>
      </c>
      <c r="L717">
        <v>10001</v>
      </c>
      <c r="M717" t="s">
        <v>2173</v>
      </c>
      <c r="N717" t="s">
        <v>2173</v>
      </c>
      <c r="O717" t="s">
        <v>2175</v>
      </c>
      <c r="P717" t="s">
        <v>2839</v>
      </c>
      <c r="Q717">
        <v>42</v>
      </c>
      <c r="R717" t="s">
        <v>2844</v>
      </c>
      <c r="S717" t="s">
        <v>2856</v>
      </c>
      <c r="U717" t="s">
        <v>2868</v>
      </c>
      <c r="V717" t="s">
        <v>2174</v>
      </c>
      <c r="W717" t="s">
        <v>2174</v>
      </c>
      <c r="Y717" t="s">
        <v>2876</v>
      </c>
      <c r="Z717" t="s">
        <v>2879</v>
      </c>
      <c r="AA717" t="s">
        <v>107</v>
      </c>
      <c r="AB717">
        <v>0</v>
      </c>
      <c r="AC717">
        <v>1085.57</v>
      </c>
      <c r="AD717">
        <v>1.5</v>
      </c>
      <c r="AE717" t="s">
        <v>2894</v>
      </c>
      <c r="AG717" t="s">
        <v>3589</v>
      </c>
      <c r="AI717" t="s">
        <v>4453</v>
      </c>
      <c r="AJ717">
        <v>0</v>
      </c>
      <c r="AK717" t="s">
        <v>4456</v>
      </c>
      <c r="AL717">
        <v>1</v>
      </c>
      <c r="AM717">
        <v>0</v>
      </c>
      <c r="AN717">
        <v>82.43000000000001</v>
      </c>
      <c r="AQ717" t="s">
        <v>4473</v>
      </c>
      <c r="AR717" t="s">
        <v>4477</v>
      </c>
      <c r="AS717" t="s">
        <v>4486</v>
      </c>
      <c r="AT717">
        <v>10296</v>
      </c>
      <c r="AX717" t="s">
        <v>4502</v>
      </c>
      <c r="BA717" t="s">
        <v>4548</v>
      </c>
      <c r="BD717" t="s">
        <v>107</v>
      </c>
    </row>
    <row r="718" spans="1:57">
      <c r="A718" s="1">
        <f>HYPERLINK("https://lsnyc.legalserver.org/matter/dynamic-profile/view/1893197","19-1893197")</f>
        <v>0</v>
      </c>
      <c r="B718" t="s">
        <v>64</v>
      </c>
      <c r="C718" t="s">
        <v>92</v>
      </c>
      <c r="D718" t="s">
        <v>108</v>
      </c>
      <c r="E718" t="s">
        <v>108</v>
      </c>
      <c r="F718" t="s">
        <v>786</v>
      </c>
      <c r="G718" t="s">
        <v>765</v>
      </c>
      <c r="H718" t="s">
        <v>1907</v>
      </c>
      <c r="I718" t="s">
        <v>2143</v>
      </c>
      <c r="J718" t="s">
        <v>2169</v>
      </c>
      <c r="K718" t="s">
        <v>2171</v>
      </c>
      <c r="L718">
        <v>10001</v>
      </c>
      <c r="M718" t="s">
        <v>2173</v>
      </c>
      <c r="N718" t="s">
        <v>2173</v>
      </c>
      <c r="O718" t="s">
        <v>2179</v>
      </c>
      <c r="P718" t="s">
        <v>2840</v>
      </c>
      <c r="Q718">
        <v>7</v>
      </c>
      <c r="R718" t="s">
        <v>2844</v>
      </c>
      <c r="S718" t="s">
        <v>2856</v>
      </c>
      <c r="T718" t="s">
        <v>2863</v>
      </c>
      <c r="U718" t="s">
        <v>2868</v>
      </c>
      <c r="V718" t="s">
        <v>2174</v>
      </c>
      <c r="W718" t="s">
        <v>2174</v>
      </c>
      <c r="Y718" t="s">
        <v>2876</v>
      </c>
      <c r="AA718" t="s">
        <v>108</v>
      </c>
      <c r="AB718">
        <v>0</v>
      </c>
      <c r="AC718">
        <v>1642.59</v>
      </c>
      <c r="AD718">
        <v>1</v>
      </c>
      <c r="AE718" t="s">
        <v>2894</v>
      </c>
      <c r="AF718" t="s">
        <v>2896</v>
      </c>
      <c r="AG718" t="s">
        <v>3590</v>
      </c>
      <c r="AI718" t="s">
        <v>4454</v>
      </c>
      <c r="AJ718">
        <v>0</v>
      </c>
      <c r="AK718" t="s">
        <v>4456</v>
      </c>
      <c r="AL718">
        <v>2</v>
      </c>
      <c r="AM718">
        <v>1</v>
      </c>
      <c r="AN718">
        <v>186.51</v>
      </c>
      <c r="AQ718" t="s">
        <v>4475</v>
      </c>
      <c r="AR718" t="s">
        <v>4478</v>
      </c>
      <c r="AS718" t="s">
        <v>4486</v>
      </c>
      <c r="AT718">
        <v>39782</v>
      </c>
      <c r="AX718" t="s">
        <v>4504</v>
      </c>
      <c r="BA718" t="s">
        <v>4592</v>
      </c>
      <c r="BD718" t="s">
        <v>108</v>
      </c>
    </row>
    <row r="719" spans="1:57">
      <c r="A719" s="1">
        <f>HYPERLINK("https://lsnyc.legalserver.org/matter/dynamic-profile/view/0798772","16-0798772")</f>
        <v>0</v>
      </c>
      <c r="B719" t="s">
        <v>74</v>
      </c>
      <c r="C719" t="s">
        <v>92</v>
      </c>
      <c r="D719" t="s">
        <v>141</v>
      </c>
      <c r="E719" t="s">
        <v>141</v>
      </c>
      <c r="F719" t="s">
        <v>787</v>
      </c>
      <c r="G719" t="s">
        <v>889</v>
      </c>
      <c r="H719" t="s">
        <v>1908</v>
      </c>
      <c r="I719" t="s">
        <v>1925</v>
      </c>
      <c r="J719" t="s">
        <v>2169</v>
      </c>
      <c r="K719" t="s">
        <v>2171</v>
      </c>
      <c r="L719">
        <v>10001</v>
      </c>
      <c r="M719" t="s">
        <v>2172</v>
      </c>
      <c r="N719" t="s">
        <v>2172</v>
      </c>
      <c r="Q719">
        <v>0</v>
      </c>
      <c r="T719" t="s">
        <v>2863</v>
      </c>
      <c r="U719" t="s">
        <v>2868</v>
      </c>
      <c r="V719" t="s">
        <v>2174</v>
      </c>
      <c r="Y719" t="s">
        <v>2875</v>
      </c>
      <c r="AB719">
        <v>0</v>
      </c>
      <c r="AC719">
        <v>0</v>
      </c>
      <c r="AD719">
        <v>1.9</v>
      </c>
      <c r="AE719" t="s">
        <v>2894</v>
      </c>
      <c r="AF719" t="s">
        <v>2896</v>
      </c>
      <c r="AG719" t="s">
        <v>3591</v>
      </c>
      <c r="AI719" t="s">
        <v>4455</v>
      </c>
      <c r="AJ719">
        <v>162</v>
      </c>
      <c r="AK719" t="s">
        <v>4459</v>
      </c>
      <c r="AL719">
        <v>1</v>
      </c>
      <c r="AM719">
        <v>2</v>
      </c>
      <c r="AN719">
        <v>20.89</v>
      </c>
      <c r="AT719">
        <v>4212</v>
      </c>
      <c r="AX719" t="s">
        <v>74</v>
      </c>
      <c r="BA719" t="s">
        <v>4538</v>
      </c>
      <c r="BD719" t="s">
        <v>4702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HPLPUAC Internal 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2019-10-21T20:35:23Z</dcterms:created>
  <dcterms:modified xsi:type="dcterms:W3CDTF">2019-10-21T20:35:23Z</dcterms:modified>
</cp:coreProperties>
</file>